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che\Downloads\"/>
    </mc:Choice>
  </mc:AlternateContent>
  <xr:revisionPtr revIDLastSave="0" documentId="13_ncr:1_{7D9E3BE3-E326-488C-AAF5-7F9173FE3F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райс 5 ноября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233" i="1" l="1"/>
  <c r="K6233" i="1"/>
  <c r="L6232" i="1"/>
  <c r="K6232" i="1"/>
  <c r="L6231" i="1"/>
  <c r="K6231" i="1"/>
  <c r="L6230" i="1"/>
  <c r="K6230" i="1"/>
  <c r="L6229" i="1"/>
  <c r="K6229" i="1"/>
  <c r="L6228" i="1"/>
  <c r="K6228" i="1"/>
  <c r="L6227" i="1"/>
  <c r="K6227" i="1"/>
  <c r="L6226" i="1"/>
  <c r="K6226" i="1"/>
  <c r="L6225" i="1"/>
  <c r="K6225" i="1"/>
  <c r="L6224" i="1"/>
  <c r="K6224" i="1"/>
  <c r="L6223" i="1"/>
  <c r="K6223" i="1"/>
  <c r="L6222" i="1"/>
  <c r="K6222" i="1"/>
  <c r="L6221" i="1"/>
  <c r="K6221" i="1"/>
  <c r="L6220" i="1"/>
  <c r="K6220" i="1"/>
  <c r="L6219" i="1"/>
  <c r="K6219" i="1"/>
  <c r="L6218" i="1"/>
  <c r="K6218" i="1"/>
  <c r="L6217" i="1"/>
  <c r="K6217" i="1"/>
  <c r="L6216" i="1"/>
  <c r="K6216" i="1"/>
  <c r="L6215" i="1"/>
  <c r="K6215" i="1"/>
  <c r="L6214" i="1"/>
  <c r="K6214" i="1"/>
  <c r="L6213" i="1"/>
  <c r="K6213" i="1"/>
  <c r="L6212" i="1"/>
  <c r="K6212" i="1"/>
  <c r="L6211" i="1"/>
  <c r="K6211" i="1"/>
  <c r="L6210" i="1"/>
  <c r="K6210" i="1"/>
  <c r="L6209" i="1"/>
  <c r="K6209" i="1"/>
  <c r="L6208" i="1"/>
  <c r="K6208" i="1"/>
  <c r="L6207" i="1"/>
  <c r="K6207" i="1"/>
  <c r="L6206" i="1"/>
  <c r="K6206" i="1"/>
  <c r="L6205" i="1"/>
  <c r="K6205" i="1"/>
  <c r="L6204" i="1"/>
  <c r="K6204" i="1"/>
  <c r="L6203" i="1"/>
  <c r="K6203" i="1"/>
  <c r="L6202" i="1"/>
  <c r="K6202" i="1"/>
  <c r="L6201" i="1"/>
  <c r="K6201" i="1"/>
  <c r="L6200" i="1"/>
  <c r="K6200" i="1"/>
  <c r="L6199" i="1"/>
  <c r="K6199" i="1"/>
  <c r="L6198" i="1"/>
  <c r="K6198" i="1"/>
  <c r="L6197" i="1"/>
  <c r="K6197" i="1"/>
  <c r="L6196" i="1"/>
  <c r="K6196" i="1"/>
  <c r="L6195" i="1"/>
  <c r="K6195" i="1"/>
  <c r="L6194" i="1"/>
  <c r="K6194" i="1"/>
  <c r="L6193" i="1"/>
  <c r="K6193" i="1"/>
  <c r="L6192" i="1"/>
  <c r="K6192" i="1"/>
  <c r="L6191" i="1"/>
  <c r="K6191" i="1"/>
  <c r="L6190" i="1"/>
  <c r="K6190" i="1"/>
  <c r="L6189" i="1"/>
  <c r="K6189" i="1"/>
  <c r="L6188" i="1"/>
  <c r="K6188" i="1"/>
  <c r="L6187" i="1"/>
  <c r="K6187" i="1"/>
  <c r="L6186" i="1"/>
  <c r="K6186" i="1"/>
  <c r="L6185" i="1"/>
  <c r="K6185" i="1"/>
  <c r="L6184" i="1"/>
  <c r="K6184" i="1"/>
  <c r="L6183" i="1"/>
  <c r="K6183" i="1"/>
  <c r="L6182" i="1"/>
  <c r="K6182" i="1"/>
  <c r="L6181" i="1"/>
  <c r="K6181" i="1"/>
  <c r="L6180" i="1"/>
  <c r="K6180" i="1"/>
  <c r="L6179" i="1"/>
  <c r="K6179" i="1"/>
  <c r="L6178" i="1"/>
  <c r="K6178" i="1"/>
  <c r="L6177" i="1"/>
  <c r="K6177" i="1"/>
  <c r="L6176" i="1"/>
  <c r="K6176" i="1"/>
  <c r="L6175" i="1"/>
  <c r="K6175" i="1"/>
  <c r="L6174" i="1"/>
  <c r="K6174" i="1"/>
  <c r="L6173" i="1"/>
  <c r="K6173" i="1"/>
  <c r="L6172" i="1"/>
  <c r="K6172" i="1"/>
  <c r="L6171" i="1"/>
  <c r="K6171" i="1"/>
  <c r="L6170" i="1"/>
  <c r="K6170" i="1"/>
  <c r="L6169" i="1"/>
  <c r="K6169" i="1"/>
  <c r="L6168" i="1"/>
  <c r="K6168" i="1"/>
  <c r="L6167" i="1"/>
  <c r="K6167" i="1"/>
  <c r="L6166" i="1"/>
  <c r="K6166" i="1"/>
  <c r="L6165" i="1"/>
  <c r="K6165" i="1"/>
  <c r="L6164" i="1"/>
  <c r="K6164" i="1"/>
  <c r="L6163" i="1"/>
  <c r="K6163" i="1"/>
  <c r="L6162" i="1"/>
  <c r="K6162" i="1"/>
  <c r="L6161" i="1"/>
  <c r="K6161" i="1"/>
  <c r="L6160" i="1"/>
  <c r="K6160" i="1"/>
  <c r="L6159" i="1"/>
  <c r="K6159" i="1"/>
  <c r="L6158" i="1"/>
  <c r="K6158" i="1"/>
  <c r="L6157" i="1"/>
  <c r="K6157" i="1"/>
  <c r="L6156" i="1"/>
  <c r="K6156" i="1"/>
  <c r="L6155" i="1"/>
  <c r="K6155" i="1"/>
  <c r="L6154" i="1"/>
  <c r="K6154" i="1"/>
  <c r="L6153" i="1"/>
  <c r="K6153" i="1"/>
  <c r="L6152" i="1"/>
  <c r="K6152" i="1"/>
  <c r="L6151" i="1"/>
  <c r="K6151" i="1"/>
  <c r="L6150" i="1"/>
  <c r="K6150" i="1"/>
  <c r="L6149" i="1"/>
  <c r="K6149" i="1"/>
  <c r="L6148" i="1"/>
  <c r="K6148" i="1"/>
  <c r="L6147" i="1"/>
  <c r="K6147" i="1"/>
  <c r="L6146" i="1"/>
  <c r="K6146" i="1"/>
  <c r="L6145" i="1"/>
  <c r="K6145" i="1"/>
  <c r="L6144" i="1"/>
  <c r="K6144" i="1"/>
  <c r="L6143" i="1"/>
  <c r="K6143" i="1"/>
  <c r="L6142" i="1"/>
  <c r="K6142" i="1"/>
  <c r="L6141" i="1"/>
  <c r="K6141" i="1"/>
  <c r="L6140" i="1"/>
  <c r="K6140" i="1"/>
  <c r="L6139" i="1"/>
  <c r="K6139" i="1"/>
  <c r="L6138" i="1"/>
  <c r="K6138" i="1"/>
  <c r="L6137" i="1"/>
  <c r="K6137" i="1"/>
  <c r="L6136" i="1"/>
  <c r="K6136" i="1"/>
  <c r="L6135" i="1"/>
  <c r="K6135" i="1"/>
  <c r="L6134" i="1"/>
  <c r="K6134" i="1"/>
  <c r="L6133" i="1"/>
  <c r="K6133" i="1"/>
  <c r="L6132" i="1"/>
  <c r="K6132" i="1"/>
  <c r="L6131" i="1"/>
  <c r="K6131" i="1"/>
  <c r="L6130" i="1"/>
  <c r="K6130" i="1"/>
  <c r="L6129" i="1"/>
  <c r="K6129" i="1"/>
  <c r="L6128" i="1"/>
  <c r="K6128" i="1"/>
  <c r="L6127" i="1"/>
  <c r="K6127" i="1"/>
  <c r="L6126" i="1"/>
  <c r="K6126" i="1"/>
  <c r="L6125" i="1"/>
  <c r="K6125" i="1"/>
  <c r="L6123" i="1"/>
  <c r="K6123" i="1"/>
  <c r="L6122" i="1"/>
  <c r="K6122" i="1"/>
  <c r="L6121" i="1"/>
  <c r="K6121" i="1"/>
  <c r="L6120" i="1"/>
  <c r="K6120" i="1"/>
  <c r="L6119" i="1"/>
  <c r="K6119" i="1"/>
  <c r="L6118" i="1"/>
  <c r="K6118" i="1"/>
  <c r="L6117" i="1"/>
  <c r="K6117" i="1"/>
  <c r="L6116" i="1"/>
  <c r="K6116" i="1"/>
  <c r="L6115" i="1"/>
  <c r="K6115" i="1"/>
  <c r="L6114" i="1"/>
  <c r="K6114" i="1"/>
  <c r="L6113" i="1"/>
  <c r="K6113" i="1"/>
  <c r="L6112" i="1"/>
  <c r="K6112" i="1"/>
  <c r="L6111" i="1"/>
  <c r="K6111" i="1"/>
  <c r="L6110" i="1"/>
  <c r="K6110" i="1"/>
  <c r="L6109" i="1"/>
  <c r="K6109" i="1"/>
  <c r="L6108" i="1"/>
  <c r="K6108" i="1"/>
  <c r="L6107" i="1"/>
  <c r="K6107" i="1"/>
  <c r="L6106" i="1"/>
  <c r="K6106" i="1"/>
  <c r="L6105" i="1"/>
  <c r="K6105" i="1"/>
  <c r="L6104" i="1"/>
  <c r="K6104" i="1"/>
  <c r="L6103" i="1"/>
  <c r="K6103" i="1"/>
  <c r="L6102" i="1"/>
  <c r="K6102" i="1"/>
  <c r="L6101" i="1"/>
  <c r="K6101" i="1"/>
  <c r="L6100" i="1"/>
  <c r="K6100" i="1"/>
  <c r="L6099" i="1"/>
  <c r="K6099" i="1"/>
  <c r="L6098" i="1"/>
  <c r="K6098" i="1"/>
  <c r="L6097" i="1"/>
  <c r="K6097" i="1"/>
  <c r="L6096" i="1"/>
  <c r="K6096" i="1"/>
  <c r="L6095" i="1"/>
  <c r="K6095" i="1"/>
  <c r="L6094" i="1"/>
  <c r="K6094" i="1"/>
  <c r="L6093" i="1"/>
  <c r="K6093" i="1"/>
  <c r="L6092" i="1"/>
  <c r="K6092" i="1"/>
  <c r="L6091" i="1"/>
  <c r="K6091" i="1"/>
  <c r="L6090" i="1"/>
  <c r="K6090" i="1"/>
  <c r="L6089" i="1"/>
  <c r="K6089" i="1"/>
  <c r="L6088" i="1"/>
  <c r="K6088" i="1"/>
  <c r="L6087" i="1"/>
  <c r="K6087" i="1"/>
  <c r="L6086" i="1"/>
  <c r="K6086" i="1"/>
  <c r="L6085" i="1"/>
  <c r="K6085" i="1"/>
  <c r="L6084" i="1"/>
  <c r="K6084" i="1"/>
  <c r="L6083" i="1"/>
  <c r="K6083" i="1"/>
  <c r="L6082" i="1"/>
  <c r="K6082" i="1"/>
  <c r="L6081" i="1"/>
  <c r="K6081" i="1"/>
  <c r="L6080" i="1"/>
  <c r="K6080" i="1"/>
  <c r="L6079" i="1"/>
  <c r="K6079" i="1"/>
  <c r="L6078" i="1"/>
  <c r="K6078" i="1"/>
  <c r="L6077" i="1"/>
  <c r="K6077" i="1"/>
  <c r="L6076" i="1"/>
  <c r="K6076" i="1"/>
  <c r="L6075" i="1"/>
  <c r="K6075" i="1"/>
  <c r="L6074" i="1"/>
  <c r="K6074" i="1"/>
  <c r="L6073" i="1"/>
  <c r="K6073" i="1"/>
  <c r="L6072" i="1"/>
  <c r="K6072" i="1"/>
  <c r="L6071" i="1"/>
  <c r="K6071" i="1"/>
  <c r="L6070" i="1"/>
  <c r="K6070" i="1"/>
  <c r="L6069" i="1"/>
  <c r="K6069" i="1"/>
  <c r="L6068" i="1"/>
  <c r="K6068" i="1"/>
  <c r="L6067" i="1"/>
  <c r="K6067" i="1"/>
  <c r="L6066" i="1"/>
  <c r="K6066" i="1"/>
  <c r="L6065" i="1"/>
  <c r="K6065" i="1"/>
  <c r="L6064" i="1"/>
  <c r="K6064" i="1"/>
  <c r="L6063" i="1"/>
  <c r="K6063" i="1"/>
  <c r="L6062" i="1"/>
  <c r="K6062" i="1"/>
  <c r="L6061" i="1"/>
  <c r="K6061" i="1"/>
  <c r="L6060" i="1"/>
  <c r="K6060" i="1"/>
  <c r="L6059" i="1"/>
  <c r="K6059" i="1"/>
  <c r="L6058" i="1"/>
  <c r="K6058" i="1"/>
  <c r="L6057" i="1"/>
  <c r="K6057" i="1"/>
  <c r="L6056" i="1"/>
  <c r="K6056" i="1"/>
  <c r="L6055" i="1"/>
  <c r="K6055" i="1"/>
  <c r="L6054" i="1"/>
  <c r="K6054" i="1"/>
  <c r="L6053" i="1"/>
  <c r="K6053" i="1"/>
  <c r="L6052" i="1"/>
  <c r="K6052" i="1"/>
  <c r="L6051" i="1"/>
  <c r="K6051" i="1"/>
  <c r="L6050" i="1"/>
  <c r="K6050" i="1"/>
  <c r="L6049" i="1"/>
  <c r="K6049" i="1"/>
  <c r="L6048" i="1"/>
  <c r="K6048" i="1"/>
  <c r="L6047" i="1"/>
  <c r="K6047" i="1"/>
  <c r="L6046" i="1"/>
  <c r="K6046" i="1"/>
  <c r="L6045" i="1"/>
  <c r="K6045" i="1"/>
  <c r="L6044" i="1"/>
  <c r="K6044" i="1"/>
  <c r="L6043" i="1"/>
  <c r="K6043" i="1"/>
  <c r="L6042" i="1"/>
  <c r="K6042" i="1"/>
  <c r="L6041" i="1"/>
  <c r="K6041" i="1"/>
  <c r="L6040" i="1"/>
  <c r="K6040" i="1"/>
  <c r="L6039" i="1"/>
  <c r="K6039" i="1"/>
  <c r="L6038" i="1"/>
  <c r="K6038" i="1"/>
  <c r="L6037" i="1"/>
  <c r="K6037" i="1"/>
  <c r="L6036" i="1"/>
  <c r="K6036" i="1"/>
  <c r="L6035" i="1"/>
  <c r="K6035" i="1"/>
  <c r="L6034" i="1"/>
  <c r="K6034" i="1"/>
  <c r="L6033" i="1"/>
  <c r="K6033" i="1"/>
  <c r="L6032" i="1"/>
  <c r="K6032" i="1"/>
  <c r="L6031" i="1"/>
  <c r="K6031" i="1"/>
  <c r="L6030" i="1"/>
  <c r="K6030" i="1"/>
  <c r="L6029" i="1"/>
  <c r="K6029" i="1"/>
  <c r="L6028" i="1"/>
  <c r="K6028" i="1"/>
  <c r="L6027" i="1"/>
  <c r="K6027" i="1"/>
  <c r="L6026" i="1"/>
  <c r="K6026" i="1"/>
  <c r="L6025" i="1"/>
  <c r="K6025" i="1"/>
  <c r="L6024" i="1"/>
  <c r="K6024" i="1"/>
  <c r="L6023" i="1"/>
  <c r="K6023" i="1"/>
  <c r="L6022" i="1"/>
  <c r="K6022" i="1"/>
  <c r="L6021" i="1"/>
  <c r="K6021" i="1"/>
  <c r="L6020" i="1"/>
  <c r="K6020" i="1"/>
  <c r="L6019" i="1"/>
  <c r="K6019" i="1"/>
  <c r="L6018" i="1"/>
  <c r="K6018" i="1"/>
  <c r="L6017" i="1"/>
  <c r="K6017" i="1"/>
  <c r="L6016" i="1"/>
  <c r="K6016" i="1"/>
  <c r="L6015" i="1"/>
  <c r="K6015" i="1"/>
  <c r="L6014" i="1"/>
  <c r="K6014" i="1"/>
  <c r="L6013" i="1"/>
  <c r="K6013" i="1"/>
  <c r="L6012" i="1"/>
  <c r="K6012" i="1"/>
  <c r="L6011" i="1"/>
  <c r="K6011" i="1"/>
  <c r="L6010" i="1"/>
  <c r="K6010" i="1"/>
  <c r="L6009" i="1"/>
  <c r="K6009" i="1"/>
  <c r="L6008" i="1"/>
  <c r="K6008" i="1"/>
  <c r="L6007" i="1"/>
  <c r="K6007" i="1"/>
  <c r="L6006" i="1"/>
  <c r="K6006" i="1"/>
  <c r="L6005" i="1"/>
  <c r="K6005" i="1"/>
  <c r="L6004" i="1"/>
  <c r="K6004" i="1"/>
  <c r="L6003" i="1"/>
  <c r="K6003" i="1"/>
  <c r="L6002" i="1"/>
  <c r="K6002" i="1"/>
  <c r="L6001" i="1"/>
  <c r="K6001" i="1"/>
  <c r="L6000" i="1"/>
  <c r="K6000" i="1"/>
  <c r="L5999" i="1"/>
  <c r="K5999" i="1"/>
  <c r="L5998" i="1"/>
  <c r="K5998" i="1"/>
  <c r="L5997" i="1"/>
  <c r="K5997" i="1"/>
  <c r="L5996" i="1"/>
  <c r="K5996" i="1"/>
  <c r="L5995" i="1"/>
  <c r="K5995" i="1"/>
  <c r="L5994" i="1"/>
  <c r="K5994" i="1"/>
  <c r="L5993" i="1"/>
  <c r="K5993" i="1"/>
  <c r="L5992" i="1"/>
  <c r="K5992" i="1"/>
  <c r="L5991" i="1"/>
  <c r="K5991" i="1"/>
  <c r="L5990" i="1"/>
  <c r="K5990" i="1"/>
  <c r="L5989" i="1"/>
  <c r="K5989" i="1"/>
  <c r="L5988" i="1"/>
  <c r="K5988" i="1"/>
  <c r="L5987" i="1"/>
  <c r="K5987" i="1"/>
  <c r="L5986" i="1"/>
  <c r="K5986" i="1"/>
  <c r="L5985" i="1"/>
  <c r="K5985" i="1"/>
  <c r="L5984" i="1"/>
  <c r="K5984" i="1"/>
  <c r="L5983" i="1"/>
  <c r="K5983" i="1"/>
  <c r="L5982" i="1"/>
  <c r="K5982" i="1"/>
  <c r="L5981" i="1"/>
  <c r="K5981" i="1"/>
  <c r="L5980" i="1"/>
  <c r="K5980" i="1"/>
  <c r="L5979" i="1"/>
  <c r="K5979" i="1"/>
  <c r="L5978" i="1"/>
  <c r="K5978" i="1"/>
  <c r="L5977" i="1"/>
  <c r="K5977" i="1"/>
  <c r="L5976" i="1"/>
  <c r="K5976" i="1"/>
  <c r="L5975" i="1"/>
  <c r="K5975" i="1"/>
  <c r="L5974" i="1"/>
  <c r="K5974" i="1"/>
  <c r="L5973" i="1"/>
  <c r="K5973" i="1"/>
  <c r="L5972" i="1"/>
  <c r="K5972" i="1"/>
  <c r="L5971" i="1"/>
  <c r="K5971" i="1"/>
  <c r="L5970" i="1"/>
  <c r="K5970" i="1"/>
  <c r="L5969" i="1"/>
  <c r="K5969" i="1"/>
  <c r="L5968" i="1"/>
  <c r="K5968" i="1"/>
  <c r="L5967" i="1"/>
  <c r="K5967" i="1"/>
  <c r="L5966" i="1"/>
  <c r="K5966" i="1"/>
  <c r="L5965" i="1"/>
  <c r="K5965" i="1"/>
  <c r="L5964" i="1"/>
  <c r="K5964" i="1"/>
  <c r="L5963" i="1"/>
  <c r="K5963" i="1"/>
  <c r="L5962" i="1"/>
  <c r="K5962" i="1"/>
  <c r="L5961" i="1"/>
  <c r="K5961" i="1"/>
  <c r="L5960" i="1"/>
  <c r="K5960" i="1"/>
  <c r="L5959" i="1"/>
  <c r="K5959" i="1"/>
  <c r="L5958" i="1"/>
  <c r="K5958" i="1"/>
  <c r="L5957" i="1"/>
  <c r="K5957" i="1"/>
  <c r="L5956" i="1"/>
  <c r="K5956" i="1"/>
  <c r="L5955" i="1"/>
  <c r="K5955" i="1"/>
  <c r="L5954" i="1"/>
  <c r="K5954" i="1"/>
  <c r="L5953" i="1"/>
  <c r="K5953" i="1"/>
  <c r="L5952" i="1"/>
  <c r="K5952" i="1"/>
  <c r="L5951" i="1"/>
  <c r="K5951" i="1"/>
  <c r="L5950" i="1"/>
  <c r="K5950" i="1"/>
  <c r="L5949" i="1"/>
  <c r="K5949" i="1"/>
  <c r="L5948" i="1"/>
  <c r="K5948" i="1"/>
  <c r="L5947" i="1"/>
  <c r="K5947" i="1"/>
  <c r="L5946" i="1"/>
  <c r="K5946" i="1"/>
  <c r="L5945" i="1"/>
  <c r="K5945" i="1"/>
  <c r="L5944" i="1"/>
  <c r="K5944" i="1"/>
  <c r="L5943" i="1"/>
  <c r="K5943" i="1"/>
  <c r="L5942" i="1"/>
  <c r="K5942" i="1"/>
  <c r="L5941" i="1"/>
  <c r="K5941" i="1"/>
  <c r="L5940" i="1"/>
  <c r="K5940" i="1"/>
  <c r="L5939" i="1"/>
  <c r="K5939" i="1"/>
  <c r="L5938" i="1"/>
  <c r="K5938" i="1"/>
  <c r="L5937" i="1"/>
  <c r="K5937" i="1"/>
  <c r="L5936" i="1"/>
  <c r="K5936" i="1"/>
  <c r="L5935" i="1"/>
  <c r="K5935" i="1"/>
  <c r="L5934" i="1"/>
  <c r="K5934" i="1"/>
  <c r="L5933" i="1"/>
  <c r="K5933" i="1"/>
  <c r="L5932" i="1"/>
  <c r="K5932" i="1"/>
  <c r="L5931" i="1"/>
  <c r="K5931" i="1"/>
  <c r="L5930" i="1"/>
  <c r="K5930" i="1"/>
  <c r="L5929" i="1"/>
  <c r="K5929" i="1"/>
  <c r="L5927" i="1"/>
  <c r="K5927" i="1"/>
  <c r="L5926" i="1"/>
  <c r="K5926" i="1"/>
  <c r="L5925" i="1"/>
  <c r="K5925" i="1"/>
  <c r="L5924" i="1"/>
  <c r="K5924" i="1"/>
  <c r="L5923" i="1"/>
  <c r="K5923" i="1"/>
  <c r="L5922" i="1"/>
  <c r="K5922" i="1"/>
  <c r="L5921" i="1"/>
  <c r="K5921" i="1"/>
  <c r="L5920" i="1"/>
  <c r="K5920" i="1"/>
  <c r="L5919" i="1"/>
  <c r="K5919" i="1"/>
  <c r="L5918" i="1"/>
  <c r="K5918" i="1"/>
  <c r="L5917" i="1"/>
  <c r="K5917" i="1"/>
  <c r="L5916" i="1"/>
  <c r="K5916" i="1"/>
  <c r="L5915" i="1"/>
  <c r="K5915" i="1"/>
  <c r="L5914" i="1"/>
  <c r="K5914" i="1"/>
  <c r="L5913" i="1"/>
  <c r="K5913" i="1"/>
  <c r="L5912" i="1"/>
  <c r="K5912" i="1"/>
  <c r="L5911" i="1"/>
  <c r="K5911" i="1"/>
  <c r="L5910" i="1"/>
  <c r="K5910" i="1"/>
  <c r="L5909" i="1"/>
  <c r="K5909" i="1"/>
  <c r="L5908" i="1"/>
  <c r="K5908" i="1"/>
  <c r="L5907" i="1"/>
  <c r="K5907" i="1"/>
  <c r="L5906" i="1"/>
  <c r="K5906" i="1"/>
  <c r="L5905" i="1"/>
  <c r="K5905" i="1"/>
  <c r="L5904" i="1"/>
  <c r="K5904" i="1"/>
  <c r="L5903" i="1"/>
  <c r="K5903" i="1"/>
  <c r="L5902" i="1"/>
  <c r="K5902" i="1"/>
  <c r="L5901" i="1"/>
  <c r="K5901" i="1"/>
  <c r="L5900" i="1"/>
  <c r="K5900" i="1"/>
  <c r="L5899" i="1"/>
  <c r="K5899" i="1"/>
  <c r="L5898" i="1"/>
  <c r="K5898" i="1"/>
  <c r="L5897" i="1"/>
  <c r="K5897" i="1"/>
  <c r="L5896" i="1"/>
  <c r="K5896" i="1"/>
  <c r="L5895" i="1"/>
  <c r="K5895" i="1"/>
  <c r="L5894" i="1"/>
  <c r="K5894" i="1"/>
  <c r="L5893" i="1"/>
  <c r="K5893" i="1"/>
  <c r="L5892" i="1"/>
  <c r="K5892" i="1"/>
  <c r="L5891" i="1"/>
  <c r="K5891" i="1"/>
  <c r="L5890" i="1"/>
  <c r="K5890" i="1"/>
  <c r="L5889" i="1"/>
  <c r="K5889" i="1"/>
  <c r="L5888" i="1"/>
  <c r="K5888" i="1"/>
  <c r="L5887" i="1"/>
  <c r="K5887" i="1"/>
  <c r="L5886" i="1"/>
  <c r="K5886" i="1"/>
  <c r="L5885" i="1"/>
  <c r="K5885" i="1"/>
  <c r="L5884" i="1"/>
  <c r="K5884" i="1"/>
  <c r="L5883" i="1"/>
  <c r="K5883" i="1"/>
  <c r="L5882" i="1"/>
  <c r="K5882" i="1"/>
  <c r="L5881" i="1"/>
  <c r="K5881" i="1"/>
  <c r="L5880" i="1"/>
  <c r="K5880" i="1"/>
  <c r="L5879" i="1"/>
  <c r="K5879" i="1"/>
  <c r="L5878" i="1"/>
  <c r="K5878" i="1"/>
  <c r="L5877" i="1"/>
  <c r="K5877" i="1"/>
  <c r="L5876" i="1"/>
  <c r="K5876" i="1"/>
  <c r="L5875" i="1"/>
  <c r="K5875" i="1"/>
  <c r="L5874" i="1"/>
  <c r="K5874" i="1"/>
  <c r="L5873" i="1"/>
  <c r="K5873" i="1"/>
  <c r="L5872" i="1"/>
  <c r="K5872" i="1"/>
  <c r="L5871" i="1"/>
  <c r="K5871" i="1"/>
  <c r="L5870" i="1"/>
  <c r="K5870" i="1"/>
  <c r="L5869" i="1"/>
  <c r="K5869" i="1"/>
  <c r="L5868" i="1"/>
  <c r="K5868" i="1"/>
  <c r="L5867" i="1"/>
  <c r="K5867" i="1"/>
  <c r="L5866" i="1"/>
  <c r="K5866" i="1"/>
  <c r="L5865" i="1"/>
  <c r="K5865" i="1"/>
  <c r="L5864" i="1"/>
  <c r="K5864" i="1"/>
  <c r="L5863" i="1"/>
  <c r="K5863" i="1"/>
  <c r="L5862" i="1"/>
  <c r="K5862" i="1"/>
  <c r="L5861" i="1"/>
  <c r="K5861" i="1"/>
  <c r="L5860" i="1"/>
  <c r="K5860" i="1"/>
  <c r="L5859" i="1"/>
  <c r="K5859" i="1"/>
  <c r="L5858" i="1"/>
  <c r="K5858" i="1"/>
  <c r="L5857" i="1"/>
  <c r="K5857" i="1"/>
  <c r="L5856" i="1"/>
  <c r="K5856" i="1"/>
  <c r="L5855" i="1"/>
  <c r="K5855" i="1"/>
  <c r="L5854" i="1"/>
  <c r="K5854" i="1"/>
  <c r="L5853" i="1"/>
  <c r="K5853" i="1"/>
  <c r="L5852" i="1"/>
  <c r="K5852" i="1"/>
  <c r="L5851" i="1"/>
  <c r="K5851" i="1"/>
  <c r="L5850" i="1"/>
  <c r="K5850" i="1"/>
  <c r="L5849" i="1"/>
  <c r="K5849" i="1"/>
  <c r="L5848" i="1"/>
  <c r="K5848" i="1"/>
  <c r="L5847" i="1"/>
  <c r="K5847" i="1"/>
  <c r="L5846" i="1"/>
  <c r="K5846" i="1"/>
  <c r="L5845" i="1"/>
  <c r="K5845" i="1"/>
  <c r="L5844" i="1"/>
  <c r="K5844" i="1"/>
  <c r="L5843" i="1"/>
  <c r="K5843" i="1"/>
  <c r="L5842" i="1"/>
  <c r="K5842" i="1"/>
  <c r="L5841" i="1"/>
  <c r="K5841" i="1"/>
  <c r="L5840" i="1"/>
  <c r="K5840" i="1"/>
  <c r="L5839" i="1"/>
  <c r="K5839" i="1"/>
  <c r="L5838" i="1"/>
  <c r="K5838" i="1"/>
  <c r="L5837" i="1"/>
  <c r="K5837" i="1"/>
  <c r="L5836" i="1"/>
  <c r="K5836" i="1"/>
  <c r="L5835" i="1"/>
  <c r="K5835" i="1"/>
  <c r="L5834" i="1"/>
  <c r="K5834" i="1"/>
  <c r="L5833" i="1"/>
  <c r="K5833" i="1"/>
  <c r="L5832" i="1"/>
  <c r="K5832" i="1"/>
  <c r="L5831" i="1"/>
  <c r="K5831" i="1"/>
  <c r="L5830" i="1"/>
  <c r="K5830" i="1"/>
  <c r="L5829" i="1"/>
  <c r="K5829" i="1"/>
  <c r="L5828" i="1"/>
  <c r="K5828" i="1"/>
  <c r="L5827" i="1"/>
  <c r="K5827" i="1"/>
  <c r="L5826" i="1"/>
  <c r="K5826" i="1"/>
  <c r="L5825" i="1"/>
  <c r="K5825" i="1"/>
  <c r="L5824" i="1"/>
  <c r="K5824" i="1"/>
  <c r="L5823" i="1"/>
  <c r="K5823" i="1"/>
  <c r="L5822" i="1"/>
  <c r="K5822" i="1"/>
  <c r="L5821" i="1"/>
  <c r="K5821" i="1"/>
  <c r="L5820" i="1"/>
  <c r="K5820" i="1"/>
  <c r="L5819" i="1"/>
  <c r="K5819" i="1"/>
  <c r="L5818" i="1"/>
  <c r="K5818" i="1"/>
  <c r="L5817" i="1"/>
  <c r="K5817" i="1"/>
  <c r="L5816" i="1"/>
  <c r="K5816" i="1"/>
  <c r="L5815" i="1"/>
  <c r="K5815" i="1"/>
  <c r="L5814" i="1"/>
  <c r="K5814" i="1"/>
  <c r="L5813" i="1"/>
  <c r="K5813" i="1"/>
  <c r="L5812" i="1"/>
  <c r="K5812" i="1"/>
  <c r="L5811" i="1"/>
  <c r="K5811" i="1"/>
  <c r="L5810" i="1"/>
  <c r="K5810" i="1"/>
  <c r="L5809" i="1"/>
  <c r="K5809" i="1"/>
  <c r="L5808" i="1"/>
  <c r="K5808" i="1"/>
  <c r="L5807" i="1"/>
  <c r="K5807" i="1"/>
  <c r="L5806" i="1"/>
  <c r="K5806" i="1"/>
  <c r="L5805" i="1"/>
  <c r="K5805" i="1"/>
  <c r="L5804" i="1"/>
  <c r="K5804" i="1"/>
  <c r="L5803" i="1"/>
  <c r="K5803" i="1"/>
  <c r="L5802" i="1"/>
  <c r="K5802" i="1"/>
  <c r="L5801" i="1"/>
  <c r="K5801" i="1"/>
  <c r="L5800" i="1"/>
  <c r="K5800" i="1"/>
  <c r="L5799" i="1"/>
  <c r="K5799" i="1"/>
  <c r="L5798" i="1"/>
  <c r="K5798" i="1"/>
  <c r="L5797" i="1"/>
  <c r="K5797" i="1"/>
  <c r="L5796" i="1"/>
  <c r="K5796" i="1"/>
  <c r="L5795" i="1"/>
  <c r="K5795" i="1"/>
  <c r="L5794" i="1"/>
  <c r="K5794" i="1"/>
  <c r="L5793" i="1"/>
  <c r="K5793" i="1"/>
  <c r="L5792" i="1"/>
  <c r="K5792" i="1"/>
  <c r="L5791" i="1"/>
  <c r="K5791" i="1"/>
  <c r="L5790" i="1"/>
  <c r="K5790" i="1"/>
  <c r="L5789" i="1"/>
  <c r="K5789" i="1"/>
  <c r="L5788" i="1"/>
  <c r="K5788" i="1"/>
  <c r="L5787" i="1"/>
  <c r="K5787" i="1"/>
  <c r="L5786" i="1"/>
  <c r="K5786" i="1"/>
  <c r="L5785" i="1"/>
  <c r="K5785" i="1"/>
  <c r="L5784" i="1"/>
  <c r="K5784" i="1"/>
  <c r="L5783" i="1"/>
  <c r="K5783" i="1"/>
  <c r="L5782" i="1"/>
  <c r="K5782" i="1"/>
  <c r="L5781" i="1"/>
  <c r="K5781" i="1"/>
  <c r="L5779" i="1"/>
  <c r="K5779" i="1"/>
  <c r="L5778" i="1"/>
  <c r="K5778" i="1"/>
  <c r="L5777" i="1"/>
  <c r="K5777" i="1"/>
  <c r="L5776" i="1"/>
  <c r="K5776" i="1"/>
  <c r="L5775" i="1"/>
  <c r="K5775" i="1"/>
  <c r="L5774" i="1"/>
  <c r="K5774" i="1"/>
  <c r="L5773" i="1"/>
  <c r="K5773" i="1"/>
  <c r="L5772" i="1"/>
  <c r="K5772" i="1"/>
  <c r="L5771" i="1"/>
  <c r="K5771" i="1"/>
  <c r="L5770" i="1"/>
  <c r="K5770" i="1"/>
  <c r="L5769" i="1"/>
  <c r="K5769" i="1"/>
  <c r="L5768" i="1"/>
  <c r="K5768" i="1"/>
  <c r="L5767" i="1"/>
  <c r="K5767" i="1"/>
  <c r="L5766" i="1"/>
  <c r="K5766" i="1"/>
  <c r="L5765" i="1"/>
  <c r="K5765" i="1"/>
  <c r="L5764" i="1"/>
  <c r="K5764" i="1"/>
  <c r="L5763" i="1"/>
  <c r="K5763" i="1"/>
  <c r="L5762" i="1"/>
  <c r="K5762" i="1"/>
  <c r="L5761" i="1"/>
  <c r="K5761" i="1"/>
  <c r="L5760" i="1"/>
  <c r="K5760" i="1"/>
  <c r="L5759" i="1"/>
  <c r="K5759" i="1"/>
  <c r="L5758" i="1"/>
  <c r="K5758" i="1"/>
  <c r="L5757" i="1"/>
  <c r="K5757" i="1"/>
  <c r="L5756" i="1"/>
  <c r="K5756" i="1"/>
  <c r="L5755" i="1"/>
  <c r="K5755" i="1"/>
  <c r="L5754" i="1"/>
  <c r="K5754" i="1"/>
  <c r="L5753" i="1"/>
  <c r="K5753" i="1"/>
  <c r="L5752" i="1"/>
  <c r="K5752" i="1"/>
  <c r="L5751" i="1"/>
  <c r="K5751" i="1"/>
  <c r="L5750" i="1"/>
  <c r="K5750" i="1"/>
  <c r="L5749" i="1"/>
  <c r="K5749" i="1"/>
  <c r="L5748" i="1"/>
  <c r="K5748" i="1"/>
  <c r="L5747" i="1"/>
  <c r="K5747" i="1"/>
  <c r="L5746" i="1"/>
  <c r="K5746" i="1"/>
  <c r="L5745" i="1"/>
  <c r="K5745" i="1"/>
  <c r="L5744" i="1"/>
  <c r="K5744" i="1"/>
  <c r="L5743" i="1"/>
  <c r="K5743" i="1"/>
  <c r="L5742" i="1"/>
  <c r="K5742" i="1"/>
  <c r="L5741" i="1"/>
  <c r="K5741" i="1"/>
  <c r="L5740" i="1"/>
  <c r="K5740" i="1"/>
  <c r="L5739" i="1"/>
  <c r="K5739" i="1"/>
  <c r="L5738" i="1"/>
  <c r="K5738" i="1"/>
  <c r="L5737" i="1"/>
  <c r="K5737" i="1"/>
  <c r="L5736" i="1"/>
  <c r="K5736" i="1"/>
  <c r="L5735" i="1"/>
  <c r="K5735" i="1"/>
  <c r="L5734" i="1"/>
  <c r="K5734" i="1"/>
  <c r="L5733" i="1"/>
  <c r="K5733" i="1"/>
  <c r="L5732" i="1"/>
  <c r="K5732" i="1"/>
  <c r="L5731" i="1"/>
  <c r="K5731" i="1"/>
  <c r="L5730" i="1"/>
  <c r="K5730" i="1"/>
  <c r="L5729" i="1"/>
  <c r="K5729" i="1"/>
  <c r="L5728" i="1"/>
  <c r="K5728" i="1"/>
  <c r="L5727" i="1"/>
  <c r="K5727" i="1"/>
  <c r="L5726" i="1"/>
  <c r="K5726" i="1"/>
  <c r="L5725" i="1"/>
  <c r="K5725" i="1"/>
  <c r="L5724" i="1"/>
  <c r="K5724" i="1"/>
  <c r="L5723" i="1"/>
  <c r="K5723" i="1"/>
  <c r="L5722" i="1"/>
  <c r="K5722" i="1"/>
  <c r="L5721" i="1"/>
  <c r="K5721" i="1"/>
  <c r="L5720" i="1"/>
  <c r="K5720" i="1"/>
  <c r="L5719" i="1"/>
  <c r="K5719" i="1"/>
  <c r="L5718" i="1"/>
  <c r="K5718" i="1"/>
  <c r="L5717" i="1"/>
  <c r="K5717" i="1"/>
  <c r="L5716" i="1"/>
  <c r="K5716" i="1"/>
  <c r="L5715" i="1"/>
  <c r="K5715" i="1"/>
  <c r="L5714" i="1"/>
  <c r="K5714" i="1"/>
  <c r="L5713" i="1"/>
  <c r="K5713" i="1"/>
  <c r="L5712" i="1"/>
  <c r="K5712" i="1"/>
  <c r="L5711" i="1"/>
  <c r="K5711" i="1"/>
  <c r="L5710" i="1"/>
  <c r="K5710" i="1"/>
  <c r="L5709" i="1"/>
  <c r="K5709" i="1"/>
  <c r="L5708" i="1"/>
  <c r="K5708" i="1"/>
  <c r="L5707" i="1"/>
  <c r="K5707" i="1"/>
  <c r="L5706" i="1"/>
  <c r="K5706" i="1"/>
  <c r="L5705" i="1"/>
  <c r="K5705" i="1"/>
  <c r="L5704" i="1"/>
  <c r="K5704" i="1"/>
  <c r="L5703" i="1"/>
  <c r="K5703" i="1"/>
  <c r="L5702" i="1"/>
  <c r="K5702" i="1"/>
  <c r="L5701" i="1"/>
  <c r="K5701" i="1"/>
  <c r="L5700" i="1"/>
  <c r="K5700" i="1"/>
  <c r="L5699" i="1"/>
  <c r="K5699" i="1"/>
  <c r="L5698" i="1"/>
  <c r="K5698" i="1"/>
  <c r="L5697" i="1"/>
  <c r="K5697" i="1"/>
  <c r="L5696" i="1"/>
  <c r="K5696" i="1"/>
  <c r="L5695" i="1"/>
  <c r="K5695" i="1"/>
  <c r="L5694" i="1"/>
  <c r="K5694" i="1"/>
  <c r="L5693" i="1"/>
  <c r="K5693" i="1"/>
  <c r="L5692" i="1"/>
  <c r="K5692" i="1"/>
  <c r="L5691" i="1"/>
  <c r="K5691" i="1"/>
  <c r="L5690" i="1"/>
  <c r="K5690" i="1"/>
  <c r="L5689" i="1"/>
  <c r="K5689" i="1"/>
  <c r="L5688" i="1"/>
  <c r="K5688" i="1"/>
  <c r="L5687" i="1"/>
  <c r="K5687" i="1"/>
  <c r="L5686" i="1"/>
  <c r="K5686" i="1"/>
  <c r="L5685" i="1"/>
  <c r="K5685" i="1"/>
  <c r="L5684" i="1"/>
  <c r="K5684" i="1"/>
  <c r="L5683" i="1"/>
  <c r="K5683" i="1"/>
  <c r="L5682" i="1"/>
  <c r="K5682" i="1"/>
  <c r="L5681" i="1"/>
  <c r="K5681" i="1"/>
  <c r="L5680" i="1"/>
  <c r="K5680" i="1"/>
  <c r="L5679" i="1"/>
  <c r="K5679" i="1"/>
  <c r="L5678" i="1"/>
  <c r="K5678" i="1"/>
  <c r="L5677" i="1"/>
  <c r="K5677" i="1"/>
  <c r="L5676" i="1"/>
  <c r="K5676" i="1"/>
  <c r="L5675" i="1"/>
  <c r="K5675" i="1"/>
  <c r="L5674" i="1"/>
  <c r="K5674" i="1"/>
  <c r="L5673" i="1"/>
  <c r="K5673" i="1"/>
  <c r="L5672" i="1"/>
  <c r="K5672" i="1"/>
  <c r="L5671" i="1"/>
  <c r="K5671" i="1"/>
  <c r="L5670" i="1"/>
  <c r="K5670" i="1"/>
  <c r="L5669" i="1"/>
  <c r="K5669" i="1"/>
  <c r="L5668" i="1"/>
  <c r="K5668" i="1"/>
  <c r="L5667" i="1"/>
  <c r="K5667" i="1"/>
  <c r="L5666" i="1"/>
  <c r="K5666" i="1"/>
  <c r="L5665" i="1"/>
  <c r="K5665" i="1"/>
  <c r="L5664" i="1"/>
  <c r="K5664" i="1"/>
  <c r="L5663" i="1"/>
  <c r="K5663" i="1"/>
  <c r="L5662" i="1"/>
  <c r="K5662" i="1"/>
  <c r="L5661" i="1"/>
  <c r="K5661" i="1"/>
  <c r="L5660" i="1"/>
  <c r="K5660" i="1"/>
  <c r="L5659" i="1"/>
  <c r="K5659" i="1"/>
  <c r="L5658" i="1"/>
  <c r="K5658" i="1"/>
  <c r="L5657" i="1"/>
  <c r="K5657" i="1"/>
  <c r="L5656" i="1"/>
  <c r="K5656" i="1"/>
  <c r="L5655" i="1"/>
  <c r="K5655" i="1"/>
  <c r="L5654" i="1"/>
  <c r="K5654" i="1"/>
  <c r="L5653" i="1"/>
  <c r="K5653" i="1"/>
  <c r="L5652" i="1"/>
  <c r="K5652" i="1"/>
  <c r="L5651" i="1"/>
  <c r="K5651" i="1"/>
  <c r="L5650" i="1"/>
  <c r="K5650" i="1"/>
  <c r="L5649" i="1"/>
  <c r="K5649" i="1"/>
  <c r="L5648" i="1"/>
  <c r="K5648" i="1"/>
  <c r="L5647" i="1"/>
  <c r="K5647" i="1"/>
  <c r="L5646" i="1"/>
  <c r="K5646" i="1"/>
  <c r="L5645" i="1"/>
  <c r="K5645" i="1"/>
  <c r="L5644" i="1"/>
  <c r="K5644" i="1"/>
  <c r="L5643" i="1"/>
  <c r="K5643" i="1"/>
  <c r="L5642" i="1"/>
  <c r="K5642" i="1"/>
  <c r="L5641" i="1"/>
  <c r="K5641" i="1"/>
  <c r="L5640" i="1"/>
  <c r="K5640" i="1"/>
  <c r="L5639" i="1"/>
  <c r="K5639" i="1"/>
  <c r="L5638" i="1"/>
  <c r="K5638" i="1"/>
  <c r="L5637" i="1"/>
  <c r="K5637" i="1"/>
  <c r="L5636" i="1"/>
  <c r="K5636" i="1"/>
  <c r="L5635" i="1"/>
  <c r="K5635" i="1"/>
  <c r="L5634" i="1"/>
  <c r="K5634" i="1"/>
  <c r="L5633" i="1"/>
  <c r="K5633" i="1"/>
  <c r="L5632" i="1"/>
  <c r="K5632" i="1"/>
  <c r="L5631" i="1"/>
  <c r="K5631" i="1"/>
  <c r="L5630" i="1"/>
  <c r="K5630" i="1"/>
  <c r="L5629" i="1"/>
  <c r="K5629" i="1"/>
  <c r="L5628" i="1"/>
  <c r="K5628" i="1"/>
  <c r="L5627" i="1"/>
  <c r="K5627" i="1"/>
  <c r="L5626" i="1"/>
  <c r="K5626" i="1"/>
  <c r="L5625" i="1"/>
  <c r="K5625" i="1"/>
  <c r="L5624" i="1"/>
  <c r="K5624" i="1"/>
  <c r="L5623" i="1"/>
  <c r="K5623" i="1"/>
  <c r="L5622" i="1"/>
  <c r="K5622" i="1"/>
  <c r="L5621" i="1"/>
  <c r="K5621" i="1"/>
  <c r="L5620" i="1"/>
  <c r="K5620" i="1"/>
  <c r="L5619" i="1"/>
  <c r="K5619" i="1"/>
  <c r="L5618" i="1"/>
  <c r="K5618" i="1"/>
  <c r="L5617" i="1"/>
  <c r="K5617" i="1"/>
  <c r="L5616" i="1"/>
  <c r="K5616" i="1"/>
  <c r="L5615" i="1"/>
  <c r="K5615" i="1"/>
  <c r="L5614" i="1"/>
  <c r="K5614" i="1"/>
  <c r="L5613" i="1"/>
  <c r="K5613" i="1"/>
  <c r="L5612" i="1"/>
  <c r="K5612" i="1"/>
  <c r="L5611" i="1"/>
  <c r="K5611" i="1"/>
  <c r="L5610" i="1"/>
  <c r="K5610" i="1"/>
  <c r="L5609" i="1"/>
  <c r="K5609" i="1"/>
  <c r="L5608" i="1"/>
  <c r="K5608" i="1"/>
  <c r="L5607" i="1"/>
  <c r="K5607" i="1"/>
  <c r="L5606" i="1"/>
  <c r="K5606" i="1"/>
  <c r="L5605" i="1"/>
  <c r="K5605" i="1"/>
  <c r="L5604" i="1"/>
  <c r="K5604" i="1"/>
  <c r="L5603" i="1"/>
  <c r="K5603" i="1"/>
  <c r="L5602" i="1"/>
  <c r="K5602" i="1"/>
  <c r="L5601" i="1"/>
  <c r="K5601" i="1"/>
  <c r="L5600" i="1"/>
  <c r="K5600" i="1"/>
  <c r="L5599" i="1"/>
  <c r="K5599" i="1"/>
  <c r="L5598" i="1"/>
  <c r="K5598" i="1"/>
  <c r="L5597" i="1"/>
  <c r="K5597" i="1"/>
  <c r="L5596" i="1"/>
  <c r="K5596" i="1"/>
  <c r="L5595" i="1"/>
  <c r="K5595" i="1"/>
  <c r="L5594" i="1"/>
  <c r="K5594" i="1"/>
  <c r="L5593" i="1"/>
  <c r="K5593" i="1"/>
  <c r="L5592" i="1"/>
  <c r="K5592" i="1"/>
  <c r="L5591" i="1"/>
  <c r="K5591" i="1"/>
  <c r="L5590" i="1"/>
  <c r="K5590" i="1"/>
  <c r="L5589" i="1"/>
  <c r="K5589" i="1"/>
  <c r="L5588" i="1"/>
  <c r="K5588" i="1"/>
  <c r="L5587" i="1"/>
  <c r="K5587" i="1"/>
  <c r="L5586" i="1"/>
  <c r="K5586" i="1"/>
  <c r="L5585" i="1"/>
  <c r="K5585" i="1"/>
  <c r="L5584" i="1"/>
  <c r="K5584" i="1"/>
  <c r="L5583" i="1"/>
  <c r="K5583" i="1"/>
  <c r="L5582" i="1"/>
  <c r="K5582" i="1"/>
  <c r="L5581" i="1"/>
  <c r="K5581" i="1"/>
  <c r="L5580" i="1"/>
  <c r="K5580" i="1"/>
  <c r="L5579" i="1"/>
  <c r="K5579" i="1"/>
  <c r="L5578" i="1"/>
  <c r="K5578" i="1"/>
  <c r="L5577" i="1"/>
  <c r="K5577" i="1"/>
  <c r="L5576" i="1"/>
  <c r="K5576" i="1"/>
  <c r="L5575" i="1"/>
  <c r="K5575" i="1"/>
  <c r="L5574" i="1"/>
  <c r="K5574" i="1"/>
  <c r="L5573" i="1"/>
  <c r="K5573" i="1"/>
  <c r="L5572" i="1"/>
  <c r="K5572" i="1"/>
  <c r="L5571" i="1"/>
  <c r="K5571" i="1"/>
  <c r="L5570" i="1"/>
  <c r="K5570" i="1"/>
  <c r="L5569" i="1"/>
  <c r="K5569" i="1"/>
  <c r="L5568" i="1"/>
  <c r="K5568" i="1"/>
  <c r="L5567" i="1"/>
  <c r="K5567" i="1"/>
  <c r="L5566" i="1"/>
  <c r="K5566" i="1"/>
  <c r="L5565" i="1"/>
  <c r="K5565" i="1"/>
  <c r="L5564" i="1"/>
  <c r="K5564" i="1"/>
  <c r="L5563" i="1"/>
  <c r="K5563" i="1"/>
  <c r="L5562" i="1"/>
  <c r="K5562" i="1"/>
  <c r="L5561" i="1"/>
  <c r="K5561" i="1"/>
  <c r="L5560" i="1"/>
  <c r="K5560" i="1"/>
  <c r="L5559" i="1"/>
  <c r="K5559" i="1"/>
  <c r="L5558" i="1"/>
  <c r="K5558" i="1"/>
  <c r="L5555" i="1"/>
  <c r="K5555" i="1"/>
  <c r="L5554" i="1"/>
  <c r="K5554" i="1"/>
  <c r="L5553" i="1"/>
  <c r="K5553" i="1"/>
  <c r="L5552" i="1"/>
  <c r="K5552" i="1"/>
  <c r="L5551" i="1"/>
  <c r="K5551" i="1"/>
  <c r="L5550" i="1"/>
  <c r="K5550" i="1"/>
  <c r="L5549" i="1"/>
  <c r="K5549" i="1"/>
  <c r="L5548" i="1"/>
  <c r="K5548" i="1"/>
  <c r="L5547" i="1"/>
  <c r="K5547" i="1"/>
  <c r="L5546" i="1"/>
  <c r="K5546" i="1"/>
  <c r="L5545" i="1"/>
  <c r="K5545" i="1"/>
  <c r="L5544" i="1"/>
  <c r="K5544" i="1"/>
  <c r="L5543" i="1"/>
  <c r="K5543" i="1"/>
  <c r="L5542" i="1"/>
  <c r="K5542" i="1"/>
  <c r="L5541" i="1"/>
  <c r="K5541" i="1"/>
  <c r="L5540" i="1"/>
  <c r="K5540" i="1"/>
  <c r="L5539" i="1"/>
  <c r="K5539" i="1"/>
  <c r="L5538" i="1"/>
  <c r="K5538" i="1"/>
  <c r="L5537" i="1"/>
  <c r="K5537" i="1"/>
  <c r="L5535" i="1"/>
  <c r="K5535" i="1"/>
  <c r="L5534" i="1"/>
  <c r="K5534" i="1"/>
  <c r="L5533" i="1"/>
  <c r="K5533" i="1"/>
  <c r="L5532" i="1"/>
  <c r="K5532" i="1"/>
  <c r="L5531" i="1"/>
  <c r="K5531" i="1"/>
  <c r="L5530" i="1"/>
  <c r="K5530" i="1"/>
  <c r="L5529" i="1"/>
  <c r="K5529" i="1"/>
  <c r="L5528" i="1"/>
  <c r="K5528" i="1"/>
  <c r="L5527" i="1"/>
  <c r="K5527" i="1"/>
  <c r="L5526" i="1"/>
  <c r="K5526" i="1"/>
  <c r="L5525" i="1"/>
  <c r="K5525" i="1"/>
  <c r="L5524" i="1"/>
  <c r="K5524" i="1"/>
  <c r="L5523" i="1"/>
  <c r="K5523" i="1"/>
  <c r="L5522" i="1"/>
  <c r="K5522" i="1"/>
  <c r="L5521" i="1"/>
  <c r="K5521" i="1"/>
  <c r="L5520" i="1"/>
  <c r="K5520" i="1"/>
  <c r="L5519" i="1"/>
  <c r="K5519" i="1"/>
  <c r="L5518" i="1"/>
  <c r="K5518" i="1"/>
  <c r="L5517" i="1"/>
  <c r="K5517" i="1"/>
  <c r="L5516" i="1"/>
  <c r="K5516" i="1"/>
  <c r="L5515" i="1"/>
  <c r="K5515" i="1"/>
  <c r="L5514" i="1"/>
  <c r="K5514" i="1"/>
  <c r="L5513" i="1"/>
  <c r="K5513" i="1"/>
  <c r="L5512" i="1"/>
  <c r="K5512" i="1"/>
  <c r="L5511" i="1"/>
  <c r="K5511" i="1"/>
  <c r="L5510" i="1"/>
  <c r="K5510" i="1"/>
  <c r="L5509" i="1"/>
  <c r="K5509" i="1"/>
  <c r="L5508" i="1"/>
  <c r="K5508" i="1"/>
  <c r="L5507" i="1"/>
  <c r="K5507" i="1"/>
  <c r="L5506" i="1"/>
  <c r="K5506" i="1"/>
  <c r="L5505" i="1"/>
  <c r="K5505" i="1"/>
  <c r="L5504" i="1"/>
  <c r="K5504" i="1"/>
  <c r="L5503" i="1"/>
  <c r="K5503" i="1"/>
  <c r="L5502" i="1"/>
  <c r="K5502" i="1"/>
  <c r="L5501" i="1"/>
  <c r="K5501" i="1"/>
  <c r="L5500" i="1"/>
  <c r="K5500" i="1"/>
  <c r="L5499" i="1"/>
  <c r="K5499" i="1"/>
  <c r="L5498" i="1"/>
  <c r="K5498" i="1"/>
  <c r="L5497" i="1"/>
  <c r="K5497" i="1"/>
  <c r="L5496" i="1"/>
  <c r="K5496" i="1"/>
  <c r="L5495" i="1"/>
  <c r="K5495" i="1"/>
  <c r="L5494" i="1"/>
  <c r="K5494" i="1"/>
  <c r="L5493" i="1"/>
  <c r="K5493" i="1"/>
  <c r="L5492" i="1"/>
  <c r="K5492" i="1"/>
  <c r="L5491" i="1"/>
  <c r="K5491" i="1"/>
  <c r="L5490" i="1"/>
  <c r="K5490" i="1"/>
  <c r="L5489" i="1"/>
  <c r="K5489" i="1"/>
  <c r="L5488" i="1"/>
  <c r="K5488" i="1"/>
  <c r="L5487" i="1"/>
  <c r="K5487" i="1"/>
  <c r="L5486" i="1"/>
  <c r="K5486" i="1"/>
  <c r="L5485" i="1"/>
  <c r="K5485" i="1"/>
  <c r="L5484" i="1"/>
  <c r="K5484" i="1"/>
  <c r="L5483" i="1"/>
  <c r="K5483" i="1"/>
  <c r="L5482" i="1"/>
  <c r="K5482" i="1"/>
  <c r="L5481" i="1"/>
  <c r="K5481" i="1"/>
  <c r="L5480" i="1"/>
  <c r="K5480" i="1"/>
  <c r="L5479" i="1"/>
  <c r="K5479" i="1"/>
  <c r="L5478" i="1"/>
  <c r="K5478" i="1"/>
  <c r="L5477" i="1"/>
  <c r="K5477" i="1"/>
  <c r="L5476" i="1"/>
  <c r="K5476" i="1"/>
  <c r="L5475" i="1"/>
  <c r="K5475" i="1"/>
  <c r="L5474" i="1"/>
  <c r="K5474" i="1"/>
  <c r="L5473" i="1"/>
  <c r="K5473" i="1"/>
  <c r="L5472" i="1"/>
  <c r="K5472" i="1"/>
  <c r="L5471" i="1"/>
  <c r="K5471" i="1"/>
  <c r="L5470" i="1"/>
  <c r="K5470" i="1"/>
  <c r="L5469" i="1"/>
  <c r="K5469" i="1"/>
  <c r="L5468" i="1"/>
  <c r="K5468" i="1"/>
  <c r="L5467" i="1"/>
  <c r="K5467" i="1"/>
  <c r="L5466" i="1"/>
  <c r="K5466" i="1"/>
  <c r="L5465" i="1"/>
  <c r="K5465" i="1"/>
  <c r="L5464" i="1"/>
  <c r="K5464" i="1"/>
  <c r="L5463" i="1"/>
  <c r="K5463" i="1"/>
  <c r="L5462" i="1"/>
  <c r="K5462" i="1"/>
  <c r="L5461" i="1"/>
  <c r="K5461" i="1"/>
  <c r="L5460" i="1"/>
  <c r="K5460" i="1"/>
  <c r="L5459" i="1"/>
  <c r="K5459" i="1"/>
  <c r="L5458" i="1"/>
  <c r="K5458" i="1"/>
  <c r="L5457" i="1"/>
  <c r="K5457" i="1"/>
  <c r="L5456" i="1"/>
  <c r="K5456" i="1"/>
  <c r="L5455" i="1"/>
  <c r="K5455" i="1"/>
  <c r="L5453" i="1"/>
  <c r="K5453" i="1"/>
  <c r="L5452" i="1"/>
  <c r="K5452" i="1"/>
  <c r="L5451" i="1"/>
  <c r="K5451" i="1"/>
  <c r="L5450" i="1"/>
  <c r="K5450" i="1"/>
  <c r="L5449" i="1"/>
  <c r="K5449" i="1"/>
  <c r="L5448" i="1"/>
  <c r="K5448" i="1"/>
  <c r="L5447" i="1"/>
  <c r="K5447" i="1"/>
  <c r="L5446" i="1"/>
  <c r="K5446" i="1"/>
  <c r="L5445" i="1"/>
  <c r="K5445" i="1"/>
  <c r="L5444" i="1"/>
  <c r="K5444" i="1"/>
  <c r="L5443" i="1"/>
  <c r="K5443" i="1"/>
  <c r="L5442" i="1"/>
  <c r="K5442" i="1"/>
  <c r="L5441" i="1"/>
  <c r="K5441" i="1"/>
  <c r="L5440" i="1"/>
  <c r="K5440" i="1"/>
  <c r="L5439" i="1"/>
  <c r="K5439" i="1"/>
  <c r="L5438" i="1"/>
  <c r="K5438" i="1"/>
  <c r="L5437" i="1"/>
  <c r="K5437" i="1"/>
  <c r="L5436" i="1"/>
  <c r="K5436" i="1"/>
  <c r="L5435" i="1"/>
  <c r="K5435" i="1"/>
  <c r="L5434" i="1"/>
  <c r="K5434" i="1"/>
  <c r="L5433" i="1"/>
  <c r="K5433" i="1"/>
  <c r="L5432" i="1"/>
  <c r="K5432" i="1"/>
  <c r="L5431" i="1"/>
  <c r="K5431" i="1"/>
  <c r="L5430" i="1"/>
  <c r="K5430" i="1"/>
  <c r="L5429" i="1"/>
  <c r="K5429" i="1"/>
  <c r="L5428" i="1"/>
  <c r="K5428" i="1"/>
  <c r="L5427" i="1"/>
  <c r="K5427" i="1"/>
  <c r="L5426" i="1"/>
  <c r="K5426" i="1"/>
  <c r="L5425" i="1"/>
  <c r="K5425" i="1"/>
  <c r="L5424" i="1"/>
  <c r="K5424" i="1"/>
  <c r="L5423" i="1"/>
  <c r="K5423" i="1"/>
  <c r="L5422" i="1"/>
  <c r="K5422" i="1"/>
  <c r="L5421" i="1"/>
  <c r="K5421" i="1"/>
  <c r="L5420" i="1"/>
  <c r="K5420" i="1"/>
  <c r="L5419" i="1"/>
  <c r="K5419" i="1"/>
  <c r="L5418" i="1"/>
  <c r="K5418" i="1"/>
  <c r="L5417" i="1"/>
  <c r="K5417" i="1"/>
  <c r="L5416" i="1"/>
  <c r="K5416" i="1"/>
  <c r="L5415" i="1"/>
  <c r="K5415" i="1"/>
  <c r="L5414" i="1"/>
  <c r="K5414" i="1"/>
  <c r="L5413" i="1"/>
  <c r="K5413" i="1"/>
  <c r="L5412" i="1"/>
  <c r="K5412" i="1"/>
  <c r="L5411" i="1"/>
  <c r="K5411" i="1"/>
  <c r="L5410" i="1"/>
  <c r="K5410" i="1"/>
  <c r="L5409" i="1"/>
  <c r="K5409" i="1"/>
  <c r="L5408" i="1"/>
  <c r="K5408" i="1"/>
  <c r="L5407" i="1"/>
  <c r="K5407" i="1"/>
  <c r="L5406" i="1"/>
  <c r="K5406" i="1"/>
  <c r="L5405" i="1"/>
  <c r="K5405" i="1"/>
  <c r="L5404" i="1"/>
  <c r="K5404" i="1"/>
  <c r="L5403" i="1"/>
  <c r="K5403" i="1"/>
  <c r="L5402" i="1"/>
  <c r="K5402" i="1"/>
  <c r="L5401" i="1"/>
  <c r="K5401" i="1"/>
  <c r="L5400" i="1"/>
  <c r="K5400" i="1"/>
  <c r="L5399" i="1"/>
  <c r="K5399" i="1"/>
  <c r="L5398" i="1"/>
  <c r="K5398" i="1"/>
  <c r="L5397" i="1"/>
  <c r="K5397" i="1"/>
  <c r="L5396" i="1"/>
  <c r="K5396" i="1"/>
  <c r="L5395" i="1"/>
  <c r="K5395" i="1"/>
  <c r="L5394" i="1"/>
  <c r="K5394" i="1"/>
  <c r="L5393" i="1"/>
  <c r="K5393" i="1"/>
  <c r="L5392" i="1"/>
  <c r="K5392" i="1"/>
  <c r="L5391" i="1"/>
  <c r="K5391" i="1"/>
  <c r="L5390" i="1"/>
  <c r="K5390" i="1"/>
  <c r="L5389" i="1"/>
  <c r="K5389" i="1"/>
  <c r="L5388" i="1"/>
  <c r="K5388" i="1"/>
  <c r="L5387" i="1"/>
  <c r="K5387" i="1"/>
  <c r="L5386" i="1"/>
  <c r="K5386" i="1"/>
  <c r="L5385" i="1"/>
  <c r="K5385" i="1"/>
  <c r="L5384" i="1"/>
  <c r="K5384" i="1"/>
  <c r="L5383" i="1"/>
  <c r="K5383" i="1"/>
  <c r="L5382" i="1"/>
  <c r="K5382" i="1"/>
  <c r="L5381" i="1"/>
  <c r="K5381" i="1"/>
  <c r="L5380" i="1"/>
  <c r="K5380" i="1"/>
  <c r="L5379" i="1"/>
  <c r="K5379" i="1"/>
  <c r="L5378" i="1"/>
  <c r="K5378" i="1"/>
  <c r="L5377" i="1"/>
  <c r="K5377" i="1"/>
  <c r="L5376" i="1"/>
  <c r="K5376" i="1"/>
  <c r="L5375" i="1"/>
  <c r="K5375" i="1"/>
  <c r="L5374" i="1"/>
  <c r="K5374" i="1"/>
  <c r="L5373" i="1"/>
  <c r="K5373" i="1"/>
  <c r="L5372" i="1"/>
  <c r="K5372" i="1"/>
  <c r="L5371" i="1"/>
  <c r="K5371" i="1"/>
  <c r="L5370" i="1"/>
  <c r="K5370" i="1"/>
  <c r="L5369" i="1"/>
  <c r="K5369" i="1"/>
  <c r="L5368" i="1"/>
  <c r="K5368" i="1"/>
  <c r="L5367" i="1"/>
  <c r="K5367" i="1"/>
  <c r="L5366" i="1"/>
  <c r="K5366" i="1"/>
  <c r="L5365" i="1"/>
  <c r="K5365" i="1"/>
  <c r="L5364" i="1"/>
  <c r="K5364" i="1"/>
  <c r="L5363" i="1"/>
  <c r="K5363" i="1"/>
  <c r="L5362" i="1"/>
  <c r="K5362" i="1"/>
  <c r="L5361" i="1"/>
  <c r="K5361" i="1"/>
  <c r="L5360" i="1"/>
  <c r="K5360" i="1"/>
  <c r="L5359" i="1"/>
  <c r="K5359" i="1"/>
  <c r="L5358" i="1"/>
  <c r="K5358" i="1"/>
  <c r="L5357" i="1"/>
  <c r="K5357" i="1"/>
  <c r="L5356" i="1"/>
  <c r="K5356" i="1"/>
  <c r="L5355" i="1"/>
  <c r="K5355" i="1"/>
  <c r="L5354" i="1"/>
  <c r="K5354" i="1"/>
  <c r="L5353" i="1"/>
  <c r="K5353" i="1"/>
  <c r="L5352" i="1"/>
  <c r="K5352" i="1"/>
  <c r="L5351" i="1"/>
  <c r="K5351" i="1"/>
  <c r="L5350" i="1"/>
  <c r="K5350" i="1"/>
  <c r="L5349" i="1"/>
  <c r="K5349" i="1"/>
  <c r="L5348" i="1"/>
  <c r="K5348" i="1"/>
  <c r="L5347" i="1"/>
  <c r="K5347" i="1"/>
  <c r="L5346" i="1"/>
  <c r="K5346" i="1"/>
  <c r="L5345" i="1"/>
  <c r="K5345" i="1"/>
  <c r="L5344" i="1"/>
  <c r="K5344" i="1"/>
  <c r="L5343" i="1"/>
  <c r="K5343" i="1"/>
  <c r="L5342" i="1"/>
  <c r="K5342" i="1"/>
  <c r="L5341" i="1"/>
  <c r="K5341" i="1"/>
  <c r="L5340" i="1"/>
  <c r="K5340" i="1"/>
  <c r="L5339" i="1"/>
  <c r="K5339" i="1"/>
  <c r="L5338" i="1"/>
  <c r="K5338" i="1"/>
  <c r="L5337" i="1"/>
  <c r="K5337" i="1"/>
  <c r="L5336" i="1"/>
  <c r="K5336" i="1"/>
  <c r="L5335" i="1"/>
  <c r="K5335" i="1"/>
  <c r="L5334" i="1"/>
  <c r="K5334" i="1"/>
  <c r="L5333" i="1"/>
  <c r="K5333" i="1"/>
  <c r="L5332" i="1"/>
  <c r="K5332" i="1"/>
  <c r="L5331" i="1"/>
  <c r="K5331" i="1"/>
  <c r="L5330" i="1"/>
  <c r="K5330" i="1"/>
  <c r="L5329" i="1"/>
  <c r="K5329" i="1"/>
  <c r="L5328" i="1"/>
  <c r="K5328" i="1"/>
  <c r="L5327" i="1"/>
  <c r="K5327" i="1"/>
  <c r="L5326" i="1"/>
  <c r="K5326" i="1"/>
  <c r="L5325" i="1"/>
  <c r="K5325" i="1"/>
  <c r="L5324" i="1"/>
  <c r="K5324" i="1"/>
  <c r="L5323" i="1"/>
  <c r="K5323" i="1"/>
  <c r="L5322" i="1"/>
  <c r="K5322" i="1"/>
  <c r="L5321" i="1"/>
  <c r="K5321" i="1"/>
  <c r="L5320" i="1"/>
  <c r="K5320" i="1"/>
  <c r="L5319" i="1"/>
  <c r="K5319" i="1"/>
  <c r="L5318" i="1"/>
  <c r="K5318" i="1"/>
  <c r="L5317" i="1"/>
  <c r="K5317" i="1"/>
  <c r="L5316" i="1"/>
  <c r="K5316" i="1"/>
  <c r="L5315" i="1"/>
  <c r="K5315" i="1"/>
  <c r="L5314" i="1"/>
  <c r="K5314" i="1"/>
  <c r="L5313" i="1"/>
  <c r="K5313" i="1"/>
  <c r="L5312" i="1"/>
  <c r="K5312" i="1"/>
  <c r="L5311" i="1"/>
  <c r="K5311" i="1"/>
  <c r="L5310" i="1"/>
  <c r="K5310" i="1"/>
  <c r="L5309" i="1"/>
  <c r="K5309" i="1"/>
  <c r="L5308" i="1"/>
  <c r="K5308" i="1"/>
  <c r="L5307" i="1"/>
  <c r="K5307" i="1"/>
  <c r="L5306" i="1"/>
  <c r="K5306" i="1"/>
  <c r="L5305" i="1"/>
  <c r="K5305" i="1"/>
  <c r="L5304" i="1"/>
  <c r="K5304" i="1"/>
  <c r="L5303" i="1"/>
  <c r="K5303" i="1"/>
  <c r="L5302" i="1"/>
  <c r="K5302" i="1"/>
  <c r="L5301" i="1"/>
  <c r="K5301" i="1"/>
  <c r="L5300" i="1"/>
  <c r="K5300" i="1"/>
  <c r="L5299" i="1"/>
  <c r="K5299" i="1"/>
  <c r="L5298" i="1"/>
  <c r="K5298" i="1"/>
  <c r="L5297" i="1"/>
  <c r="K5297" i="1"/>
  <c r="L5296" i="1"/>
  <c r="K5296" i="1"/>
  <c r="L5295" i="1"/>
  <c r="K5295" i="1"/>
  <c r="L5294" i="1"/>
  <c r="K5294" i="1"/>
  <c r="L5293" i="1"/>
  <c r="K5293" i="1"/>
  <c r="L5292" i="1"/>
  <c r="K5292" i="1"/>
  <c r="L5291" i="1"/>
  <c r="K5291" i="1"/>
  <c r="L5290" i="1"/>
  <c r="K5290" i="1"/>
  <c r="L5289" i="1"/>
  <c r="K5289" i="1"/>
  <c r="L5288" i="1"/>
  <c r="K5288" i="1"/>
  <c r="L5287" i="1"/>
  <c r="K5287" i="1"/>
  <c r="L5286" i="1"/>
  <c r="K5286" i="1"/>
  <c r="L5285" i="1"/>
  <c r="K5285" i="1"/>
  <c r="L5284" i="1"/>
  <c r="K5284" i="1"/>
  <c r="L5283" i="1"/>
  <c r="K5283" i="1"/>
  <c r="L5282" i="1"/>
  <c r="K5282" i="1"/>
  <c r="L5281" i="1"/>
  <c r="K5281" i="1"/>
  <c r="L5280" i="1"/>
  <c r="K5280" i="1"/>
  <c r="L5277" i="1"/>
  <c r="K5277" i="1"/>
  <c r="L5276" i="1"/>
  <c r="K5276" i="1"/>
  <c r="L5275" i="1"/>
  <c r="K5275" i="1"/>
  <c r="L5274" i="1"/>
  <c r="K5274" i="1"/>
  <c r="L5273" i="1"/>
  <c r="K5273" i="1"/>
  <c r="L5272" i="1"/>
  <c r="K5272" i="1"/>
  <c r="L5271" i="1"/>
  <c r="K5271" i="1"/>
  <c r="L5270" i="1"/>
  <c r="K5270" i="1"/>
  <c r="L5269" i="1"/>
  <c r="K5269" i="1"/>
  <c r="L5268" i="1"/>
  <c r="K5268" i="1"/>
  <c r="L5267" i="1"/>
  <c r="K5267" i="1"/>
  <c r="L5266" i="1"/>
  <c r="K5266" i="1"/>
  <c r="L5265" i="1"/>
  <c r="K5265" i="1"/>
  <c r="L5264" i="1"/>
  <c r="K5264" i="1"/>
  <c r="L5263" i="1"/>
  <c r="K5263" i="1"/>
  <c r="L5262" i="1"/>
  <c r="K5262" i="1"/>
  <c r="L5261" i="1"/>
  <c r="K5261" i="1"/>
  <c r="L5260" i="1"/>
  <c r="K5260" i="1"/>
  <c r="L5259" i="1"/>
  <c r="K5259" i="1"/>
  <c r="L5258" i="1"/>
  <c r="K5258" i="1"/>
  <c r="L5257" i="1"/>
  <c r="K5257" i="1"/>
  <c r="L5256" i="1"/>
  <c r="K5256" i="1"/>
  <c r="L5255" i="1"/>
  <c r="K5255" i="1"/>
  <c r="L5254" i="1"/>
  <c r="K5254" i="1"/>
  <c r="L5253" i="1"/>
  <c r="K5253" i="1"/>
  <c r="L5252" i="1"/>
  <c r="K5252" i="1"/>
  <c r="L5251" i="1"/>
  <c r="K5251" i="1"/>
  <c r="L5250" i="1"/>
  <c r="K5250" i="1"/>
  <c r="L5249" i="1"/>
  <c r="K5249" i="1"/>
  <c r="L5248" i="1"/>
  <c r="K5248" i="1"/>
  <c r="L5247" i="1"/>
  <c r="K5247" i="1"/>
  <c r="L5246" i="1"/>
  <c r="K5246" i="1"/>
  <c r="L5245" i="1"/>
  <c r="K5245" i="1"/>
  <c r="L5244" i="1"/>
  <c r="K5244" i="1"/>
  <c r="L5243" i="1"/>
  <c r="K5243" i="1"/>
  <c r="L5241" i="1"/>
  <c r="K5241" i="1"/>
  <c r="L5240" i="1"/>
  <c r="K5240" i="1"/>
  <c r="L5239" i="1"/>
  <c r="K5239" i="1"/>
  <c r="L5238" i="1"/>
  <c r="K5238" i="1"/>
  <c r="L5237" i="1"/>
  <c r="K5237" i="1"/>
  <c r="L5236" i="1"/>
  <c r="K5236" i="1"/>
  <c r="L5235" i="1"/>
  <c r="K5235" i="1"/>
  <c r="L5234" i="1"/>
  <c r="K5234" i="1"/>
  <c r="L5233" i="1"/>
  <c r="K5233" i="1"/>
  <c r="L5232" i="1"/>
  <c r="K5232" i="1"/>
  <c r="L5231" i="1"/>
  <c r="K5231" i="1"/>
  <c r="L5230" i="1"/>
  <c r="K5230" i="1"/>
  <c r="L5229" i="1"/>
  <c r="K5229" i="1"/>
  <c r="L5228" i="1"/>
  <c r="K5228" i="1"/>
  <c r="L5227" i="1"/>
  <c r="K5227" i="1"/>
  <c r="L5226" i="1"/>
  <c r="K5226" i="1"/>
  <c r="L5225" i="1"/>
  <c r="K5225" i="1"/>
  <c r="L5224" i="1"/>
  <c r="K5224" i="1"/>
  <c r="L5223" i="1"/>
  <c r="K5223" i="1"/>
  <c r="L5222" i="1"/>
  <c r="K5222" i="1"/>
  <c r="L5221" i="1"/>
  <c r="K5221" i="1"/>
  <c r="L5220" i="1"/>
  <c r="K5220" i="1"/>
  <c r="L5219" i="1"/>
  <c r="K5219" i="1"/>
  <c r="L5218" i="1"/>
  <c r="K5218" i="1"/>
  <c r="L5217" i="1"/>
  <c r="K5217" i="1"/>
  <c r="L5216" i="1"/>
  <c r="K5216" i="1"/>
  <c r="L5215" i="1"/>
  <c r="K5215" i="1"/>
  <c r="L5214" i="1"/>
  <c r="K5214" i="1"/>
  <c r="L5213" i="1"/>
  <c r="K5213" i="1"/>
  <c r="L5212" i="1"/>
  <c r="K5212" i="1"/>
  <c r="L5211" i="1"/>
  <c r="K5211" i="1"/>
  <c r="L5210" i="1"/>
  <c r="K5210" i="1"/>
  <c r="L5209" i="1"/>
  <c r="K5209" i="1"/>
  <c r="L5208" i="1"/>
  <c r="K5208" i="1"/>
  <c r="L5207" i="1"/>
  <c r="K5207" i="1"/>
  <c r="L5206" i="1"/>
  <c r="K5206" i="1"/>
  <c r="L5205" i="1"/>
  <c r="K5205" i="1"/>
  <c r="L5204" i="1"/>
  <c r="K5204" i="1"/>
  <c r="L5203" i="1"/>
  <c r="K5203" i="1"/>
  <c r="L5202" i="1"/>
  <c r="K5202" i="1"/>
  <c r="L5201" i="1"/>
  <c r="K5201" i="1"/>
  <c r="L5200" i="1"/>
  <c r="K5200" i="1"/>
  <c r="L5199" i="1"/>
  <c r="K5199" i="1"/>
  <c r="L5198" i="1"/>
  <c r="K5198" i="1"/>
  <c r="L5197" i="1"/>
  <c r="K5197" i="1"/>
  <c r="L5196" i="1"/>
  <c r="K5196" i="1"/>
  <c r="L5195" i="1"/>
  <c r="K5195" i="1"/>
  <c r="L5194" i="1"/>
  <c r="K5194" i="1"/>
  <c r="L5193" i="1"/>
  <c r="K5193" i="1"/>
  <c r="L5192" i="1"/>
  <c r="K5192" i="1"/>
  <c r="L5191" i="1"/>
  <c r="K5191" i="1"/>
  <c r="L5190" i="1"/>
  <c r="K5190" i="1"/>
  <c r="L5189" i="1"/>
  <c r="K5189" i="1"/>
  <c r="L5188" i="1"/>
  <c r="K5188" i="1"/>
  <c r="L5187" i="1"/>
  <c r="K5187" i="1"/>
  <c r="L5186" i="1"/>
  <c r="K5186" i="1"/>
  <c r="L5185" i="1"/>
  <c r="K5185" i="1"/>
  <c r="L5184" i="1"/>
  <c r="K5184" i="1"/>
  <c r="L5183" i="1"/>
  <c r="K5183" i="1"/>
  <c r="L5182" i="1"/>
  <c r="K5182" i="1"/>
  <c r="L5181" i="1"/>
  <c r="K5181" i="1"/>
  <c r="L5180" i="1"/>
  <c r="K5180" i="1"/>
  <c r="L5179" i="1"/>
  <c r="K5179" i="1"/>
  <c r="L5178" i="1"/>
  <c r="K5178" i="1"/>
  <c r="L5177" i="1"/>
  <c r="K5177" i="1"/>
  <c r="L5176" i="1"/>
  <c r="K5176" i="1"/>
  <c r="L5175" i="1"/>
  <c r="K5175" i="1"/>
  <c r="L5174" i="1"/>
  <c r="K5174" i="1"/>
  <c r="L5173" i="1"/>
  <c r="K5173" i="1"/>
  <c r="L5172" i="1"/>
  <c r="K5172" i="1"/>
  <c r="L5171" i="1"/>
  <c r="K5171" i="1"/>
  <c r="L5170" i="1"/>
  <c r="K5170" i="1"/>
  <c r="L5169" i="1"/>
  <c r="K5169" i="1"/>
  <c r="L5168" i="1"/>
  <c r="K5168" i="1"/>
  <c r="L5167" i="1"/>
  <c r="K5167" i="1"/>
  <c r="L5166" i="1"/>
  <c r="K5166" i="1"/>
  <c r="L5165" i="1"/>
  <c r="K5165" i="1"/>
  <c r="L5164" i="1"/>
  <c r="K5164" i="1"/>
  <c r="L5163" i="1"/>
  <c r="K5163" i="1"/>
  <c r="L5162" i="1"/>
  <c r="K5162" i="1"/>
  <c r="L5161" i="1"/>
  <c r="K5161" i="1"/>
  <c r="L5160" i="1"/>
  <c r="K5160" i="1"/>
  <c r="L5159" i="1"/>
  <c r="K5159" i="1"/>
  <c r="L5158" i="1"/>
  <c r="K5158" i="1"/>
  <c r="L5157" i="1"/>
  <c r="K5157" i="1"/>
  <c r="L5156" i="1"/>
  <c r="K5156" i="1"/>
  <c r="L5155" i="1"/>
  <c r="K5155" i="1"/>
  <c r="L5154" i="1"/>
  <c r="K5154" i="1"/>
  <c r="L5153" i="1"/>
  <c r="K5153" i="1"/>
  <c r="L5152" i="1"/>
  <c r="K5152" i="1"/>
  <c r="L5151" i="1"/>
  <c r="K5151" i="1"/>
  <c r="L5150" i="1"/>
  <c r="K5150" i="1"/>
  <c r="L5149" i="1"/>
  <c r="K5149" i="1"/>
  <c r="L5148" i="1"/>
  <c r="K5148" i="1"/>
  <c r="L5147" i="1"/>
  <c r="K5147" i="1"/>
  <c r="L5146" i="1"/>
  <c r="K5146" i="1"/>
  <c r="L5145" i="1"/>
  <c r="K5145" i="1"/>
  <c r="L5144" i="1"/>
  <c r="K5144" i="1"/>
  <c r="L5143" i="1"/>
  <c r="K5143" i="1"/>
  <c r="L5142" i="1"/>
  <c r="K5142" i="1"/>
  <c r="L5141" i="1"/>
  <c r="K5141" i="1"/>
  <c r="L5140" i="1"/>
  <c r="K5140" i="1"/>
  <c r="L5139" i="1"/>
  <c r="K5139" i="1"/>
  <c r="L5138" i="1"/>
  <c r="K5138" i="1"/>
  <c r="L5137" i="1"/>
  <c r="K5137" i="1"/>
  <c r="L5136" i="1"/>
  <c r="K5136" i="1"/>
  <c r="L5135" i="1"/>
  <c r="K5135" i="1"/>
  <c r="L5134" i="1"/>
  <c r="K5134" i="1"/>
  <c r="L5133" i="1"/>
  <c r="K5133" i="1"/>
  <c r="L5132" i="1"/>
  <c r="K5132" i="1"/>
  <c r="L5131" i="1"/>
  <c r="K5131" i="1"/>
  <c r="L5130" i="1"/>
  <c r="K5130" i="1"/>
  <c r="L5129" i="1"/>
  <c r="K5129" i="1"/>
  <c r="L5128" i="1"/>
  <c r="K5128" i="1"/>
  <c r="L5127" i="1"/>
  <c r="K5127" i="1"/>
  <c r="L5126" i="1"/>
  <c r="K5126" i="1"/>
  <c r="L5125" i="1"/>
  <c r="K5125" i="1"/>
  <c r="L5124" i="1"/>
  <c r="K5124" i="1"/>
  <c r="L5123" i="1"/>
  <c r="K5123" i="1"/>
  <c r="L5122" i="1"/>
  <c r="K5122" i="1"/>
  <c r="L5121" i="1"/>
  <c r="K5121" i="1"/>
  <c r="L5120" i="1"/>
  <c r="K5120" i="1"/>
  <c r="L5119" i="1"/>
  <c r="K5119" i="1"/>
  <c r="L5118" i="1"/>
  <c r="K5118" i="1"/>
  <c r="L5117" i="1"/>
  <c r="K5117" i="1"/>
  <c r="L5116" i="1"/>
  <c r="K5116" i="1"/>
  <c r="L5115" i="1"/>
  <c r="K5115" i="1"/>
  <c r="L5114" i="1"/>
  <c r="K5114" i="1"/>
  <c r="L5113" i="1"/>
  <c r="K5113" i="1"/>
  <c r="L5112" i="1"/>
  <c r="K5112" i="1"/>
  <c r="L5111" i="1"/>
  <c r="K5111" i="1"/>
  <c r="L5110" i="1"/>
  <c r="K5110" i="1"/>
  <c r="L5109" i="1"/>
  <c r="K5109" i="1"/>
  <c r="L5108" i="1"/>
  <c r="K5108" i="1"/>
  <c r="L5107" i="1"/>
  <c r="K5107" i="1"/>
  <c r="L5106" i="1"/>
  <c r="K5106" i="1"/>
  <c r="L5105" i="1"/>
  <c r="K5105" i="1"/>
  <c r="L5104" i="1"/>
  <c r="K5104" i="1"/>
  <c r="L5103" i="1"/>
  <c r="K5103" i="1"/>
  <c r="L5102" i="1"/>
  <c r="K5102" i="1"/>
  <c r="L5099" i="1"/>
  <c r="K5099" i="1"/>
  <c r="L5098" i="1"/>
  <c r="K5098" i="1"/>
  <c r="L5097" i="1"/>
  <c r="K5097" i="1"/>
  <c r="L5096" i="1"/>
  <c r="K5096" i="1"/>
  <c r="L5095" i="1"/>
  <c r="K5095" i="1"/>
  <c r="L5094" i="1"/>
  <c r="K5094" i="1"/>
  <c r="L5093" i="1"/>
  <c r="K5093" i="1"/>
  <c r="L5092" i="1"/>
  <c r="K5092" i="1"/>
  <c r="L5091" i="1"/>
  <c r="K5091" i="1"/>
  <c r="L5090" i="1"/>
  <c r="K5090" i="1"/>
  <c r="L5089" i="1"/>
  <c r="K5089" i="1"/>
  <c r="L5088" i="1"/>
  <c r="K5088" i="1"/>
  <c r="L5087" i="1"/>
  <c r="K5087" i="1"/>
  <c r="L5086" i="1"/>
  <c r="K5086" i="1"/>
  <c r="L5085" i="1"/>
  <c r="K5085" i="1"/>
  <c r="L5084" i="1"/>
  <c r="K5084" i="1"/>
  <c r="L5083" i="1"/>
  <c r="K5083" i="1"/>
  <c r="L5082" i="1"/>
  <c r="K5082" i="1"/>
  <c r="L5081" i="1"/>
  <c r="K5081" i="1"/>
  <c r="L5080" i="1"/>
  <c r="K5080" i="1"/>
  <c r="L5079" i="1"/>
  <c r="K5079" i="1"/>
  <c r="L5078" i="1"/>
  <c r="K5078" i="1"/>
  <c r="L5077" i="1"/>
  <c r="K5077" i="1"/>
  <c r="L5076" i="1"/>
  <c r="K5076" i="1"/>
  <c r="L5075" i="1"/>
  <c r="K5075" i="1"/>
  <c r="L5073" i="1"/>
  <c r="K5073" i="1"/>
  <c r="L5072" i="1"/>
  <c r="K5072" i="1"/>
  <c r="L5071" i="1"/>
  <c r="K5071" i="1"/>
  <c r="L5070" i="1"/>
  <c r="K5070" i="1"/>
  <c r="L5069" i="1"/>
  <c r="K5069" i="1"/>
  <c r="L5068" i="1"/>
  <c r="K5068" i="1"/>
  <c r="L5067" i="1"/>
  <c r="K5067" i="1"/>
  <c r="L5066" i="1"/>
  <c r="K5066" i="1"/>
  <c r="L5065" i="1"/>
  <c r="K5065" i="1"/>
  <c r="L5064" i="1"/>
  <c r="K5064" i="1"/>
  <c r="L5063" i="1"/>
  <c r="K5063" i="1"/>
  <c r="L5062" i="1"/>
  <c r="K5062" i="1"/>
  <c r="L5061" i="1"/>
  <c r="K5061" i="1"/>
  <c r="L5060" i="1"/>
  <c r="K5060" i="1"/>
  <c r="L5059" i="1"/>
  <c r="K5059" i="1"/>
  <c r="L5058" i="1"/>
  <c r="K5058" i="1"/>
  <c r="L5057" i="1"/>
  <c r="K5057" i="1"/>
  <c r="L5056" i="1"/>
  <c r="K5056" i="1"/>
  <c r="L5055" i="1"/>
  <c r="K5055" i="1"/>
  <c r="L5054" i="1"/>
  <c r="K5054" i="1"/>
  <c r="L5053" i="1"/>
  <c r="K5053" i="1"/>
  <c r="L5052" i="1"/>
  <c r="K5052" i="1"/>
  <c r="L5051" i="1"/>
  <c r="K5051" i="1"/>
  <c r="L5050" i="1"/>
  <c r="K5050" i="1"/>
  <c r="L5049" i="1"/>
  <c r="K5049" i="1"/>
  <c r="L5048" i="1"/>
  <c r="K5048" i="1"/>
  <c r="L5047" i="1"/>
  <c r="K5047" i="1"/>
  <c r="L5046" i="1"/>
  <c r="K5046" i="1"/>
  <c r="L5045" i="1"/>
  <c r="K5045" i="1"/>
  <c r="L5044" i="1"/>
  <c r="K5044" i="1"/>
  <c r="L5043" i="1"/>
  <c r="K5043" i="1"/>
  <c r="L5042" i="1"/>
  <c r="K5042" i="1"/>
  <c r="L5041" i="1"/>
  <c r="K5041" i="1"/>
  <c r="L5040" i="1"/>
  <c r="K5040" i="1"/>
  <c r="L5039" i="1"/>
  <c r="K5039" i="1"/>
  <c r="L5038" i="1"/>
  <c r="K5038" i="1"/>
  <c r="L5037" i="1"/>
  <c r="K5037" i="1"/>
  <c r="L5036" i="1"/>
  <c r="K5036" i="1"/>
  <c r="L5035" i="1"/>
  <c r="K5035" i="1"/>
  <c r="L5034" i="1"/>
  <c r="K5034" i="1"/>
  <c r="L5033" i="1"/>
  <c r="K5033" i="1"/>
  <c r="L5032" i="1"/>
  <c r="K5032" i="1"/>
  <c r="L5031" i="1"/>
  <c r="K5031" i="1"/>
  <c r="L5030" i="1"/>
  <c r="K5030" i="1"/>
  <c r="L5029" i="1"/>
  <c r="K5029" i="1"/>
  <c r="L5028" i="1"/>
  <c r="K5028" i="1"/>
  <c r="L5027" i="1"/>
  <c r="K5027" i="1"/>
  <c r="L5026" i="1"/>
  <c r="K5026" i="1"/>
  <c r="L5025" i="1"/>
  <c r="K5025" i="1"/>
  <c r="L5024" i="1"/>
  <c r="K5024" i="1"/>
  <c r="L5023" i="1"/>
  <c r="K5023" i="1"/>
  <c r="L5022" i="1"/>
  <c r="K5022" i="1"/>
  <c r="L5021" i="1"/>
  <c r="K5021" i="1"/>
  <c r="L5020" i="1"/>
  <c r="K5020" i="1"/>
  <c r="L5019" i="1"/>
  <c r="K5019" i="1"/>
  <c r="L5018" i="1"/>
  <c r="K5018" i="1"/>
  <c r="L5017" i="1"/>
  <c r="K5017" i="1"/>
  <c r="L5016" i="1"/>
  <c r="K5016" i="1"/>
  <c r="L5015" i="1"/>
  <c r="K5015" i="1"/>
  <c r="L5014" i="1"/>
  <c r="K5014" i="1"/>
  <c r="L5013" i="1"/>
  <c r="K5013" i="1"/>
  <c r="L5012" i="1"/>
  <c r="K5012" i="1"/>
  <c r="L5011" i="1"/>
  <c r="K5011" i="1"/>
  <c r="L5010" i="1"/>
  <c r="K5010" i="1"/>
  <c r="L5009" i="1"/>
  <c r="K5009" i="1"/>
  <c r="L5008" i="1"/>
  <c r="K5008" i="1"/>
  <c r="L5007" i="1"/>
  <c r="K5007" i="1"/>
  <c r="L5006" i="1"/>
  <c r="K5006" i="1"/>
  <c r="L5005" i="1"/>
  <c r="K5005" i="1"/>
  <c r="L5004" i="1"/>
  <c r="K5004" i="1"/>
  <c r="L5003" i="1"/>
  <c r="K5003" i="1"/>
  <c r="L5002" i="1"/>
  <c r="K5002" i="1"/>
  <c r="L5001" i="1"/>
  <c r="K5001" i="1"/>
  <c r="L5000" i="1"/>
  <c r="K5000" i="1"/>
  <c r="L4999" i="1"/>
  <c r="K4999" i="1"/>
  <c r="L4998" i="1"/>
  <c r="K4998" i="1"/>
  <c r="L4997" i="1"/>
  <c r="K4997" i="1"/>
  <c r="L4996" i="1"/>
  <c r="K4996" i="1"/>
  <c r="L4995" i="1"/>
  <c r="K4995" i="1"/>
  <c r="L4994" i="1"/>
  <c r="K4994" i="1"/>
  <c r="L4993" i="1"/>
  <c r="K4993" i="1"/>
  <c r="L4992" i="1"/>
  <c r="K4992" i="1"/>
  <c r="L4991" i="1"/>
  <c r="K4991" i="1"/>
  <c r="L4990" i="1"/>
  <c r="K4990" i="1"/>
  <c r="L4989" i="1"/>
  <c r="K4989" i="1"/>
  <c r="L4988" i="1"/>
  <c r="K4988" i="1"/>
  <c r="L4987" i="1"/>
  <c r="K4987" i="1"/>
  <c r="L4986" i="1"/>
  <c r="K4986" i="1"/>
  <c r="L4985" i="1"/>
  <c r="K4985" i="1"/>
  <c r="L4984" i="1"/>
  <c r="K4984" i="1"/>
  <c r="L4983" i="1"/>
  <c r="K4983" i="1"/>
  <c r="L4982" i="1"/>
  <c r="K4982" i="1"/>
  <c r="L4981" i="1"/>
  <c r="K4981" i="1"/>
  <c r="L4980" i="1"/>
  <c r="K4980" i="1"/>
  <c r="L4979" i="1"/>
  <c r="K4979" i="1"/>
  <c r="L4978" i="1"/>
  <c r="K4978" i="1"/>
  <c r="L4977" i="1"/>
  <c r="K4977" i="1"/>
  <c r="L4976" i="1"/>
  <c r="K4976" i="1"/>
  <c r="L4975" i="1"/>
  <c r="K4975" i="1"/>
  <c r="L4974" i="1"/>
  <c r="K4974" i="1"/>
  <c r="L4973" i="1"/>
  <c r="K4973" i="1"/>
  <c r="L4972" i="1"/>
  <c r="K4972" i="1"/>
  <c r="L4971" i="1"/>
  <c r="K4971" i="1"/>
  <c r="L4970" i="1"/>
  <c r="K4970" i="1"/>
  <c r="L4969" i="1"/>
  <c r="K4969" i="1"/>
  <c r="L4968" i="1"/>
  <c r="K4968" i="1"/>
  <c r="L4967" i="1"/>
  <c r="K4967" i="1"/>
  <c r="L4966" i="1"/>
  <c r="K4966" i="1"/>
  <c r="L4965" i="1"/>
  <c r="K4965" i="1"/>
  <c r="L4964" i="1"/>
  <c r="K4964" i="1"/>
  <c r="L4963" i="1"/>
  <c r="K4963" i="1"/>
  <c r="L4962" i="1"/>
  <c r="K4962" i="1"/>
  <c r="L4961" i="1"/>
  <c r="K4961" i="1"/>
  <c r="L4960" i="1"/>
  <c r="K4960" i="1"/>
  <c r="L4959" i="1"/>
  <c r="K4959" i="1"/>
  <c r="L4958" i="1"/>
  <c r="K4958" i="1"/>
  <c r="L4957" i="1"/>
  <c r="K4957" i="1"/>
  <c r="L4956" i="1"/>
  <c r="K4956" i="1"/>
  <c r="L4955" i="1"/>
  <c r="K4955" i="1"/>
  <c r="L4954" i="1"/>
  <c r="K4954" i="1"/>
  <c r="L4953" i="1"/>
  <c r="K4953" i="1"/>
  <c r="L4952" i="1"/>
  <c r="K4952" i="1"/>
  <c r="L4951" i="1"/>
  <c r="K4951" i="1"/>
  <c r="L4950" i="1"/>
  <c r="K4950" i="1"/>
  <c r="L4949" i="1"/>
  <c r="K4949" i="1"/>
  <c r="L4948" i="1"/>
  <c r="K4948" i="1"/>
  <c r="L4947" i="1"/>
  <c r="K4947" i="1"/>
  <c r="L4946" i="1"/>
  <c r="K4946" i="1"/>
  <c r="L4945" i="1"/>
  <c r="K4945" i="1"/>
  <c r="L4944" i="1"/>
  <c r="K4944" i="1"/>
  <c r="L4943" i="1"/>
  <c r="K4943" i="1"/>
  <c r="L4942" i="1"/>
  <c r="K4942" i="1"/>
  <c r="L4941" i="1"/>
  <c r="K4941" i="1"/>
  <c r="L4940" i="1"/>
  <c r="K4940" i="1"/>
  <c r="L4939" i="1"/>
  <c r="K4939" i="1"/>
  <c r="L4938" i="1"/>
  <c r="K4938" i="1"/>
  <c r="L4937" i="1"/>
  <c r="K4937" i="1"/>
  <c r="L4936" i="1"/>
  <c r="K4936" i="1"/>
  <c r="L4935" i="1"/>
  <c r="K4935" i="1"/>
  <c r="L4934" i="1"/>
  <c r="K4934" i="1"/>
  <c r="L4933" i="1"/>
  <c r="K4933" i="1"/>
  <c r="L4932" i="1"/>
  <c r="K4932" i="1"/>
  <c r="L4931" i="1"/>
  <c r="K4931" i="1"/>
  <c r="L4930" i="1"/>
  <c r="K4930" i="1"/>
  <c r="L4929" i="1"/>
  <c r="K4929" i="1"/>
  <c r="L4928" i="1"/>
  <c r="K4928" i="1"/>
  <c r="L4927" i="1"/>
  <c r="K4927" i="1"/>
  <c r="L4926" i="1"/>
  <c r="K4926" i="1"/>
  <c r="L4925" i="1"/>
  <c r="K4925" i="1"/>
  <c r="L4924" i="1"/>
  <c r="K4924" i="1"/>
  <c r="L4923" i="1"/>
  <c r="K4923" i="1"/>
  <c r="L4922" i="1"/>
  <c r="K4922" i="1"/>
  <c r="L4921" i="1"/>
  <c r="K4921" i="1"/>
  <c r="L4920" i="1"/>
  <c r="K4920" i="1"/>
  <c r="L4919" i="1"/>
  <c r="K4919" i="1"/>
  <c r="L4918" i="1"/>
  <c r="K4918" i="1"/>
  <c r="L4917" i="1"/>
  <c r="K4917" i="1"/>
  <c r="L4916" i="1"/>
  <c r="K4916" i="1"/>
  <c r="L4915" i="1"/>
  <c r="K4915" i="1"/>
  <c r="L4914" i="1"/>
  <c r="K4914" i="1"/>
  <c r="L4913" i="1"/>
  <c r="K4913" i="1"/>
  <c r="L4912" i="1"/>
  <c r="K4912" i="1"/>
  <c r="L4911" i="1"/>
  <c r="K4911" i="1"/>
  <c r="L4908" i="1"/>
  <c r="K4908" i="1"/>
  <c r="L4907" i="1"/>
  <c r="K4907" i="1"/>
  <c r="L4906" i="1"/>
  <c r="K4906" i="1"/>
  <c r="L4905" i="1"/>
  <c r="K4905" i="1"/>
  <c r="L4904" i="1"/>
  <c r="K4904" i="1"/>
  <c r="L4903" i="1"/>
  <c r="K4903" i="1"/>
  <c r="L4902" i="1"/>
  <c r="K4902" i="1"/>
  <c r="L4901" i="1"/>
  <c r="K4901" i="1"/>
  <c r="L4900" i="1"/>
  <c r="K4900" i="1"/>
  <c r="L4899" i="1"/>
  <c r="K4899" i="1"/>
  <c r="L4898" i="1"/>
  <c r="K4898" i="1"/>
  <c r="L4897" i="1"/>
  <c r="K4897" i="1"/>
  <c r="L4896" i="1"/>
  <c r="K4896" i="1"/>
  <c r="L4895" i="1"/>
  <c r="K4895" i="1"/>
  <c r="L4894" i="1"/>
  <c r="K4894" i="1"/>
  <c r="L4893" i="1"/>
  <c r="K4893" i="1"/>
  <c r="L4892" i="1"/>
  <c r="K4892" i="1"/>
  <c r="L4891" i="1"/>
  <c r="K4891" i="1"/>
  <c r="L4890" i="1"/>
  <c r="K4890" i="1"/>
  <c r="L4889" i="1"/>
  <c r="K4889" i="1"/>
  <c r="L4888" i="1"/>
  <c r="K4888" i="1"/>
  <c r="L4887" i="1"/>
  <c r="K4887" i="1"/>
  <c r="L4886" i="1"/>
  <c r="K4886" i="1"/>
  <c r="L4885" i="1"/>
  <c r="K4885" i="1"/>
  <c r="L4884" i="1"/>
  <c r="K4884" i="1"/>
  <c r="L4883" i="1"/>
  <c r="K4883" i="1"/>
  <c r="L4882" i="1"/>
  <c r="K4882" i="1"/>
  <c r="L4881" i="1"/>
  <c r="K4881" i="1"/>
  <c r="L4880" i="1"/>
  <c r="K4880" i="1"/>
  <c r="L4878" i="1"/>
  <c r="K4878" i="1"/>
  <c r="L4877" i="1"/>
  <c r="K4877" i="1"/>
  <c r="L4876" i="1"/>
  <c r="K4876" i="1"/>
  <c r="L4875" i="1"/>
  <c r="K4875" i="1"/>
  <c r="L4874" i="1"/>
  <c r="K4874" i="1"/>
  <c r="L4873" i="1"/>
  <c r="K4873" i="1"/>
  <c r="L4872" i="1"/>
  <c r="K4872" i="1"/>
  <c r="L4871" i="1"/>
  <c r="K4871" i="1"/>
  <c r="L4870" i="1"/>
  <c r="K4870" i="1"/>
  <c r="L4869" i="1"/>
  <c r="K4869" i="1"/>
  <c r="L4868" i="1"/>
  <c r="K4868" i="1"/>
  <c r="L4867" i="1"/>
  <c r="K4867" i="1"/>
  <c r="L4866" i="1"/>
  <c r="K4866" i="1"/>
  <c r="L4865" i="1"/>
  <c r="K4865" i="1"/>
  <c r="L4864" i="1"/>
  <c r="K4864" i="1"/>
  <c r="L4863" i="1"/>
  <c r="K4863" i="1"/>
  <c r="L4861" i="1"/>
  <c r="K4861" i="1"/>
  <c r="L4860" i="1"/>
  <c r="K4860" i="1"/>
  <c r="L4859" i="1"/>
  <c r="K4859" i="1"/>
  <c r="L4858" i="1"/>
  <c r="K4858" i="1"/>
  <c r="L4857" i="1"/>
  <c r="K4857" i="1"/>
  <c r="L4856" i="1"/>
  <c r="K4856" i="1"/>
  <c r="L4855" i="1"/>
  <c r="K4855" i="1"/>
  <c r="L4854" i="1"/>
  <c r="K4854" i="1"/>
  <c r="L4853" i="1"/>
  <c r="K4853" i="1"/>
  <c r="L4852" i="1"/>
  <c r="K4852" i="1"/>
  <c r="L4851" i="1"/>
  <c r="K4851" i="1"/>
  <c r="L4850" i="1"/>
  <c r="K4850" i="1"/>
  <c r="L4849" i="1"/>
  <c r="K4849" i="1"/>
  <c r="L4848" i="1"/>
  <c r="K4848" i="1"/>
  <c r="L4847" i="1"/>
  <c r="K4847" i="1"/>
  <c r="L4846" i="1"/>
  <c r="K4846" i="1"/>
  <c r="L4844" i="1"/>
  <c r="K4844" i="1"/>
  <c r="L4843" i="1"/>
  <c r="K4843" i="1"/>
  <c r="L4842" i="1"/>
  <c r="K4842" i="1"/>
  <c r="L4841" i="1"/>
  <c r="K4841" i="1"/>
  <c r="L4840" i="1"/>
  <c r="K4840" i="1"/>
  <c r="L4839" i="1"/>
  <c r="K4839" i="1"/>
  <c r="L4838" i="1"/>
  <c r="K4838" i="1"/>
  <c r="L4837" i="1"/>
  <c r="K4837" i="1"/>
  <c r="L4836" i="1"/>
  <c r="K4836" i="1"/>
  <c r="L4835" i="1"/>
  <c r="K4835" i="1"/>
  <c r="L4834" i="1"/>
  <c r="K4834" i="1"/>
  <c r="L4833" i="1"/>
  <c r="K4833" i="1"/>
  <c r="L4832" i="1"/>
  <c r="K4832" i="1"/>
  <c r="L4831" i="1"/>
  <c r="K4831" i="1"/>
  <c r="L4830" i="1"/>
  <c r="K4830" i="1"/>
  <c r="L4829" i="1"/>
  <c r="K4829" i="1"/>
  <c r="L4828" i="1"/>
  <c r="K4828" i="1"/>
  <c r="L4827" i="1"/>
  <c r="K4827" i="1"/>
  <c r="L4826" i="1"/>
  <c r="K4826" i="1"/>
  <c r="L4825" i="1"/>
  <c r="K4825" i="1"/>
  <c r="L4824" i="1"/>
  <c r="K4824" i="1"/>
  <c r="L4823" i="1"/>
  <c r="K4823" i="1"/>
  <c r="L4822" i="1"/>
  <c r="K4822" i="1"/>
  <c r="L4821" i="1"/>
  <c r="K4821" i="1"/>
  <c r="L4820" i="1"/>
  <c r="K4820" i="1"/>
  <c r="L4819" i="1"/>
  <c r="K4819" i="1"/>
  <c r="L4818" i="1"/>
  <c r="K4818" i="1"/>
  <c r="L4817" i="1"/>
  <c r="K4817" i="1"/>
  <c r="L4816" i="1"/>
  <c r="K4816" i="1"/>
  <c r="L4815" i="1"/>
  <c r="K4815" i="1"/>
  <c r="L4814" i="1"/>
  <c r="K4814" i="1"/>
  <c r="L4813" i="1"/>
  <c r="K4813" i="1"/>
  <c r="L4812" i="1"/>
  <c r="K4812" i="1"/>
  <c r="L4811" i="1"/>
  <c r="K4811" i="1"/>
  <c r="L4810" i="1"/>
  <c r="K4810" i="1"/>
  <c r="L4809" i="1"/>
  <c r="K4809" i="1"/>
  <c r="L4808" i="1"/>
  <c r="K4808" i="1"/>
  <c r="L4807" i="1"/>
  <c r="K4807" i="1"/>
  <c r="L4806" i="1"/>
  <c r="K4806" i="1"/>
  <c r="L4805" i="1"/>
  <c r="K4805" i="1"/>
  <c r="L4804" i="1"/>
  <c r="K4804" i="1"/>
  <c r="L4803" i="1"/>
  <c r="K4803" i="1"/>
  <c r="L4802" i="1"/>
  <c r="K4802" i="1"/>
  <c r="L4801" i="1"/>
  <c r="K4801" i="1"/>
  <c r="L4800" i="1"/>
  <c r="K4800" i="1"/>
  <c r="L4799" i="1"/>
  <c r="K4799" i="1"/>
  <c r="L4798" i="1"/>
  <c r="K4798" i="1"/>
  <c r="L4797" i="1"/>
  <c r="K4797" i="1"/>
  <c r="L4796" i="1"/>
  <c r="K4796" i="1"/>
  <c r="L4795" i="1"/>
  <c r="K4795" i="1"/>
  <c r="L4794" i="1"/>
  <c r="K4794" i="1"/>
  <c r="L4793" i="1"/>
  <c r="K4793" i="1"/>
  <c r="L4792" i="1"/>
  <c r="K4792" i="1"/>
  <c r="L4791" i="1"/>
  <c r="K4791" i="1"/>
  <c r="L4790" i="1"/>
  <c r="K4790" i="1"/>
  <c r="L4789" i="1"/>
  <c r="K4789" i="1"/>
  <c r="L4788" i="1"/>
  <c r="K4788" i="1"/>
  <c r="L4787" i="1"/>
  <c r="K4787" i="1"/>
  <c r="L4786" i="1"/>
  <c r="K4786" i="1"/>
  <c r="L4785" i="1"/>
  <c r="K4785" i="1"/>
  <c r="L4784" i="1"/>
  <c r="K4784" i="1"/>
  <c r="L4783" i="1"/>
  <c r="K4783" i="1"/>
  <c r="L4782" i="1"/>
  <c r="K4782" i="1"/>
  <c r="L4781" i="1"/>
  <c r="K4781" i="1"/>
  <c r="L4780" i="1"/>
  <c r="K4780" i="1"/>
  <c r="L4779" i="1"/>
  <c r="K4779" i="1"/>
  <c r="L4778" i="1"/>
  <c r="K4778" i="1"/>
  <c r="L4777" i="1"/>
  <c r="K4777" i="1"/>
  <c r="L4776" i="1"/>
  <c r="K4776" i="1"/>
  <c r="L4775" i="1"/>
  <c r="K4775" i="1"/>
  <c r="L4774" i="1"/>
  <c r="K4774" i="1"/>
  <c r="L4773" i="1"/>
  <c r="K4773" i="1"/>
  <c r="L4772" i="1"/>
  <c r="K4772" i="1"/>
  <c r="L4771" i="1"/>
  <c r="K4771" i="1"/>
  <c r="L4770" i="1"/>
  <c r="K4770" i="1"/>
  <c r="L4769" i="1"/>
  <c r="K4769" i="1"/>
  <c r="L4768" i="1"/>
  <c r="K4768" i="1"/>
  <c r="L4767" i="1"/>
  <c r="K4767" i="1"/>
  <c r="L4766" i="1"/>
  <c r="K4766" i="1"/>
  <c r="L4765" i="1"/>
  <c r="K4765" i="1"/>
  <c r="L4764" i="1"/>
  <c r="K4764" i="1"/>
  <c r="L4763" i="1"/>
  <c r="K4763" i="1"/>
  <c r="L4762" i="1"/>
  <c r="K4762" i="1"/>
  <c r="L4761" i="1"/>
  <c r="K4761" i="1"/>
  <c r="L4760" i="1"/>
  <c r="K4760" i="1"/>
  <c r="L4759" i="1"/>
  <c r="K4759" i="1"/>
  <c r="L4758" i="1"/>
  <c r="K4758" i="1"/>
  <c r="L4757" i="1"/>
  <c r="K4757" i="1"/>
  <c r="L4756" i="1"/>
  <c r="K4756" i="1"/>
  <c r="L4755" i="1"/>
  <c r="K4755" i="1"/>
  <c r="L4754" i="1"/>
  <c r="K4754" i="1"/>
  <c r="L4753" i="1"/>
  <c r="K4753" i="1"/>
  <c r="L4752" i="1"/>
  <c r="K4752" i="1"/>
  <c r="L4751" i="1"/>
  <c r="K4751" i="1"/>
  <c r="L4750" i="1"/>
  <c r="K4750" i="1"/>
  <c r="L4749" i="1"/>
  <c r="K4749" i="1"/>
  <c r="L4748" i="1"/>
  <c r="K4748" i="1"/>
  <c r="L4747" i="1"/>
  <c r="K4747" i="1"/>
  <c r="L4746" i="1"/>
  <c r="K4746" i="1"/>
  <c r="L4745" i="1"/>
  <c r="K4745" i="1"/>
  <c r="L4744" i="1"/>
  <c r="K4744" i="1"/>
  <c r="L4743" i="1"/>
  <c r="K4743" i="1"/>
  <c r="L4742" i="1"/>
  <c r="K4742" i="1"/>
  <c r="L4741" i="1"/>
  <c r="K4741" i="1"/>
  <c r="L4740" i="1"/>
  <c r="K4740" i="1"/>
  <c r="L4739" i="1"/>
  <c r="K4739" i="1"/>
  <c r="L4738" i="1"/>
  <c r="K4738" i="1"/>
  <c r="L4737" i="1"/>
  <c r="K4737" i="1"/>
  <c r="L4736" i="1"/>
  <c r="K4736" i="1"/>
  <c r="L4735" i="1"/>
  <c r="K4735" i="1"/>
  <c r="L4734" i="1"/>
  <c r="K4734" i="1"/>
  <c r="L4733" i="1"/>
  <c r="K4733" i="1"/>
  <c r="L4732" i="1"/>
  <c r="K4732" i="1"/>
  <c r="L4731" i="1"/>
  <c r="K4731" i="1"/>
  <c r="L4730" i="1"/>
  <c r="K4730" i="1"/>
  <c r="L4729" i="1"/>
  <c r="K4729" i="1"/>
  <c r="L4728" i="1"/>
  <c r="K4728" i="1"/>
  <c r="L4727" i="1"/>
  <c r="K4727" i="1"/>
  <c r="L4726" i="1"/>
  <c r="K4726" i="1"/>
  <c r="L4725" i="1"/>
  <c r="K4725" i="1"/>
  <c r="L4724" i="1"/>
  <c r="K4724" i="1"/>
  <c r="L4723" i="1"/>
  <c r="K4723" i="1"/>
  <c r="L4722" i="1"/>
  <c r="K4722" i="1"/>
  <c r="L4721" i="1"/>
  <c r="K4721" i="1"/>
  <c r="L4720" i="1"/>
  <c r="K4720" i="1"/>
  <c r="L4719" i="1"/>
  <c r="K4719" i="1"/>
  <c r="L4718" i="1"/>
  <c r="K4718" i="1"/>
  <c r="L4717" i="1"/>
  <c r="K4717" i="1"/>
  <c r="L4716" i="1"/>
  <c r="K4716" i="1"/>
  <c r="L4715" i="1"/>
  <c r="K4715" i="1"/>
  <c r="L4714" i="1"/>
  <c r="K4714" i="1"/>
  <c r="L4713" i="1"/>
  <c r="K4713" i="1"/>
  <c r="L4712" i="1"/>
  <c r="K4712" i="1"/>
  <c r="L4711" i="1"/>
  <c r="K4711" i="1"/>
  <c r="L4710" i="1"/>
  <c r="K4710" i="1"/>
  <c r="L4709" i="1"/>
  <c r="K4709" i="1"/>
  <c r="L4708" i="1"/>
  <c r="K4708" i="1"/>
  <c r="L4707" i="1"/>
  <c r="K4707" i="1"/>
  <c r="L4706" i="1"/>
  <c r="K4706" i="1"/>
  <c r="L4705" i="1"/>
  <c r="K4705" i="1"/>
  <c r="L4704" i="1"/>
  <c r="K4704" i="1"/>
  <c r="L4703" i="1"/>
  <c r="K4703" i="1"/>
  <c r="L4702" i="1"/>
  <c r="K4702" i="1"/>
  <c r="L4701" i="1"/>
  <c r="K4701" i="1"/>
  <c r="L4700" i="1"/>
  <c r="K4700" i="1"/>
  <c r="L4699" i="1"/>
  <c r="K4699" i="1"/>
  <c r="L4698" i="1"/>
  <c r="K4698" i="1"/>
  <c r="L4697" i="1"/>
  <c r="K4697" i="1"/>
  <c r="L4696" i="1"/>
  <c r="K4696" i="1"/>
  <c r="L4695" i="1"/>
  <c r="K4695" i="1"/>
  <c r="L4694" i="1"/>
  <c r="K4694" i="1"/>
  <c r="L4693" i="1"/>
  <c r="K4693" i="1"/>
  <c r="L4692" i="1"/>
  <c r="K4692" i="1"/>
  <c r="L4691" i="1"/>
  <c r="K4691" i="1"/>
  <c r="L4690" i="1"/>
  <c r="K4690" i="1"/>
  <c r="L4689" i="1"/>
  <c r="K4689" i="1"/>
  <c r="L4688" i="1"/>
  <c r="K4688" i="1"/>
  <c r="L4687" i="1"/>
  <c r="K4687" i="1"/>
  <c r="L4686" i="1"/>
  <c r="K4686" i="1"/>
  <c r="L4685" i="1"/>
  <c r="K4685" i="1"/>
  <c r="L4684" i="1"/>
  <c r="K4684" i="1"/>
  <c r="L4683" i="1"/>
  <c r="K4683" i="1"/>
  <c r="L4682" i="1"/>
  <c r="K4682" i="1"/>
  <c r="L4681" i="1"/>
  <c r="K4681" i="1"/>
  <c r="L4680" i="1"/>
  <c r="K4680" i="1"/>
  <c r="L4679" i="1"/>
  <c r="K4679" i="1"/>
  <c r="L4678" i="1"/>
  <c r="K4678" i="1"/>
  <c r="L4677" i="1"/>
  <c r="K4677" i="1"/>
  <c r="L4676" i="1"/>
  <c r="K4676" i="1"/>
  <c r="L4675" i="1"/>
  <c r="K4675" i="1"/>
  <c r="L4674" i="1"/>
  <c r="K4674" i="1"/>
  <c r="L4673" i="1"/>
  <c r="K4673" i="1"/>
  <c r="L4672" i="1"/>
  <c r="K4672" i="1"/>
  <c r="L4671" i="1"/>
  <c r="K4671" i="1"/>
  <c r="L4670" i="1"/>
  <c r="K4670" i="1"/>
  <c r="L4669" i="1"/>
  <c r="K4669" i="1"/>
  <c r="L4668" i="1"/>
  <c r="K4668" i="1"/>
  <c r="L4667" i="1"/>
  <c r="K4667" i="1"/>
  <c r="L4666" i="1"/>
  <c r="K4666" i="1"/>
  <c r="L4665" i="1"/>
  <c r="K4665" i="1"/>
  <c r="L4664" i="1"/>
  <c r="K4664" i="1"/>
  <c r="L4663" i="1"/>
  <c r="K4663" i="1"/>
  <c r="L4662" i="1"/>
  <c r="K4662" i="1"/>
  <c r="L4661" i="1"/>
  <c r="K4661" i="1"/>
  <c r="L4660" i="1"/>
  <c r="K4660" i="1"/>
  <c r="L4659" i="1"/>
  <c r="K4659" i="1"/>
  <c r="L4658" i="1"/>
  <c r="K4658" i="1"/>
  <c r="L4657" i="1"/>
  <c r="K4657" i="1"/>
  <c r="L4656" i="1"/>
  <c r="K4656" i="1"/>
  <c r="L4655" i="1"/>
  <c r="K4655" i="1"/>
  <c r="L4654" i="1"/>
  <c r="K4654" i="1"/>
  <c r="L4653" i="1"/>
  <c r="K4653" i="1"/>
  <c r="L4652" i="1"/>
  <c r="K4652" i="1"/>
  <c r="L4651" i="1"/>
  <c r="K4651" i="1"/>
  <c r="L4650" i="1"/>
  <c r="K4650" i="1"/>
  <c r="L4649" i="1"/>
  <c r="K4649" i="1"/>
  <c r="L4648" i="1"/>
  <c r="K4648" i="1"/>
  <c r="L4647" i="1"/>
  <c r="K4647" i="1"/>
  <c r="L4646" i="1"/>
  <c r="K4646" i="1"/>
  <c r="L4645" i="1"/>
  <c r="K4645" i="1"/>
  <c r="L4644" i="1"/>
  <c r="K4644" i="1"/>
  <c r="L4643" i="1"/>
  <c r="K4643" i="1"/>
  <c r="L4642" i="1"/>
  <c r="K4642" i="1"/>
  <c r="L4641" i="1"/>
  <c r="K4641" i="1"/>
  <c r="L4640" i="1"/>
  <c r="K4640" i="1"/>
  <c r="L4639" i="1"/>
  <c r="K4639" i="1"/>
  <c r="L4638" i="1"/>
  <c r="K4638" i="1"/>
  <c r="L4637" i="1"/>
  <c r="K4637" i="1"/>
  <c r="L4636" i="1"/>
  <c r="K4636" i="1"/>
  <c r="L4635" i="1"/>
  <c r="K4635" i="1"/>
  <c r="L4634" i="1"/>
  <c r="K4634" i="1"/>
  <c r="L4633" i="1"/>
  <c r="K4633" i="1"/>
  <c r="L4632" i="1"/>
  <c r="K4632" i="1"/>
  <c r="L4631" i="1"/>
  <c r="K4631" i="1"/>
  <c r="L4630" i="1"/>
  <c r="K4630" i="1"/>
  <c r="L4629" i="1"/>
  <c r="K4629" i="1"/>
  <c r="L4628" i="1"/>
  <c r="K4628" i="1"/>
  <c r="L4627" i="1"/>
  <c r="K4627" i="1"/>
  <c r="L4626" i="1"/>
  <c r="K4626" i="1"/>
  <c r="L4625" i="1"/>
  <c r="K4625" i="1"/>
  <c r="L4624" i="1"/>
  <c r="K4624" i="1"/>
  <c r="L4623" i="1"/>
  <c r="K4623" i="1"/>
  <c r="L4622" i="1"/>
  <c r="K4622" i="1"/>
  <c r="L4621" i="1"/>
  <c r="K4621" i="1"/>
  <c r="L4620" i="1"/>
  <c r="K4620" i="1"/>
  <c r="L4619" i="1"/>
  <c r="K4619" i="1"/>
  <c r="L4618" i="1"/>
  <c r="K4618" i="1"/>
  <c r="L4617" i="1"/>
  <c r="K4617" i="1"/>
  <c r="L4616" i="1"/>
  <c r="K4616" i="1"/>
  <c r="L4615" i="1"/>
  <c r="K4615" i="1"/>
  <c r="L4614" i="1"/>
  <c r="K4614" i="1"/>
  <c r="L4613" i="1"/>
  <c r="K4613" i="1"/>
  <c r="L4612" i="1"/>
  <c r="K4612" i="1"/>
  <c r="L4611" i="1"/>
  <c r="K4611" i="1"/>
  <c r="L4610" i="1"/>
  <c r="K4610" i="1"/>
  <c r="L4609" i="1"/>
  <c r="K4609" i="1"/>
  <c r="L4608" i="1"/>
  <c r="K4608" i="1"/>
  <c r="L4607" i="1"/>
  <c r="K4607" i="1"/>
  <c r="L4606" i="1"/>
  <c r="K4606" i="1"/>
  <c r="L4605" i="1"/>
  <c r="K4605" i="1"/>
  <c r="L4604" i="1"/>
  <c r="K4604" i="1"/>
  <c r="L4603" i="1"/>
  <c r="K4603" i="1"/>
  <c r="L4602" i="1"/>
  <c r="K4602" i="1"/>
  <c r="L4601" i="1"/>
  <c r="K4601" i="1"/>
  <c r="L4600" i="1"/>
  <c r="K4600" i="1"/>
  <c r="L4599" i="1"/>
  <c r="K4599" i="1"/>
  <c r="L4598" i="1"/>
  <c r="K4598" i="1"/>
  <c r="L4597" i="1"/>
  <c r="K4597" i="1"/>
  <c r="L4596" i="1"/>
  <c r="K4596" i="1"/>
  <c r="L4595" i="1"/>
  <c r="K4595" i="1"/>
  <c r="L4594" i="1"/>
  <c r="K4594" i="1"/>
  <c r="L4593" i="1"/>
  <c r="K4593" i="1"/>
  <c r="L4592" i="1"/>
  <c r="K4592" i="1"/>
  <c r="L4591" i="1"/>
  <c r="K4591" i="1"/>
  <c r="L4590" i="1"/>
  <c r="K4590" i="1"/>
  <c r="L4589" i="1"/>
  <c r="K4589" i="1"/>
  <c r="L4588" i="1"/>
  <c r="K4588" i="1"/>
  <c r="L4587" i="1"/>
  <c r="K4587" i="1"/>
  <c r="L4586" i="1"/>
  <c r="K4586" i="1"/>
  <c r="L4585" i="1"/>
  <c r="K4585" i="1"/>
  <c r="L4584" i="1"/>
  <c r="K4584" i="1"/>
  <c r="L4583" i="1"/>
  <c r="K4583" i="1"/>
  <c r="L4582" i="1"/>
  <c r="K4582" i="1"/>
  <c r="L4581" i="1"/>
  <c r="K4581" i="1"/>
  <c r="L4580" i="1"/>
  <c r="K4580" i="1"/>
  <c r="L4579" i="1"/>
  <c r="K4579" i="1"/>
  <c r="L4578" i="1"/>
  <c r="K4578" i="1"/>
  <c r="L4577" i="1"/>
  <c r="K4577" i="1"/>
  <c r="L4576" i="1"/>
  <c r="K4576" i="1"/>
  <c r="L4575" i="1"/>
  <c r="K4575" i="1"/>
  <c r="L4574" i="1"/>
  <c r="K4574" i="1"/>
  <c r="L4573" i="1"/>
  <c r="K4573" i="1"/>
  <c r="L4572" i="1"/>
  <c r="K4572" i="1"/>
  <c r="L4571" i="1"/>
  <c r="K4571" i="1"/>
  <c r="L4570" i="1"/>
  <c r="K4570" i="1"/>
  <c r="L4569" i="1"/>
  <c r="K4569" i="1"/>
  <c r="L4568" i="1"/>
  <c r="K4568" i="1"/>
  <c r="L4567" i="1"/>
  <c r="K4567" i="1"/>
  <c r="L4566" i="1"/>
  <c r="K4566" i="1"/>
  <c r="L4565" i="1"/>
  <c r="K4565" i="1"/>
  <c r="L4564" i="1"/>
  <c r="K4564" i="1"/>
  <c r="L4563" i="1"/>
  <c r="K4563" i="1"/>
  <c r="L4562" i="1"/>
  <c r="K4562" i="1"/>
  <c r="L4561" i="1"/>
  <c r="K4561" i="1"/>
  <c r="L4560" i="1"/>
  <c r="K4560" i="1"/>
  <c r="L4559" i="1"/>
  <c r="K4559" i="1"/>
  <c r="L4558" i="1"/>
  <c r="K4558" i="1"/>
  <c r="L4557" i="1"/>
  <c r="K4557" i="1"/>
  <c r="L4556" i="1"/>
  <c r="K4556" i="1"/>
  <c r="L4555" i="1"/>
  <c r="K4555" i="1"/>
  <c r="L4554" i="1"/>
  <c r="K4554" i="1"/>
  <c r="L4553" i="1"/>
  <c r="K4553" i="1"/>
  <c r="L4552" i="1"/>
  <c r="K4552" i="1"/>
  <c r="L4551" i="1"/>
  <c r="K4551" i="1"/>
  <c r="L4550" i="1"/>
  <c r="K4550" i="1"/>
  <c r="L4549" i="1"/>
  <c r="K4549" i="1"/>
  <c r="L4548" i="1"/>
  <c r="K4548" i="1"/>
  <c r="L4547" i="1"/>
  <c r="K4547" i="1"/>
  <c r="L4546" i="1"/>
  <c r="K4546" i="1"/>
  <c r="L4545" i="1"/>
  <c r="K4545" i="1"/>
  <c r="L4544" i="1"/>
  <c r="K4544" i="1"/>
  <c r="L4543" i="1"/>
  <c r="K4543" i="1"/>
  <c r="L4542" i="1"/>
  <c r="K4542" i="1"/>
  <c r="L4541" i="1"/>
  <c r="K4541" i="1"/>
  <c r="L4540" i="1"/>
  <c r="K4540" i="1"/>
  <c r="L4539" i="1"/>
  <c r="K4539" i="1"/>
  <c r="L4538" i="1"/>
  <c r="K4538" i="1"/>
  <c r="L4537" i="1"/>
  <c r="K4537" i="1"/>
  <c r="L4536" i="1"/>
  <c r="K4536" i="1"/>
  <c r="L4535" i="1"/>
  <c r="K4535" i="1"/>
  <c r="L4534" i="1"/>
  <c r="K4534" i="1"/>
  <c r="L4531" i="1"/>
  <c r="K4531" i="1"/>
  <c r="L4529" i="1"/>
  <c r="K4529" i="1"/>
  <c r="L4528" i="1"/>
  <c r="K4528" i="1"/>
  <c r="L4527" i="1"/>
  <c r="K4527" i="1"/>
  <c r="L4526" i="1"/>
  <c r="K4526" i="1"/>
  <c r="L4525" i="1"/>
  <c r="K4525" i="1"/>
  <c r="L4524" i="1"/>
  <c r="K4524" i="1"/>
  <c r="L4523" i="1"/>
  <c r="K4523" i="1"/>
  <c r="L4521" i="1"/>
  <c r="K4521" i="1"/>
  <c r="L4520" i="1"/>
  <c r="K4520" i="1"/>
  <c r="L4519" i="1"/>
  <c r="K4519" i="1"/>
  <c r="L4518" i="1"/>
  <c r="K4518" i="1"/>
  <c r="L4517" i="1"/>
  <c r="K4517" i="1"/>
  <c r="L4516" i="1"/>
  <c r="K4516" i="1"/>
  <c r="L4515" i="1"/>
  <c r="K4515" i="1"/>
  <c r="L4514" i="1"/>
  <c r="K4514" i="1"/>
  <c r="L4513" i="1"/>
  <c r="K4513" i="1"/>
  <c r="L4512" i="1"/>
  <c r="K4512" i="1"/>
  <c r="L4511" i="1"/>
  <c r="K4511" i="1"/>
  <c r="L4510" i="1"/>
  <c r="K4510" i="1"/>
  <c r="L4509" i="1"/>
  <c r="K4509" i="1"/>
  <c r="L4508" i="1"/>
  <c r="K4508" i="1"/>
  <c r="L4507" i="1"/>
  <c r="K4507" i="1"/>
  <c r="L4506" i="1"/>
  <c r="K4506" i="1"/>
  <c r="L4505" i="1"/>
  <c r="K4505" i="1"/>
  <c r="L4503" i="1"/>
  <c r="K4503" i="1"/>
  <c r="L4502" i="1"/>
  <c r="K4502" i="1"/>
  <c r="L4501" i="1"/>
  <c r="K4501" i="1"/>
  <c r="L4500" i="1"/>
  <c r="K4500" i="1"/>
  <c r="L4498" i="1"/>
  <c r="K4498" i="1"/>
  <c r="L4497" i="1"/>
  <c r="K4497" i="1"/>
  <c r="L4496" i="1"/>
  <c r="K4496" i="1"/>
  <c r="L4495" i="1"/>
  <c r="K4495" i="1"/>
  <c r="L4494" i="1"/>
  <c r="K4494" i="1"/>
  <c r="L4493" i="1"/>
  <c r="K4493" i="1"/>
  <c r="L4492" i="1"/>
  <c r="K4492" i="1"/>
  <c r="L4490" i="1"/>
  <c r="K4490" i="1"/>
  <c r="L4489" i="1"/>
  <c r="K4489" i="1"/>
  <c r="L4488" i="1"/>
  <c r="K4488" i="1"/>
  <c r="L4487" i="1"/>
  <c r="K4487" i="1"/>
  <c r="L4486" i="1"/>
  <c r="K4486" i="1"/>
  <c r="L4485" i="1"/>
  <c r="K4485" i="1"/>
  <c r="L4484" i="1"/>
  <c r="K4484" i="1"/>
  <c r="L4483" i="1"/>
  <c r="K4483" i="1"/>
  <c r="L4482" i="1"/>
  <c r="K4482" i="1"/>
  <c r="L4481" i="1"/>
  <c r="K4481" i="1"/>
  <c r="L4480" i="1"/>
  <c r="K4480" i="1"/>
  <c r="L4479" i="1"/>
  <c r="K4479" i="1"/>
  <c r="L4478" i="1"/>
  <c r="K4478" i="1"/>
  <c r="L4477" i="1"/>
  <c r="K4477" i="1"/>
  <c r="L4476" i="1"/>
  <c r="K4476" i="1"/>
  <c r="L4475" i="1"/>
  <c r="K4475" i="1"/>
  <c r="L4474" i="1"/>
  <c r="K4474" i="1"/>
  <c r="L4472" i="1"/>
  <c r="K4472" i="1"/>
  <c r="L4471" i="1"/>
  <c r="K4471" i="1"/>
  <c r="L4470" i="1"/>
  <c r="K4470" i="1"/>
  <c r="L4469" i="1"/>
  <c r="K4469" i="1"/>
  <c r="L4468" i="1"/>
  <c r="K4468" i="1"/>
  <c r="L4467" i="1"/>
  <c r="K4467" i="1"/>
  <c r="L4466" i="1"/>
  <c r="K4466" i="1"/>
  <c r="L4465" i="1"/>
  <c r="K4465" i="1"/>
  <c r="L4464" i="1"/>
  <c r="K4464" i="1"/>
  <c r="L4463" i="1"/>
  <c r="K4463" i="1"/>
  <c r="L4462" i="1"/>
  <c r="K4462" i="1"/>
  <c r="L4461" i="1"/>
  <c r="K4461" i="1"/>
  <c r="L4460" i="1"/>
  <c r="K4460" i="1"/>
  <c r="L4459" i="1"/>
  <c r="K4459" i="1"/>
  <c r="L4458" i="1"/>
  <c r="K4458" i="1"/>
  <c r="L4457" i="1"/>
  <c r="K4457" i="1"/>
  <c r="L4456" i="1"/>
  <c r="K4456" i="1"/>
  <c r="L4455" i="1"/>
  <c r="K4455" i="1"/>
  <c r="L4454" i="1"/>
  <c r="K4454" i="1"/>
  <c r="L4453" i="1"/>
  <c r="K4453" i="1"/>
  <c r="L4452" i="1"/>
  <c r="K4452" i="1"/>
  <c r="L4451" i="1"/>
  <c r="K4451" i="1"/>
  <c r="L4450" i="1"/>
  <c r="K4450" i="1"/>
  <c r="L4449" i="1"/>
  <c r="K4449" i="1"/>
  <c r="L4448" i="1"/>
  <c r="K4448" i="1"/>
  <c r="L4447" i="1"/>
  <c r="K4447" i="1"/>
  <c r="L4446" i="1"/>
  <c r="K4446" i="1"/>
  <c r="L4445" i="1"/>
  <c r="K4445" i="1"/>
  <c r="L4444" i="1"/>
  <c r="K4444" i="1"/>
  <c r="L4441" i="1"/>
  <c r="K4441" i="1"/>
  <c r="L4440" i="1"/>
  <c r="K4440" i="1"/>
  <c r="L4439" i="1"/>
  <c r="K4439" i="1"/>
  <c r="L4438" i="1"/>
  <c r="K4438" i="1"/>
  <c r="L4437" i="1"/>
  <c r="K4437" i="1"/>
  <c r="L4436" i="1"/>
  <c r="K4436" i="1"/>
  <c r="L4435" i="1"/>
  <c r="K4435" i="1"/>
  <c r="L4434" i="1"/>
  <c r="K4434" i="1"/>
  <c r="L4433" i="1"/>
  <c r="K4433" i="1"/>
  <c r="L4432" i="1"/>
  <c r="K4432" i="1"/>
  <c r="L4431" i="1"/>
  <c r="K4431" i="1"/>
  <c r="L4430" i="1"/>
  <c r="K4430" i="1"/>
  <c r="L4429" i="1"/>
  <c r="K4429" i="1"/>
  <c r="L4428" i="1"/>
  <c r="K4428" i="1"/>
  <c r="L4427" i="1"/>
  <c r="K4427" i="1"/>
  <c r="L4426" i="1"/>
  <c r="K4426" i="1"/>
  <c r="L4425" i="1"/>
  <c r="K4425" i="1"/>
  <c r="L4424" i="1"/>
  <c r="K4424" i="1"/>
  <c r="L4423" i="1"/>
  <c r="K4423" i="1"/>
  <c r="L4422" i="1"/>
  <c r="K4422" i="1"/>
  <c r="L4421" i="1"/>
  <c r="K4421" i="1"/>
  <c r="L4420" i="1"/>
  <c r="K4420" i="1"/>
  <c r="L4419" i="1"/>
  <c r="K4419" i="1"/>
  <c r="L4418" i="1"/>
  <c r="K4418" i="1"/>
  <c r="L4417" i="1"/>
  <c r="K4417" i="1"/>
  <c r="L4416" i="1"/>
  <c r="K4416" i="1"/>
  <c r="L4415" i="1"/>
  <c r="K4415" i="1"/>
  <c r="L4414" i="1"/>
  <c r="K4414" i="1"/>
  <c r="L4413" i="1"/>
  <c r="K4413" i="1"/>
  <c r="L4412" i="1"/>
  <c r="K4412" i="1"/>
  <c r="L4411" i="1"/>
  <c r="K4411" i="1"/>
  <c r="L4409" i="1"/>
  <c r="K4409" i="1"/>
  <c r="L4408" i="1"/>
  <c r="K4408" i="1"/>
  <c r="L4407" i="1"/>
  <c r="K4407" i="1"/>
  <c r="L4406" i="1"/>
  <c r="K4406" i="1"/>
  <c r="L4405" i="1"/>
  <c r="K4405" i="1"/>
  <c r="L4404" i="1"/>
  <c r="K4404" i="1"/>
  <c r="L4403" i="1"/>
  <c r="K4403" i="1"/>
  <c r="L4402" i="1"/>
  <c r="K4402" i="1"/>
  <c r="L4401" i="1"/>
  <c r="K4401" i="1"/>
  <c r="L4400" i="1"/>
  <c r="K4400" i="1"/>
  <c r="L4399" i="1"/>
  <c r="K4399" i="1"/>
  <c r="L4398" i="1"/>
  <c r="K4398" i="1"/>
  <c r="L4397" i="1"/>
  <c r="K4397" i="1"/>
  <c r="L4396" i="1"/>
  <c r="K4396" i="1"/>
  <c r="L4395" i="1"/>
  <c r="K4395" i="1"/>
  <c r="L4394" i="1"/>
  <c r="K4394" i="1"/>
  <c r="L4393" i="1"/>
  <c r="K4393" i="1"/>
  <c r="L4392" i="1"/>
  <c r="K4392" i="1"/>
  <c r="L4391" i="1"/>
  <c r="K4391" i="1"/>
  <c r="L4390" i="1"/>
  <c r="K4390" i="1"/>
  <c r="L4389" i="1"/>
  <c r="K4389" i="1"/>
  <c r="L4388" i="1"/>
  <c r="K4388" i="1"/>
  <c r="L4387" i="1"/>
  <c r="K4387" i="1"/>
  <c r="L4386" i="1"/>
  <c r="K4386" i="1"/>
  <c r="L4385" i="1"/>
  <c r="K4385" i="1"/>
  <c r="L4384" i="1"/>
  <c r="K4384" i="1"/>
  <c r="L4383" i="1"/>
  <c r="K4383" i="1"/>
  <c r="L4382" i="1"/>
  <c r="K4382" i="1"/>
  <c r="L4381" i="1"/>
  <c r="K4381" i="1"/>
  <c r="L4380" i="1"/>
  <c r="K4380" i="1"/>
  <c r="L4379" i="1"/>
  <c r="K4379" i="1"/>
  <c r="L4378" i="1"/>
  <c r="K4378" i="1"/>
  <c r="L4377" i="1"/>
  <c r="K4377" i="1"/>
  <c r="L4376" i="1"/>
  <c r="K4376" i="1"/>
  <c r="L4375" i="1"/>
  <c r="K4375" i="1"/>
  <c r="L4374" i="1"/>
  <c r="K4374" i="1"/>
  <c r="L4373" i="1"/>
  <c r="K4373" i="1"/>
  <c r="L4372" i="1"/>
  <c r="K4372" i="1"/>
  <c r="L4371" i="1"/>
  <c r="K4371" i="1"/>
  <c r="L4370" i="1"/>
  <c r="K4370" i="1"/>
  <c r="L4369" i="1"/>
  <c r="K4369" i="1"/>
  <c r="L4368" i="1"/>
  <c r="K4368" i="1"/>
  <c r="L4367" i="1"/>
  <c r="K4367" i="1"/>
  <c r="L4366" i="1"/>
  <c r="K4366" i="1"/>
  <c r="L4364" i="1"/>
  <c r="K4364" i="1"/>
  <c r="L4363" i="1"/>
  <c r="K4363" i="1"/>
  <c r="L4362" i="1"/>
  <c r="K4362" i="1"/>
  <c r="L4361" i="1"/>
  <c r="K4361" i="1"/>
  <c r="L4360" i="1"/>
  <c r="K4360" i="1"/>
  <c r="L4359" i="1"/>
  <c r="K4359" i="1"/>
  <c r="L4358" i="1"/>
  <c r="K4358" i="1"/>
  <c r="L4357" i="1"/>
  <c r="K4357" i="1"/>
  <c r="L4356" i="1"/>
  <c r="K4356" i="1"/>
  <c r="L4355" i="1"/>
  <c r="K4355" i="1"/>
  <c r="L4354" i="1"/>
  <c r="K4354" i="1"/>
  <c r="L4353" i="1"/>
  <c r="K4353" i="1"/>
  <c r="L4351" i="1"/>
  <c r="K4351" i="1"/>
  <c r="L4350" i="1"/>
  <c r="K4350" i="1"/>
  <c r="L4349" i="1"/>
  <c r="K4349" i="1"/>
  <c r="L4348" i="1"/>
  <c r="K4348" i="1"/>
  <c r="L4347" i="1"/>
  <c r="K4347" i="1"/>
  <c r="L4346" i="1"/>
  <c r="K4346" i="1"/>
  <c r="L4345" i="1"/>
  <c r="K4345" i="1"/>
  <c r="L4344" i="1"/>
  <c r="K4344" i="1"/>
  <c r="L4343" i="1"/>
  <c r="K4343" i="1"/>
  <c r="L4342" i="1"/>
  <c r="K4342" i="1"/>
  <c r="L4341" i="1"/>
  <c r="K4341" i="1"/>
  <c r="L4340" i="1"/>
  <c r="K4340" i="1"/>
  <c r="L4339" i="1"/>
  <c r="K4339" i="1"/>
  <c r="L4338" i="1"/>
  <c r="K4338" i="1"/>
  <c r="L4337" i="1"/>
  <c r="K4337" i="1"/>
  <c r="L4336" i="1"/>
  <c r="K4336" i="1"/>
  <c r="L4335" i="1"/>
  <c r="K4335" i="1"/>
  <c r="L4334" i="1"/>
  <c r="K4334" i="1"/>
  <c r="L4333" i="1"/>
  <c r="K4333" i="1"/>
  <c r="L4332" i="1"/>
  <c r="K4332" i="1"/>
  <c r="L4331" i="1"/>
  <c r="K4331" i="1"/>
  <c r="L4330" i="1"/>
  <c r="K4330" i="1"/>
  <c r="L4329" i="1"/>
  <c r="K4329" i="1"/>
  <c r="L4328" i="1"/>
  <c r="K4328" i="1"/>
  <c r="L4327" i="1"/>
  <c r="K4327" i="1"/>
  <c r="L4326" i="1"/>
  <c r="K4326" i="1"/>
  <c r="L4325" i="1"/>
  <c r="K4325" i="1"/>
  <c r="L4324" i="1"/>
  <c r="K4324" i="1"/>
  <c r="L4323" i="1"/>
  <c r="K4323" i="1"/>
  <c r="L4322" i="1"/>
  <c r="K4322" i="1"/>
  <c r="L4321" i="1"/>
  <c r="K4321" i="1"/>
  <c r="L4320" i="1"/>
  <c r="K4320" i="1"/>
  <c r="L4319" i="1"/>
  <c r="K4319" i="1"/>
  <c r="L4318" i="1"/>
  <c r="K4318" i="1"/>
  <c r="L4317" i="1"/>
  <c r="K4317" i="1"/>
  <c r="L4316" i="1"/>
  <c r="K4316" i="1"/>
  <c r="L4315" i="1"/>
  <c r="K4315" i="1"/>
  <c r="L4314" i="1"/>
  <c r="K4314" i="1"/>
  <c r="L4311" i="1"/>
  <c r="K4311" i="1"/>
  <c r="L4310" i="1"/>
  <c r="K4310" i="1"/>
  <c r="L4309" i="1"/>
  <c r="K4309" i="1"/>
  <c r="L4308" i="1"/>
  <c r="K4308" i="1"/>
  <c r="L4307" i="1"/>
  <c r="K4307" i="1"/>
  <c r="L4305" i="1"/>
  <c r="K4305" i="1"/>
  <c r="L4304" i="1"/>
  <c r="K4304" i="1"/>
  <c r="L4303" i="1"/>
  <c r="K4303" i="1"/>
  <c r="L4302" i="1"/>
  <c r="K4302" i="1"/>
  <c r="L4301" i="1"/>
  <c r="K4301" i="1"/>
  <c r="L4300" i="1"/>
  <c r="K4300" i="1"/>
  <c r="L4299" i="1"/>
  <c r="K4299" i="1"/>
  <c r="L4298" i="1"/>
  <c r="K4298" i="1"/>
  <c r="L4297" i="1"/>
  <c r="K4297" i="1"/>
  <c r="L4296" i="1"/>
  <c r="K4296" i="1"/>
  <c r="L4293" i="1"/>
  <c r="K4293" i="1"/>
  <c r="L4292" i="1"/>
  <c r="K4292" i="1"/>
  <c r="L4291" i="1"/>
  <c r="K4291" i="1"/>
  <c r="L4290" i="1"/>
  <c r="K4290" i="1"/>
  <c r="L4289" i="1"/>
  <c r="K4289" i="1"/>
  <c r="L4288" i="1"/>
  <c r="K4288" i="1"/>
  <c r="L4287" i="1"/>
  <c r="K4287" i="1"/>
  <c r="L4286" i="1"/>
  <c r="K4286" i="1"/>
  <c r="L4285" i="1"/>
  <c r="K4285" i="1"/>
  <c r="L4284" i="1"/>
  <c r="K4284" i="1"/>
  <c r="L4283" i="1"/>
  <c r="K4283" i="1"/>
  <c r="L4282" i="1"/>
  <c r="K4282" i="1"/>
  <c r="L4281" i="1"/>
  <c r="K4281" i="1"/>
  <c r="L4274" i="1"/>
  <c r="K4274" i="1"/>
  <c r="L4273" i="1"/>
  <c r="K4273" i="1"/>
  <c r="L4272" i="1"/>
  <c r="K4272" i="1"/>
  <c r="L4271" i="1"/>
  <c r="K4271" i="1"/>
  <c r="L4270" i="1"/>
  <c r="K4270" i="1"/>
  <c r="L4269" i="1"/>
  <c r="K4269" i="1"/>
  <c r="L4268" i="1"/>
  <c r="K4268" i="1"/>
  <c r="L4267" i="1"/>
  <c r="K4267" i="1"/>
  <c r="L4258" i="1"/>
  <c r="K4258" i="1"/>
  <c r="L4257" i="1"/>
  <c r="K4257" i="1"/>
  <c r="L4256" i="1"/>
  <c r="K4256" i="1"/>
  <c r="L4255" i="1"/>
  <c r="K4255" i="1"/>
  <c r="L4254" i="1"/>
  <c r="K4254" i="1"/>
  <c r="L4253" i="1"/>
  <c r="K4253" i="1"/>
  <c r="L4252" i="1"/>
  <c r="K4252" i="1"/>
  <c r="L4251" i="1"/>
  <c r="K4251" i="1"/>
  <c r="L4249" i="1"/>
  <c r="K4249" i="1"/>
  <c r="L4248" i="1"/>
  <c r="K4248" i="1"/>
  <c r="L4247" i="1"/>
  <c r="K4247" i="1"/>
  <c r="L4246" i="1"/>
  <c r="K4246" i="1"/>
  <c r="L4245" i="1"/>
  <c r="K4245" i="1"/>
  <c r="L4244" i="1"/>
  <c r="K4244" i="1"/>
  <c r="L4242" i="1"/>
  <c r="K4242" i="1"/>
  <c r="L4241" i="1"/>
  <c r="K4241" i="1"/>
  <c r="L4240" i="1"/>
  <c r="K4240" i="1"/>
  <c r="L4239" i="1"/>
  <c r="K4239" i="1"/>
  <c r="L4238" i="1"/>
  <c r="K4238" i="1"/>
  <c r="L4237" i="1"/>
  <c r="K4237" i="1"/>
  <c r="L4236" i="1"/>
  <c r="K4236" i="1"/>
  <c r="L4235" i="1"/>
  <c r="K4235" i="1"/>
  <c r="L4234" i="1"/>
  <c r="K4234" i="1"/>
  <c r="L4233" i="1"/>
  <c r="K4233" i="1"/>
  <c r="L4232" i="1"/>
  <c r="K4232" i="1"/>
  <c r="L4231" i="1"/>
  <c r="K4231" i="1"/>
  <c r="L4230" i="1"/>
  <c r="K4230" i="1"/>
  <c r="L4229" i="1"/>
  <c r="K4229" i="1"/>
  <c r="L4228" i="1"/>
  <c r="K4228" i="1"/>
  <c r="L4227" i="1"/>
  <c r="K4227" i="1"/>
  <c r="L4226" i="1"/>
  <c r="K4226" i="1"/>
  <c r="L4225" i="1"/>
  <c r="K4225" i="1"/>
  <c r="L4224" i="1"/>
  <c r="K4224" i="1"/>
  <c r="L4223" i="1"/>
  <c r="K4223" i="1"/>
  <c r="L4222" i="1"/>
  <c r="K4222" i="1"/>
  <c r="L4221" i="1"/>
  <c r="K4221" i="1"/>
  <c r="L4220" i="1"/>
  <c r="K4220" i="1"/>
  <c r="L4219" i="1"/>
  <c r="K4219" i="1"/>
  <c r="L4218" i="1"/>
  <c r="K4218" i="1"/>
  <c r="L4217" i="1"/>
  <c r="K4217" i="1"/>
  <c r="L4216" i="1"/>
  <c r="K4216" i="1"/>
  <c r="L4215" i="1"/>
  <c r="K4215" i="1"/>
  <c r="L4214" i="1"/>
  <c r="K4214" i="1"/>
  <c r="L4213" i="1"/>
  <c r="K4213" i="1"/>
  <c r="L4212" i="1"/>
  <c r="K4212" i="1"/>
  <c r="L4211" i="1"/>
  <c r="K4211" i="1"/>
  <c r="L4210" i="1"/>
  <c r="K4210" i="1"/>
  <c r="L4209" i="1"/>
  <c r="K4209" i="1"/>
  <c r="L4208" i="1"/>
  <c r="K4208" i="1"/>
  <c r="L4207" i="1"/>
  <c r="K4207" i="1"/>
  <c r="L4206" i="1"/>
  <c r="K4206" i="1"/>
  <c r="L4205" i="1"/>
  <c r="K4205" i="1"/>
  <c r="L4204" i="1"/>
  <c r="K4204" i="1"/>
  <c r="L4203" i="1"/>
  <c r="K4203" i="1"/>
  <c r="L4202" i="1"/>
  <c r="K4202" i="1"/>
  <c r="L4201" i="1"/>
  <c r="K4201" i="1"/>
  <c r="L4200" i="1"/>
  <c r="K4200" i="1"/>
  <c r="L4199" i="1"/>
  <c r="K4199" i="1"/>
  <c r="L4194" i="1"/>
  <c r="K4194" i="1"/>
  <c r="L4193" i="1"/>
  <c r="K4193" i="1"/>
  <c r="L4192" i="1"/>
  <c r="K4192" i="1"/>
  <c r="L4191" i="1"/>
  <c r="K4191" i="1"/>
  <c r="L4190" i="1"/>
  <c r="K4190" i="1"/>
  <c r="L4189" i="1"/>
  <c r="K4189" i="1"/>
  <c r="L4188" i="1"/>
  <c r="K4188" i="1"/>
  <c r="L4187" i="1"/>
  <c r="K4187" i="1"/>
  <c r="L4186" i="1"/>
  <c r="K4186" i="1"/>
  <c r="L4185" i="1"/>
  <c r="K4185" i="1"/>
  <c r="L4184" i="1"/>
  <c r="K4184" i="1"/>
  <c r="L4183" i="1"/>
  <c r="K4183" i="1"/>
  <c r="L4182" i="1"/>
  <c r="K4182" i="1"/>
  <c r="L4180" i="1"/>
  <c r="K4180" i="1"/>
  <c r="L4179" i="1"/>
  <c r="K4179" i="1"/>
  <c r="L4178" i="1"/>
  <c r="K4178" i="1"/>
  <c r="L4177" i="1"/>
  <c r="K4177" i="1"/>
  <c r="L4176" i="1"/>
  <c r="K4176" i="1"/>
  <c r="L4175" i="1"/>
  <c r="K4175" i="1"/>
  <c r="L4174" i="1"/>
  <c r="K4174" i="1"/>
  <c r="L4173" i="1"/>
  <c r="K4173" i="1"/>
  <c r="L4172" i="1"/>
  <c r="K4172" i="1"/>
  <c r="L4171" i="1"/>
  <c r="K4171" i="1"/>
  <c r="L4169" i="1"/>
  <c r="K4169" i="1"/>
  <c r="L4168" i="1"/>
  <c r="K4168" i="1"/>
  <c r="L4167" i="1"/>
  <c r="K4167" i="1"/>
  <c r="L4166" i="1"/>
  <c r="K4166" i="1"/>
  <c r="L4165" i="1"/>
  <c r="K4165" i="1"/>
  <c r="L4164" i="1"/>
  <c r="K4164" i="1"/>
  <c r="L4163" i="1"/>
  <c r="K4163" i="1"/>
  <c r="L4162" i="1"/>
  <c r="K4162" i="1"/>
  <c r="L4161" i="1"/>
  <c r="K4161" i="1"/>
  <c r="L4160" i="1"/>
  <c r="K4160" i="1"/>
  <c r="L4159" i="1"/>
  <c r="K4159" i="1"/>
  <c r="L4158" i="1"/>
  <c r="K4158" i="1"/>
  <c r="L4157" i="1"/>
  <c r="K4157" i="1"/>
  <c r="L4156" i="1"/>
  <c r="K4156" i="1"/>
  <c r="L4155" i="1"/>
  <c r="K4155" i="1"/>
  <c r="L4150" i="1"/>
  <c r="K4150" i="1"/>
  <c r="L4149" i="1"/>
  <c r="K4149" i="1"/>
  <c r="L4148" i="1"/>
  <c r="K4148" i="1"/>
  <c r="L4147" i="1"/>
  <c r="K4147" i="1"/>
  <c r="L4146" i="1"/>
  <c r="K4146" i="1"/>
  <c r="L4145" i="1"/>
  <c r="K4145" i="1"/>
  <c r="L4143" i="1"/>
  <c r="K4143" i="1"/>
  <c r="L4142" i="1"/>
  <c r="K4142" i="1"/>
  <c r="L4141" i="1"/>
  <c r="K4141" i="1"/>
  <c r="L4140" i="1"/>
  <c r="K4140" i="1"/>
  <c r="L4139" i="1"/>
  <c r="K4139" i="1"/>
  <c r="L4138" i="1"/>
  <c r="K4138" i="1"/>
  <c r="L4137" i="1"/>
  <c r="K4137" i="1"/>
  <c r="L4136" i="1"/>
  <c r="K4136" i="1"/>
  <c r="L4135" i="1"/>
  <c r="K4135" i="1"/>
  <c r="L4134" i="1"/>
  <c r="K4134" i="1"/>
  <c r="L4133" i="1"/>
  <c r="K4133" i="1"/>
  <c r="L4132" i="1"/>
  <c r="K4132" i="1"/>
  <c r="L4131" i="1"/>
  <c r="K4131" i="1"/>
  <c r="L4130" i="1"/>
  <c r="K4130" i="1"/>
  <c r="L4129" i="1"/>
  <c r="K4129" i="1"/>
  <c r="L4127" i="1"/>
  <c r="K4127" i="1"/>
  <c r="L4126" i="1"/>
  <c r="K4126" i="1"/>
  <c r="L4125" i="1"/>
  <c r="K4125" i="1"/>
  <c r="L4124" i="1"/>
  <c r="K4124" i="1"/>
  <c r="L4123" i="1"/>
  <c r="K4123" i="1"/>
  <c r="L4122" i="1"/>
  <c r="K4122" i="1"/>
  <c r="L4120" i="1"/>
  <c r="K4120" i="1"/>
  <c r="L4119" i="1"/>
  <c r="K4119" i="1"/>
  <c r="L4118" i="1"/>
  <c r="K4118" i="1"/>
  <c r="L4117" i="1"/>
  <c r="K4117" i="1"/>
  <c r="L4116" i="1"/>
  <c r="K4116" i="1"/>
  <c r="L4115" i="1"/>
  <c r="K4115" i="1"/>
  <c r="L4114" i="1"/>
  <c r="K4114" i="1"/>
  <c r="L4113" i="1"/>
  <c r="K4113" i="1"/>
  <c r="L4112" i="1"/>
  <c r="K4112" i="1"/>
  <c r="L4111" i="1"/>
  <c r="K4111" i="1"/>
  <c r="L4110" i="1"/>
  <c r="K4110" i="1"/>
  <c r="L4109" i="1"/>
  <c r="K4109" i="1"/>
  <c r="L4108" i="1"/>
  <c r="K4108" i="1"/>
  <c r="L4107" i="1"/>
  <c r="K4107" i="1"/>
  <c r="L4106" i="1"/>
  <c r="K4106" i="1"/>
  <c r="L4105" i="1"/>
  <c r="K4105" i="1"/>
  <c r="L4104" i="1"/>
  <c r="K4104" i="1"/>
  <c r="L4103" i="1"/>
  <c r="K4103" i="1"/>
  <c r="L4102" i="1"/>
  <c r="K4102" i="1"/>
  <c r="L4101" i="1"/>
  <c r="K4101" i="1"/>
  <c r="L4100" i="1"/>
  <c r="K4100" i="1"/>
  <c r="L4099" i="1"/>
  <c r="K4099" i="1"/>
  <c r="L4098" i="1"/>
  <c r="K4098" i="1"/>
  <c r="L4097" i="1"/>
  <c r="K4097" i="1"/>
  <c r="L4096" i="1"/>
  <c r="K4096" i="1"/>
  <c r="L4095" i="1"/>
  <c r="K4095" i="1"/>
  <c r="L4094" i="1"/>
  <c r="K4094" i="1"/>
  <c r="L4092" i="1"/>
  <c r="K4092" i="1"/>
  <c r="L4091" i="1"/>
  <c r="K4091" i="1"/>
  <c r="L4090" i="1"/>
  <c r="K4090" i="1"/>
  <c r="L4089" i="1"/>
  <c r="K4089" i="1"/>
  <c r="L4088" i="1"/>
  <c r="K4088" i="1"/>
  <c r="L4087" i="1"/>
  <c r="K4087" i="1"/>
  <c r="L4086" i="1"/>
  <c r="K4086" i="1"/>
  <c r="L4085" i="1"/>
  <c r="K4085" i="1"/>
  <c r="L4084" i="1"/>
  <c r="K4084" i="1"/>
  <c r="L4083" i="1"/>
  <c r="K4083" i="1"/>
  <c r="L4082" i="1"/>
  <c r="K4082" i="1"/>
  <c r="L4081" i="1"/>
  <c r="K4081" i="1"/>
  <c r="L4080" i="1"/>
  <c r="K4080" i="1"/>
  <c r="L4079" i="1"/>
  <c r="K4079" i="1"/>
  <c r="L4078" i="1"/>
  <c r="K4078" i="1"/>
  <c r="L4077" i="1"/>
  <c r="K4077" i="1"/>
  <c r="L4076" i="1"/>
  <c r="K4076" i="1"/>
  <c r="L4075" i="1"/>
  <c r="K4075" i="1"/>
  <c r="L4074" i="1"/>
  <c r="K4074" i="1"/>
  <c r="L4073" i="1"/>
  <c r="K4073" i="1"/>
  <c r="L4072" i="1"/>
  <c r="K4072" i="1"/>
  <c r="L4071" i="1"/>
  <c r="K4071" i="1"/>
  <c r="L4070" i="1"/>
  <c r="K4070" i="1"/>
  <c r="L4069" i="1"/>
  <c r="K4069" i="1"/>
  <c r="L4068" i="1"/>
  <c r="K4068" i="1"/>
  <c r="L4067" i="1"/>
  <c r="K4067" i="1"/>
  <c r="L4066" i="1"/>
  <c r="K4066" i="1"/>
  <c r="L4065" i="1"/>
  <c r="K4065" i="1"/>
  <c r="L4064" i="1"/>
  <c r="K4064" i="1"/>
  <c r="L4063" i="1"/>
  <c r="K4063" i="1"/>
  <c r="L4062" i="1"/>
  <c r="K4062" i="1"/>
  <c r="L4061" i="1"/>
  <c r="K4061" i="1"/>
  <c r="L4060" i="1"/>
  <c r="K4060" i="1"/>
  <c r="L4059" i="1"/>
  <c r="K4059" i="1"/>
  <c r="L4058" i="1"/>
  <c r="K4058" i="1"/>
  <c r="L4057" i="1"/>
  <c r="K4057" i="1"/>
  <c r="L4056" i="1"/>
  <c r="K4056" i="1"/>
  <c r="L4055" i="1"/>
  <c r="K4055" i="1"/>
  <c r="L4054" i="1"/>
  <c r="K4054" i="1"/>
  <c r="L4053" i="1"/>
  <c r="K4053" i="1"/>
  <c r="L4052" i="1"/>
  <c r="K4052" i="1"/>
  <c r="L4051" i="1"/>
  <c r="K4051" i="1"/>
  <c r="L4050" i="1"/>
  <c r="K4050" i="1"/>
  <c r="L4049" i="1"/>
  <c r="K4049" i="1"/>
  <c r="L4048" i="1"/>
  <c r="K4048" i="1"/>
  <c r="L4047" i="1"/>
  <c r="K4047" i="1"/>
  <c r="L4046" i="1"/>
  <c r="K4046" i="1"/>
  <c r="L4045" i="1"/>
  <c r="K4045" i="1"/>
  <c r="L4044" i="1"/>
  <c r="K4044" i="1"/>
  <c r="L4043" i="1"/>
  <c r="K4043" i="1"/>
  <c r="L4042" i="1"/>
  <c r="K4042" i="1"/>
  <c r="L4041" i="1"/>
  <c r="K4041" i="1"/>
  <c r="L4040" i="1"/>
  <c r="K4040" i="1"/>
  <c r="L4039" i="1"/>
  <c r="K4039" i="1"/>
  <c r="L4038" i="1"/>
  <c r="K4038" i="1"/>
  <c r="L4037" i="1"/>
  <c r="K4037" i="1"/>
  <c r="L4023" i="1"/>
  <c r="K4023" i="1"/>
  <c r="L4022" i="1"/>
  <c r="K4022" i="1"/>
  <c r="L4021" i="1"/>
  <c r="K4021" i="1"/>
  <c r="L4020" i="1"/>
  <c r="K4020" i="1"/>
  <c r="L4019" i="1"/>
  <c r="K4019" i="1"/>
  <c r="L4018" i="1"/>
  <c r="K4018" i="1"/>
  <c r="L4017" i="1"/>
  <c r="K4017" i="1"/>
  <c r="L4016" i="1"/>
  <c r="K4016" i="1"/>
  <c r="L4015" i="1"/>
  <c r="K4015" i="1"/>
  <c r="L4014" i="1"/>
  <c r="K4014" i="1"/>
  <c r="L4012" i="1"/>
  <c r="K4012" i="1"/>
  <c r="L4011" i="1"/>
  <c r="K4011" i="1"/>
  <c r="L4010" i="1"/>
  <c r="K4010" i="1"/>
  <c r="L4009" i="1"/>
  <c r="K4009" i="1"/>
  <c r="L4008" i="1"/>
  <c r="K4008" i="1"/>
  <c r="L4006" i="1"/>
  <c r="K4006" i="1"/>
  <c r="L4005" i="1"/>
  <c r="K4005" i="1"/>
  <c r="L4004" i="1"/>
  <c r="K4004" i="1"/>
  <c r="L4003" i="1"/>
  <c r="K4003" i="1"/>
  <c r="L3991" i="1"/>
  <c r="K3991" i="1"/>
  <c r="L3989" i="1"/>
  <c r="K3989" i="1"/>
  <c r="L3988" i="1"/>
  <c r="K3988" i="1"/>
  <c r="L3987" i="1"/>
  <c r="K3987" i="1"/>
  <c r="L3986" i="1"/>
  <c r="K3986" i="1"/>
  <c r="L3985" i="1"/>
  <c r="K3985" i="1"/>
  <c r="L3984" i="1"/>
  <c r="K3984" i="1"/>
  <c r="L3983" i="1"/>
  <c r="K3983" i="1"/>
  <c r="L3982" i="1"/>
  <c r="K3982" i="1"/>
  <c r="L3980" i="1"/>
  <c r="K3980" i="1"/>
  <c r="L3979" i="1"/>
  <c r="K3979" i="1"/>
  <c r="L3978" i="1"/>
  <c r="K3978" i="1"/>
  <c r="L3977" i="1"/>
  <c r="K3977" i="1"/>
  <c r="L3976" i="1"/>
  <c r="K3976" i="1"/>
  <c r="L3975" i="1"/>
  <c r="K3975" i="1"/>
  <c r="L3974" i="1"/>
  <c r="K3974" i="1"/>
  <c r="L3973" i="1"/>
  <c r="K3973" i="1"/>
  <c r="L3972" i="1"/>
  <c r="K3972" i="1"/>
  <c r="L3971" i="1"/>
  <c r="K3971" i="1"/>
  <c r="L3970" i="1"/>
  <c r="K3970" i="1"/>
  <c r="L3969" i="1"/>
  <c r="K3969" i="1"/>
  <c r="L3968" i="1"/>
  <c r="K3968" i="1"/>
  <c r="L3967" i="1"/>
  <c r="K3967" i="1"/>
  <c r="L3966" i="1"/>
  <c r="K3966" i="1"/>
  <c r="L3965" i="1"/>
  <c r="K3965" i="1"/>
  <c r="L3964" i="1"/>
  <c r="K3964" i="1"/>
  <c r="L3963" i="1"/>
  <c r="K3963" i="1"/>
  <c r="L3962" i="1"/>
  <c r="K3962" i="1"/>
  <c r="L3961" i="1"/>
  <c r="K3961" i="1"/>
  <c r="L3960" i="1"/>
  <c r="K3960" i="1"/>
  <c r="L3959" i="1"/>
  <c r="K3959" i="1"/>
  <c r="L3957" i="1"/>
  <c r="K3957" i="1"/>
  <c r="L3955" i="1"/>
  <c r="K3955" i="1"/>
  <c r="L3954" i="1"/>
  <c r="K3954" i="1"/>
  <c r="L3952" i="1"/>
  <c r="K3952" i="1"/>
  <c r="L3949" i="1"/>
  <c r="K3949" i="1"/>
  <c r="L3948" i="1"/>
  <c r="K3948" i="1"/>
  <c r="L3947" i="1"/>
  <c r="K3947" i="1"/>
  <c r="L3945" i="1"/>
  <c r="K3945" i="1"/>
  <c r="L3944" i="1"/>
  <c r="K3944" i="1"/>
  <c r="L3943" i="1"/>
  <c r="K3943" i="1"/>
  <c r="L3942" i="1"/>
  <c r="K3942" i="1"/>
  <c r="L3941" i="1"/>
  <c r="K3941" i="1"/>
  <c r="L3940" i="1"/>
  <c r="K3940" i="1"/>
  <c r="L3939" i="1"/>
  <c r="K3939" i="1"/>
  <c r="L3938" i="1"/>
  <c r="K3938" i="1"/>
  <c r="L3937" i="1"/>
  <c r="K3937" i="1"/>
  <c r="L3936" i="1"/>
  <c r="K3936" i="1"/>
  <c r="L3935" i="1"/>
  <c r="K3935" i="1"/>
  <c r="L3934" i="1"/>
  <c r="K3934" i="1"/>
  <c r="L3933" i="1"/>
  <c r="K3933" i="1"/>
  <c r="L3932" i="1"/>
  <c r="K3932" i="1"/>
  <c r="L3931" i="1"/>
  <c r="K3931" i="1"/>
  <c r="L3930" i="1"/>
  <c r="K3930" i="1"/>
  <c r="L3929" i="1"/>
  <c r="K3929" i="1"/>
  <c r="L3928" i="1"/>
  <c r="K3928" i="1"/>
  <c r="L3927" i="1"/>
  <c r="K3927" i="1"/>
  <c r="L3926" i="1"/>
  <c r="K3926" i="1"/>
  <c r="L3924" i="1"/>
  <c r="K3924" i="1"/>
  <c r="L3923" i="1"/>
  <c r="K3923" i="1"/>
  <c r="L3922" i="1"/>
  <c r="K3922" i="1"/>
  <c r="L3921" i="1"/>
  <c r="K3921" i="1"/>
  <c r="L3920" i="1"/>
  <c r="K3920" i="1"/>
  <c r="L3919" i="1"/>
  <c r="K3919" i="1"/>
  <c r="L3918" i="1"/>
  <c r="K3918" i="1"/>
  <c r="L3917" i="1"/>
  <c r="K3917" i="1"/>
  <c r="L3916" i="1"/>
  <c r="K3916" i="1"/>
  <c r="L3915" i="1"/>
  <c r="K3915" i="1"/>
  <c r="L3914" i="1"/>
  <c r="K3914" i="1"/>
  <c r="L3913" i="1"/>
  <c r="K3913" i="1"/>
  <c r="L3912" i="1"/>
  <c r="K3912" i="1"/>
  <c r="L3911" i="1"/>
  <c r="K3911" i="1"/>
  <c r="L3910" i="1"/>
  <c r="K3910" i="1"/>
  <c r="L3909" i="1"/>
  <c r="K3909" i="1"/>
  <c r="L3908" i="1"/>
  <c r="K3908" i="1"/>
  <c r="L3907" i="1"/>
  <c r="K3907" i="1"/>
  <c r="L3906" i="1"/>
  <c r="K3906" i="1"/>
  <c r="L3905" i="1"/>
  <c r="K3905" i="1"/>
  <c r="L3904" i="1"/>
  <c r="K3904" i="1"/>
  <c r="L3903" i="1"/>
  <c r="K3903" i="1"/>
  <c r="L3902" i="1"/>
  <c r="K3902" i="1"/>
  <c r="L3901" i="1"/>
  <c r="K3901" i="1"/>
  <c r="L3900" i="1"/>
  <c r="K3900" i="1"/>
  <c r="L3899" i="1"/>
  <c r="K3899" i="1"/>
  <c r="L3898" i="1"/>
  <c r="K3898" i="1"/>
  <c r="L3897" i="1"/>
  <c r="K3897" i="1"/>
  <c r="L3892" i="1"/>
  <c r="K3892" i="1"/>
  <c r="L3891" i="1"/>
  <c r="K3891" i="1"/>
  <c r="L3890" i="1"/>
  <c r="K3890" i="1"/>
  <c r="L3889" i="1"/>
  <c r="K3889" i="1"/>
  <c r="L3888" i="1"/>
  <c r="K3888" i="1"/>
  <c r="L3887" i="1"/>
  <c r="K3887" i="1"/>
  <c r="L3886" i="1"/>
  <c r="K3886" i="1"/>
  <c r="L3885" i="1"/>
  <c r="K3885" i="1"/>
  <c r="L3884" i="1"/>
  <c r="K3884" i="1"/>
  <c r="L3883" i="1"/>
  <c r="K3883" i="1"/>
  <c r="L3882" i="1"/>
  <c r="K3882" i="1"/>
  <c r="L3881" i="1"/>
  <c r="K3881" i="1"/>
  <c r="L3880" i="1"/>
  <c r="K3880" i="1"/>
  <c r="L3879" i="1"/>
  <c r="K3879" i="1"/>
  <c r="L3878" i="1"/>
  <c r="K3878" i="1"/>
  <c r="L3877" i="1"/>
  <c r="K3877" i="1"/>
  <c r="L3876" i="1"/>
  <c r="K3876" i="1"/>
  <c r="L3875" i="1"/>
  <c r="K3875" i="1"/>
  <c r="L3874" i="1"/>
  <c r="K3874" i="1"/>
  <c r="L3873" i="1"/>
  <c r="K3873" i="1"/>
  <c r="L3872" i="1"/>
  <c r="K3872" i="1"/>
  <c r="L3871" i="1"/>
  <c r="K3871" i="1"/>
  <c r="L3868" i="1"/>
  <c r="K3868" i="1"/>
  <c r="L3867" i="1"/>
  <c r="K3867" i="1"/>
  <c r="L3866" i="1"/>
  <c r="K3866" i="1"/>
  <c r="L3865" i="1"/>
  <c r="K3865" i="1"/>
  <c r="L3864" i="1"/>
  <c r="K3864" i="1"/>
  <c r="L3863" i="1"/>
  <c r="K3863" i="1"/>
  <c r="L3862" i="1"/>
  <c r="K3862" i="1"/>
  <c r="L3859" i="1"/>
  <c r="K3859" i="1"/>
  <c r="L3857" i="1"/>
  <c r="K3857" i="1"/>
  <c r="L3856" i="1"/>
  <c r="K3856" i="1"/>
  <c r="L3855" i="1"/>
  <c r="K3855" i="1"/>
  <c r="L3854" i="1"/>
  <c r="K3854" i="1"/>
  <c r="L3853" i="1"/>
  <c r="K3853" i="1"/>
  <c r="L3852" i="1"/>
  <c r="K3852" i="1"/>
  <c r="L3851" i="1"/>
  <c r="K3851" i="1"/>
  <c r="L3850" i="1"/>
  <c r="K3850" i="1"/>
  <c r="L3849" i="1"/>
  <c r="K3849" i="1"/>
  <c r="L3848" i="1"/>
  <c r="K3848" i="1"/>
  <c r="L3846" i="1"/>
  <c r="K3846" i="1"/>
  <c r="L3845" i="1"/>
  <c r="K3845" i="1"/>
  <c r="L3843" i="1"/>
  <c r="K3843" i="1"/>
  <c r="L3842" i="1"/>
  <c r="K3842" i="1"/>
  <c r="L3841" i="1"/>
  <c r="K3841" i="1"/>
  <c r="L3839" i="1"/>
  <c r="K3839" i="1"/>
  <c r="L3837" i="1"/>
  <c r="K3837" i="1"/>
  <c r="L3836" i="1"/>
  <c r="K3836" i="1"/>
  <c r="L3835" i="1"/>
  <c r="K3835" i="1"/>
  <c r="L3834" i="1"/>
  <c r="K3834" i="1"/>
  <c r="L3833" i="1"/>
  <c r="K3833" i="1"/>
  <c r="L3832" i="1"/>
  <c r="K3832" i="1"/>
  <c r="L3831" i="1"/>
  <c r="K3831" i="1"/>
  <c r="L3830" i="1"/>
  <c r="K3830" i="1"/>
  <c r="L3829" i="1"/>
  <c r="K3829" i="1"/>
  <c r="L3826" i="1"/>
  <c r="K3826" i="1"/>
  <c r="L3825" i="1"/>
  <c r="K3825" i="1"/>
  <c r="L3824" i="1"/>
  <c r="K3824" i="1"/>
  <c r="L3823" i="1"/>
  <c r="K3823" i="1"/>
  <c r="L3822" i="1"/>
  <c r="K3822" i="1"/>
  <c r="L3821" i="1"/>
  <c r="K3821" i="1"/>
  <c r="L3819" i="1"/>
  <c r="K3819" i="1"/>
  <c r="L3818" i="1"/>
  <c r="K3818" i="1"/>
  <c r="L3817" i="1"/>
  <c r="K3817" i="1"/>
  <c r="L3816" i="1"/>
  <c r="K3816" i="1"/>
  <c r="L3815" i="1"/>
  <c r="K3815" i="1"/>
  <c r="L3814" i="1"/>
  <c r="K3814" i="1"/>
  <c r="L3812" i="1"/>
  <c r="K3812" i="1"/>
  <c r="L3811" i="1"/>
  <c r="K3811" i="1"/>
  <c r="L3810" i="1"/>
  <c r="K3810" i="1"/>
  <c r="L3809" i="1"/>
  <c r="K3809" i="1"/>
  <c r="L3808" i="1"/>
  <c r="K3808" i="1"/>
  <c r="L3807" i="1"/>
  <c r="K3807" i="1"/>
  <c r="L3806" i="1"/>
  <c r="K3806" i="1"/>
  <c r="L3805" i="1"/>
  <c r="K3805" i="1"/>
  <c r="L3804" i="1"/>
  <c r="K3804" i="1"/>
  <c r="L3803" i="1"/>
  <c r="K3803" i="1"/>
  <c r="L3801" i="1"/>
  <c r="K3801" i="1"/>
  <c r="L3800" i="1"/>
  <c r="K3800" i="1"/>
  <c r="L3799" i="1"/>
  <c r="K3799" i="1"/>
  <c r="L3798" i="1"/>
  <c r="K3798" i="1"/>
  <c r="L3797" i="1"/>
  <c r="K3797" i="1"/>
  <c r="L3796" i="1"/>
  <c r="K3796" i="1"/>
  <c r="L3795" i="1"/>
  <c r="K3795" i="1"/>
  <c r="L3794" i="1"/>
  <c r="K3794" i="1"/>
  <c r="L3793" i="1"/>
  <c r="K3793" i="1"/>
  <c r="L3792" i="1"/>
  <c r="K3792" i="1"/>
  <c r="L3791" i="1"/>
  <c r="K3791" i="1"/>
  <c r="L3790" i="1"/>
  <c r="K3790" i="1"/>
  <c r="L3789" i="1"/>
  <c r="K3789" i="1"/>
  <c r="L3788" i="1"/>
  <c r="K3788" i="1"/>
  <c r="L3786" i="1"/>
  <c r="K3786" i="1"/>
  <c r="L3785" i="1"/>
  <c r="K3785" i="1"/>
  <c r="L3784" i="1"/>
  <c r="K3784" i="1"/>
  <c r="L3783" i="1"/>
  <c r="K3783" i="1"/>
  <c r="L3782" i="1"/>
  <c r="K3782" i="1"/>
  <c r="L3780" i="1"/>
  <c r="K3780" i="1"/>
  <c r="L3779" i="1"/>
  <c r="K3779" i="1"/>
  <c r="L3778" i="1"/>
  <c r="K3778" i="1"/>
  <c r="L3777" i="1"/>
  <c r="K3777" i="1"/>
  <c r="L3776" i="1"/>
  <c r="K3776" i="1"/>
  <c r="L3774" i="1"/>
  <c r="K3774" i="1"/>
  <c r="L3773" i="1"/>
  <c r="K3773" i="1"/>
  <c r="L3772" i="1"/>
  <c r="K3772" i="1"/>
  <c r="L3771" i="1"/>
  <c r="K3771" i="1"/>
  <c r="L3770" i="1"/>
  <c r="K3770" i="1"/>
  <c r="L3769" i="1"/>
  <c r="K3769" i="1"/>
  <c r="L3768" i="1"/>
  <c r="K3768" i="1"/>
  <c r="L3767" i="1"/>
  <c r="K3767" i="1"/>
  <c r="L3764" i="1"/>
  <c r="K3764" i="1"/>
  <c r="L3763" i="1"/>
  <c r="K3763" i="1"/>
  <c r="L3762" i="1"/>
  <c r="K3762" i="1"/>
  <c r="L3761" i="1"/>
  <c r="K3761" i="1"/>
  <c r="L3760" i="1"/>
  <c r="K3760" i="1"/>
  <c r="L3759" i="1"/>
  <c r="K3759" i="1"/>
  <c r="L3758" i="1"/>
  <c r="K3758" i="1"/>
  <c r="L3757" i="1"/>
  <c r="K3757" i="1"/>
  <c r="L3756" i="1"/>
  <c r="K3756" i="1"/>
  <c r="L3755" i="1"/>
  <c r="K3755" i="1"/>
  <c r="L3754" i="1"/>
  <c r="K3754" i="1"/>
  <c r="L3753" i="1"/>
  <c r="K3753" i="1"/>
  <c r="L3752" i="1"/>
  <c r="K3752" i="1"/>
  <c r="L3751" i="1"/>
  <c r="K3751" i="1"/>
  <c r="L3750" i="1"/>
  <c r="K3750" i="1"/>
  <c r="L3749" i="1"/>
  <c r="K3749" i="1"/>
  <c r="L3748" i="1"/>
  <c r="K3748" i="1"/>
  <c r="L3747" i="1"/>
  <c r="K3747" i="1"/>
  <c r="L3746" i="1"/>
  <c r="K3746" i="1"/>
  <c r="L3745" i="1"/>
  <c r="K3745" i="1"/>
  <c r="L3744" i="1"/>
  <c r="K3744" i="1"/>
  <c r="L3743" i="1"/>
  <c r="K3743" i="1"/>
  <c r="L3741" i="1"/>
  <c r="K3741" i="1"/>
  <c r="L3740" i="1"/>
  <c r="K3740" i="1"/>
  <c r="L3739" i="1"/>
  <c r="K3739" i="1"/>
  <c r="L3738" i="1"/>
  <c r="K3738" i="1"/>
  <c r="L3737" i="1"/>
  <c r="K3737" i="1"/>
  <c r="L3736" i="1"/>
  <c r="K3736" i="1"/>
  <c r="L3735" i="1"/>
  <c r="K3735" i="1"/>
  <c r="L3734" i="1"/>
  <c r="K3734" i="1"/>
  <c r="L3733" i="1"/>
  <c r="K3733" i="1"/>
  <c r="L3732" i="1"/>
  <c r="K3732" i="1"/>
  <c r="L3729" i="1"/>
  <c r="K3729" i="1"/>
  <c r="L3728" i="1"/>
  <c r="K3728" i="1"/>
  <c r="L3727" i="1"/>
  <c r="K3727" i="1"/>
  <c r="L3726" i="1"/>
  <c r="K3726" i="1"/>
  <c r="L3725" i="1"/>
  <c r="K3725" i="1"/>
  <c r="L3724" i="1"/>
  <c r="K3724" i="1"/>
  <c r="L3723" i="1"/>
  <c r="K3723" i="1"/>
  <c r="L3722" i="1"/>
  <c r="K3722" i="1"/>
  <c r="L3721" i="1"/>
  <c r="K3721" i="1"/>
  <c r="L3720" i="1"/>
  <c r="K3720" i="1"/>
  <c r="L3719" i="1"/>
  <c r="K3719" i="1"/>
  <c r="L3718" i="1"/>
  <c r="K3718" i="1"/>
  <c r="L3717" i="1"/>
  <c r="K3717" i="1"/>
  <c r="L3716" i="1"/>
  <c r="K3716" i="1"/>
  <c r="L3715" i="1"/>
  <c r="K3715" i="1"/>
  <c r="L3714" i="1"/>
  <c r="K3714" i="1"/>
  <c r="L3713" i="1"/>
  <c r="K3713" i="1"/>
  <c r="L3712" i="1"/>
  <c r="K3712" i="1"/>
  <c r="L3710" i="1"/>
  <c r="K3710" i="1"/>
  <c r="L3709" i="1"/>
  <c r="K3709" i="1"/>
  <c r="L3708" i="1"/>
  <c r="K3708" i="1"/>
  <c r="L3707" i="1"/>
  <c r="K3707" i="1"/>
  <c r="L3706" i="1"/>
  <c r="K3706" i="1"/>
  <c r="L3705" i="1"/>
  <c r="K3705" i="1"/>
  <c r="L3704" i="1"/>
  <c r="K3704" i="1"/>
  <c r="L3703" i="1"/>
  <c r="K3703" i="1"/>
  <c r="L3702" i="1"/>
  <c r="K3702" i="1"/>
  <c r="L3701" i="1"/>
  <c r="K3701" i="1"/>
  <c r="L3700" i="1"/>
  <c r="K3700" i="1"/>
  <c r="L3699" i="1"/>
  <c r="K3699" i="1"/>
  <c r="L3698" i="1"/>
  <c r="K3698" i="1"/>
  <c r="L3697" i="1"/>
  <c r="K3697" i="1"/>
  <c r="L3696" i="1"/>
  <c r="K3696" i="1"/>
  <c r="L3695" i="1"/>
  <c r="K3695" i="1"/>
  <c r="L3694" i="1"/>
  <c r="K3694" i="1"/>
  <c r="L3693" i="1"/>
  <c r="K3693" i="1"/>
  <c r="L3692" i="1"/>
  <c r="K3692" i="1"/>
  <c r="L3691" i="1"/>
  <c r="K3691" i="1"/>
  <c r="L3690" i="1"/>
  <c r="K3690" i="1"/>
  <c r="L3689" i="1"/>
  <c r="K3689" i="1"/>
  <c r="L3688" i="1"/>
  <c r="K3688" i="1"/>
  <c r="L3687" i="1"/>
  <c r="K3687" i="1"/>
  <c r="L3686" i="1"/>
  <c r="K3686" i="1"/>
  <c r="L3685" i="1"/>
  <c r="K3685" i="1"/>
  <c r="L3684" i="1"/>
  <c r="K3684" i="1"/>
  <c r="L3683" i="1"/>
  <c r="K3683" i="1"/>
  <c r="L3682" i="1"/>
  <c r="K3682" i="1"/>
  <c r="L3681" i="1"/>
  <c r="K3681" i="1"/>
  <c r="L3680" i="1"/>
  <c r="K3680" i="1"/>
  <c r="L3679" i="1"/>
  <c r="K3679" i="1"/>
  <c r="L3678" i="1"/>
  <c r="K3678" i="1"/>
  <c r="L3677" i="1"/>
  <c r="K3677" i="1"/>
  <c r="L3676" i="1"/>
  <c r="K3676" i="1"/>
  <c r="L3675" i="1"/>
  <c r="K3675" i="1"/>
  <c r="L3674" i="1"/>
  <c r="K3674" i="1"/>
  <c r="L3673" i="1"/>
  <c r="K3673" i="1"/>
  <c r="L3672" i="1"/>
  <c r="K3672" i="1"/>
  <c r="L3671" i="1"/>
  <c r="K3671" i="1"/>
  <c r="L3670" i="1"/>
  <c r="K3670" i="1"/>
  <c r="L3669" i="1"/>
  <c r="K3669" i="1"/>
  <c r="L3668" i="1"/>
  <c r="K3668" i="1"/>
  <c r="L3667" i="1"/>
  <c r="K3667" i="1"/>
  <c r="L3666" i="1"/>
  <c r="K3666" i="1"/>
  <c r="L3665" i="1"/>
  <c r="K3665" i="1"/>
  <c r="L3664" i="1"/>
  <c r="K3664" i="1"/>
  <c r="L3663" i="1"/>
  <c r="K3663" i="1"/>
  <c r="L3662" i="1"/>
  <c r="K3662" i="1"/>
  <c r="L3661" i="1"/>
  <c r="K3661" i="1"/>
  <c r="L3660" i="1"/>
  <c r="K3660" i="1"/>
  <c r="L3659" i="1"/>
  <c r="K3659" i="1"/>
  <c r="L3658" i="1"/>
  <c r="K3658" i="1"/>
  <c r="L3657" i="1"/>
  <c r="K3657" i="1"/>
  <c r="L3656" i="1"/>
  <c r="K3656" i="1"/>
  <c r="L3655" i="1"/>
  <c r="K3655" i="1"/>
  <c r="L3654" i="1"/>
  <c r="K3654" i="1"/>
  <c r="L3653" i="1"/>
  <c r="K3653" i="1"/>
  <c r="L3652" i="1"/>
  <c r="K3652" i="1"/>
  <c r="L3651" i="1"/>
  <c r="K3651" i="1"/>
  <c r="L3650" i="1"/>
  <c r="K3650" i="1"/>
  <c r="L3649" i="1"/>
  <c r="K3649" i="1"/>
  <c r="L3648" i="1"/>
  <c r="K3648" i="1"/>
  <c r="L3647" i="1"/>
  <c r="K3647" i="1"/>
  <c r="L3646" i="1"/>
  <c r="K3646" i="1"/>
  <c r="L3645" i="1"/>
  <c r="K3645" i="1"/>
  <c r="L3643" i="1"/>
  <c r="K3643" i="1"/>
  <c r="L3642" i="1"/>
  <c r="K3642" i="1"/>
  <c r="L3641" i="1"/>
  <c r="K3641" i="1"/>
  <c r="L3640" i="1"/>
  <c r="K3640" i="1"/>
  <c r="L3639" i="1"/>
  <c r="K3639" i="1"/>
  <c r="L3638" i="1"/>
  <c r="K3638" i="1"/>
  <c r="L3637" i="1"/>
  <c r="K3637" i="1"/>
  <c r="L3636" i="1"/>
  <c r="K3636" i="1"/>
  <c r="L3635" i="1"/>
  <c r="K3635" i="1"/>
  <c r="L3634" i="1"/>
  <c r="K3634" i="1"/>
  <c r="L3633" i="1"/>
  <c r="K3633" i="1"/>
  <c r="L3632" i="1"/>
  <c r="K3632" i="1"/>
  <c r="L3631" i="1"/>
  <c r="K3631" i="1"/>
  <c r="L3630" i="1"/>
  <c r="K3630" i="1"/>
  <c r="L3629" i="1"/>
  <c r="K3629" i="1"/>
  <c r="L3628" i="1"/>
  <c r="K3628" i="1"/>
  <c r="L3627" i="1"/>
  <c r="K3627" i="1"/>
  <c r="L3626" i="1"/>
  <c r="K3626" i="1"/>
  <c r="L3625" i="1"/>
  <c r="K3625" i="1"/>
  <c r="L3624" i="1"/>
  <c r="K3624" i="1"/>
  <c r="L3623" i="1"/>
  <c r="K3623" i="1"/>
  <c r="L3622" i="1"/>
  <c r="K3622" i="1"/>
  <c r="L3621" i="1"/>
  <c r="K3621" i="1"/>
  <c r="L3620" i="1"/>
  <c r="K3620" i="1"/>
  <c r="L3619" i="1"/>
  <c r="K3619" i="1"/>
  <c r="L3618" i="1"/>
  <c r="K3618" i="1"/>
  <c r="L3617" i="1"/>
  <c r="K3617" i="1"/>
  <c r="L3616" i="1"/>
  <c r="K3616" i="1"/>
  <c r="L3615" i="1"/>
  <c r="K3615" i="1"/>
  <c r="L3614" i="1"/>
  <c r="K3614" i="1"/>
  <c r="L3613" i="1"/>
  <c r="K3613" i="1"/>
  <c r="L3612" i="1"/>
  <c r="K3612" i="1"/>
  <c r="L3611" i="1"/>
  <c r="K3611" i="1"/>
  <c r="L3610" i="1"/>
  <c r="K3610" i="1"/>
  <c r="L3609" i="1"/>
  <c r="K3609" i="1"/>
  <c r="L3608" i="1"/>
  <c r="K3608" i="1"/>
  <c r="L3607" i="1"/>
  <c r="K3607" i="1"/>
  <c r="L3606" i="1"/>
  <c r="K3606" i="1"/>
  <c r="L3605" i="1"/>
  <c r="K3605" i="1"/>
  <c r="L3602" i="1"/>
  <c r="K3602" i="1"/>
  <c r="L3601" i="1"/>
  <c r="K3601" i="1"/>
  <c r="L3600" i="1"/>
  <c r="K3600" i="1"/>
  <c r="L3599" i="1"/>
  <c r="K3599" i="1"/>
  <c r="L3598" i="1"/>
  <c r="K3598" i="1"/>
  <c r="L3597" i="1"/>
  <c r="K3597" i="1"/>
  <c r="L3596" i="1"/>
  <c r="K3596" i="1"/>
  <c r="L3595" i="1"/>
  <c r="K3595" i="1"/>
  <c r="L3594" i="1"/>
  <c r="K3594" i="1"/>
  <c r="L3593" i="1"/>
  <c r="K3593" i="1"/>
  <c r="L3592" i="1"/>
  <c r="K3592" i="1"/>
  <c r="L3590" i="1"/>
  <c r="K3590" i="1"/>
  <c r="L3589" i="1"/>
  <c r="K3589" i="1"/>
  <c r="L3588" i="1"/>
  <c r="K3588" i="1"/>
  <c r="L3586" i="1"/>
  <c r="K3586" i="1"/>
  <c r="L3585" i="1"/>
  <c r="K3585" i="1"/>
  <c r="L3584" i="1"/>
  <c r="K3584" i="1"/>
  <c r="L3583" i="1"/>
  <c r="K3583" i="1"/>
  <c r="L3582" i="1"/>
  <c r="K3582" i="1"/>
  <c r="L3581" i="1"/>
  <c r="K3581" i="1"/>
  <c r="L3580" i="1"/>
  <c r="K3580" i="1"/>
  <c r="L3579" i="1"/>
  <c r="K3579" i="1"/>
  <c r="L3577" i="1"/>
  <c r="K3577" i="1"/>
  <c r="L3576" i="1"/>
  <c r="K3576" i="1"/>
  <c r="L3575" i="1"/>
  <c r="K3575" i="1"/>
  <c r="L3574" i="1"/>
  <c r="K3574" i="1"/>
  <c r="L3573" i="1"/>
  <c r="K3573" i="1"/>
  <c r="L3572" i="1"/>
  <c r="K3572" i="1"/>
  <c r="L3571" i="1"/>
  <c r="K3571" i="1"/>
  <c r="L3570" i="1"/>
  <c r="K3570" i="1"/>
  <c r="L3569" i="1"/>
  <c r="K3569" i="1"/>
  <c r="L3568" i="1"/>
  <c r="K3568" i="1"/>
  <c r="L3567" i="1"/>
  <c r="K3567" i="1"/>
  <c r="L3566" i="1"/>
  <c r="K3566" i="1"/>
  <c r="L3565" i="1"/>
  <c r="K3565" i="1"/>
  <c r="L3564" i="1"/>
  <c r="K3564" i="1"/>
  <c r="L3563" i="1"/>
  <c r="K3563" i="1"/>
  <c r="L3562" i="1"/>
  <c r="K3562" i="1"/>
  <c r="L3561" i="1"/>
  <c r="K3561" i="1"/>
  <c r="L3560" i="1"/>
  <c r="K3560" i="1"/>
  <c r="L3558" i="1"/>
  <c r="K3558" i="1"/>
  <c r="L3557" i="1"/>
  <c r="K3557" i="1"/>
  <c r="L3556" i="1"/>
  <c r="K3556" i="1"/>
  <c r="L3555" i="1"/>
  <c r="K3555" i="1"/>
  <c r="L3554" i="1"/>
  <c r="K3554" i="1"/>
  <c r="L3553" i="1"/>
  <c r="K3553" i="1"/>
  <c r="L3552" i="1"/>
  <c r="K3552" i="1"/>
  <c r="L3551" i="1"/>
  <c r="K3551" i="1"/>
  <c r="L3550" i="1"/>
  <c r="K3550" i="1"/>
  <c r="L3549" i="1"/>
  <c r="K3549" i="1"/>
  <c r="L3548" i="1"/>
  <c r="K3548" i="1"/>
  <c r="L3547" i="1"/>
  <c r="K3547" i="1"/>
  <c r="L3546" i="1"/>
  <c r="K3546" i="1"/>
  <c r="L3545" i="1"/>
  <c r="K3545" i="1"/>
  <c r="L3544" i="1"/>
  <c r="K3544" i="1"/>
  <c r="L3543" i="1"/>
  <c r="K3543" i="1"/>
  <c r="L3542" i="1"/>
  <c r="K3542" i="1"/>
  <c r="L3541" i="1"/>
  <c r="K3541" i="1"/>
  <c r="L3540" i="1"/>
  <c r="K3540" i="1"/>
  <c r="L3539" i="1"/>
  <c r="K3539" i="1"/>
  <c r="L3538" i="1"/>
  <c r="K3538" i="1"/>
  <c r="L3537" i="1"/>
  <c r="K3537" i="1"/>
  <c r="L3536" i="1"/>
  <c r="K3536" i="1"/>
  <c r="L3535" i="1"/>
  <c r="K3535" i="1"/>
  <c r="L3534" i="1"/>
  <c r="K3534" i="1"/>
  <c r="L3533" i="1"/>
  <c r="K3533" i="1"/>
  <c r="L3532" i="1"/>
  <c r="K3532" i="1"/>
  <c r="L3531" i="1"/>
  <c r="K3531" i="1"/>
  <c r="L3530" i="1"/>
  <c r="K3530" i="1"/>
  <c r="L3529" i="1"/>
  <c r="K3529" i="1"/>
  <c r="L3528" i="1"/>
  <c r="K3528" i="1"/>
  <c r="L3527" i="1"/>
  <c r="K3527" i="1"/>
  <c r="L3526" i="1"/>
  <c r="K3526" i="1"/>
  <c r="L3525" i="1"/>
  <c r="K3525" i="1"/>
  <c r="L3524" i="1"/>
  <c r="K3524" i="1"/>
  <c r="L3523" i="1"/>
  <c r="K3523" i="1"/>
  <c r="L3522" i="1"/>
  <c r="K3522" i="1"/>
  <c r="L3521" i="1"/>
  <c r="K3521" i="1"/>
  <c r="L3520" i="1"/>
  <c r="K3520" i="1"/>
  <c r="L3519" i="1"/>
  <c r="K3519" i="1"/>
  <c r="L3518" i="1"/>
  <c r="K3518" i="1"/>
  <c r="L3517" i="1"/>
  <c r="K3517" i="1"/>
  <c r="L3516" i="1"/>
  <c r="K3516" i="1"/>
  <c r="L3515" i="1"/>
  <c r="K3515" i="1"/>
  <c r="L3514" i="1"/>
  <c r="K3514" i="1"/>
  <c r="L3513" i="1"/>
  <c r="K3513" i="1"/>
  <c r="L3512" i="1"/>
  <c r="K3512" i="1"/>
  <c r="L3511" i="1"/>
  <c r="K3511" i="1"/>
  <c r="L3510" i="1"/>
  <c r="K3510" i="1"/>
  <c r="L3509" i="1"/>
  <c r="K3509" i="1"/>
  <c r="L3508" i="1"/>
  <c r="K3508" i="1"/>
  <c r="L3507" i="1"/>
  <c r="K3507" i="1"/>
  <c r="L3506" i="1"/>
  <c r="K3506" i="1"/>
  <c r="L3505" i="1"/>
  <c r="K3505" i="1"/>
  <c r="L3504" i="1"/>
  <c r="K3504" i="1"/>
  <c r="L3503" i="1"/>
  <c r="K3503" i="1"/>
  <c r="L3502" i="1"/>
  <c r="K3502" i="1"/>
  <c r="L3501" i="1"/>
  <c r="K3501" i="1"/>
  <c r="L3499" i="1"/>
  <c r="K3499" i="1"/>
  <c r="L3498" i="1"/>
  <c r="K3498" i="1"/>
  <c r="L3497" i="1"/>
  <c r="K3497" i="1"/>
  <c r="L3496" i="1"/>
  <c r="K3496" i="1"/>
  <c r="L3495" i="1"/>
  <c r="K3495" i="1"/>
  <c r="L3493" i="1"/>
  <c r="K3493" i="1"/>
  <c r="L3492" i="1"/>
  <c r="K3492" i="1"/>
  <c r="L3491" i="1"/>
  <c r="K3491" i="1"/>
  <c r="L3490" i="1"/>
  <c r="K3490" i="1"/>
  <c r="L3489" i="1"/>
  <c r="K3489" i="1"/>
  <c r="L3488" i="1"/>
  <c r="K3488" i="1"/>
  <c r="L3487" i="1"/>
  <c r="K3487" i="1"/>
  <c r="L3486" i="1"/>
  <c r="K3486" i="1"/>
  <c r="L3485" i="1"/>
  <c r="K3485" i="1"/>
  <c r="L3484" i="1"/>
  <c r="K3484" i="1"/>
  <c r="L3483" i="1"/>
  <c r="K3483" i="1"/>
  <c r="L3482" i="1"/>
  <c r="K3482" i="1"/>
  <c r="L3481" i="1"/>
  <c r="K3481" i="1"/>
  <c r="L3480" i="1"/>
  <c r="K3480" i="1"/>
  <c r="L3479" i="1"/>
  <c r="K3479" i="1"/>
  <c r="L3478" i="1"/>
  <c r="K3478" i="1"/>
  <c r="L3477" i="1"/>
  <c r="K3477" i="1"/>
  <c r="L3476" i="1"/>
  <c r="K3476" i="1"/>
  <c r="L3475" i="1"/>
  <c r="K3475" i="1"/>
  <c r="L3474" i="1"/>
  <c r="K3474" i="1"/>
  <c r="L3473" i="1"/>
  <c r="K3473" i="1"/>
  <c r="L3472" i="1"/>
  <c r="K3472" i="1"/>
  <c r="L3471" i="1"/>
  <c r="K3471" i="1"/>
  <c r="L3470" i="1"/>
  <c r="K3470" i="1"/>
  <c r="L3469" i="1"/>
  <c r="K3469" i="1"/>
  <c r="L3468" i="1"/>
  <c r="K3468" i="1"/>
  <c r="L3467" i="1"/>
  <c r="K3467" i="1"/>
  <c r="L3466" i="1"/>
  <c r="K3466" i="1"/>
  <c r="L3465" i="1"/>
  <c r="K3465" i="1"/>
  <c r="L3464" i="1"/>
  <c r="K3464" i="1"/>
  <c r="L3463" i="1"/>
  <c r="K3463" i="1"/>
  <c r="L3462" i="1"/>
  <c r="K3462" i="1"/>
  <c r="L3461" i="1"/>
  <c r="K3461" i="1"/>
  <c r="L3460" i="1"/>
  <c r="K3460" i="1"/>
  <c r="L3459" i="1"/>
  <c r="K3459" i="1"/>
  <c r="L3458" i="1"/>
  <c r="K3458" i="1"/>
  <c r="L3457" i="1"/>
  <c r="K3457" i="1"/>
  <c r="L3456" i="1"/>
  <c r="K3456" i="1"/>
  <c r="L3455" i="1"/>
  <c r="K3455" i="1"/>
  <c r="L3454" i="1"/>
  <c r="K3454" i="1"/>
  <c r="L3453" i="1"/>
  <c r="K3453" i="1"/>
  <c r="L3452" i="1"/>
  <c r="K3452" i="1"/>
  <c r="L3451" i="1"/>
  <c r="K3451" i="1"/>
  <c r="L3450" i="1"/>
  <c r="K3450" i="1"/>
  <c r="L3449" i="1"/>
  <c r="K3449" i="1"/>
  <c r="L3448" i="1"/>
  <c r="K3448" i="1"/>
  <c r="L3447" i="1"/>
  <c r="K3447" i="1"/>
  <c r="L3446" i="1"/>
  <c r="K3446" i="1"/>
  <c r="L3445" i="1"/>
  <c r="K3445" i="1"/>
  <c r="L3444" i="1"/>
  <c r="K3444" i="1"/>
  <c r="L3443" i="1"/>
  <c r="K3443" i="1"/>
  <c r="L3442" i="1"/>
  <c r="K3442" i="1"/>
  <c r="L3441" i="1"/>
  <c r="K3441" i="1"/>
  <c r="L3440" i="1"/>
  <c r="K3440" i="1"/>
  <c r="L3439" i="1"/>
  <c r="K3439" i="1"/>
  <c r="L3438" i="1"/>
  <c r="K3438" i="1"/>
  <c r="L3437" i="1"/>
  <c r="K3437" i="1"/>
  <c r="L3436" i="1"/>
  <c r="K3436" i="1"/>
  <c r="L3435" i="1"/>
  <c r="K3435" i="1"/>
  <c r="L3434" i="1"/>
  <c r="K3434" i="1"/>
  <c r="L3433" i="1"/>
  <c r="K3433" i="1"/>
  <c r="L3432" i="1"/>
  <c r="K3432" i="1"/>
  <c r="L3431" i="1"/>
  <c r="K3431" i="1"/>
  <c r="L3430" i="1"/>
  <c r="K3430" i="1"/>
  <c r="L3429" i="1"/>
  <c r="K3429" i="1"/>
  <c r="L3428" i="1"/>
  <c r="K3428" i="1"/>
  <c r="L3426" i="1"/>
  <c r="K3426" i="1"/>
  <c r="L3425" i="1"/>
  <c r="K3425" i="1"/>
  <c r="L3424" i="1"/>
  <c r="K3424" i="1"/>
  <c r="L3423" i="1"/>
  <c r="K3423" i="1"/>
  <c r="L3422" i="1"/>
  <c r="K3422" i="1"/>
  <c r="L3418" i="1"/>
  <c r="K3418" i="1"/>
  <c r="L3417" i="1"/>
  <c r="K3417" i="1"/>
  <c r="L3416" i="1"/>
  <c r="K3416" i="1"/>
  <c r="L3415" i="1"/>
  <c r="K3415" i="1"/>
  <c r="L3414" i="1"/>
  <c r="K3414" i="1"/>
  <c r="L3413" i="1"/>
  <c r="K3413" i="1"/>
  <c r="L3412" i="1"/>
  <c r="K3412" i="1"/>
  <c r="L3411" i="1"/>
  <c r="K3411" i="1"/>
  <c r="L3410" i="1"/>
  <c r="K3410" i="1"/>
  <c r="L3409" i="1"/>
  <c r="K3409" i="1"/>
  <c r="L3408" i="1"/>
  <c r="K3408" i="1"/>
  <c r="L3406" i="1"/>
  <c r="K3406" i="1"/>
  <c r="L3405" i="1"/>
  <c r="K3405" i="1"/>
  <c r="L3404" i="1"/>
  <c r="K3404" i="1"/>
  <c r="L3403" i="1"/>
  <c r="K3403" i="1"/>
  <c r="L3402" i="1"/>
  <c r="K3402" i="1"/>
  <c r="L3401" i="1"/>
  <c r="K3401" i="1"/>
  <c r="L3400" i="1"/>
  <c r="K3400" i="1"/>
  <c r="L3399" i="1"/>
  <c r="K3399" i="1"/>
  <c r="L3398" i="1"/>
  <c r="K3398" i="1"/>
  <c r="L3397" i="1"/>
  <c r="K3397" i="1"/>
  <c r="L3396" i="1"/>
  <c r="K3396" i="1"/>
  <c r="L3395" i="1"/>
  <c r="K3395" i="1"/>
  <c r="L3394" i="1"/>
  <c r="K3394" i="1"/>
  <c r="L3393" i="1"/>
  <c r="K3393" i="1"/>
  <c r="L3392" i="1"/>
  <c r="K3392" i="1"/>
  <c r="L3391" i="1"/>
  <c r="K3391" i="1"/>
  <c r="L3390" i="1"/>
  <c r="K3390" i="1"/>
  <c r="L3389" i="1"/>
  <c r="K3389" i="1"/>
  <c r="L3388" i="1"/>
  <c r="K3388" i="1"/>
  <c r="L3387" i="1"/>
  <c r="K3387" i="1"/>
  <c r="L3386" i="1"/>
  <c r="K3386" i="1"/>
  <c r="L3385" i="1"/>
  <c r="K3385" i="1"/>
  <c r="L3384" i="1"/>
  <c r="K3384" i="1"/>
  <c r="L3379" i="1"/>
  <c r="K3379" i="1"/>
  <c r="L3378" i="1"/>
  <c r="K3378" i="1"/>
  <c r="L3377" i="1"/>
  <c r="K3377" i="1"/>
  <c r="L3376" i="1"/>
  <c r="K3376" i="1"/>
  <c r="L3375" i="1"/>
  <c r="K3375" i="1"/>
  <c r="L3374" i="1"/>
  <c r="K3374" i="1"/>
  <c r="L3373" i="1"/>
  <c r="K3373" i="1"/>
  <c r="L3372" i="1"/>
  <c r="K3372" i="1"/>
  <c r="L3371" i="1"/>
  <c r="K3371" i="1"/>
  <c r="L3370" i="1"/>
  <c r="K3370" i="1"/>
  <c r="L3369" i="1"/>
  <c r="K3369" i="1"/>
  <c r="L3368" i="1"/>
  <c r="K3368" i="1"/>
  <c r="L3367" i="1"/>
  <c r="K3367" i="1"/>
  <c r="L3366" i="1"/>
  <c r="K3366" i="1"/>
  <c r="L3365" i="1"/>
  <c r="K3365" i="1"/>
  <c r="L3364" i="1"/>
  <c r="K3364" i="1"/>
  <c r="L3363" i="1"/>
  <c r="K3363" i="1"/>
  <c r="L3362" i="1"/>
  <c r="K3362" i="1"/>
  <c r="L3361" i="1"/>
  <c r="K3361" i="1"/>
  <c r="L3360" i="1"/>
  <c r="K3360" i="1"/>
  <c r="L3359" i="1"/>
  <c r="K3359" i="1"/>
  <c r="L3358" i="1"/>
  <c r="K3358" i="1"/>
  <c r="L3357" i="1"/>
  <c r="K3357" i="1"/>
  <c r="L3356" i="1"/>
  <c r="K3356" i="1"/>
  <c r="L3355" i="1"/>
  <c r="K3355" i="1"/>
  <c r="L3354" i="1"/>
  <c r="K3354" i="1"/>
  <c r="L3353" i="1"/>
  <c r="K3353" i="1"/>
  <c r="L3352" i="1"/>
  <c r="K3352" i="1"/>
  <c r="L3351" i="1"/>
  <c r="K3351" i="1"/>
  <c r="L3350" i="1"/>
  <c r="K3350" i="1"/>
  <c r="L3349" i="1"/>
  <c r="K3349" i="1"/>
  <c r="L3348" i="1"/>
  <c r="K3348" i="1"/>
  <c r="L3347" i="1"/>
  <c r="K3347" i="1"/>
  <c r="L3346" i="1"/>
  <c r="K3346" i="1"/>
  <c r="L3345" i="1"/>
  <c r="K3345" i="1"/>
  <c r="L3343" i="1"/>
  <c r="K3343" i="1"/>
  <c r="L3342" i="1"/>
  <c r="K3342" i="1"/>
  <c r="L3341" i="1"/>
  <c r="K3341" i="1"/>
  <c r="L3340" i="1"/>
  <c r="K3340" i="1"/>
  <c r="L3339" i="1"/>
  <c r="K3339" i="1"/>
  <c r="L3338" i="1"/>
  <c r="K3338" i="1"/>
  <c r="L3337" i="1"/>
  <c r="K3337" i="1"/>
  <c r="L3336" i="1"/>
  <c r="K3336" i="1"/>
  <c r="L3335" i="1"/>
  <c r="K3335" i="1"/>
  <c r="L3334" i="1"/>
  <c r="K3334" i="1"/>
  <c r="L3333" i="1"/>
  <c r="K3333" i="1"/>
  <c r="L3332" i="1"/>
  <c r="K3332" i="1"/>
  <c r="L3331" i="1"/>
  <c r="K3331" i="1"/>
  <c r="L3330" i="1"/>
  <c r="K3330" i="1"/>
  <c r="L3329" i="1"/>
  <c r="K3329" i="1"/>
  <c r="L3328" i="1"/>
  <c r="K3328" i="1"/>
  <c r="L3327" i="1"/>
  <c r="K3327" i="1"/>
  <c r="L3326" i="1"/>
  <c r="K3326" i="1"/>
  <c r="L3325" i="1"/>
  <c r="K3325" i="1"/>
  <c r="L3324" i="1"/>
  <c r="K3324" i="1"/>
  <c r="L3323" i="1"/>
  <c r="K3323" i="1"/>
  <c r="L3322" i="1"/>
  <c r="K3322" i="1"/>
  <c r="L3321" i="1"/>
  <c r="K3321" i="1"/>
  <c r="L3320" i="1"/>
  <c r="K3320" i="1"/>
  <c r="L3319" i="1"/>
  <c r="K3319" i="1"/>
  <c r="L3318" i="1"/>
  <c r="K3318" i="1"/>
  <c r="L3317" i="1"/>
  <c r="K3317" i="1"/>
  <c r="L3316" i="1"/>
  <c r="K3316" i="1"/>
  <c r="L3315" i="1"/>
  <c r="K3315" i="1"/>
  <c r="L3314" i="1"/>
  <c r="K3314" i="1"/>
  <c r="L3313" i="1"/>
  <c r="K3313" i="1"/>
  <c r="L3312" i="1"/>
  <c r="K3312" i="1"/>
  <c r="L3311" i="1"/>
  <c r="K3311" i="1"/>
  <c r="L3310" i="1"/>
  <c r="K3310" i="1"/>
  <c r="L3309" i="1"/>
  <c r="K3309" i="1"/>
  <c r="L3308" i="1"/>
  <c r="K3308" i="1"/>
  <c r="L3307" i="1"/>
  <c r="K3307" i="1"/>
  <c r="L3306" i="1"/>
  <c r="K3306" i="1"/>
  <c r="L3305" i="1"/>
  <c r="K3305" i="1"/>
  <c r="L3304" i="1"/>
  <c r="K3304" i="1"/>
  <c r="L3303" i="1"/>
  <c r="K3303" i="1"/>
  <c r="L3302" i="1"/>
  <c r="K3302" i="1"/>
  <c r="L3301" i="1"/>
  <c r="K3301" i="1"/>
  <c r="L3300" i="1"/>
  <c r="K3300" i="1"/>
  <c r="L3299" i="1"/>
  <c r="K3299" i="1"/>
  <c r="L3298" i="1"/>
  <c r="K3298" i="1"/>
  <c r="L3297" i="1"/>
  <c r="K3297" i="1"/>
  <c r="L3296" i="1"/>
  <c r="K3296" i="1"/>
  <c r="L3295" i="1"/>
  <c r="K3295" i="1"/>
  <c r="L3294" i="1"/>
  <c r="K3294" i="1"/>
  <c r="L3293" i="1"/>
  <c r="K3293" i="1"/>
  <c r="L3292" i="1"/>
  <c r="K3292" i="1"/>
  <c r="L3291" i="1"/>
  <c r="K3291" i="1"/>
  <c r="L3290" i="1"/>
  <c r="K3290" i="1"/>
  <c r="L3289" i="1"/>
  <c r="K3289" i="1"/>
  <c r="L3288" i="1"/>
  <c r="K3288" i="1"/>
  <c r="L3287" i="1"/>
  <c r="K3287" i="1"/>
  <c r="L3285" i="1"/>
  <c r="K3285" i="1"/>
  <c r="L3284" i="1"/>
  <c r="K3284" i="1"/>
  <c r="L3283" i="1"/>
  <c r="K3283" i="1"/>
  <c r="L3282" i="1"/>
  <c r="K3282" i="1"/>
  <c r="L3281" i="1"/>
  <c r="K3281" i="1"/>
  <c r="L3279" i="1"/>
  <c r="K3279" i="1"/>
  <c r="L3278" i="1"/>
  <c r="K3278" i="1"/>
  <c r="L3277" i="1"/>
  <c r="K3277" i="1"/>
  <c r="L3276" i="1"/>
  <c r="K3276" i="1"/>
  <c r="L3275" i="1"/>
  <c r="K3275" i="1"/>
  <c r="L3274" i="1"/>
  <c r="K3274" i="1"/>
  <c r="L3273" i="1"/>
  <c r="K3273" i="1"/>
  <c r="L3272" i="1"/>
  <c r="K3272" i="1"/>
  <c r="L3271" i="1"/>
  <c r="K3271" i="1"/>
  <c r="L3270" i="1"/>
  <c r="K3270" i="1"/>
  <c r="L3268" i="1"/>
  <c r="K3268" i="1"/>
  <c r="L3267" i="1"/>
  <c r="K3267" i="1"/>
  <c r="L3266" i="1"/>
  <c r="K3266" i="1"/>
  <c r="L3265" i="1"/>
  <c r="K3265" i="1"/>
  <c r="L3264" i="1"/>
  <c r="K3264" i="1"/>
  <c r="L3263" i="1"/>
  <c r="K3263" i="1"/>
  <c r="L3262" i="1"/>
  <c r="K3262" i="1"/>
  <c r="L3261" i="1"/>
  <c r="K3261" i="1"/>
  <c r="L3260" i="1"/>
  <c r="K3260" i="1"/>
  <c r="L3259" i="1"/>
  <c r="K3259" i="1"/>
  <c r="L3258" i="1"/>
  <c r="K3258" i="1"/>
  <c r="L3257" i="1"/>
  <c r="K3257" i="1"/>
  <c r="L3255" i="1"/>
  <c r="K3255" i="1"/>
  <c r="L3254" i="1"/>
  <c r="K3254" i="1"/>
  <c r="L3253" i="1"/>
  <c r="K3253" i="1"/>
  <c r="L3252" i="1"/>
  <c r="K3252" i="1"/>
  <c r="L3251" i="1"/>
  <c r="K3251" i="1"/>
  <c r="L3249" i="1"/>
  <c r="K3249" i="1"/>
  <c r="L3248" i="1"/>
  <c r="K3248" i="1"/>
  <c r="L3247" i="1"/>
  <c r="K3247" i="1"/>
  <c r="L3246" i="1"/>
  <c r="K3246" i="1"/>
  <c r="L3245" i="1"/>
  <c r="K3245" i="1"/>
  <c r="L3244" i="1"/>
  <c r="K3244" i="1"/>
  <c r="L3243" i="1"/>
  <c r="K3243" i="1"/>
  <c r="L3242" i="1"/>
  <c r="K3242" i="1"/>
  <c r="L3241" i="1"/>
  <c r="K3241" i="1"/>
  <c r="L3240" i="1"/>
  <c r="K3240" i="1"/>
  <c r="L3239" i="1"/>
  <c r="K3239" i="1"/>
  <c r="L3238" i="1"/>
  <c r="K3238" i="1"/>
  <c r="L3237" i="1"/>
  <c r="K3237" i="1"/>
  <c r="L3236" i="1"/>
  <c r="K3236" i="1"/>
  <c r="L3235" i="1"/>
  <c r="K3235" i="1"/>
  <c r="L3234" i="1"/>
  <c r="K3234" i="1"/>
  <c r="L3233" i="1"/>
  <c r="K3233" i="1"/>
  <c r="L3232" i="1"/>
  <c r="K3232" i="1"/>
  <c r="L3231" i="1"/>
  <c r="K3231" i="1"/>
  <c r="L3230" i="1"/>
  <c r="K3230" i="1"/>
  <c r="L3229" i="1"/>
  <c r="K3229" i="1"/>
  <c r="L3228" i="1"/>
  <c r="K3228" i="1"/>
  <c r="L3227" i="1"/>
  <c r="K3227" i="1"/>
  <c r="L3226" i="1"/>
  <c r="K3226" i="1"/>
  <c r="L3225" i="1"/>
  <c r="K3225" i="1"/>
  <c r="L3224" i="1"/>
  <c r="K3224" i="1"/>
  <c r="L3223" i="1"/>
  <c r="K3223" i="1"/>
  <c r="L3220" i="1"/>
  <c r="K3220" i="1"/>
  <c r="L3219" i="1"/>
  <c r="K3219" i="1"/>
  <c r="L3217" i="1"/>
  <c r="K3217" i="1"/>
  <c r="L3216" i="1"/>
  <c r="K3216" i="1"/>
  <c r="L3215" i="1"/>
  <c r="K3215" i="1"/>
  <c r="L3209" i="1"/>
  <c r="K3209" i="1"/>
  <c r="L3208" i="1"/>
  <c r="K3208" i="1"/>
  <c r="L3207" i="1"/>
  <c r="K3207" i="1"/>
  <c r="L3206" i="1"/>
  <c r="K3206" i="1"/>
  <c r="L3205" i="1"/>
  <c r="K3205" i="1"/>
  <c r="L3204" i="1"/>
  <c r="K3204" i="1"/>
  <c r="L3203" i="1"/>
  <c r="K3203" i="1"/>
  <c r="L3196" i="1"/>
  <c r="K3196" i="1"/>
  <c r="L3195" i="1"/>
  <c r="K3195" i="1"/>
  <c r="L3194" i="1"/>
  <c r="K3194" i="1"/>
  <c r="L3193" i="1"/>
  <c r="K3193" i="1"/>
  <c r="L3192" i="1"/>
  <c r="K3192" i="1"/>
  <c r="L3191" i="1"/>
  <c r="K3191" i="1"/>
  <c r="L3188" i="1"/>
  <c r="K3188" i="1"/>
  <c r="L3187" i="1"/>
  <c r="K3187" i="1"/>
  <c r="L3186" i="1"/>
  <c r="K3186" i="1"/>
  <c r="L3181" i="1"/>
  <c r="K3181" i="1"/>
  <c r="L3180" i="1"/>
  <c r="K3180" i="1"/>
  <c r="L3179" i="1"/>
  <c r="K3179" i="1"/>
  <c r="L3178" i="1"/>
  <c r="K3178" i="1"/>
  <c r="L3177" i="1"/>
  <c r="K3177" i="1"/>
  <c r="L3176" i="1"/>
  <c r="K3176" i="1"/>
  <c r="L3174" i="1"/>
  <c r="K3174" i="1"/>
  <c r="L3173" i="1"/>
  <c r="K3173" i="1"/>
  <c r="L3171" i="1"/>
  <c r="K3171" i="1"/>
  <c r="L3170" i="1"/>
  <c r="K3170" i="1"/>
  <c r="L3169" i="1"/>
  <c r="K3169" i="1"/>
  <c r="L3168" i="1"/>
  <c r="K3168" i="1"/>
  <c r="L3167" i="1"/>
  <c r="K3167" i="1"/>
  <c r="L3166" i="1"/>
  <c r="K3166" i="1"/>
  <c r="L3165" i="1"/>
  <c r="K3165" i="1"/>
  <c r="L3164" i="1"/>
  <c r="K3164" i="1"/>
  <c r="L3163" i="1"/>
  <c r="K3163" i="1"/>
  <c r="L3162" i="1"/>
  <c r="K3162" i="1"/>
  <c r="L3161" i="1"/>
  <c r="K3161" i="1"/>
  <c r="L3160" i="1"/>
  <c r="K3160" i="1"/>
  <c r="L3159" i="1"/>
  <c r="K3159" i="1"/>
  <c r="L3158" i="1"/>
  <c r="K3158" i="1"/>
  <c r="L3157" i="1"/>
  <c r="K3157" i="1"/>
  <c r="L3155" i="1"/>
  <c r="K3155" i="1"/>
  <c r="L3154" i="1"/>
  <c r="K3154" i="1"/>
  <c r="L3153" i="1"/>
  <c r="K3153" i="1"/>
  <c r="L3152" i="1"/>
  <c r="K3152" i="1"/>
  <c r="L3151" i="1"/>
  <c r="K3151" i="1"/>
  <c r="L3150" i="1"/>
  <c r="K3150" i="1"/>
  <c r="L3149" i="1"/>
  <c r="K3149" i="1"/>
  <c r="L3148" i="1"/>
  <c r="K3148" i="1"/>
  <c r="L3147" i="1"/>
  <c r="K3147" i="1"/>
  <c r="L3146" i="1"/>
  <c r="K3146" i="1"/>
  <c r="L3145" i="1"/>
  <c r="K3145" i="1"/>
  <c r="L3144" i="1"/>
  <c r="K3144" i="1"/>
  <c r="L3143" i="1"/>
  <c r="K3143" i="1"/>
  <c r="L3142" i="1"/>
  <c r="K3142" i="1"/>
  <c r="L3141" i="1"/>
  <c r="K3141" i="1"/>
  <c r="L3140" i="1"/>
  <c r="K3140" i="1"/>
  <c r="L3139" i="1"/>
  <c r="K3139" i="1"/>
  <c r="L3138" i="1"/>
  <c r="K3138" i="1"/>
  <c r="L3137" i="1"/>
  <c r="K3137" i="1"/>
  <c r="L3135" i="1"/>
  <c r="K3135" i="1"/>
  <c r="L3134" i="1"/>
  <c r="K3134" i="1"/>
  <c r="L3133" i="1"/>
  <c r="K3133" i="1"/>
  <c r="L3132" i="1"/>
  <c r="K3132" i="1"/>
  <c r="L3131" i="1"/>
  <c r="K3131" i="1"/>
  <c r="L3130" i="1"/>
  <c r="K3130" i="1"/>
  <c r="L3129" i="1"/>
  <c r="K3129" i="1"/>
  <c r="L3128" i="1"/>
  <c r="K3128" i="1"/>
  <c r="L3127" i="1"/>
  <c r="K3127" i="1"/>
  <c r="L3126" i="1"/>
  <c r="K3126" i="1"/>
  <c r="L3125" i="1"/>
  <c r="K3125" i="1"/>
  <c r="L3124" i="1"/>
  <c r="K3124" i="1"/>
  <c r="L3123" i="1"/>
  <c r="K3123" i="1"/>
  <c r="L3122" i="1"/>
  <c r="K3122" i="1"/>
  <c r="L3121" i="1"/>
  <c r="K3121" i="1"/>
  <c r="L3120" i="1"/>
  <c r="K3120" i="1"/>
  <c r="L3119" i="1"/>
  <c r="K3119" i="1"/>
  <c r="L3118" i="1"/>
  <c r="K3118" i="1"/>
  <c r="L3117" i="1"/>
  <c r="K3117" i="1"/>
  <c r="L3114" i="1"/>
  <c r="K3114" i="1"/>
  <c r="L3113" i="1"/>
  <c r="K3113" i="1"/>
  <c r="L3112" i="1"/>
  <c r="K3112" i="1"/>
  <c r="L3111" i="1"/>
  <c r="K3111" i="1"/>
  <c r="L3110" i="1"/>
  <c r="K3110" i="1"/>
  <c r="L3109" i="1"/>
  <c r="K3109" i="1"/>
  <c r="L3108" i="1"/>
  <c r="K3108" i="1"/>
  <c r="L3107" i="1"/>
  <c r="K3107" i="1"/>
  <c r="L3106" i="1"/>
  <c r="K3106" i="1"/>
  <c r="L3105" i="1"/>
  <c r="K3105" i="1"/>
  <c r="L3104" i="1"/>
  <c r="K3104" i="1"/>
  <c r="L3103" i="1"/>
  <c r="K3103" i="1"/>
  <c r="L3102" i="1"/>
  <c r="K3102" i="1"/>
  <c r="L3101" i="1"/>
  <c r="K3101" i="1"/>
  <c r="L3100" i="1"/>
  <c r="K3100" i="1"/>
  <c r="L3099" i="1"/>
  <c r="K3099" i="1"/>
  <c r="L3098" i="1"/>
  <c r="K3098" i="1"/>
  <c r="L3097" i="1"/>
  <c r="K3097" i="1"/>
  <c r="L3096" i="1"/>
  <c r="K3096" i="1"/>
  <c r="L3095" i="1"/>
  <c r="K3095" i="1"/>
  <c r="L3094" i="1"/>
  <c r="K3094" i="1"/>
  <c r="L3093" i="1"/>
  <c r="K3093" i="1"/>
  <c r="L3092" i="1"/>
  <c r="K3092" i="1"/>
  <c r="L3091" i="1"/>
  <c r="K3091" i="1"/>
  <c r="L3090" i="1"/>
  <c r="K3090" i="1"/>
  <c r="L3089" i="1"/>
  <c r="K3089" i="1"/>
  <c r="L3088" i="1"/>
  <c r="K3088" i="1"/>
  <c r="L3087" i="1"/>
  <c r="K3087" i="1"/>
  <c r="L3086" i="1"/>
  <c r="K3086" i="1"/>
  <c r="L3085" i="1"/>
  <c r="K3085" i="1"/>
  <c r="L3084" i="1"/>
  <c r="K3084" i="1"/>
  <c r="L3083" i="1"/>
  <c r="K3083" i="1"/>
  <c r="L3082" i="1"/>
  <c r="K3082" i="1"/>
  <c r="L3081" i="1"/>
  <c r="K3081" i="1"/>
  <c r="L3080" i="1"/>
  <c r="K3080" i="1"/>
  <c r="L3079" i="1"/>
  <c r="K3079" i="1"/>
  <c r="L3078" i="1"/>
  <c r="K3078" i="1"/>
  <c r="L3077" i="1"/>
  <c r="K3077" i="1"/>
  <c r="L3076" i="1"/>
  <c r="K3076" i="1"/>
  <c r="L3075" i="1"/>
  <c r="K3075" i="1"/>
  <c r="L3074" i="1"/>
  <c r="K3074" i="1"/>
  <c r="L3073" i="1"/>
  <c r="K3073" i="1"/>
  <c r="L3072" i="1"/>
  <c r="K3072" i="1"/>
  <c r="L3071" i="1"/>
  <c r="K3071" i="1"/>
  <c r="L3070" i="1"/>
  <c r="K3070" i="1"/>
  <c r="L3069" i="1"/>
  <c r="K3069" i="1"/>
  <c r="L3068" i="1"/>
  <c r="K3068" i="1"/>
  <c r="L3067" i="1"/>
  <c r="K3067" i="1"/>
  <c r="L3066" i="1"/>
  <c r="K3066" i="1"/>
  <c r="L3065" i="1"/>
  <c r="K3065" i="1"/>
  <c r="L3064" i="1"/>
  <c r="K3064" i="1"/>
  <c r="L3063" i="1"/>
  <c r="K3063" i="1"/>
  <c r="L3062" i="1"/>
  <c r="K3062" i="1"/>
  <c r="L3061" i="1"/>
  <c r="K3061" i="1"/>
  <c r="L3060" i="1"/>
  <c r="K3060" i="1"/>
  <c r="L3059" i="1"/>
  <c r="K3059" i="1"/>
  <c r="L3058" i="1"/>
  <c r="K3058" i="1"/>
  <c r="L3057" i="1"/>
  <c r="K3057" i="1"/>
  <c r="L3056" i="1"/>
  <c r="K3056" i="1"/>
  <c r="L3055" i="1"/>
  <c r="K3055" i="1"/>
  <c r="L3054" i="1"/>
  <c r="K3054" i="1"/>
  <c r="L3053" i="1"/>
  <c r="K3053" i="1"/>
  <c r="L3052" i="1"/>
  <c r="K3052" i="1"/>
  <c r="L3051" i="1"/>
  <c r="K3051" i="1"/>
  <c r="L3050" i="1"/>
  <c r="K3050" i="1"/>
  <c r="L3049" i="1"/>
  <c r="K3049" i="1"/>
  <c r="L3048" i="1"/>
  <c r="K3048" i="1"/>
  <c r="L3047" i="1"/>
  <c r="K3047" i="1"/>
  <c r="L3046" i="1"/>
  <c r="K3046" i="1"/>
  <c r="L3045" i="1"/>
  <c r="K3045" i="1"/>
  <c r="L3044" i="1"/>
  <c r="K3044" i="1"/>
  <c r="L3043" i="1"/>
  <c r="K3043" i="1"/>
  <c r="L3042" i="1"/>
  <c r="K3042" i="1"/>
  <c r="L3041" i="1"/>
  <c r="K3041" i="1"/>
  <c r="L3040" i="1"/>
  <c r="K3040" i="1"/>
  <c r="L3039" i="1"/>
  <c r="K3039" i="1"/>
  <c r="L3038" i="1"/>
  <c r="K3038" i="1"/>
  <c r="L3037" i="1"/>
  <c r="K3037" i="1"/>
  <c r="L3036" i="1"/>
  <c r="K3036" i="1"/>
  <c r="L3035" i="1"/>
  <c r="K3035" i="1"/>
  <c r="L3034" i="1"/>
  <c r="K3034" i="1"/>
  <c r="L3033" i="1"/>
  <c r="K3033" i="1"/>
  <c r="L3032" i="1"/>
  <c r="K3032" i="1"/>
  <c r="L3031" i="1"/>
  <c r="K3031" i="1"/>
  <c r="L3030" i="1"/>
  <c r="K3030" i="1"/>
  <c r="L3029" i="1"/>
  <c r="K3029" i="1"/>
  <c r="L3028" i="1"/>
  <c r="K3028" i="1"/>
  <c r="L3027" i="1"/>
  <c r="K3027" i="1"/>
  <c r="L3026" i="1"/>
  <c r="K3026" i="1"/>
  <c r="L3025" i="1"/>
  <c r="K3025" i="1"/>
  <c r="L3024" i="1"/>
  <c r="K3024" i="1"/>
  <c r="L3023" i="1"/>
  <c r="K3023" i="1"/>
  <c r="L3022" i="1"/>
  <c r="K3022" i="1"/>
  <c r="L3021" i="1"/>
  <c r="K3021" i="1"/>
  <c r="L3020" i="1"/>
  <c r="K3020" i="1"/>
  <c r="L3019" i="1"/>
  <c r="K3019" i="1"/>
  <c r="L3018" i="1"/>
  <c r="K3018" i="1"/>
  <c r="L3017" i="1"/>
  <c r="K3017" i="1"/>
  <c r="L3016" i="1"/>
  <c r="K3016" i="1"/>
  <c r="L3015" i="1"/>
  <c r="K3015" i="1"/>
  <c r="L3014" i="1"/>
  <c r="K3014" i="1"/>
  <c r="L3013" i="1"/>
  <c r="K3013" i="1"/>
  <c r="L3012" i="1"/>
  <c r="K3012" i="1"/>
  <c r="L3010" i="1"/>
  <c r="K3010" i="1"/>
  <c r="L3009" i="1"/>
  <c r="K3009" i="1"/>
  <c r="L3008" i="1"/>
  <c r="K3008" i="1"/>
  <c r="L3007" i="1"/>
  <c r="K3007" i="1"/>
  <c r="L3006" i="1"/>
  <c r="K3006" i="1"/>
  <c r="L3005" i="1"/>
  <c r="K3005" i="1"/>
  <c r="L3004" i="1"/>
  <c r="K3004" i="1"/>
  <c r="L3003" i="1"/>
  <c r="K3003" i="1"/>
  <c r="L3002" i="1"/>
  <c r="K3002" i="1"/>
  <c r="L3001" i="1"/>
  <c r="K3001" i="1"/>
  <c r="L3000" i="1"/>
  <c r="K3000" i="1"/>
  <c r="L2999" i="1"/>
  <c r="K2999" i="1"/>
  <c r="L2998" i="1"/>
  <c r="K2998" i="1"/>
  <c r="L2997" i="1"/>
  <c r="K2997" i="1"/>
  <c r="L2996" i="1"/>
  <c r="K2996" i="1"/>
  <c r="L2995" i="1"/>
  <c r="K2995" i="1"/>
  <c r="L2994" i="1"/>
  <c r="K2994" i="1"/>
  <c r="L2993" i="1"/>
  <c r="K2993" i="1"/>
  <c r="L2992" i="1"/>
  <c r="K2992" i="1"/>
  <c r="L2991" i="1"/>
  <c r="K2991" i="1"/>
  <c r="L2990" i="1"/>
  <c r="K2990" i="1"/>
  <c r="L2989" i="1"/>
  <c r="K2989" i="1"/>
  <c r="L2988" i="1"/>
  <c r="K2988" i="1"/>
  <c r="L2987" i="1"/>
  <c r="K2987" i="1"/>
  <c r="L2986" i="1"/>
  <c r="K2986" i="1"/>
  <c r="L2985" i="1"/>
  <c r="K2985" i="1"/>
  <c r="L2984" i="1"/>
  <c r="K2984" i="1"/>
  <c r="L2983" i="1"/>
  <c r="K2983" i="1"/>
  <c r="L2982" i="1"/>
  <c r="K2982" i="1"/>
  <c r="L2981" i="1"/>
  <c r="K2981" i="1"/>
  <c r="L2980" i="1"/>
  <c r="K2980" i="1"/>
  <c r="L2979" i="1"/>
  <c r="K2979" i="1"/>
  <c r="L2978" i="1"/>
  <c r="K2978" i="1"/>
  <c r="L2977" i="1"/>
  <c r="K2977" i="1"/>
  <c r="L2976" i="1"/>
  <c r="K2976" i="1"/>
  <c r="L2975" i="1"/>
  <c r="K2975" i="1"/>
  <c r="L2974" i="1"/>
  <c r="K2974" i="1"/>
  <c r="L2973" i="1"/>
  <c r="K2973" i="1"/>
  <c r="L2972" i="1"/>
  <c r="K2972" i="1"/>
  <c r="L2971" i="1"/>
  <c r="K2971" i="1"/>
  <c r="L2970" i="1"/>
  <c r="K2970" i="1"/>
  <c r="L2969" i="1"/>
  <c r="K2969" i="1"/>
  <c r="L2968" i="1"/>
  <c r="K2968" i="1"/>
  <c r="L2967" i="1"/>
  <c r="K2967" i="1"/>
  <c r="L2964" i="1"/>
  <c r="K2964" i="1"/>
  <c r="L2963" i="1"/>
  <c r="K2963" i="1"/>
  <c r="L2962" i="1"/>
  <c r="K2962" i="1"/>
  <c r="L2961" i="1"/>
  <c r="K2961" i="1"/>
  <c r="L2960" i="1"/>
  <c r="K2960" i="1"/>
  <c r="L2959" i="1"/>
  <c r="K2959" i="1"/>
  <c r="L2958" i="1"/>
  <c r="K2958" i="1"/>
  <c r="L2957" i="1"/>
  <c r="K2957" i="1"/>
  <c r="L2956" i="1"/>
  <c r="K2956" i="1"/>
  <c r="L2955" i="1"/>
  <c r="K2955" i="1"/>
  <c r="L2954" i="1"/>
  <c r="K2954" i="1"/>
  <c r="L2953" i="1"/>
  <c r="K2953" i="1"/>
  <c r="L2952" i="1"/>
  <c r="K2952" i="1"/>
  <c r="L2951" i="1"/>
  <c r="K2951" i="1"/>
  <c r="L2950" i="1"/>
  <c r="K2950" i="1"/>
  <c r="L2949" i="1"/>
  <c r="K2949" i="1"/>
  <c r="L2948" i="1"/>
  <c r="K2948" i="1"/>
  <c r="L2947" i="1"/>
  <c r="K2947" i="1"/>
  <c r="L2946" i="1"/>
  <c r="K2946" i="1"/>
  <c r="L2945" i="1"/>
  <c r="K2945" i="1"/>
  <c r="L2942" i="1"/>
  <c r="K2942" i="1"/>
  <c r="L2941" i="1"/>
  <c r="K2941" i="1"/>
  <c r="L2940" i="1"/>
  <c r="K2940" i="1"/>
  <c r="L2939" i="1"/>
  <c r="K2939" i="1"/>
  <c r="L2938" i="1"/>
  <c r="K2938" i="1"/>
  <c r="L2937" i="1"/>
  <c r="K2937" i="1"/>
  <c r="L2936" i="1"/>
  <c r="K2936" i="1"/>
  <c r="L2935" i="1"/>
  <c r="K2935" i="1"/>
  <c r="L2934" i="1"/>
  <c r="K2934" i="1"/>
  <c r="L2933" i="1"/>
  <c r="K2933" i="1"/>
  <c r="L2931" i="1"/>
  <c r="K2931" i="1"/>
  <c r="L2930" i="1"/>
  <c r="K2930" i="1"/>
  <c r="L2929" i="1"/>
  <c r="K2929" i="1"/>
  <c r="L2928" i="1"/>
  <c r="K2928" i="1"/>
  <c r="L2927" i="1"/>
  <c r="K2927" i="1"/>
  <c r="L2926" i="1"/>
  <c r="K2926" i="1"/>
  <c r="L2925" i="1"/>
  <c r="K2925" i="1"/>
  <c r="L2924" i="1"/>
  <c r="K2924" i="1"/>
  <c r="L2923" i="1"/>
  <c r="K2923" i="1"/>
  <c r="L2922" i="1"/>
  <c r="K2922" i="1"/>
  <c r="L2921" i="1"/>
  <c r="K2921" i="1"/>
  <c r="L2920" i="1"/>
  <c r="K2920" i="1"/>
  <c r="L2919" i="1"/>
  <c r="K2919" i="1"/>
  <c r="L2918" i="1"/>
  <c r="K2918" i="1"/>
  <c r="L2917" i="1"/>
  <c r="K2917" i="1"/>
  <c r="L2916" i="1"/>
  <c r="K2916" i="1"/>
  <c r="L2915" i="1"/>
  <c r="K2915" i="1"/>
  <c r="L2913" i="1"/>
  <c r="K2913" i="1"/>
  <c r="L2912" i="1"/>
  <c r="K2912" i="1"/>
  <c r="L2911" i="1"/>
  <c r="K2911" i="1"/>
  <c r="L2910" i="1"/>
  <c r="K2910" i="1"/>
  <c r="L2909" i="1"/>
  <c r="K2909" i="1"/>
  <c r="L2908" i="1"/>
  <c r="K2908" i="1"/>
  <c r="L2907" i="1"/>
  <c r="K2907" i="1"/>
  <c r="L2906" i="1"/>
  <c r="K2906" i="1"/>
  <c r="L2905" i="1"/>
  <c r="K2905" i="1"/>
  <c r="L2904" i="1"/>
  <c r="K2904" i="1"/>
  <c r="L2903" i="1"/>
  <c r="K2903" i="1"/>
  <c r="L2902" i="1"/>
  <c r="K2902" i="1"/>
  <c r="L2901" i="1"/>
  <c r="K2901" i="1"/>
  <c r="L2900" i="1"/>
  <c r="K2900" i="1"/>
  <c r="L2899" i="1"/>
  <c r="K2899" i="1"/>
  <c r="L2898" i="1"/>
  <c r="K2898" i="1"/>
  <c r="L2897" i="1"/>
  <c r="K2897" i="1"/>
  <c r="L2896" i="1"/>
  <c r="K2896" i="1"/>
  <c r="L2895" i="1"/>
  <c r="K2895" i="1"/>
  <c r="L2894" i="1"/>
  <c r="K2894" i="1"/>
  <c r="L2893" i="1"/>
  <c r="K2893" i="1"/>
  <c r="L2892" i="1"/>
  <c r="K2892" i="1"/>
  <c r="L2891" i="1"/>
  <c r="K2891" i="1"/>
  <c r="L2890" i="1"/>
  <c r="K2890" i="1"/>
  <c r="L2889" i="1"/>
  <c r="K2889" i="1"/>
  <c r="L2888" i="1"/>
  <c r="K2888" i="1"/>
  <c r="L2887" i="1"/>
  <c r="K2887" i="1"/>
  <c r="L2886" i="1"/>
  <c r="K2886" i="1"/>
  <c r="L2885" i="1"/>
  <c r="K2885" i="1"/>
  <c r="L2884" i="1"/>
  <c r="K2884" i="1"/>
  <c r="L2883" i="1"/>
  <c r="K2883" i="1"/>
  <c r="L2882" i="1"/>
  <c r="K2882" i="1"/>
  <c r="L2881" i="1"/>
  <c r="K2881" i="1"/>
  <c r="L2880" i="1"/>
  <c r="K2880" i="1"/>
  <c r="L2879" i="1"/>
  <c r="K2879" i="1"/>
  <c r="L2878" i="1"/>
  <c r="K2878" i="1"/>
  <c r="L2877" i="1"/>
  <c r="K2877" i="1"/>
  <c r="L2876" i="1"/>
  <c r="K2876" i="1"/>
  <c r="L2875" i="1"/>
  <c r="K2875" i="1"/>
  <c r="L2874" i="1"/>
  <c r="K2874" i="1"/>
  <c r="L2873" i="1"/>
  <c r="K2873" i="1"/>
  <c r="L2872" i="1"/>
  <c r="K2872" i="1"/>
  <c r="L2871" i="1"/>
  <c r="K2871" i="1"/>
  <c r="L2870" i="1"/>
  <c r="K2870" i="1"/>
  <c r="L2869" i="1"/>
  <c r="K2869" i="1"/>
  <c r="L2868" i="1"/>
  <c r="K2868" i="1"/>
  <c r="L2867" i="1"/>
  <c r="K2867" i="1"/>
  <c r="L2866" i="1"/>
  <c r="K2866" i="1"/>
  <c r="L2865" i="1"/>
  <c r="K2865" i="1"/>
  <c r="L2864" i="1"/>
  <c r="K2864" i="1"/>
  <c r="L2863" i="1"/>
  <c r="K2863" i="1"/>
  <c r="L2862" i="1"/>
  <c r="K2862" i="1"/>
  <c r="L2861" i="1"/>
  <c r="K2861" i="1"/>
  <c r="L2860" i="1"/>
  <c r="K2860" i="1"/>
  <c r="L2859" i="1"/>
  <c r="K2859" i="1"/>
  <c r="L2858" i="1"/>
  <c r="K2858" i="1"/>
  <c r="L2857" i="1"/>
  <c r="K2857" i="1"/>
  <c r="L2856" i="1"/>
  <c r="K2856" i="1"/>
  <c r="L2855" i="1"/>
  <c r="K2855" i="1"/>
  <c r="L2854" i="1"/>
  <c r="K2854" i="1"/>
  <c r="L2853" i="1"/>
  <c r="K2853" i="1"/>
  <c r="L2852" i="1"/>
  <c r="K2852" i="1"/>
  <c r="L2851" i="1"/>
  <c r="K2851" i="1"/>
  <c r="L2850" i="1"/>
  <c r="K2850" i="1"/>
  <c r="L2849" i="1"/>
  <c r="K2849" i="1"/>
  <c r="L2848" i="1"/>
  <c r="K2848" i="1"/>
  <c r="L2847" i="1"/>
  <c r="K2847" i="1"/>
  <c r="L2846" i="1"/>
  <c r="K2846" i="1"/>
  <c r="L2845" i="1"/>
  <c r="K2845" i="1"/>
  <c r="L2844" i="1"/>
  <c r="K2844" i="1"/>
  <c r="L2843" i="1"/>
  <c r="K2843" i="1"/>
  <c r="L2842" i="1"/>
  <c r="K2842" i="1"/>
  <c r="L2841" i="1"/>
  <c r="K2841" i="1"/>
  <c r="L2837" i="1"/>
  <c r="K2837" i="1"/>
  <c r="L2836" i="1"/>
  <c r="K2836" i="1"/>
  <c r="L2835" i="1"/>
  <c r="K2835" i="1"/>
  <c r="L2834" i="1"/>
  <c r="K2834" i="1"/>
  <c r="L2833" i="1"/>
  <c r="K2833" i="1"/>
  <c r="L2832" i="1"/>
  <c r="K2832" i="1"/>
  <c r="L2831" i="1"/>
  <c r="K2831" i="1"/>
  <c r="L2830" i="1"/>
  <c r="K2830" i="1"/>
  <c r="L2829" i="1"/>
  <c r="K2829" i="1"/>
  <c r="L2828" i="1"/>
  <c r="K2828" i="1"/>
  <c r="L2827" i="1"/>
  <c r="K2827" i="1"/>
  <c r="L2826" i="1"/>
  <c r="K2826" i="1"/>
  <c r="L2825" i="1"/>
  <c r="K2825" i="1"/>
  <c r="L2824" i="1"/>
  <c r="K2824" i="1"/>
  <c r="L2823" i="1"/>
  <c r="K2823" i="1"/>
  <c r="L2822" i="1"/>
  <c r="K2822" i="1"/>
  <c r="L2821" i="1"/>
  <c r="K2821" i="1"/>
  <c r="L2820" i="1"/>
  <c r="K2820" i="1"/>
  <c r="L2819" i="1"/>
  <c r="K2819" i="1"/>
  <c r="L2818" i="1"/>
  <c r="K2818" i="1"/>
  <c r="L2817" i="1"/>
  <c r="K2817" i="1"/>
  <c r="L2816" i="1"/>
  <c r="K2816" i="1"/>
  <c r="L2815" i="1"/>
  <c r="K2815" i="1"/>
  <c r="L2814" i="1"/>
  <c r="K2814" i="1"/>
  <c r="L2813" i="1"/>
  <c r="K2813" i="1"/>
  <c r="L2812" i="1"/>
  <c r="K2812" i="1"/>
  <c r="L2811" i="1"/>
  <c r="K2811" i="1"/>
  <c r="L2810" i="1"/>
  <c r="K2810" i="1"/>
  <c r="L2809" i="1"/>
  <c r="K2809" i="1"/>
  <c r="L2808" i="1"/>
  <c r="K2808" i="1"/>
  <c r="L2807" i="1"/>
  <c r="K2807" i="1"/>
  <c r="L2806" i="1"/>
  <c r="K2806" i="1"/>
  <c r="L2805" i="1"/>
  <c r="K2805" i="1"/>
  <c r="L2804" i="1"/>
  <c r="K2804" i="1"/>
  <c r="L2803" i="1"/>
  <c r="K2803" i="1"/>
  <c r="L2802" i="1"/>
  <c r="K2802" i="1"/>
  <c r="L2801" i="1"/>
  <c r="K2801" i="1"/>
  <c r="L2800" i="1"/>
  <c r="K2800" i="1"/>
  <c r="L2799" i="1"/>
  <c r="K2799" i="1"/>
  <c r="L2798" i="1"/>
  <c r="K2798" i="1"/>
  <c r="L2797" i="1"/>
  <c r="K2797" i="1"/>
  <c r="L2796" i="1"/>
  <c r="K2796" i="1"/>
  <c r="L2795" i="1"/>
  <c r="K2795" i="1"/>
  <c r="L2794" i="1"/>
  <c r="K2794" i="1"/>
  <c r="L2793" i="1"/>
  <c r="K2793" i="1"/>
  <c r="L2792" i="1"/>
  <c r="K2792" i="1"/>
  <c r="L2791" i="1"/>
  <c r="K2791" i="1"/>
  <c r="L2790" i="1"/>
  <c r="K2790" i="1"/>
  <c r="L2789" i="1"/>
  <c r="K2789" i="1"/>
  <c r="L2788" i="1"/>
  <c r="K2788" i="1"/>
  <c r="L2787" i="1"/>
  <c r="K2787" i="1"/>
  <c r="L2786" i="1"/>
  <c r="K2786" i="1"/>
  <c r="L2785" i="1"/>
  <c r="K2785" i="1"/>
  <c r="L2784" i="1"/>
  <c r="K2784" i="1"/>
  <c r="L2783" i="1"/>
  <c r="K2783" i="1"/>
  <c r="L2782" i="1"/>
  <c r="K2782" i="1"/>
  <c r="L2781" i="1"/>
  <c r="K2781" i="1"/>
  <c r="L2780" i="1"/>
  <c r="K2780" i="1"/>
  <c r="L2779" i="1"/>
  <c r="K2779" i="1"/>
  <c r="L2778" i="1"/>
  <c r="K2778" i="1"/>
  <c r="L2777" i="1"/>
  <c r="K2777" i="1"/>
  <c r="L2776" i="1"/>
  <c r="K2776" i="1"/>
  <c r="L2775" i="1"/>
  <c r="K2775" i="1"/>
  <c r="L2774" i="1"/>
  <c r="K2774" i="1"/>
  <c r="L2773" i="1"/>
  <c r="K2773" i="1"/>
  <c r="L2772" i="1"/>
  <c r="K2772" i="1"/>
  <c r="L2771" i="1"/>
  <c r="K2771" i="1"/>
  <c r="L2770" i="1"/>
  <c r="K2770" i="1"/>
  <c r="L2769" i="1"/>
  <c r="K2769" i="1"/>
  <c r="L2768" i="1"/>
  <c r="K2768" i="1"/>
  <c r="L2767" i="1"/>
  <c r="K2767" i="1"/>
  <c r="L2766" i="1"/>
  <c r="K2766" i="1"/>
  <c r="L2765" i="1"/>
  <c r="K2765" i="1"/>
  <c r="L2764" i="1"/>
  <c r="K2764" i="1"/>
  <c r="L2763" i="1"/>
  <c r="K2763" i="1"/>
  <c r="L2762" i="1"/>
  <c r="K2762" i="1"/>
  <c r="L2761" i="1"/>
  <c r="K2761" i="1"/>
  <c r="L2760" i="1"/>
  <c r="K2760" i="1"/>
  <c r="L2759" i="1"/>
  <c r="K2759" i="1"/>
  <c r="L2758" i="1"/>
  <c r="K2758" i="1"/>
  <c r="L2757" i="1"/>
  <c r="K2757" i="1"/>
  <c r="L2756" i="1"/>
  <c r="K2756" i="1"/>
  <c r="L2755" i="1"/>
  <c r="K2755" i="1"/>
  <c r="L2754" i="1"/>
  <c r="K2754" i="1"/>
  <c r="L2753" i="1"/>
  <c r="K2753" i="1"/>
  <c r="L2752" i="1"/>
  <c r="K2752" i="1"/>
  <c r="L2751" i="1"/>
  <c r="K2751" i="1"/>
  <c r="L2750" i="1"/>
  <c r="K2750" i="1"/>
  <c r="L2749" i="1"/>
  <c r="K2749" i="1"/>
  <c r="L2748" i="1"/>
  <c r="K2748" i="1"/>
  <c r="L2747" i="1"/>
  <c r="K2747" i="1"/>
  <c r="L2746" i="1"/>
  <c r="K2746" i="1"/>
  <c r="L2745" i="1"/>
  <c r="K2745" i="1"/>
  <c r="L2744" i="1"/>
  <c r="K2744" i="1"/>
  <c r="L2743" i="1"/>
  <c r="K2743" i="1"/>
  <c r="L2742" i="1"/>
  <c r="K2742" i="1"/>
  <c r="L2741" i="1"/>
  <c r="K2741" i="1"/>
  <c r="L2740" i="1"/>
  <c r="K2740" i="1"/>
  <c r="L2739" i="1"/>
  <c r="K2739" i="1"/>
  <c r="L2738" i="1"/>
  <c r="K2738" i="1"/>
  <c r="L2737" i="1"/>
  <c r="K2737" i="1"/>
  <c r="L2736" i="1"/>
  <c r="K2736" i="1"/>
  <c r="L2735" i="1"/>
  <c r="K2735" i="1"/>
  <c r="L2734" i="1"/>
  <c r="K2734" i="1"/>
  <c r="L2733" i="1"/>
  <c r="K2733" i="1"/>
  <c r="L2732" i="1"/>
  <c r="K2732" i="1"/>
  <c r="L2731" i="1"/>
  <c r="K2731" i="1"/>
  <c r="L2730" i="1"/>
  <c r="K2730" i="1"/>
  <c r="L2729" i="1"/>
  <c r="K2729" i="1"/>
  <c r="L2728" i="1"/>
  <c r="K2728" i="1"/>
  <c r="L2727" i="1"/>
  <c r="K2727" i="1"/>
  <c r="L2726" i="1"/>
  <c r="K2726" i="1"/>
  <c r="L2725" i="1"/>
  <c r="K2725" i="1"/>
  <c r="L2724" i="1"/>
  <c r="K2724" i="1"/>
  <c r="L2723" i="1"/>
  <c r="K2723" i="1"/>
  <c r="L2722" i="1"/>
  <c r="K2722" i="1"/>
  <c r="L2721" i="1"/>
  <c r="K2721" i="1"/>
  <c r="L2720" i="1"/>
  <c r="K2720" i="1"/>
  <c r="L2719" i="1"/>
  <c r="K2719" i="1"/>
  <c r="L2718" i="1"/>
  <c r="K2718" i="1"/>
  <c r="L2717" i="1"/>
  <c r="K2717" i="1"/>
  <c r="L2716" i="1"/>
  <c r="K2716" i="1"/>
  <c r="L2715" i="1"/>
  <c r="K2715" i="1"/>
  <c r="L2714" i="1"/>
  <c r="K2714" i="1"/>
  <c r="L2713" i="1"/>
  <c r="K2713" i="1"/>
  <c r="L2712" i="1"/>
  <c r="K2712" i="1"/>
  <c r="L2711" i="1"/>
  <c r="K2711" i="1"/>
  <c r="L2710" i="1"/>
  <c r="K2710" i="1"/>
  <c r="L2709" i="1"/>
  <c r="K2709" i="1"/>
  <c r="L2708" i="1"/>
  <c r="K2708" i="1"/>
  <c r="L2707" i="1"/>
  <c r="K2707" i="1"/>
  <c r="L2705" i="1"/>
  <c r="K2705" i="1"/>
  <c r="L2704" i="1"/>
  <c r="K2704" i="1"/>
  <c r="L2703" i="1"/>
  <c r="K2703" i="1"/>
  <c r="L2702" i="1"/>
  <c r="K2702" i="1"/>
  <c r="L2701" i="1"/>
  <c r="K2701" i="1"/>
  <c r="L2700" i="1"/>
  <c r="K2700" i="1"/>
  <c r="L2699" i="1"/>
  <c r="K2699" i="1"/>
  <c r="L2698" i="1"/>
  <c r="K2698" i="1"/>
  <c r="L2697" i="1"/>
  <c r="K2697" i="1"/>
  <c r="L2696" i="1"/>
  <c r="K2696" i="1"/>
  <c r="L2695" i="1"/>
  <c r="K2695" i="1"/>
  <c r="L2694" i="1"/>
  <c r="K2694" i="1"/>
  <c r="L2693" i="1"/>
  <c r="K2693" i="1"/>
  <c r="L2692" i="1"/>
  <c r="K2692" i="1"/>
  <c r="L2691" i="1"/>
  <c r="K2691" i="1"/>
  <c r="L2690" i="1"/>
  <c r="K2690" i="1"/>
  <c r="L2689" i="1"/>
  <c r="K2689" i="1"/>
  <c r="L2688" i="1"/>
  <c r="K2688" i="1"/>
  <c r="L2687" i="1"/>
  <c r="K2687" i="1"/>
  <c r="L2686" i="1"/>
  <c r="K2686" i="1"/>
  <c r="L2685" i="1"/>
  <c r="K2685" i="1"/>
  <c r="L2684" i="1"/>
  <c r="K2684" i="1"/>
  <c r="L2683" i="1"/>
  <c r="K2683" i="1"/>
  <c r="L2682" i="1"/>
  <c r="K2682" i="1"/>
  <c r="L2681" i="1"/>
  <c r="K2681" i="1"/>
  <c r="L2680" i="1"/>
  <c r="K2680" i="1"/>
  <c r="L2679" i="1"/>
  <c r="K2679" i="1"/>
  <c r="L2678" i="1"/>
  <c r="K2678" i="1"/>
  <c r="L2677" i="1"/>
  <c r="K2677" i="1"/>
  <c r="L2676" i="1"/>
  <c r="K2676" i="1"/>
  <c r="L2675" i="1"/>
  <c r="K2675" i="1"/>
  <c r="L2674" i="1"/>
  <c r="K2674" i="1"/>
  <c r="L2673" i="1"/>
  <c r="K2673" i="1"/>
  <c r="L2672" i="1"/>
  <c r="K2672" i="1"/>
  <c r="L2671" i="1"/>
  <c r="K2671" i="1"/>
  <c r="L2670" i="1"/>
  <c r="K2670" i="1"/>
  <c r="L2669" i="1"/>
  <c r="K2669" i="1"/>
  <c r="L2668" i="1"/>
  <c r="K2668" i="1"/>
  <c r="L2667" i="1"/>
  <c r="K2667" i="1"/>
  <c r="L2666" i="1"/>
  <c r="K2666" i="1"/>
  <c r="L2665" i="1"/>
  <c r="K2665" i="1"/>
  <c r="L2664" i="1"/>
  <c r="K2664" i="1"/>
  <c r="L2663" i="1"/>
  <c r="K2663" i="1"/>
  <c r="L2662" i="1"/>
  <c r="K2662" i="1"/>
  <c r="L2661" i="1"/>
  <c r="K2661" i="1"/>
  <c r="L2660" i="1"/>
  <c r="K2660" i="1"/>
  <c r="L2659" i="1"/>
  <c r="K2659" i="1"/>
  <c r="L2658" i="1"/>
  <c r="K2658" i="1"/>
  <c r="L2657" i="1"/>
  <c r="K2657" i="1"/>
  <c r="L2656" i="1"/>
  <c r="K2656" i="1"/>
  <c r="L2655" i="1"/>
  <c r="K2655" i="1"/>
  <c r="L2653" i="1"/>
  <c r="K2653" i="1"/>
  <c r="L2652" i="1"/>
  <c r="K2652" i="1"/>
  <c r="L2651" i="1"/>
  <c r="K2651" i="1"/>
  <c r="L2650" i="1"/>
  <c r="K2650" i="1"/>
  <c r="L2649" i="1"/>
  <c r="K2649" i="1"/>
  <c r="L2648" i="1"/>
  <c r="K2648" i="1"/>
  <c r="L2647" i="1"/>
  <c r="K2647" i="1"/>
  <c r="L2646" i="1"/>
  <c r="K2646" i="1"/>
  <c r="L2645" i="1"/>
  <c r="K2645" i="1"/>
  <c r="L2644" i="1"/>
  <c r="K2644" i="1"/>
  <c r="L2643" i="1"/>
  <c r="K2643" i="1"/>
  <c r="L2642" i="1"/>
  <c r="K2642" i="1"/>
  <c r="L2641" i="1"/>
  <c r="K2641" i="1"/>
  <c r="L2640" i="1"/>
  <c r="K2640" i="1"/>
  <c r="L2639" i="1"/>
  <c r="K2639" i="1"/>
  <c r="L2638" i="1"/>
  <c r="K2638" i="1"/>
  <c r="L2637" i="1"/>
  <c r="K2637" i="1"/>
  <c r="L2636" i="1"/>
  <c r="K2636" i="1"/>
  <c r="L2635" i="1"/>
  <c r="K2635" i="1"/>
  <c r="L2634" i="1"/>
  <c r="K2634" i="1"/>
  <c r="L2633" i="1"/>
  <c r="K2633" i="1"/>
  <c r="L2632" i="1"/>
  <c r="K2632" i="1"/>
  <c r="L2631" i="1"/>
  <c r="K2631" i="1"/>
  <c r="L2630" i="1"/>
  <c r="K2630" i="1"/>
  <c r="L2629" i="1"/>
  <c r="K2629" i="1"/>
  <c r="L2628" i="1"/>
  <c r="K2628" i="1"/>
  <c r="L2627" i="1"/>
  <c r="K2627" i="1"/>
  <c r="L2626" i="1"/>
  <c r="K2626" i="1"/>
  <c r="L2625" i="1"/>
  <c r="K2625" i="1"/>
  <c r="L2624" i="1"/>
  <c r="K2624" i="1"/>
  <c r="L2623" i="1"/>
  <c r="K2623" i="1"/>
  <c r="L2621" i="1"/>
  <c r="K2621" i="1"/>
  <c r="L2620" i="1"/>
  <c r="K2620" i="1"/>
  <c r="L2619" i="1"/>
  <c r="K2619" i="1"/>
  <c r="L2618" i="1"/>
  <c r="K2618" i="1"/>
  <c r="L2617" i="1"/>
  <c r="K2617" i="1"/>
  <c r="L2616" i="1"/>
  <c r="K2616" i="1"/>
  <c r="L2615" i="1"/>
  <c r="K2615" i="1"/>
  <c r="L2614" i="1"/>
  <c r="K2614" i="1"/>
  <c r="L2613" i="1"/>
  <c r="K2613" i="1"/>
  <c r="L2612" i="1"/>
  <c r="K2612" i="1"/>
  <c r="L2611" i="1"/>
  <c r="K2611" i="1"/>
  <c r="L2610" i="1"/>
  <c r="K2610" i="1"/>
  <c r="L2609" i="1"/>
  <c r="K2609" i="1"/>
  <c r="L2608" i="1"/>
  <c r="K2608" i="1"/>
  <c r="L2607" i="1"/>
  <c r="K2607" i="1"/>
  <c r="L2606" i="1"/>
  <c r="K2606" i="1"/>
  <c r="L2605" i="1"/>
  <c r="K2605" i="1"/>
  <c r="L2604" i="1"/>
  <c r="K2604" i="1"/>
  <c r="L2603" i="1"/>
  <c r="K2603" i="1"/>
  <c r="L2602" i="1"/>
  <c r="K2602" i="1"/>
  <c r="L2601" i="1"/>
  <c r="K2601" i="1"/>
  <c r="L2600" i="1"/>
  <c r="K2600" i="1"/>
  <c r="L2599" i="1"/>
  <c r="K2599" i="1"/>
  <c r="L2598" i="1"/>
  <c r="K2598" i="1"/>
  <c r="L2597" i="1"/>
  <c r="K2597" i="1"/>
  <c r="L2596" i="1"/>
  <c r="K2596" i="1"/>
  <c r="L2595" i="1"/>
  <c r="K2595" i="1"/>
  <c r="L2594" i="1"/>
  <c r="K2594" i="1"/>
  <c r="L2593" i="1"/>
  <c r="K2593" i="1"/>
  <c r="L2592" i="1"/>
  <c r="K2592" i="1"/>
  <c r="L2591" i="1"/>
  <c r="K2591" i="1"/>
  <c r="L2590" i="1"/>
  <c r="K2590" i="1"/>
  <c r="L2589" i="1"/>
  <c r="K2589" i="1"/>
  <c r="L2588" i="1"/>
  <c r="K2588" i="1"/>
  <c r="L2587" i="1"/>
  <c r="K2587" i="1"/>
  <c r="L2586" i="1"/>
  <c r="K2586" i="1"/>
  <c r="L2585" i="1"/>
  <c r="K2585" i="1"/>
  <c r="L2584" i="1"/>
  <c r="K2584" i="1"/>
  <c r="L2583" i="1"/>
  <c r="K2583" i="1"/>
  <c r="L2582" i="1"/>
  <c r="K2582" i="1"/>
  <c r="L2581" i="1"/>
  <c r="K2581" i="1"/>
  <c r="L2580" i="1"/>
  <c r="K2580" i="1"/>
  <c r="L2579" i="1"/>
  <c r="K2579" i="1"/>
  <c r="L2578" i="1"/>
  <c r="K2578" i="1"/>
  <c r="L2577" i="1"/>
  <c r="K2577" i="1"/>
  <c r="L2576" i="1"/>
  <c r="K2576" i="1"/>
  <c r="L2575" i="1"/>
  <c r="K2575" i="1"/>
  <c r="L2574" i="1"/>
  <c r="K2574" i="1"/>
  <c r="L2573" i="1"/>
  <c r="K2573" i="1"/>
  <c r="L2572" i="1"/>
  <c r="K2572" i="1"/>
  <c r="L2571" i="1"/>
  <c r="K2571" i="1"/>
  <c r="L2570" i="1"/>
  <c r="K2570" i="1"/>
  <c r="L2569" i="1"/>
  <c r="K2569" i="1"/>
  <c r="L2568" i="1"/>
  <c r="K2568" i="1"/>
  <c r="L2567" i="1"/>
  <c r="K2567" i="1"/>
  <c r="L2566" i="1"/>
  <c r="K2566" i="1"/>
  <c r="L2565" i="1"/>
  <c r="K2565" i="1"/>
  <c r="L2564" i="1"/>
  <c r="K2564" i="1"/>
  <c r="L2563" i="1"/>
  <c r="K2563" i="1"/>
  <c r="L2561" i="1"/>
  <c r="K2561" i="1"/>
  <c r="L2560" i="1"/>
  <c r="K2560" i="1"/>
  <c r="L2559" i="1"/>
  <c r="K2559" i="1"/>
  <c r="L2558" i="1"/>
  <c r="K2558" i="1"/>
  <c r="L2557" i="1"/>
  <c r="K2557" i="1"/>
  <c r="L2556" i="1"/>
  <c r="K2556" i="1"/>
  <c r="L2555" i="1"/>
  <c r="K2555" i="1"/>
  <c r="L2554" i="1"/>
  <c r="K2554" i="1"/>
  <c r="L2553" i="1"/>
  <c r="K2553" i="1"/>
  <c r="L2552" i="1"/>
  <c r="K2552" i="1"/>
  <c r="L2551" i="1"/>
  <c r="K2551" i="1"/>
  <c r="L2550" i="1"/>
  <c r="K2550" i="1"/>
  <c r="L2549" i="1"/>
  <c r="K2549" i="1"/>
  <c r="L2548" i="1"/>
  <c r="K2548" i="1"/>
  <c r="L2547" i="1"/>
  <c r="K2547" i="1"/>
  <c r="L2546" i="1"/>
  <c r="K2546" i="1"/>
  <c r="L2545" i="1"/>
  <c r="K2545" i="1"/>
  <c r="L2544" i="1"/>
  <c r="K2544" i="1"/>
  <c r="L2543" i="1"/>
  <c r="K2543" i="1"/>
  <c r="L2542" i="1"/>
  <c r="K2542" i="1"/>
  <c r="L2541" i="1"/>
  <c r="K2541" i="1"/>
  <c r="L2540" i="1"/>
  <c r="K2540" i="1"/>
  <c r="L2539" i="1"/>
  <c r="K2539" i="1"/>
  <c r="L2538" i="1"/>
  <c r="K2538" i="1"/>
  <c r="L2537" i="1"/>
  <c r="K2537" i="1"/>
  <c r="L2536" i="1"/>
  <c r="K2536" i="1"/>
  <c r="L2535" i="1"/>
  <c r="K2535" i="1"/>
  <c r="L2534" i="1"/>
  <c r="K2534" i="1"/>
  <c r="L2533" i="1"/>
  <c r="K2533" i="1"/>
  <c r="L2532" i="1"/>
  <c r="K2532" i="1"/>
  <c r="L2531" i="1"/>
  <c r="K2531" i="1"/>
  <c r="L2530" i="1"/>
  <c r="K2530" i="1"/>
  <c r="L2529" i="1"/>
  <c r="K2529" i="1"/>
  <c r="L2528" i="1"/>
  <c r="K2528" i="1"/>
  <c r="L2527" i="1"/>
  <c r="K2527" i="1"/>
  <c r="L2526" i="1"/>
  <c r="K2526" i="1"/>
  <c r="L2525" i="1"/>
  <c r="K2525" i="1"/>
  <c r="L2524" i="1"/>
  <c r="K2524" i="1"/>
  <c r="L2523" i="1"/>
  <c r="K2523" i="1"/>
  <c r="L2522" i="1"/>
  <c r="K2522" i="1"/>
  <c r="L2521" i="1"/>
  <c r="K2521" i="1"/>
  <c r="L2520" i="1"/>
  <c r="K2520" i="1"/>
  <c r="L2519" i="1"/>
  <c r="K2519" i="1"/>
  <c r="L2518" i="1"/>
  <c r="K2518" i="1"/>
  <c r="L2517" i="1"/>
  <c r="K2517" i="1"/>
  <c r="L2516" i="1"/>
  <c r="K2516" i="1"/>
  <c r="L2515" i="1"/>
  <c r="K2515" i="1"/>
  <c r="L2514" i="1"/>
  <c r="K2514" i="1"/>
  <c r="L2513" i="1"/>
  <c r="K2513" i="1"/>
  <c r="L2512" i="1"/>
  <c r="K2512" i="1"/>
  <c r="L2511" i="1"/>
  <c r="K2511" i="1"/>
  <c r="L2510" i="1"/>
  <c r="K2510" i="1"/>
  <c r="L2509" i="1"/>
  <c r="K2509" i="1"/>
  <c r="L2508" i="1"/>
  <c r="K2508" i="1"/>
  <c r="L2507" i="1"/>
  <c r="K2507" i="1"/>
  <c r="L2506" i="1"/>
  <c r="K2506" i="1"/>
  <c r="L2505" i="1"/>
  <c r="K2505" i="1"/>
  <c r="L2504" i="1"/>
  <c r="K2504" i="1"/>
  <c r="L2503" i="1"/>
  <c r="K2503" i="1"/>
  <c r="L2502" i="1"/>
  <c r="K2502" i="1"/>
  <c r="L2501" i="1"/>
  <c r="K2501" i="1"/>
  <c r="L2500" i="1"/>
  <c r="K2500" i="1"/>
  <c r="L2499" i="1"/>
  <c r="K2499" i="1"/>
  <c r="L2498" i="1"/>
  <c r="K2498" i="1"/>
  <c r="L2497" i="1"/>
  <c r="K2497" i="1"/>
  <c r="L2496" i="1"/>
  <c r="K2496" i="1"/>
  <c r="L2495" i="1"/>
  <c r="K2495" i="1"/>
  <c r="L2494" i="1"/>
  <c r="K2494" i="1"/>
  <c r="L2493" i="1"/>
  <c r="K2493" i="1"/>
  <c r="L2492" i="1"/>
  <c r="K2492" i="1"/>
  <c r="L2491" i="1"/>
  <c r="K2491" i="1"/>
  <c r="L2490" i="1"/>
  <c r="K2490" i="1"/>
  <c r="L2489" i="1"/>
  <c r="K2489" i="1"/>
  <c r="L2488" i="1"/>
  <c r="K2488" i="1"/>
  <c r="L2487" i="1"/>
  <c r="K2487" i="1"/>
  <c r="L2486" i="1"/>
  <c r="K2486" i="1"/>
  <c r="L2485" i="1"/>
  <c r="K2485" i="1"/>
  <c r="L2484" i="1"/>
  <c r="K2484" i="1"/>
  <c r="L2483" i="1"/>
  <c r="K2483" i="1"/>
  <c r="L2482" i="1"/>
  <c r="K2482" i="1"/>
  <c r="L2481" i="1"/>
  <c r="K2481" i="1"/>
  <c r="L2480" i="1"/>
  <c r="K2480" i="1"/>
  <c r="L2479" i="1"/>
  <c r="K2479" i="1"/>
  <c r="L2478" i="1"/>
  <c r="K2478" i="1"/>
  <c r="L2477" i="1"/>
  <c r="K2477" i="1"/>
  <c r="L2476" i="1"/>
  <c r="K2476" i="1"/>
  <c r="L2475" i="1"/>
  <c r="K2475" i="1"/>
  <c r="L2474" i="1"/>
  <c r="K2474" i="1"/>
  <c r="L2473" i="1"/>
  <c r="K2473" i="1"/>
  <c r="L2472" i="1"/>
  <c r="K2472" i="1"/>
  <c r="L2471" i="1"/>
  <c r="K2471" i="1"/>
  <c r="L2470" i="1"/>
  <c r="K2470" i="1"/>
  <c r="L2469" i="1"/>
  <c r="K2469" i="1"/>
  <c r="L2468" i="1"/>
  <c r="K2468" i="1"/>
  <c r="L2467" i="1"/>
  <c r="K2467" i="1"/>
  <c r="L2466" i="1"/>
  <c r="K2466" i="1"/>
  <c r="L2465" i="1"/>
  <c r="K2465" i="1"/>
  <c r="L2464" i="1"/>
  <c r="K2464" i="1"/>
  <c r="L2463" i="1"/>
  <c r="K2463" i="1"/>
  <c r="L2462" i="1"/>
  <c r="K2462" i="1"/>
  <c r="L2461" i="1"/>
  <c r="K2461" i="1"/>
  <c r="L2460" i="1"/>
  <c r="K2460" i="1"/>
  <c r="L2459" i="1"/>
  <c r="K2459" i="1"/>
  <c r="L2458" i="1"/>
  <c r="K2458" i="1"/>
  <c r="L2457" i="1"/>
  <c r="K2457" i="1"/>
  <c r="L2456" i="1"/>
  <c r="K2456" i="1"/>
  <c r="L2455" i="1"/>
  <c r="K2455" i="1"/>
  <c r="L2454" i="1"/>
  <c r="K2454" i="1"/>
  <c r="L2453" i="1"/>
  <c r="K2453" i="1"/>
  <c r="L2452" i="1"/>
  <c r="K2452" i="1"/>
  <c r="L2451" i="1"/>
  <c r="K2451" i="1"/>
  <c r="L2450" i="1"/>
  <c r="K2450" i="1"/>
  <c r="L2449" i="1"/>
  <c r="K2449" i="1"/>
  <c r="L2448" i="1"/>
  <c r="K2448" i="1"/>
  <c r="L2447" i="1"/>
  <c r="K2447" i="1"/>
  <c r="L2446" i="1"/>
  <c r="K2446" i="1"/>
  <c r="L2445" i="1"/>
  <c r="K2445" i="1"/>
  <c r="L2444" i="1"/>
  <c r="K2444" i="1"/>
  <c r="L2443" i="1"/>
  <c r="K2443" i="1"/>
  <c r="L2442" i="1"/>
  <c r="K2442" i="1"/>
  <c r="L2441" i="1"/>
  <c r="K2441" i="1"/>
  <c r="L2440" i="1"/>
  <c r="K2440" i="1"/>
  <c r="L2439" i="1"/>
  <c r="K2439" i="1"/>
  <c r="L2438" i="1"/>
  <c r="K2438" i="1"/>
  <c r="L2437" i="1"/>
  <c r="K2437" i="1"/>
  <c r="L2436" i="1"/>
  <c r="K2436" i="1"/>
  <c r="L2435" i="1"/>
  <c r="K2435" i="1"/>
  <c r="L2434" i="1"/>
  <c r="K2434" i="1"/>
  <c r="L2433" i="1"/>
  <c r="K2433" i="1"/>
  <c r="L2432" i="1"/>
  <c r="K2432" i="1"/>
  <c r="L2431" i="1"/>
  <c r="K2431" i="1"/>
  <c r="L2430" i="1"/>
  <c r="K2430" i="1"/>
  <c r="L2429" i="1"/>
  <c r="K2429" i="1"/>
  <c r="L2428" i="1"/>
  <c r="K2428" i="1"/>
  <c r="L2427" i="1"/>
  <c r="K2427" i="1"/>
  <c r="L2426" i="1"/>
  <c r="K2426" i="1"/>
  <c r="L2425" i="1"/>
  <c r="K2425" i="1"/>
  <c r="L2424" i="1"/>
  <c r="K2424" i="1"/>
  <c r="L2423" i="1"/>
  <c r="K2423" i="1"/>
  <c r="L2422" i="1"/>
  <c r="K2422" i="1"/>
  <c r="L2421" i="1"/>
  <c r="K2421" i="1"/>
  <c r="L2420" i="1"/>
  <c r="K2420" i="1"/>
  <c r="L2419" i="1"/>
  <c r="K2419" i="1"/>
  <c r="L2418" i="1"/>
  <c r="K2418" i="1"/>
  <c r="L2417" i="1"/>
  <c r="K2417" i="1"/>
  <c r="L2416" i="1"/>
  <c r="K2416" i="1"/>
  <c r="L2415" i="1"/>
  <c r="K2415" i="1"/>
  <c r="L2414" i="1"/>
  <c r="K2414" i="1"/>
  <c r="L2413" i="1"/>
  <c r="K2413" i="1"/>
  <c r="L2412" i="1"/>
  <c r="K2412" i="1"/>
  <c r="L2411" i="1"/>
  <c r="K2411" i="1"/>
  <c r="L2410" i="1"/>
  <c r="K2410" i="1"/>
  <c r="L2409" i="1"/>
  <c r="K2409" i="1"/>
  <c r="L2408" i="1"/>
  <c r="K2408" i="1"/>
  <c r="L2407" i="1"/>
  <c r="K2407" i="1"/>
  <c r="L2406" i="1"/>
  <c r="K2406" i="1"/>
  <c r="L2405" i="1"/>
  <c r="K2405" i="1"/>
  <c r="L2404" i="1"/>
  <c r="K2404" i="1"/>
  <c r="L2403" i="1"/>
  <c r="K2403" i="1"/>
  <c r="L2402" i="1"/>
  <c r="K2402" i="1"/>
  <c r="L2401" i="1"/>
  <c r="K2401" i="1"/>
  <c r="L2400" i="1"/>
  <c r="K2400" i="1"/>
  <c r="L2399" i="1"/>
  <c r="K2399" i="1"/>
  <c r="L2398" i="1"/>
  <c r="K2398" i="1"/>
  <c r="L2397" i="1"/>
  <c r="K2397" i="1"/>
  <c r="L2396" i="1"/>
  <c r="K2396" i="1"/>
  <c r="L2395" i="1"/>
  <c r="K2395" i="1"/>
  <c r="L2394" i="1"/>
  <c r="K2394" i="1"/>
  <c r="L2393" i="1"/>
  <c r="K2393" i="1"/>
  <c r="L2392" i="1"/>
  <c r="K2392" i="1"/>
  <c r="L2391" i="1"/>
  <c r="K2391" i="1"/>
  <c r="L2390" i="1"/>
  <c r="K2390" i="1"/>
  <c r="L2389" i="1"/>
  <c r="K2389" i="1"/>
  <c r="L2388" i="1"/>
  <c r="K2388" i="1"/>
  <c r="L2387" i="1"/>
  <c r="K2387" i="1"/>
  <c r="L2386" i="1"/>
  <c r="K2386" i="1"/>
  <c r="L2385" i="1"/>
  <c r="K2385" i="1"/>
  <c r="L2384" i="1"/>
  <c r="K2384" i="1"/>
  <c r="L2383" i="1"/>
  <c r="K2383" i="1"/>
  <c r="L2382" i="1"/>
  <c r="K2382" i="1"/>
  <c r="L2381" i="1"/>
  <c r="K2381" i="1"/>
  <c r="L2380" i="1"/>
  <c r="K2380" i="1"/>
  <c r="L2379" i="1"/>
  <c r="K2379" i="1"/>
  <c r="L2377" i="1"/>
  <c r="K2377" i="1"/>
  <c r="L2376" i="1"/>
  <c r="K2376" i="1"/>
  <c r="L2375" i="1"/>
  <c r="K2375" i="1"/>
  <c r="L2374" i="1"/>
  <c r="K2374" i="1"/>
  <c r="L2373" i="1"/>
  <c r="K2373" i="1"/>
  <c r="L2372" i="1"/>
  <c r="K2372" i="1"/>
  <c r="L2371" i="1"/>
  <c r="K2371" i="1"/>
  <c r="L2370" i="1"/>
  <c r="K2370" i="1"/>
  <c r="L2369" i="1"/>
  <c r="K2369" i="1"/>
  <c r="L2368" i="1"/>
  <c r="K2368" i="1"/>
  <c r="L2367" i="1"/>
  <c r="K2367" i="1"/>
  <c r="L2366" i="1"/>
  <c r="K2366" i="1"/>
  <c r="L2365" i="1"/>
  <c r="K2365" i="1"/>
  <c r="L2364" i="1"/>
  <c r="K2364" i="1"/>
  <c r="L2363" i="1"/>
  <c r="K2363" i="1"/>
  <c r="L2362" i="1"/>
  <c r="K2362" i="1"/>
  <c r="L2361" i="1"/>
  <c r="K2361" i="1"/>
  <c r="L2360" i="1"/>
  <c r="K2360" i="1"/>
  <c r="L2359" i="1"/>
  <c r="K2359" i="1"/>
  <c r="L2358" i="1"/>
  <c r="K2358" i="1"/>
  <c r="L2357" i="1"/>
  <c r="K2357" i="1"/>
  <c r="L2356" i="1"/>
  <c r="K2356" i="1"/>
  <c r="L2355" i="1"/>
  <c r="K2355" i="1"/>
  <c r="L2354" i="1"/>
  <c r="K2354" i="1"/>
  <c r="L2353" i="1"/>
  <c r="K2353" i="1"/>
  <c r="L2352" i="1"/>
  <c r="K2352" i="1"/>
  <c r="L2351" i="1"/>
  <c r="K2351" i="1"/>
  <c r="L2350" i="1"/>
  <c r="K2350" i="1"/>
  <c r="L2349" i="1"/>
  <c r="K2349" i="1"/>
  <c r="L2348" i="1"/>
  <c r="K2348" i="1"/>
  <c r="L2347" i="1"/>
  <c r="K2347" i="1"/>
  <c r="L2346" i="1"/>
  <c r="K2346" i="1"/>
  <c r="L2345" i="1"/>
  <c r="K2345" i="1"/>
  <c r="L2344" i="1"/>
  <c r="K2344" i="1"/>
  <c r="L2343" i="1"/>
  <c r="K2343" i="1"/>
  <c r="L2342" i="1"/>
  <c r="K2342" i="1"/>
  <c r="L2341" i="1"/>
  <c r="K2341" i="1"/>
  <c r="L2340" i="1"/>
  <c r="K2340" i="1"/>
  <c r="L2339" i="1"/>
  <c r="K2339" i="1"/>
  <c r="L2338" i="1"/>
  <c r="K2338" i="1"/>
  <c r="L2337" i="1"/>
  <c r="K2337" i="1"/>
  <c r="L2336" i="1"/>
  <c r="K2336" i="1"/>
  <c r="L2335" i="1"/>
  <c r="K2335" i="1"/>
  <c r="L2334" i="1"/>
  <c r="K2334" i="1"/>
  <c r="L2333" i="1"/>
  <c r="K2333" i="1"/>
  <c r="L2332" i="1"/>
  <c r="K2332" i="1"/>
  <c r="L2331" i="1"/>
  <c r="K2331" i="1"/>
  <c r="L2330" i="1"/>
  <c r="K2330" i="1"/>
  <c r="L2329" i="1"/>
  <c r="K2329" i="1"/>
  <c r="L2328" i="1"/>
  <c r="K2328" i="1"/>
  <c r="L2327" i="1"/>
  <c r="K2327" i="1"/>
  <c r="L2326" i="1"/>
  <c r="K2326" i="1"/>
  <c r="L2325" i="1"/>
  <c r="K2325" i="1"/>
  <c r="L2324" i="1"/>
  <c r="K2324" i="1"/>
  <c r="L2323" i="1"/>
  <c r="K2323" i="1"/>
  <c r="L2322" i="1"/>
  <c r="K2322" i="1"/>
  <c r="L2321" i="1"/>
  <c r="K2321" i="1"/>
  <c r="L2320" i="1"/>
  <c r="K2320" i="1"/>
  <c r="L2319" i="1"/>
  <c r="K2319" i="1"/>
  <c r="L2318" i="1"/>
  <c r="K2318" i="1"/>
  <c r="L2317" i="1"/>
  <c r="K2317" i="1"/>
  <c r="L2316" i="1"/>
  <c r="K2316" i="1"/>
  <c r="L2315" i="1"/>
  <c r="K2315" i="1"/>
  <c r="L2314" i="1"/>
  <c r="K2314" i="1"/>
  <c r="L2313" i="1"/>
  <c r="K2313" i="1"/>
  <c r="L2312" i="1"/>
  <c r="K2312" i="1"/>
  <c r="L2311" i="1"/>
  <c r="K2311" i="1"/>
  <c r="L2310" i="1"/>
  <c r="K2310" i="1"/>
  <c r="L2309" i="1"/>
  <c r="K2309" i="1"/>
  <c r="L2308" i="1"/>
  <c r="K2308" i="1"/>
  <c r="L2307" i="1"/>
  <c r="K2307" i="1"/>
  <c r="L2306" i="1"/>
  <c r="K2306" i="1"/>
  <c r="L2305" i="1"/>
  <c r="K2305" i="1"/>
  <c r="L2304" i="1"/>
  <c r="K2304" i="1"/>
  <c r="L2303" i="1"/>
  <c r="K2303" i="1"/>
  <c r="L2302" i="1"/>
  <c r="K2302" i="1"/>
  <c r="L2301" i="1"/>
  <c r="K2301" i="1"/>
  <c r="L2300" i="1"/>
  <c r="K2300" i="1"/>
  <c r="L2299" i="1"/>
  <c r="K2299" i="1"/>
  <c r="L2298" i="1"/>
  <c r="K2298" i="1"/>
  <c r="L2297" i="1"/>
  <c r="K2297" i="1"/>
  <c r="L2296" i="1"/>
  <c r="K2296" i="1"/>
  <c r="L2295" i="1"/>
  <c r="K2295" i="1"/>
  <c r="L2294" i="1"/>
  <c r="K2294" i="1"/>
  <c r="L2293" i="1"/>
  <c r="K2293" i="1"/>
  <c r="L2292" i="1"/>
  <c r="K2292" i="1"/>
  <c r="L2291" i="1"/>
  <c r="K2291" i="1"/>
  <c r="L2290" i="1"/>
  <c r="K2290" i="1"/>
  <c r="L2289" i="1"/>
  <c r="K2289" i="1"/>
  <c r="L2288" i="1"/>
  <c r="K2288" i="1"/>
  <c r="L2287" i="1"/>
  <c r="K2287" i="1"/>
  <c r="L2286" i="1"/>
  <c r="K2286" i="1"/>
  <c r="L2285" i="1"/>
  <c r="K2285" i="1"/>
  <c r="L2284" i="1"/>
  <c r="K2284" i="1"/>
  <c r="L2283" i="1"/>
  <c r="K2283" i="1"/>
  <c r="L2282" i="1"/>
  <c r="K2282" i="1"/>
  <c r="L2281" i="1"/>
  <c r="K2281" i="1"/>
  <c r="L2280" i="1"/>
  <c r="K2280" i="1"/>
  <c r="L2279" i="1"/>
  <c r="K2279" i="1"/>
  <c r="L2278" i="1"/>
  <c r="K2278" i="1"/>
  <c r="L2277" i="1"/>
  <c r="K2277" i="1"/>
  <c r="L2276" i="1"/>
  <c r="K2276" i="1"/>
  <c r="L2275" i="1"/>
  <c r="K2275" i="1"/>
  <c r="L2274" i="1"/>
  <c r="K2274" i="1"/>
  <c r="L2273" i="1"/>
  <c r="K2273" i="1"/>
  <c r="L2272" i="1"/>
  <c r="K2272" i="1"/>
  <c r="L2271" i="1"/>
  <c r="K2271" i="1"/>
  <c r="L2270" i="1"/>
  <c r="K2270" i="1"/>
  <c r="L2269" i="1"/>
  <c r="K2269" i="1"/>
  <c r="L2268" i="1"/>
  <c r="K2268" i="1"/>
  <c r="L2267" i="1"/>
  <c r="K2267" i="1"/>
  <c r="L2266" i="1"/>
  <c r="K2266" i="1"/>
  <c r="L2265" i="1"/>
  <c r="K2265" i="1"/>
  <c r="L2264" i="1"/>
  <c r="K2264" i="1"/>
  <c r="L2263" i="1"/>
  <c r="K2263" i="1"/>
  <c r="L2262" i="1"/>
  <c r="K2262" i="1"/>
  <c r="L2261" i="1"/>
  <c r="K2261" i="1"/>
  <c r="L2260" i="1"/>
  <c r="K2260" i="1"/>
  <c r="L2259" i="1"/>
  <c r="K2259" i="1"/>
  <c r="L2258" i="1"/>
  <c r="K2258" i="1"/>
  <c r="L2257" i="1"/>
  <c r="K2257" i="1"/>
  <c r="L2256" i="1"/>
  <c r="K2256" i="1"/>
  <c r="L2255" i="1"/>
  <c r="K2255" i="1"/>
  <c r="L2254" i="1"/>
  <c r="K2254" i="1"/>
  <c r="L2253" i="1"/>
  <c r="K2253" i="1"/>
  <c r="L2252" i="1"/>
  <c r="K2252" i="1"/>
  <c r="L2251" i="1"/>
  <c r="K2251" i="1"/>
  <c r="L2250" i="1"/>
  <c r="K2250" i="1"/>
  <c r="L2249" i="1"/>
  <c r="K2249" i="1"/>
  <c r="L2248" i="1"/>
  <c r="K2248" i="1"/>
  <c r="L2247" i="1"/>
  <c r="K2247" i="1"/>
  <c r="L2246" i="1"/>
  <c r="K2246" i="1"/>
  <c r="L2245" i="1"/>
  <c r="K2245" i="1"/>
  <c r="L2244" i="1"/>
  <c r="K2244" i="1"/>
  <c r="L2243" i="1"/>
  <c r="K2243" i="1"/>
  <c r="L2242" i="1"/>
  <c r="K2242" i="1"/>
  <c r="L2241" i="1"/>
  <c r="K2241" i="1"/>
  <c r="L2240" i="1"/>
  <c r="K2240" i="1"/>
  <c r="L2239" i="1"/>
  <c r="K2239" i="1"/>
  <c r="L2238" i="1"/>
  <c r="K2238" i="1"/>
  <c r="L2237" i="1"/>
  <c r="K2237" i="1"/>
  <c r="L2236" i="1"/>
  <c r="K2236" i="1"/>
  <c r="L2235" i="1"/>
  <c r="K2235" i="1"/>
  <c r="L2234" i="1"/>
  <c r="K2234" i="1"/>
  <c r="L2233" i="1"/>
  <c r="K2233" i="1"/>
  <c r="L2232" i="1"/>
  <c r="K2232" i="1"/>
  <c r="L2231" i="1"/>
  <c r="K2231" i="1"/>
  <c r="L2230" i="1"/>
  <c r="K2230" i="1"/>
  <c r="L2229" i="1"/>
  <c r="K2229" i="1"/>
  <c r="L2228" i="1"/>
  <c r="K2228" i="1"/>
  <c r="L2227" i="1"/>
  <c r="K2227" i="1"/>
  <c r="L2226" i="1"/>
  <c r="K2226" i="1"/>
  <c r="L2225" i="1"/>
  <c r="K2225" i="1"/>
  <c r="L2224" i="1"/>
  <c r="K2224" i="1"/>
  <c r="L2223" i="1"/>
  <c r="K2223" i="1"/>
  <c r="L2222" i="1"/>
  <c r="K2222" i="1"/>
  <c r="L2221" i="1"/>
  <c r="K2221" i="1"/>
  <c r="L2220" i="1"/>
  <c r="K2220" i="1"/>
  <c r="L2219" i="1"/>
  <c r="K2219" i="1"/>
  <c r="L2218" i="1"/>
  <c r="K2218" i="1"/>
  <c r="L2217" i="1"/>
  <c r="K2217" i="1"/>
  <c r="L2216" i="1"/>
  <c r="K2216" i="1"/>
  <c r="L2215" i="1"/>
  <c r="K2215" i="1"/>
  <c r="L2214" i="1"/>
  <c r="K2214" i="1"/>
  <c r="L2213" i="1"/>
  <c r="K2213" i="1"/>
  <c r="L2212" i="1"/>
  <c r="K2212" i="1"/>
  <c r="L2211" i="1"/>
  <c r="K2211" i="1"/>
  <c r="L2210" i="1"/>
  <c r="K2210" i="1"/>
  <c r="L2209" i="1"/>
  <c r="K2209" i="1"/>
  <c r="L2208" i="1"/>
  <c r="K2208" i="1"/>
  <c r="L2207" i="1"/>
  <c r="K2207" i="1"/>
  <c r="L2206" i="1"/>
  <c r="K2206" i="1"/>
  <c r="L2205" i="1"/>
  <c r="K2205" i="1"/>
  <c r="L2204" i="1"/>
  <c r="K2204" i="1"/>
  <c r="L2203" i="1"/>
  <c r="K2203" i="1"/>
  <c r="L2202" i="1"/>
  <c r="K2202" i="1"/>
  <c r="L2201" i="1"/>
  <c r="K2201" i="1"/>
  <c r="L2200" i="1"/>
  <c r="K2200" i="1"/>
  <c r="L2199" i="1"/>
  <c r="K2199" i="1"/>
  <c r="L2198" i="1"/>
  <c r="K2198" i="1"/>
  <c r="L2197" i="1"/>
  <c r="K2197" i="1"/>
  <c r="L2196" i="1"/>
  <c r="K2196" i="1"/>
  <c r="L2195" i="1"/>
  <c r="K2195" i="1"/>
  <c r="L2194" i="1"/>
  <c r="K2194" i="1"/>
  <c r="L2193" i="1"/>
  <c r="K2193" i="1"/>
  <c r="L2192" i="1"/>
  <c r="K2192" i="1"/>
  <c r="L2191" i="1"/>
  <c r="K2191" i="1"/>
  <c r="L2190" i="1"/>
  <c r="K2190" i="1"/>
  <c r="L2189" i="1"/>
  <c r="K2189" i="1"/>
  <c r="L2188" i="1"/>
  <c r="K2188" i="1"/>
  <c r="L2187" i="1"/>
  <c r="K2187" i="1"/>
  <c r="L2186" i="1"/>
  <c r="K2186" i="1"/>
  <c r="L2185" i="1"/>
  <c r="K2185" i="1"/>
  <c r="L2184" i="1"/>
  <c r="K2184" i="1"/>
  <c r="L2183" i="1"/>
  <c r="K2183" i="1"/>
  <c r="L2182" i="1"/>
  <c r="K2182" i="1"/>
  <c r="L2181" i="1"/>
  <c r="K2181" i="1"/>
  <c r="L2180" i="1"/>
  <c r="K2180" i="1"/>
  <c r="L2179" i="1"/>
  <c r="K2179" i="1"/>
  <c r="L2178" i="1"/>
  <c r="K2178" i="1"/>
  <c r="L2177" i="1"/>
  <c r="K2177" i="1"/>
  <c r="L2176" i="1"/>
  <c r="K2176" i="1"/>
  <c r="L2175" i="1"/>
  <c r="K2175" i="1"/>
  <c r="L2174" i="1"/>
  <c r="K2174" i="1"/>
  <c r="L2173" i="1"/>
  <c r="K2173" i="1"/>
  <c r="L2172" i="1"/>
  <c r="K2172" i="1"/>
  <c r="L2171" i="1"/>
  <c r="K2171" i="1"/>
  <c r="L2170" i="1"/>
  <c r="K2170" i="1"/>
  <c r="L2169" i="1"/>
  <c r="K2169" i="1"/>
  <c r="L2168" i="1"/>
  <c r="K2168" i="1"/>
  <c r="L2167" i="1"/>
  <c r="K2167" i="1"/>
  <c r="L2166" i="1"/>
  <c r="K2166" i="1"/>
  <c r="L2165" i="1"/>
  <c r="K2165" i="1"/>
  <c r="L2164" i="1"/>
  <c r="K2164" i="1"/>
  <c r="L2163" i="1"/>
  <c r="K2163" i="1"/>
  <c r="L2162" i="1"/>
  <c r="K2162" i="1"/>
  <c r="L2161" i="1"/>
  <c r="K2161" i="1"/>
  <c r="L2160" i="1"/>
  <c r="K2160" i="1"/>
  <c r="L2159" i="1"/>
  <c r="K2159" i="1"/>
  <c r="L2158" i="1"/>
  <c r="K2158" i="1"/>
  <c r="L2157" i="1"/>
  <c r="K2157" i="1"/>
  <c r="L2156" i="1"/>
  <c r="K2156" i="1"/>
  <c r="L2155" i="1"/>
  <c r="K2155" i="1"/>
  <c r="L2154" i="1"/>
  <c r="K2154" i="1"/>
  <c r="L2153" i="1"/>
  <c r="K2153" i="1"/>
  <c r="L2152" i="1"/>
  <c r="K2152" i="1"/>
  <c r="L2151" i="1"/>
  <c r="K2151" i="1"/>
  <c r="L2150" i="1"/>
  <c r="K2150" i="1"/>
  <c r="L2149" i="1"/>
  <c r="K2149" i="1"/>
  <c r="L2148" i="1"/>
  <c r="K2148" i="1"/>
  <c r="L2147" i="1"/>
  <c r="K2147" i="1"/>
  <c r="L2146" i="1"/>
  <c r="K2146" i="1"/>
  <c r="L2145" i="1"/>
  <c r="K2145" i="1"/>
  <c r="L2144" i="1"/>
  <c r="K2144" i="1"/>
  <c r="L2143" i="1"/>
  <c r="K2143" i="1"/>
  <c r="L2142" i="1"/>
  <c r="K2142" i="1"/>
  <c r="L2141" i="1"/>
  <c r="K2141" i="1"/>
  <c r="L2140" i="1"/>
  <c r="K2140" i="1"/>
  <c r="L2139" i="1"/>
  <c r="K2139" i="1"/>
  <c r="L2138" i="1"/>
  <c r="K2138" i="1"/>
  <c r="L2137" i="1"/>
  <c r="K2137" i="1"/>
  <c r="L2136" i="1"/>
  <c r="K2136" i="1"/>
  <c r="L2135" i="1"/>
  <c r="K2135" i="1"/>
  <c r="L2134" i="1"/>
  <c r="K2134" i="1"/>
  <c r="L2133" i="1"/>
  <c r="K2133" i="1"/>
  <c r="L2132" i="1"/>
  <c r="K2132" i="1"/>
  <c r="L2131" i="1"/>
  <c r="K2131" i="1"/>
  <c r="L2130" i="1"/>
  <c r="K2130" i="1"/>
  <c r="L2129" i="1"/>
  <c r="K2129" i="1"/>
  <c r="L2128" i="1"/>
  <c r="K2128" i="1"/>
  <c r="L2127" i="1"/>
  <c r="K2127" i="1"/>
  <c r="L2126" i="1"/>
  <c r="K2126" i="1"/>
  <c r="L2125" i="1"/>
  <c r="K2125" i="1"/>
  <c r="L2124" i="1"/>
  <c r="K2124" i="1"/>
  <c r="L2123" i="1"/>
  <c r="K2123" i="1"/>
  <c r="L2122" i="1"/>
  <c r="K2122" i="1"/>
  <c r="L2121" i="1"/>
  <c r="K2121" i="1"/>
  <c r="L2120" i="1"/>
  <c r="K2120" i="1"/>
  <c r="L2119" i="1"/>
  <c r="K2119" i="1"/>
  <c r="L2118" i="1"/>
  <c r="K2118" i="1"/>
  <c r="L2117" i="1"/>
  <c r="K2117" i="1"/>
  <c r="L2116" i="1"/>
  <c r="K2116" i="1"/>
  <c r="L2115" i="1"/>
  <c r="K2115" i="1"/>
  <c r="L2114" i="1"/>
  <c r="K2114" i="1"/>
  <c r="L2113" i="1"/>
  <c r="K2113" i="1"/>
  <c r="L2112" i="1"/>
  <c r="K2112" i="1"/>
  <c r="L2111" i="1"/>
  <c r="K2111" i="1"/>
  <c r="L2110" i="1"/>
  <c r="K2110" i="1"/>
  <c r="L2109" i="1"/>
  <c r="K2109" i="1"/>
  <c r="L2108" i="1"/>
  <c r="K2108" i="1"/>
  <c r="L2107" i="1"/>
  <c r="K2107" i="1"/>
  <c r="L2106" i="1"/>
  <c r="K2106" i="1"/>
  <c r="L2105" i="1"/>
  <c r="K2105" i="1"/>
  <c r="L2104" i="1"/>
  <c r="K2104" i="1"/>
  <c r="L2103" i="1"/>
  <c r="K2103" i="1"/>
  <c r="L2102" i="1"/>
  <c r="K2102" i="1"/>
  <c r="L2101" i="1"/>
  <c r="K2101" i="1"/>
  <c r="L2100" i="1"/>
  <c r="K2100" i="1"/>
  <c r="L2099" i="1"/>
  <c r="K2099" i="1"/>
  <c r="L2098" i="1"/>
  <c r="K2098" i="1"/>
  <c r="L2097" i="1"/>
  <c r="K2097" i="1"/>
  <c r="L2096" i="1"/>
  <c r="K2096" i="1"/>
  <c r="L2095" i="1"/>
  <c r="K2095" i="1"/>
  <c r="L2094" i="1"/>
  <c r="K2094" i="1"/>
  <c r="L2093" i="1"/>
  <c r="K2093" i="1"/>
  <c r="L2092" i="1"/>
  <c r="K2092" i="1"/>
  <c r="L2091" i="1"/>
  <c r="K2091" i="1"/>
  <c r="L2090" i="1"/>
  <c r="K2090" i="1"/>
  <c r="L2089" i="1"/>
  <c r="K2089" i="1"/>
  <c r="L2088" i="1"/>
  <c r="K2088" i="1"/>
  <c r="L2087" i="1"/>
  <c r="K2087" i="1"/>
  <c r="L2086" i="1"/>
  <c r="K2086" i="1"/>
  <c r="L2085" i="1"/>
  <c r="K2085" i="1"/>
  <c r="L2084" i="1"/>
  <c r="K2084" i="1"/>
  <c r="L2083" i="1"/>
  <c r="K2083" i="1"/>
  <c r="L2082" i="1"/>
  <c r="K2082" i="1"/>
  <c r="L2081" i="1"/>
  <c r="K2081" i="1"/>
  <c r="L2080" i="1"/>
  <c r="K2080" i="1"/>
  <c r="L2079" i="1"/>
  <c r="K2079" i="1"/>
  <c r="L2078" i="1"/>
  <c r="K2078" i="1"/>
  <c r="L2077" i="1"/>
  <c r="K2077" i="1"/>
  <c r="L2076" i="1"/>
  <c r="K2076" i="1"/>
  <c r="L2075" i="1"/>
  <c r="K2075" i="1"/>
  <c r="L2074" i="1"/>
  <c r="K2074" i="1"/>
  <c r="L2073" i="1"/>
  <c r="K2073" i="1"/>
  <c r="L2072" i="1"/>
  <c r="K2072" i="1"/>
  <c r="L2071" i="1"/>
  <c r="K2071" i="1"/>
  <c r="L2070" i="1"/>
  <c r="K2070" i="1"/>
  <c r="L2069" i="1"/>
  <c r="K2069" i="1"/>
  <c r="L2068" i="1"/>
  <c r="K2068" i="1"/>
  <c r="L2067" i="1"/>
  <c r="K2067" i="1"/>
  <c r="L2066" i="1"/>
  <c r="K2066" i="1"/>
  <c r="L2065" i="1"/>
  <c r="K2065" i="1"/>
  <c r="L2064" i="1"/>
  <c r="K2064" i="1"/>
  <c r="L2061" i="1"/>
  <c r="K2061" i="1"/>
  <c r="L2060" i="1"/>
  <c r="K2060" i="1"/>
  <c r="L2059" i="1"/>
  <c r="K2059" i="1"/>
  <c r="L2058" i="1"/>
  <c r="K2058" i="1"/>
  <c r="L2057" i="1"/>
  <c r="K2057" i="1"/>
  <c r="L2056" i="1"/>
  <c r="K2056" i="1"/>
  <c r="L2055" i="1"/>
  <c r="K2055" i="1"/>
  <c r="L2054" i="1"/>
  <c r="K2054" i="1"/>
  <c r="L2053" i="1"/>
  <c r="K2053" i="1"/>
  <c r="L2052" i="1"/>
  <c r="K2052" i="1"/>
  <c r="L2051" i="1"/>
  <c r="K2051" i="1"/>
  <c r="L2050" i="1"/>
  <c r="K2050" i="1"/>
  <c r="L2049" i="1"/>
  <c r="K2049" i="1"/>
  <c r="L2048" i="1"/>
  <c r="K2048" i="1"/>
  <c r="L2047" i="1"/>
  <c r="K2047" i="1"/>
  <c r="L2046" i="1"/>
  <c r="K2046" i="1"/>
  <c r="L2045" i="1"/>
  <c r="K2045" i="1"/>
  <c r="L2044" i="1"/>
  <c r="K2044" i="1"/>
  <c r="L2043" i="1"/>
  <c r="K2043" i="1"/>
  <c r="L2042" i="1"/>
  <c r="K2042" i="1"/>
  <c r="L2041" i="1"/>
  <c r="K2041" i="1"/>
  <c r="L2040" i="1"/>
  <c r="K2040" i="1"/>
  <c r="L2039" i="1"/>
  <c r="K2039" i="1"/>
  <c r="L2038" i="1"/>
  <c r="K2038" i="1"/>
  <c r="L2037" i="1"/>
  <c r="K2037" i="1"/>
  <c r="L2036" i="1"/>
  <c r="K2036" i="1"/>
  <c r="L2035" i="1"/>
  <c r="K2035" i="1"/>
  <c r="L2034" i="1"/>
  <c r="K2034" i="1"/>
  <c r="L2033" i="1"/>
  <c r="K2033" i="1"/>
  <c r="L2032" i="1"/>
  <c r="K2032" i="1"/>
  <c r="L2031" i="1"/>
  <c r="K2031" i="1"/>
  <c r="L2030" i="1"/>
  <c r="K2030" i="1"/>
  <c r="L2029" i="1"/>
  <c r="K2029" i="1"/>
  <c r="L2028" i="1"/>
  <c r="K2028" i="1"/>
  <c r="L2027" i="1"/>
  <c r="K2027" i="1"/>
  <c r="L2026" i="1"/>
  <c r="K2026" i="1"/>
  <c r="L2025" i="1"/>
  <c r="K2025" i="1"/>
  <c r="L2023" i="1"/>
  <c r="K2023" i="1"/>
  <c r="L2022" i="1"/>
  <c r="K2022" i="1"/>
  <c r="L2021" i="1"/>
  <c r="K2021" i="1"/>
  <c r="L2020" i="1"/>
  <c r="K2020" i="1"/>
  <c r="L2019" i="1"/>
  <c r="K2019" i="1"/>
  <c r="L2018" i="1"/>
  <c r="K2018" i="1"/>
  <c r="L2017" i="1"/>
  <c r="K2017" i="1"/>
  <c r="L2016" i="1"/>
  <c r="K2016" i="1"/>
  <c r="L2015" i="1"/>
  <c r="K2015" i="1"/>
  <c r="L2014" i="1"/>
  <c r="K2014" i="1"/>
  <c r="L2013" i="1"/>
  <c r="K2013" i="1"/>
  <c r="L2012" i="1"/>
  <c r="K2012" i="1"/>
  <c r="L2011" i="1"/>
  <c r="K2011" i="1"/>
  <c r="L2010" i="1"/>
  <c r="K2010" i="1"/>
  <c r="L2009" i="1"/>
  <c r="K2009" i="1"/>
  <c r="L2008" i="1"/>
  <c r="K2008" i="1"/>
  <c r="L2007" i="1"/>
  <c r="K2007" i="1"/>
  <c r="L2006" i="1"/>
  <c r="K2006" i="1"/>
  <c r="L2005" i="1"/>
  <c r="K2005" i="1"/>
  <c r="L2004" i="1"/>
  <c r="K2004" i="1"/>
  <c r="L2003" i="1"/>
  <c r="K2003" i="1"/>
  <c r="L2002" i="1"/>
  <c r="K2002" i="1"/>
  <c r="L2001" i="1"/>
  <c r="K2001" i="1"/>
  <c r="L2000" i="1"/>
  <c r="K2000" i="1"/>
  <c r="L1999" i="1"/>
  <c r="K1999" i="1"/>
  <c r="L1998" i="1"/>
  <c r="K1998" i="1"/>
  <c r="L1997" i="1"/>
  <c r="K1997" i="1"/>
  <c r="L1996" i="1"/>
  <c r="K1996" i="1"/>
  <c r="L1995" i="1"/>
  <c r="K1995" i="1"/>
  <c r="L1994" i="1"/>
  <c r="K1994" i="1"/>
  <c r="L1993" i="1"/>
  <c r="K1993" i="1"/>
  <c r="L1992" i="1"/>
  <c r="K1992" i="1"/>
  <c r="L1991" i="1"/>
  <c r="K1991" i="1"/>
  <c r="L1990" i="1"/>
  <c r="K1990" i="1"/>
  <c r="L1989" i="1"/>
  <c r="K1989" i="1"/>
  <c r="L1988" i="1"/>
  <c r="K1988" i="1"/>
  <c r="L1987" i="1"/>
  <c r="K1987" i="1"/>
  <c r="L1986" i="1"/>
  <c r="K1986" i="1"/>
  <c r="L1985" i="1"/>
  <c r="K1985" i="1"/>
  <c r="L1984" i="1"/>
  <c r="K1984" i="1"/>
  <c r="L1983" i="1"/>
  <c r="K1983" i="1"/>
  <c r="L1982" i="1"/>
  <c r="K1982" i="1"/>
  <c r="L1981" i="1"/>
  <c r="K1981" i="1"/>
  <c r="L1980" i="1"/>
  <c r="K1980" i="1"/>
  <c r="L1979" i="1"/>
  <c r="K1979" i="1"/>
  <c r="L1978" i="1"/>
  <c r="K1978" i="1"/>
  <c r="L1977" i="1"/>
  <c r="K1977" i="1"/>
  <c r="L1976" i="1"/>
  <c r="K1976" i="1"/>
  <c r="L1975" i="1"/>
  <c r="K1975" i="1"/>
  <c r="L1974" i="1"/>
  <c r="K1974" i="1"/>
  <c r="L1973" i="1"/>
  <c r="K1973" i="1"/>
  <c r="L1972" i="1"/>
  <c r="K1972" i="1"/>
  <c r="L1971" i="1"/>
  <c r="K1971" i="1"/>
  <c r="L1970" i="1"/>
  <c r="K1970" i="1"/>
  <c r="L1969" i="1"/>
  <c r="K1969" i="1"/>
  <c r="L1968" i="1"/>
  <c r="K1968" i="1"/>
  <c r="L1967" i="1"/>
  <c r="K1967" i="1"/>
  <c r="L1966" i="1"/>
  <c r="K1966" i="1"/>
  <c r="L1965" i="1"/>
  <c r="K1965" i="1"/>
  <c r="L1964" i="1"/>
  <c r="K1964" i="1"/>
  <c r="L1963" i="1"/>
  <c r="K1963" i="1"/>
  <c r="L1962" i="1"/>
  <c r="K1962" i="1"/>
  <c r="L1961" i="1"/>
  <c r="K1961" i="1"/>
  <c r="L1960" i="1"/>
  <c r="K1960" i="1"/>
  <c r="L1959" i="1"/>
  <c r="K1959" i="1"/>
  <c r="L1958" i="1"/>
  <c r="K1958" i="1"/>
  <c r="L1957" i="1"/>
  <c r="K1957" i="1"/>
  <c r="L1956" i="1"/>
  <c r="K1956" i="1"/>
  <c r="L1955" i="1"/>
  <c r="K1955" i="1"/>
  <c r="L1954" i="1"/>
  <c r="K1954" i="1"/>
  <c r="L1953" i="1"/>
  <c r="K1953" i="1"/>
  <c r="L1952" i="1"/>
  <c r="K1952" i="1"/>
  <c r="L1951" i="1"/>
  <c r="K1951" i="1"/>
  <c r="L1950" i="1"/>
  <c r="K1950" i="1"/>
  <c r="L1949" i="1"/>
  <c r="K1949" i="1"/>
  <c r="L1948" i="1"/>
  <c r="K1948" i="1"/>
  <c r="L1947" i="1"/>
  <c r="K1947" i="1"/>
  <c r="L1946" i="1"/>
  <c r="K1946" i="1"/>
  <c r="L1945" i="1"/>
  <c r="K1945" i="1"/>
  <c r="L1944" i="1"/>
  <c r="K1944" i="1"/>
  <c r="L1943" i="1"/>
  <c r="K1943" i="1"/>
  <c r="L1942" i="1"/>
  <c r="K1942" i="1"/>
  <c r="L1941" i="1"/>
  <c r="K1941" i="1"/>
  <c r="L1940" i="1"/>
  <c r="K1940" i="1"/>
  <c r="L1939" i="1"/>
  <c r="K1939" i="1"/>
  <c r="L1938" i="1"/>
  <c r="K1938" i="1"/>
  <c r="L1937" i="1"/>
  <c r="K1937" i="1"/>
  <c r="L1936" i="1"/>
  <c r="K1936" i="1"/>
  <c r="L1935" i="1"/>
  <c r="K1935" i="1"/>
  <c r="L1934" i="1"/>
  <c r="K1934" i="1"/>
  <c r="L1933" i="1"/>
  <c r="K1933" i="1"/>
  <c r="L1932" i="1"/>
  <c r="K1932" i="1"/>
  <c r="L1931" i="1"/>
  <c r="K1931" i="1"/>
  <c r="L1930" i="1"/>
  <c r="K1930" i="1"/>
  <c r="L1929" i="1"/>
  <c r="K1929" i="1"/>
  <c r="L1928" i="1"/>
  <c r="K1928" i="1"/>
  <c r="L1927" i="1"/>
  <c r="K1927" i="1"/>
  <c r="L1926" i="1"/>
  <c r="K1926" i="1"/>
  <c r="L1925" i="1"/>
  <c r="K1925" i="1"/>
  <c r="L1924" i="1"/>
  <c r="K1924" i="1"/>
  <c r="L1923" i="1"/>
  <c r="K1923" i="1"/>
  <c r="L1922" i="1"/>
  <c r="K1922" i="1"/>
  <c r="L1921" i="1"/>
  <c r="K1921" i="1"/>
  <c r="L1920" i="1"/>
  <c r="K1920" i="1"/>
  <c r="L1919" i="1"/>
  <c r="K1919" i="1"/>
  <c r="L1918" i="1"/>
  <c r="K1918" i="1"/>
  <c r="L1917" i="1"/>
  <c r="K1917" i="1"/>
  <c r="L1916" i="1"/>
  <c r="K1916" i="1"/>
  <c r="L1915" i="1"/>
  <c r="K1915" i="1"/>
  <c r="L1914" i="1"/>
  <c r="K1914" i="1"/>
  <c r="L1913" i="1"/>
  <c r="K1913" i="1"/>
  <c r="L1912" i="1"/>
  <c r="K1912" i="1"/>
  <c r="L1911" i="1"/>
  <c r="K1911" i="1"/>
  <c r="L1910" i="1"/>
  <c r="K1910" i="1"/>
  <c r="L1909" i="1"/>
  <c r="K1909" i="1"/>
  <c r="L1908" i="1"/>
  <c r="K1908" i="1"/>
  <c r="L1907" i="1"/>
  <c r="K1907" i="1"/>
  <c r="L1906" i="1"/>
  <c r="K1906" i="1"/>
  <c r="L1905" i="1"/>
  <c r="K1905" i="1"/>
  <c r="L1904" i="1"/>
  <c r="K1904" i="1"/>
  <c r="L1903" i="1"/>
  <c r="K1903" i="1"/>
  <c r="L1902" i="1"/>
  <c r="K1902" i="1"/>
  <c r="L1901" i="1"/>
  <c r="K1901" i="1"/>
  <c r="L1900" i="1"/>
  <c r="K1900" i="1"/>
  <c r="L1899" i="1"/>
  <c r="K1899" i="1"/>
  <c r="L1898" i="1"/>
  <c r="K1898" i="1"/>
  <c r="L1897" i="1"/>
  <c r="K1897" i="1"/>
  <c r="L1896" i="1"/>
  <c r="K1896" i="1"/>
  <c r="L1895" i="1"/>
  <c r="K1895" i="1"/>
  <c r="L1894" i="1"/>
  <c r="K1894" i="1"/>
  <c r="L1893" i="1"/>
  <c r="K1893" i="1"/>
  <c r="L1892" i="1"/>
  <c r="K1892" i="1"/>
  <c r="L1891" i="1"/>
  <c r="K1891" i="1"/>
  <c r="L1890" i="1"/>
  <c r="K1890" i="1"/>
  <c r="L1888" i="1"/>
  <c r="K1888" i="1"/>
  <c r="L1887" i="1"/>
  <c r="K1887" i="1"/>
  <c r="L1885" i="1"/>
  <c r="K1885" i="1"/>
  <c r="L1884" i="1"/>
  <c r="K1884" i="1"/>
  <c r="L1883" i="1"/>
  <c r="K1883" i="1"/>
  <c r="L1882" i="1"/>
  <c r="K1882" i="1"/>
  <c r="L1881" i="1"/>
  <c r="K1881" i="1"/>
  <c r="L1880" i="1"/>
  <c r="K1880" i="1"/>
  <c r="L1879" i="1"/>
  <c r="K1879" i="1"/>
  <c r="L1878" i="1"/>
  <c r="K1878" i="1"/>
  <c r="L1877" i="1"/>
  <c r="K1877" i="1"/>
  <c r="L1876" i="1"/>
  <c r="K1876" i="1"/>
  <c r="L1875" i="1"/>
  <c r="K1875" i="1"/>
  <c r="L1874" i="1"/>
  <c r="K1874" i="1"/>
  <c r="L1873" i="1"/>
  <c r="K1873" i="1"/>
  <c r="L1872" i="1"/>
  <c r="K1872" i="1"/>
  <c r="L1871" i="1"/>
  <c r="K1871" i="1"/>
  <c r="L1870" i="1"/>
  <c r="K1870" i="1"/>
  <c r="L1869" i="1"/>
  <c r="K1869" i="1"/>
  <c r="L1868" i="1"/>
  <c r="K1868" i="1"/>
  <c r="L1867" i="1"/>
  <c r="K1867" i="1"/>
  <c r="L1866" i="1"/>
  <c r="K1866" i="1"/>
  <c r="L1865" i="1"/>
  <c r="K1865" i="1"/>
  <c r="L1864" i="1"/>
  <c r="K1864" i="1"/>
  <c r="L1863" i="1"/>
  <c r="K1863" i="1"/>
  <c r="L1862" i="1"/>
  <c r="K1862" i="1"/>
  <c r="L1861" i="1"/>
  <c r="K1861" i="1"/>
  <c r="L1860" i="1"/>
  <c r="K1860" i="1"/>
  <c r="L1859" i="1"/>
  <c r="K1859" i="1"/>
  <c r="L1858" i="1"/>
  <c r="K1858" i="1"/>
  <c r="L1857" i="1"/>
  <c r="K1857" i="1"/>
  <c r="L1856" i="1"/>
  <c r="K1856" i="1"/>
  <c r="L1854" i="1"/>
  <c r="K1854" i="1"/>
  <c r="L1853" i="1"/>
  <c r="K1853" i="1"/>
  <c r="L1852" i="1"/>
  <c r="K1852" i="1"/>
  <c r="L1851" i="1"/>
  <c r="K1851" i="1"/>
  <c r="L1850" i="1"/>
  <c r="K1850" i="1"/>
  <c r="L1849" i="1"/>
  <c r="K1849" i="1"/>
  <c r="L1848" i="1"/>
  <c r="K1848" i="1"/>
  <c r="L1847" i="1"/>
  <c r="K1847" i="1"/>
  <c r="L1846" i="1"/>
  <c r="K1846" i="1"/>
  <c r="L1845" i="1"/>
  <c r="K1845" i="1"/>
  <c r="L1844" i="1"/>
  <c r="K1844" i="1"/>
  <c r="L1843" i="1"/>
  <c r="K1843" i="1"/>
  <c r="L1842" i="1"/>
  <c r="K1842" i="1"/>
  <c r="L1841" i="1"/>
  <c r="K1841" i="1"/>
  <c r="L1840" i="1"/>
  <c r="K1840" i="1"/>
  <c r="L1839" i="1"/>
  <c r="K1839" i="1"/>
  <c r="L1838" i="1"/>
  <c r="K1838" i="1"/>
  <c r="L1837" i="1"/>
  <c r="K1837" i="1"/>
  <c r="L1836" i="1"/>
  <c r="K1836" i="1"/>
  <c r="L1835" i="1"/>
  <c r="K1835" i="1"/>
  <c r="L1834" i="1"/>
  <c r="K1834" i="1"/>
  <c r="L1833" i="1"/>
  <c r="K1833" i="1"/>
  <c r="L1832" i="1"/>
  <c r="K1832" i="1"/>
  <c r="L1831" i="1"/>
  <c r="K1831" i="1"/>
  <c r="L1830" i="1"/>
  <c r="K1830" i="1"/>
  <c r="L1829" i="1"/>
  <c r="K1829" i="1"/>
  <c r="L1828" i="1"/>
  <c r="K1828" i="1"/>
  <c r="L1827" i="1"/>
  <c r="K1827" i="1"/>
  <c r="L1826" i="1"/>
  <c r="K1826" i="1"/>
  <c r="L1825" i="1"/>
  <c r="K1825" i="1"/>
  <c r="L1824" i="1"/>
  <c r="K1824" i="1"/>
  <c r="L1823" i="1"/>
  <c r="K1823" i="1"/>
  <c r="L1822" i="1"/>
  <c r="K1822" i="1"/>
  <c r="L1821" i="1"/>
  <c r="K1821" i="1"/>
  <c r="L1820" i="1"/>
  <c r="K1820" i="1"/>
  <c r="L1819" i="1"/>
  <c r="K1819" i="1"/>
  <c r="L1818" i="1"/>
  <c r="K1818" i="1"/>
  <c r="L1817" i="1"/>
  <c r="K1817" i="1"/>
  <c r="L1816" i="1"/>
  <c r="K1816" i="1"/>
  <c r="L1815" i="1"/>
  <c r="K1815" i="1"/>
  <c r="L1814" i="1"/>
  <c r="K1814" i="1"/>
  <c r="L1813" i="1"/>
  <c r="K1813" i="1"/>
  <c r="L1812" i="1"/>
  <c r="K1812" i="1"/>
  <c r="L1811" i="1"/>
  <c r="K1811" i="1"/>
  <c r="L1810" i="1"/>
  <c r="K1810" i="1"/>
  <c r="L1809" i="1"/>
  <c r="K1809" i="1"/>
  <c r="L1808" i="1"/>
  <c r="K1808" i="1"/>
  <c r="L1807" i="1"/>
  <c r="K1807" i="1"/>
  <c r="L1806" i="1"/>
  <c r="K1806" i="1"/>
  <c r="L1805" i="1"/>
  <c r="K1805" i="1"/>
  <c r="L1804" i="1"/>
  <c r="K1804" i="1"/>
  <c r="L1803" i="1"/>
  <c r="K1803" i="1"/>
  <c r="L1802" i="1"/>
  <c r="K1802" i="1"/>
  <c r="L1801" i="1"/>
  <c r="K1801" i="1"/>
  <c r="L1800" i="1"/>
  <c r="K1800" i="1"/>
  <c r="L1799" i="1"/>
  <c r="K1799" i="1"/>
  <c r="L1798" i="1"/>
  <c r="K1798" i="1"/>
  <c r="L1797" i="1"/>
  <c r="K1797" i="1"/>
  <c r="L1796" i="1"/>
  <c r="K1796" i="1"/>
  <c r="L1795" i="1"/>
  <c r="K1795" i="1"/>
  <c r="L1794" i="1"/>
  <c r="K1794" i="1"/>
  <c r="L1793" i="1"/>
  <c r="K1793" i="1"/>
  <c r="L1792" i="1"/>
  <c r="K1792" i="1"/>
  <c r="L1791" i="1"/>
  <c r="K1791" i="1"/>
  <c r="L1790" i="1"/>
  <c r="K1790" i="1"/>
  <c r="L1789" i="1"/>
  <c r="K1789" i="1"/>
  <c r="L1788" i="1"/>
  <c r="K1788" i="1"/>
  <c r="L1787" i="1"/>
  <c r="K1787" i="1"/>
  <c r="L1786" i="1"/>
  <c r="K1786" i="1"/>
  <c r="L1785" i="1"/>
  <c r="K1785" i="1"/>
  <c r="L1784" i="1"/>
  <c r="K1784" i="1"/>
  <c r="L1783" i="1"/>
  <c r="K1783" i="1"/>
  <c r="L1782" i="1"/>
  <c r="K1782" i="1"/>
  <c r="L1781" i="1"/>
  <c r="K1781" i="1"/>
  <c r="L1780" i="1"/>
  <c r="K1780" i="1"/>
  <c r="L1779" i="1"/>
  <c r="K1779" i="1"/>
  <c r="L1778" i="1"/>
  <c r="K1778" i="1"/>
  <c r="L1777" i="1"/>
  <c r="K1777" i="1"/>
  <c r="L1776" i="1"/>
  <c r="K1776" i="1"/>
  <c r="L1775" i="1"/>
  <c r="K1775" i="1"/>
  <c r="L1774" i="1"/>
  <c r="K1774" i="1"/>
  <c r="L1773" i="1"/>
  <c r="K1773" i="1"/>
  <c r="L1772" i="1"/>
  <c r="K1772" i="1"/>
  <c r="L1771" i="1"/>
  <c r="K1771" i="1"/>
  <c r="L1770" i="1"/>
  <c r="K1770" i="1"/>
  <c r="L1769" i="1"/>
  <c r="K1769" i="1"/>
  <c r="L1768" i="1"/>
  <c r="K1768" i="1"/>
  <c r="L1767" i="1"/>
  <c r="K1767" i="1"/>
  <c r="L1766" i="1"/>
  <c r="K1766" i="1"/>
  <c r="L1765" i="1"/>
  <c r="K1765" i="1"/>
  <c r="L1764" i="1"/>
  <c r="K1764" i="1"/>
  <c r="L1763" i="1"/>
  <c r="K1763" i="1"/>
  <c r="L1762" i="1"/>
  <c r="K1762" i="1"/>
  <c r="L1761" i="1"/>
  <c r="K1761" i="1"/>
  <c r="L1760" i="1"/>
  <c r="K1760" i="1"/>
  <c r="L1759" i="1"/>
  <c r="K1759" i="1"/>
  <c r="L1758" i="1"/>
  <c r="K1758" i="1"/>
  <c r="L1757" i="1"/>
  <c r="K1757" i="1"/>
  <c r="L1756" i="1"/>
  <c r="K1756" i="1"/>
  <c r="L1755" i="1"/>
  <c r="K1755" i="1"/>
  <c r="L1754" i="1"/>
  <c r="K1754" i="1"/>
  <c r="L1753" i="1"/>
  <c r="K1753" i="1"/>
  <c r="L1752" i="1"/>
  <c r="K1752" i="1"/>
  <c r="L1751" i="1"/>
  <c r="K1751" i="1"/>
  <c r="L1750" i="1"/>
  <c r="K1750" i="1"/>
  <c r="L1749" i="1"/>
  <c r="K1749" i="1"/>
  <c r="L1748" i="1"/>
  <c r="K1748" i="1"/>
  <c r="L1747" i="1"/>
  <c r="K1747" i="1"/>
  <c r="L1746" i="1"/>
  <c r="K1746" i="1"/>
  <c r="L1745" i="1"/>
  <c r="K1745" i="1"/>
  <c r="L1744" i="1"/>
  <c r="K1744" i="1"/>
  <c r="L1743" i="1"/>
  <c r="K1743" i="1"/>
  <c r="L1742" i="1"/>
  <c r="K1742" i="1"/>
  <c r="L1741" i="1"/>
  <c r="K1741" i="1"/>
  <c r="L1740" i="1"/>
  <c r="K1740" i="1"/>
  <c r="L1739" i="1"/>
  <c r="K1739" i="1"/>
  <c r="L1738" i="1"/>
  <c r="K1738" i="1"/>
  <c r="L1737" i="1"/>
  <c r="K1737" i="1"/>
  <c r="L1736" i="1"/>
  <c r="K1736" i="1"/>
  <c r="L1735" i="1"/>
  <c r="K1735" i="1"/>
  <c r="L1734" i="1"/>
  <c r="K1734" i="1"/>
  <c r="L1733" i="1"/>
  <c r="K1733" i="1"/>
  <c r="L1732" i="1"/>
  <c r="K1732" i="1"/>
  <c r="L1731" i="1"/>
  <c r="K1731" i="1"/>
  <c r="L1730" i="1"/>
  <c r="K1730" i="1"/>
  <c r="L1729" i="1"/>
  <c r="K1729" i="1"/>
  <c r="L1728" i="1"/>
  <c r="K1728" i="1"/>
  <c r="L1727" i="1"/>
  <c r="K1727" i="1"/>
  <c r="L1726" i="1"/>
  <c r="K1726" i="1"/>
  <c r="L1725" i="1"/>
  <c r="K1725" i="1"/>
  <c r="L1724" i="1"/>
  <c r="K1724" i="1"/>
  <c r="L1723" i="1"/>
  <c r="K1723" i="1"/>
  <c r="L1722" i="1"/>
  <c r="K1722" i="1"/>
  <c r="L1721" i="1"/>
  <c r="K1721" i="1"/>
  <c r="L1720" i="1"/>
  <c r="K1720" i="1"/>
  <c r="L1719" i="1"/>
  <c r="K1719" i="1"/>
  <c r="L1718" i="1"/>
  <c r="K1718" i="1"/>
  <c r="L1717" i="1"/>
  <c r="K1717" i="1"/>
  <c r="L1716" i="1"/>
  <c r="K1716" i="1"/>
  <c r="L1715" i="1"/>
  <c r="K1715" i="1"/>
  <c r="L1714" i="1"/>
  <c r="K1714" i="1"/>
  <c r="L1713" i="1"/>
  <c r="K1713" i="1"/>
  <c r="L1712" i="1"/>
  <c r="K1712" i="1"/>
  <c r="L1711" i="1"/>
  <c r="K1711" i="1"/>
  <c r="L1710" i="1"/>
  <c r="K1710" i="1"/>
  <c r="L1709" i="1"/>
  <c r="K1709" i="1"/>
  <c r="L1707" i="1"/>
  <c r="K1707" i="1"/>
  <c r="L1706" i="1"/>
  <c r="K1706" i="1"/>
  <c r="L1705" i="1"/>
  <c r="K1705" i="1"/>
  <c r="L1704" i="1"/>
  <c r="K1704" i="1"/>
  <c r="L1703" i="1"/>
  <c r="K1703" i="1"/>
  <c r="L1702" i="1"/>
  <c r="K1702" i="1"/>
  <c r="L1701" i="1"/>
  <c r="K1701" i="1"/>
  <c r="L1700" i="1"/>
  <c r="K1700" i="1"/>
  <c r="L1699" i="1"/>
  <c r="K1699" i="1"/>
  <c r="L1698" i="1"/>
  <c r="K1698" i="1"/>
  <c r="L1697" i="1"/>
  <c r="K1697" i="1"/>
  <c r="L1696" i="1"/>
  <c r="K1696" i="1"/>
  <c r="L1695" i="1"/>
  <c r="K1695" i="1"/>
  <c r="L1694" i="1"/>
  <c r="K1694" i="1"/>
  <c r="L1693" i="1"/>
  <c r="K1693" i="1"/>
  <c r="L1692" i="1"/>
  <c r="K1692" i="1"/>
  <c r="L1691" i="1"/>
  <c r="K1691" i="1"/>
  <c r="L1690" i="1"/>
  <c r="K1690" i="1"/>
  <c r="L1689" i="1"/>
  <c r="K1689" i="1"/>
  <c r="L1688" i="1"/>
  <c r="K1688" i="1"/>
  <c r="L1687" i="1"/>
  <c r="K1687" i="1"/>
  <c r="L1686" i="1"/>
  <c r="K1686" i="1"/>
  <c r="L1685" i="1"/>
  <c r="K1685" i="1"/>
  <c r="L1684" i="1"/>
  <c r="K1684" i="1"/>
  <c r="L1683" i="1"/>
  <c r="K1683" i="1"/>
  <c r="L1682" i="1"/>
  <c r="K1682" i="1"/>
  <c r="L1681" i="1"/>
  <c r="K1681" i="1"/>
  <c r="L1680" i="1"/>
  <c r="K1680" i="1"/>
  <c r="L1679" i="1"/>
  <c r="K1679" i="1"/>
  <c r="L1678" i="1"/>
  <c r="K1678" i="1"/>
  <c r="L1677" i="1"/>
  <c r="K1677" i="1"/>
  <c r="L1676" i="1"/>
  <c r="K1676" i="1"/>
  <c r="L1675" i="1"/>
  <c r="K1675" i="1"/>
  <c r="L1674" i="1"/>
  <c r="K1674" i="1"/>
  <c r="L1673" i="1"/>
  <c r="K1673" i="1"/>
  <c r="L1672" i="1"/>
  <c r="K1672" i="1"/>
  <c r="L1671" i="1"/>
  <c r="K1671" i="1"/>
  <c r="L1670" i="1"/>
  <c r="K1670" i="1"/>
  <c r="L1669" i="1"/>
  <c r="K1669" i="1"/>
  <c r="L1668" i="1"/>
  <c r="K1668" i="1"/>
  <c r="L1667" i="1"/>
  <c r="K1667" i="1"/>
  <c r="L1666" i="1"/>
  <c r="K1666" i="1"/>
  <c r="L1665" i="1"/>
  <c r="K1665" i="1"/>
  <c r="L1664" i="1"/>
  <c r="K1664" i="1"/>
  <c r="L1663" i="1"/>
  <c r="K1663" i="1"/>
  <c r="L1662" i="1"/>
  <c r="K1662" i="1"/>
  <c r="L1661" i="1"/>
  <c r="K1661" i="1"/>
  <c r="L1660" i="1"/>
  <c r="K1660" i="1"/>
  <c r="L1659" i="1"/>
  <c r="K1659" i="1"/>
  <c r="L1658" i="1"/>
  <c r="K1658" i="1"/>
  <c r="L1657" i="1"/>
  <c r="K1657" i="1"/>
  <c r="L1656" i="1"/>
  <c r="K1656" i="1"/>
  <c r="L1655" i="1"/>
  <c r="K1655" i="1"/>
  <c r="L1654" i="1"/>
  <c r="K1654" i="1"/>
  <c r="L1653" i="1"/>
  <c r="K1653" i="1"/>
  <c r="L1652" i="1"/>
  <c r="K1652" i="1"/>
  <c r="L1651" i="1"/>
  <c r="K1651" i="1"/>
  <c r="L1650" i="1"/>
  <c r="K1650" i="1"/>
  <c r="L1649" i="1"/>
  <c r="K1649" i="1"/>
  <c r="L1648" i="1"/>
  <c r="K1648" i="1"/>
  <c r="L1647" i="1"/>
  <c r="K1647" i="1"/>
  <c r="L1646" i="1"/>
  <c r="K1646" i="1"/>
  <c r="L1645" i="1"/>
  <c r="K1645" i="1"/>
  <c r="L1644" i="1"/>
  <c r="K1644" i="1"/>
  <c r="L1643" i="1"/>
  <c r="K1643" i="1"/>
  <c r="L1642" i="1"/>
  <c r="K1642" i="1"/>
  <c r="L1641" i="1"/>
  <c r="K1641" i="1"/>
  <c r="L1640" i="1"/>
  <c r="K1640" i="1"/>
  <c r="L1639" i="1"/>
  <c r="K1639" i="1"/>
  <c r="L1638" i="1"/>
  <c r="K1638" i="1"/>
  <c r="L1637" i="1"/>
  <c r="K1637" i="1"/>
  <c r="L1636" i="1"/>
  <c r="K1636" i="1"/>
  <c r="L1635" i="1"/>
  <c r="K1635" i="1"/>
  <c r="L1634" i="1"/>
  <c r="K1634" i="1"/>
  <c r="L1633" i="1"/>
  <c r="K1633" i="1"/>
  <c r="L1632" i="1"/>
  <c r="K1632" i="1"/>
  <c r="L1631" i="1"/>
  <c r="K1631" i="1"/>
  <c r="L1630" i="1"/>
  <c r="K1630" i="1"/>
  <c r="L1629" i="1"/>
  <c r="K1629" i="1"/>
  <c r="L1628" i="1"/>
  <c r="K1628" i="1"/>
  <c r="L1627" i="1"/>
  <c r="K1627" i="1"/>
  <c r="L1626" i="1"/>
  <c r="K1626" i="1"/>
  <c r="L1625" i="1"/>
  <c r="K1625" i="1"/>
  <c r="L1624" i="1"/>
  <c r="K1624" i="1"/>
  <c r="L1623" i="1"/>
  <c r="K1623" i="1"/>
  <c r="L1622" i="1"/>
  <c r="K1622" i="1"/>
  <c r="L1621" i="1"/>
  <c r="K1621" i="1"/>
  <c r="L1620" i="1"/>
  <c r="K1620" i="1"/>
  <c r="L1619" i="1"/>
  <c r="K1619" i="1"/>
  <c r="L1618" i="1"/>
  <c r="K1618" i="1"/>
  <c r="L1617" i="1"/>
  <c r="K1617" i="1"/>
  <c r="L1616" i="1"/>
  <c r="K1616" i="1"/>
  <c r="L1615" i="1"/>
  <c r="K1615" i="1"/>
  <c r="L1614" i="1"/>
  <c r="K1614" i="1"/>
  <c r="L1613" i="1"/>
  <c r="K1613" i="1"/>
  <c r="L1612" i="1"/>
  <c r="K1612" i="1"/>
  <c r="L1611" i="1"/>
  <c r="K1611" i="1"/>
  <c r="L1610" i="1"/>
  <c r="K1610" i="1"/>
  <c r="L1609" i="1"/>
  <c r="K1609" i="1"/>
  <c r="L1608" i="1"/>
  <c r="K1608" i="1"/>
  <c r="L1607" i="1"/>
  <c r="K1607" i="1"/>
  <c r="L1606" i="1"/>
  <c r="K1606" i="1"/>
  <c r="L1605" i="1"/>
  <c r="K1605" i="1"/>
  <c r="L1604" i="1"/>
  <c r="K1604" i="1"/>
  <c r="L1603" i="1"/>
  <c r="K1603" i="1"/>
  <c r="L1602" i="1"/>
  <c r="K1602" i="1"/>
  <c r="L1601" i="1"/>
  <c r="K1601" i="1"/>
  <c r="L1600" i="1"/>
  <c r="K1600" i="1"/>
  <c r="L1599" i="1"/>
  <c r="K1599" i="1"/>
  <c r="L1598" i="1"/>
  <c r="K1598" i="1"/>
  <c r="L1597" i="1"/>
  <c r="K1597" i="1"/>
  <c r="L1596" i="1"/>
  <c r="K1596" i="1"/>
  <c r="L1595" i="1"/>
  <c r="K1595" i="1"/>
  <c r="L1594" i="1"/>
  <c r="K1594" i="1"/>
  <c r="L1593" i="1"/>
  <c r="K1593" i="1"/>
  <c r="L1592" i="1"/>
  <c r="K1592" i="1"/>
  <c r="L1591" i="1"/>
  <c r="K1591" i="1"/>
  <c r="L1590" i="1"/>
  <c r="K1590" i="1"/>
  <c r="L1589" i="1"/>
  <c r="K1589" i="1"/>
  <c r="L1588" i="1"/>
  <c r="K1588" i="1"/>
  <c r="L1587" i="1"/>
  <c r="K1587" i="1"/>
  <c r="L1586" i="1"/>
  <c r="K1586" i="1"/>
  <c r="L1585" i="1"/>
  <c r="K1585" i="1"/>
  <c r="L1584" i="1"/>
  <c r="K1584" i="1"/>
  <c r="L1583" i="1"/>
  <c r="K1583" i="1"/>
  <c r="L1582" i="1"/>
  <c r="K1582" i="1"/>
  <c r="L1581" i="1"/>
  <c r="K1581" i="1"/>
  <c r="L1580" i="1"/>
  <c r="K1580" i="1"/>
  <c r="L1579" i="1"/>
  <c r="K1579" i="1"/>
  <c r="L1578" i="1"/>
  <c r="K1578" i="1"/>
  <c r="L1577" i="1"/>
  <c r="K1577" i="1"/>
  <c r="L1576" i="1"/>
  <c r="K1576" i="1"/>
  <c r="L1575" i="1"/>
  <c r="K1575" i="1"/>
  <c r="L1574" i="1"/>
  <c r="K1574" i="1"/>
  <c r="L1573" i="1"/>
  <c r="K1573" i="1"/>
  <c r="L1572" i="1"/>
  <c r="K1572" i="1"/>
  <c r="L1571" i="1"/>
  <c r="K1571" i="1"/>
  <c r="L1570" i="1"/>
  <c r="K1570" i="1"/>
  <c r="L1569" i="1"/>
  <c r="K1569" i="1"/>
  <c r="L1568" i="1"/>
  <c r="K1568" i="1"/>
  <c r="L1567" i="1"/>
  <c r="K1567" i="1"/>
  <c r="L1566" i="1"/>
  <c r="K1566" i="1"/>
  <c r="L1565" i="1"/>
  <c r="K1565" i="1"/>
  <c r="L1564" i="1"/>
  <c r="K1564" i="1"/>
  <c r="L1563" i="1"/>
  <c r="K1563" i="1"/>
  <c r="L1562" i="1"/>
  <c r="K1562" i="1"/>
  <c r="L1561" i="1"/>
  <c r="K1561" i="1"/>
  <c r="L1560" i="1"/>
  <c r="K1560" i="1"/>
  <c r="L1559" i="1"/>
  <c r="K1559" i="1"/>
  <c r="L1558" i="1"/>
  <c r="K1558" i="1"/>
  <c r="L1557" i="1"/>
  <c r="K1557" i="1"/>
  <c r="L1556" i="1"/>
  <c r="K1556" i="1"/>
  <c r="L1555" i="1"/>
  <c r="K1555" i="1"/>
  <c r="L1554" i="1"/>
  <c r="K1554" i="1"/>
  <c r="L1553" i="1"/>
  <c r="K1553" i="1"/>
  <c r="L1552" i="1"/>
  <c r="K1552" i="1"/>
  <c r="L1551" i="1"/>
  <c r="K1551" i="1"/>
  <c r="L1550" i="1"/>
  <c r="K1550" i="1"/>
  <c r="L1549" i="1"/>
  <c r="K1549" i="1"/>
  <c r="L1548" i="1"/>
  <c r="K1548" i="1"/>
  <c r="L1547" i="1"/>
  <c r="K1547" i="1"/>
  <c r="L1546" i="1"/>
  <c r="K1546" i="1"/>
  <c r="L1545" i="1"/>
  <c r="K1545" i="1"/>
  <c r="L1544" i="1"/>
  <c r="K1544" i="1"/>
  <c r="L1543" i="1"/>
  <c r="K1543" i="1"/>
  <c r="L1542" i="1"/>
  <c r="K1542" i="1"/>
  <c r="L1541" i="1"/>
  <c r="K1541" i="1"/>
  <c r="L1540" i="1"/>
  <c r="K1540" i="1"/>
  <c r="L1539" i="1"/>
  <c r="K1539" i="1"/>
  <c r="L1538" i="1"/>
  <c r="K1538" i="1"/>
  <c r="L1537" i="1"/>
  <c r="K1537" i="1"/>
  <c r="L1536" i="1"/>
  <c r="K1536" i="1"/>
  <c r="L1535" i="1"/>
  <c r="K1535" i="1"/>
  <c r="L1534" i="1"/>
  <c r="K1534" i="1"/>
  <c r="L1533" i="1"/>
  <c r="K1533" i="1"/>
  <c r="L1532" i="1"/>
  <c r="K1532" i="1"/>
  <c r="L1531" i="1"/>
  <c r="K1531" i="1"/>
  <c r="L1530" i="1"/>
  <c r="K1530" i="1"/>
  <c r="L1529" i="1"/>
  <c r="K1529" i="1"/>
  <c r="L1528" i="1"/>
  <c r="K1528" i="1"/>
  <c r="L1527" i="1"/>
  <c r="K1527" i="1"/>
  <c r="L1526" i="1"/>
  <c r="K1526" i="1"/>
  <c r="L1525" i="1"/>
  <c r="K1525" i="1"/>
  <c r="L1524" i="1"/>
  <c r="K1524" i="1"/>
  <c r="L1523" i="1"/>
  <c r="K1523" i="1"/>
  <c r="L1522" i="1"/>
  <c r="K1522" i="1"/>
  <c r="L1521" i="1"/>
  <c r="K1521" i="1"/>
  <c r="L1520" i="1"/>
  <c r="K1520" i="1"/>
  <c r="L1519" i="1"/>
  <c r="K1519" i="1"/>
  <c r="L1518" i="1"/>
  <c r="K1518" i="1"/>
  <c r="L1517" i="1"/>
  <c r="K1517" i="1"/>
  <c r="L1516" i="1"/>
  <c r="K1516" i="1"/>
  <c r="L1515" i="1"/>
  <c r="K1515" i="1"/>
  <c r="L1514" i="1"/>
  <c r="K1514" i="1"/>
  <c r="L1513" i="1"/>
  <c r="K1513" i="1"/>
  <c r="L1512" i="1"/>
  <c r="K1512" i="1"/>
  <c r="L1511" i="1"/>
  <c r="K1511" i="1"/>
  <c r="L1510" i="1"/>
  <c r="K1510" i="1"/>
  <c r="L1509" i="1"/>
  <c r="K1509" i="1"/>
  <c r="L1508" i="1"/>
  <c r="K1508" i="1"/>
  <c r="L1507" i="1"/>
  <c r="K1507" i="1"/>
  <c r="L1506" i="1"/>
  <c r="K1506" i="1"/>
  <c r="L1505" i="1"/>
  <c r="K1505" i="1"/>
  <c r="L1504" i="1"/>
  <c r="K1504" i="1"/>
  <c r="L1503" i="1"/>
  <c r="K1503" i="1"/>
  <c r="L1502" i="1"/>
  <c r="K1502" i="1"/>
  <c r="L1501" i="1"/>
  <c r="K1501" i="1"/>
  <c r="L1500" i="1"/>
  <c r="K1500" i="1"/>
  <c r="L1499" i="1"/>
  <c r="K1499" i="1"/>
  <c r="L1498" i="1"/>
  <c r="K1498" i="1"/>
  <c r="L1497" i="1"/>
  <c r="K1497" i="1"/>
  <c r="L1496" i="1"/>
  <c r="K1496" i="1"/>
  <c r="L1495" i="1"/>
  <c r="K1495" i="1"/>
  <c r="L1494" i="1"/>
  <c r="K1494" i="1"/>
  <c r="L1493" i="1"/>
  <c r="K1493" i="1"/>
  <c r="L1492" i="1"/>
  <c r="K1492" i="1"/>
  <c r="L1491" i="1"/>
  <c r="K1491" i="1"/>
  <c r="L1490" i="1"/>
  <c r="K1490" i="1"/>
  <c r="L1489" i="1"/>
  <c r="K1489" i="1"/>
  <c r="L1488" i="1"/>
  <c r="K1488" i="1"/>
  <c r="L1487" i="1"/>
  <c r="K1487" i="1"/>
  <c r="L1486" i="1"/>
  <c r="K1486" i="1"/>
  <c r="L1485" i="1"/>
  <c r="K1485" i="1"/>
  <c r="L1484" i="1"/>
  <c r="K1484" i="1"/>
  <c r="L1483" i="1"/>
  <c r="K1483" i="1"/>
  <c r="L1482" i="1"/>
  <c r="K1482" i="1"/>
  <c r="L1481" i="1"/>
  <c r="K1481" i="1"/>
  <c r="L1480" i="1"/>
  <c r="K1480" i="1"/>
  <c r="L1479" i="1"/>
  <c r="K1479" i="1"/>
  <c r="L1478" i="1"/>
  <c r="K1478" i="1"/>
  <c r="L1477" i="1"/>
  <c r="K1477" i="1"/>
  <c r="L1476" i="1"/>
  <c r="K1476" i="1"/>
  <c r="L1475" i="1"/>
  <c r="K1475" i="1"/>
  <c r="L1474" i="1"/>
  <c r="K1474" i="1"/>
  <c r="L1473" i="1"/>
  <c r="K1473" i="1"/>
  <c r="L1472" i="1"/>
  <c r="K1472" i="1"/>
  <c r="L1471" i="1"/>
  <c r="K1471" i="1"/>
  <c r="L1470" i="1"/>
  <c r="K1470" i="1"/>
  <c r="L1469" i="1"/>
  <c r="K1469" i="1"/>
  <c r="L1467" i="1"/>
  <c r="K1467" i="1"/>
  <c r="L1466" i="1"/>
  <c r="K1466" i="1"/>
  <c r="L1465" i="1"/>
  <c r="K1465" i="1"/>
  <c r="L1464" i="1"/>
  <c r="K1464" i="1"/>
  <c r="L1463" i="1"/>
  <c r="K1463" i="1"/>
  <c r="L1462" i="1"/>
  <c r="K1462" i="1"/>
  <c r="L1461" i="1"/>
  <c r="K1461" i="1"/>
  <c r="L1460" i="1"/>
  <c r="K1460" i="1"/>
  <c r="L1459" i="1"/>
  <c r="K1459" i="1"/>
  <c r="L1458" i="1"/>
  <c r="K1458" i="1"/>
  <c r="L1457" i="1"/>
  <c r="K1457" i="1"/>
  <c r="L1456" i="1"/>
  <c r="K1456" i="1"/>
  <c r="L1455" i="1"/>
  <c r="K1455" i="1"/>
  <c r="L1454" i="1"/>
  <c r="K1454" i="1"/>
  <c r="L1453" i="1"/>
  <c r="K1453" i="1"/>
  <c r="L1452" i="1"/>
  <c r="K1452" i="1"/>
  <c r="L1451" i="1"/>
  <c r="K1451" i="1"/>
  <c r="L1450" i="1"/>
  <c r="K1450" i="1"/>
  <c r="L1449" i="1"/>
  <c r="K1449" i="1"/>
  <c r="L1448" i="1"/>
  <c r="K1448" i="1"/>
  <c r="L1447" i="1"/>
  <c r="K1447" i="1"/>
  <c r="L1446" i="1"/>
  <c r="K1446" i="1"/>
  <c r="L1445" i="1"/>
  <c r="K1445" i="1"/>
  <c r="L1444" i="1"/>
  <c r="K1444" i="1"/>
  <c r="L1443" i="1"/>
  <c r="K1443" i="1"/>
  <c r="L1442" i="1"/>
  <c r="K1442" i="1"/>
  <c r="L1441" i="1"/>
  <c r="K1441" i="1"/>
  <c r="L1440" i="1"/>
  <c r="K1440" i="1"/>
  <c r="L1439" i="1"/>
  <c r="K1439" i="1"/>
  <c r="L1438" i="1"/>
  <c r="K1438" i="1"/>
  <c r="L1437" i="1"/>
  <c r="K1437" i="1"/>
  <c r="L1436" i="1"/>
  <c r="K1436" i="1"/>
  <c r="L1435" i="1"/>
  <c r="K1435" i="1"/>
  <c r="L1434" i="1"/>
  <c r="K1434" i="1"/>
  <c r="L1433" i="1"/>
  <c r="K1433" i="1"/>
  <c r="L1432" i="1"/>
  <c r="K1432" i="1"/>
  <c r="L1431" i="1"/>
  <c r="K1431" i="1"/>
  <c r="L1430" i="1"/>
  <c r="K1430" i="1"/>
  <c r="L1429" i="1"/>
  <c r="K1429" i="1"/>
  <c r="L1428" i="1"/>
  <c r="K1428" i="1"/>
  <c r="L1427" i="1"/>
  <c r="K1427" i="1"/>
  <c r="L1426" i="1"/>
  <c r="K1426" i="1"/>
  <c r="L1425" i="1"/>
  <c r="K1425" i="1"/>
  <c r="L1424" i="1"/>
  <c r="K1424" i="1"/>
  <c r="L1423" i="1"/>
  <c r="K1423" i="1"/>
  <c r="L1422" i="1"/>
  <c r="K1422" i="1"/>
  <c r="L1421" i="1"/>
  <c r="K1421" i="1"/>
  <c r="L1420" i="1"/>
  <c r="K1420" i="1"/>
  <c r="L1419" i="1"/>
  <c r="K1419" i="1"/>
  <c r="L1418" i="1"/>
  <c r="K1418" i="1"/>
  <c r="L1417" i="1"/>
  <c r="K1417" i="1"/>
  <c r="L1416" i="1"/>
  <c r="K1416" i="1"/>
  <c r="L1415" i="1"/>
  <c r="K1415" i="1"/>
  <c r="L1414" i="1"/>
  <c r="K1414" i="1"/>
  <c r="L1413" i="1"/>
  <c r="K1413" i="1"/>
  <c r="L1412" i="1"/>
  <c r="K1412" i="1"/>
  <c r="L1411" i="1"/>
  <c r="K1411" i="1"/>
  <c r="L1410" i="1"/>
  <c r="K1410" i="1"/>
  <c r="L1409" i="1"/>
  <c r="K1409" i="1"/>
  <c r="L1408" i="1"/>
  <c r="K1408" i="1"/>
  <c r="L1407" i="1"/>
  <c r="K1407" i="1"/>
  <c r="L1406" i="1"/>
  <c r="K1406" i="1"/>
  <c r="L1405" i="1"/>
  <c r="K1405" i="1"/>
  <c r="L1404" i="1"/>
  <c r="K1404" i="1"/>
  <c r="L1403" i="1"/>
  <c r="K1403" i="1"/>
  <c r="L1402" i="1"/>
  <c r="K1402" i="1"/>
  <c r="L1401" i="1"/>
  <c r="K1401" i="1"/>
  <c r="L1400" i="1"/>
  <c r="K1400" i="1"/>
  <c r="L1398" i="1"/>
  <c r="K1398" i="1"/>
  <c r="L1397" i="1"/>
  <c r="K1397" i="1"/>
  <c r="L1396" i="1"/>
  <c r="K1396" i="1"/>
  <c r="L1395" i="1"/>
  <c r="K1395" i="1"/>
  <c r="L1394" i="1"/>
  <c r="K1394" i="1"/>
  <c r="L1393" i="1"/>
  <c r="K1393" i="1"/>
  <c r="L1392" i="1"/>
  <c r="K1392" i="1"/>
  <c r="L1391" i="1"/>
  <c r="K1391" i="1"/>
  <c r="L1390" i="1"/>
  <c r="K1390" i="1"/>
  <c r="L1389" i="1"/>
  <c r="K1389" i="1"/>
  <c r="L1388" i="1"/>
  <c r="K1388" i="1"/>
  <c r="L1387" i="1"/>
  <c r="K1387" i="1"/>
  <c r="L1386" i="1"/>
  <c r="K1386" i="1"/>
  <c r="L1385" i="1"/>
  <c r="K1385" i="1"/>
  <c r="L1384" i="1"/>
  <c r="K1384" i="1"/>
  <c r="L1383" i="1"/>
  <c r="K1383" i="1"/>
  <c r="L1382" i="1"/>
  <c r="K1382" i="1"/>
  <c r="L1381" i="1"/>
  <c r="K1381" i="1"/>
  <c r="L1380" i="1"/>
  <c r="K1380" i="1"/>
  <c r="L1379" i="1"/>
  <c r="K1379" i="1"/>
  <c r="L1378" i="1"/>
  <c r="K1378" i="1"/>
  <c r="L1377" i="1"/>
  <c r="K1377" i="1"/>
  <c r="L1376" i="1"/>
  <c r="K1376" i="1"/>
  <c r="L1375" i="1"/>
  <c r="K1375" i="1"/>
  <c r="L1374" i="1"/>
  <c r="K1374" i="1"/>
  <c r="L1373" i="1"/>
  <c r="K1373" i="1"/>
  <c r="L1372" i="1"/>
  <c r="K1372" i="1"/>
  <c r="L1371" i="1"/>
  <c r="K1371" i="1"/>
  <c r="L1370" i="1"/>
  <c r="K1370" i="1"/>
  <c r="L1369" i="1"/>
  <c r="K1369" i="1"/>
  <c r="L1368" i="1"/>
  <c r="K1368" i="1"/>
  <c r="L1367" i="1"/>
  <c r="K1367" i="1"/>
  <c r="L1366" i="1"/>
  <c r="K1366" i="1"/>
  <c r="L1365" i="1"/>
  <c r="K1365" i="1"/>
  <c r="L1364" i="1"/>
  <c r="K1364" i="1"/>
  <c r="L1363" i="1"/>
  <c r="K1363" i="1"/>
  <c r="L1362" i="1"/>
  <c r="K1362" i="1"/>
  <c r="L1361" i="1"/>
  <c r="K1361" i="1"/>
  <c r="L1360" i="1"/>
  <c r="K1360" i="1"/>
  <c r="L1359" i="1"/>
  <c r="K1359" i="1"/>
  <c r="L1358" i="1"/>
  <c r="K1358" i="1"/>
  <c r="L1357" i="1"/>
  <c r="K1357" i="1"/>
  <c r="L1356" i="1"/>
  <c r="K1356" i="1"/>
  <c r="L1355" i="1"/>
  <c r="K1355" i="1"/>
  <c r="L1354" i="1"/>
  <c r="K1354" i="1"/>
  <c r="L1353" i="1"/>
  <c r="K1353" i="1"/>
  <c r="L1352" i="1"/>
  <c r="K1352" i="1"/>
  <c r="L1351" i="1"/>
  <c r="K1351" i="1"/>
  <c r="L1350" i="1"/>
  <c r="K1350" i="1"/>
  <c r="L1349" i="1"/>
  <c r="K1349" i="1"/>
  <c r="L1348" i="1"/>
  <c r="K1348" i="1"/>
  <c r="L1347" i="1"/>
  <c r="K1347" i="1"/>
  <c r="L1346" i="1"/>
  <c r="K1346" i="1"/>
  <c r="L1345" i="1"/>
  <c r="K1345" i="1"/>
  <c r="L1344" i="1"/>
  <c r="K1344" i="1"/>
  <c r="L1343" i="1"/>
  <c r="K1343" i="1"/>
  <c r="L1342" i="1"/>
  <c r="K1342" i="1"/>
  <c r="L1341" i="1"/>
  <c r="K1341" i="1"/>
  <c r="L1340" i="1"/>
  <c r="K1340" i="1"/>
  <c r="L1339" i="1"/>
  <c r="K1339" i="1"/>
  <c r="L1338" i="1"/>
  <c r="K1338" i="1"/>
  <c r="L1337" i="1"/>
  <c r="K1337" i="1"/>
  <c r="L1336" i="1"/>
  <c r="K1336" i="1"/>
  <c r="L1335" i="1"/>
  <c r="K1335" i="1"/>
  <c r="L1334" i="1"/>
  <c r="K1334" i="1"/>
  <c r="L1333" i="1"/>
  <c r="K1333" i="1"/>
  <c r="L1332" i="1"/>
  <c r="K1332" i="1"/>
  <c r="L1331" i="1"/>
  <c r="K1331" i="1"/>
  <c r="L1330" i="1"/>
  <c r="K1330" i="1"/>
  <c r="L1329" i="1"/>
  <c r="K1329" i="1"/>
  <c r="L1328" i="1"/>
  <c r="K1328" i="1"/>
  <c r="L1327" i="1"/>
  <c r="K1327" i="1"/>
  <c r="L1326" i="1"/>
  <c r="K1326" i="1"/>
  <c r="L1325" i="1"/>
  <c r="K1325" i="1"/>
  <c r="L1324" i="1"/>
  <c r="K1324" i="1"/>
  <c r="L1323" i="1"/>
  <c r="K1323" i="1"/>
  <c r="L1322" i="1"/>
  <c r="K1322" i="1"/>
  <c r="L1321" i="1"/>
  <c r="K1321" i="1"/>
  <c r="L1320" i="1"/>
  <c r="K1320" i="1"/>
  <c r="L1319" i="1"/>
  <c r="K1319" i="1"/>
  <c r="L1318" i="1"/>
  <c r="K1318" i="1"/>
  <c r="L1317" i="1"/>
  <c r="K1317" i="1"/>
  <c r="L1316" i="1"/>
  <c r="K1316" i="1"/>
  <c r="L1315" i="1"/>
  <c r="K1315" i="1"/>
  <c r="L1314" i="1"/>
  <c r="K1314" i="1"/>
  <c r="L1313" i="1"/>
  <c r="K1313" i="1"/>
  <c r="L1312" i="1"/>
  <c r="K1312" i="1"/>
  <c r="L1311" i="1"/>
  <c r="K1311" i="1"/>
  <c r="L1310" i="1"/>
  <c r="K1310" i="1"/>
  <c r="L1309" i="1"/>
  <c r="K1309" i="1"/>
  <c r="L1308" i="1"/>
  <c r="K1308" i="1"/>
  <c r="L1307" i="1"/>
  <c r="K1307" i="1"/>
  <c r="L1306" i="1"/>
  <c r="K1306" i="1"/>
  <c r="L1305" i="1"/>
  <c r="K1305" i="1"/>
  <c r="L1304" i="1"/>
  <c r="K1304" i="1"/>
  <c r="L1303" i="1"/>
  <c r="K1303" i="1"/>
  <c r="L1302" i="1"/>
  <c r="K1302" i="1"/>
  <c r="L1301" i="1"/>
  <c r="K1301" i="1"/>
  <c r="L1300" i="1"/>
  <c r="K1300" i="1"/>
  <c r="L1299" i="1"/>
  <c r="K1299" i="1"/>
  <c r="L1298" i="1"/>
  <c r="K1298" i="1"/>
  <c r="L1297" i="1"/>
  <c r="K1297" i="1"/>
  <c r="L1296" i="1"/>
  <c r="K1296" i="1"/>
  <c r="L1295" i="1"/>
  <c r="K1295" i="1"/>
  <c r="L1294" i="1"/>
  <c r="K1294" i="1"/>
  <c r="L1293" i="1"/>
  <c r="K1293" i="1"/>
  <c r="L1292" i="1"/>
  <c r="K1292" i="1"/>
  <c r="L1291" i="1"/>
  <c r="K1291" i="1"/>
  <c r="L1290" i="1"/>
  <c r="K1290" i="1"/>
  <c r="L1289" i="1"/>
  <c r="K1289" i="1"/>
  <c r="L1288" i="1"/>
  <c r="K1288" i="1"/>
  <c r="L1287" i="1"/>
  <c r="K1287" i="1"/>
  <c r="L1286" i="1"/>
  <c r="K1286" i="1"/>
  <c r="L1285" i="1"/>
  <c r="K1285" i="1"/>
  <c r="L1284" i="1"/>
  <c r="K1284" i="1"/>
  <c r="L1283" i="1"/>
  <c r="K1283" i="1"/>
  <c r="L1282" i="1"/>
  <c r="K1282" i="1"/>
  <c r="L1281" i="1"/>
  <c r="K1281" i="1"/>
  <c r="L1280" i="1"/>
  <c r="K1280" i="1"/>
  <c r="L1279" i="1"/>
  <c r="K1279" i="1"/>
  <c r="L1278" i="1"/>
  <c r="K1278" i="1"/>
  <c r="L1277" i="1"/>
  <c r="K1277" i="1"/>
  <c r="L1276" i="1"/>
  <c r="K1276" i="1"/>
  <c r="L1275" i="1"/>
  <c r="K1275" i="1"/>
  <c r="L1274" i="1"/>
  <c r="K1274" i="1"/>
  <c r="L1273" i="1"/>
  <c r="K1273" i="1"/>
  <c r="L1272" i="1"/>
  <c r="K1272" i="1"/>
  <c r="L1271" i="1"/>
  <c r="K1271" i="1"/>
  <c r="L1270" i="1"/>
  <c r="K1270" i="1"/>
  <c r="L1269" i="1"/>
  <c r="K1269" i="1"/>
  <c r="L1268" i="1"/>
  <c r="K1268" i="1"/>
  <c r="L1267" i="1"/>
  <c r="K1267" i="1"/>
  <c r="L1266" i="1"/>
  <c r="K1266" i="1"/>
  <c r="L1265" i="1"/>
  <c r="K1265" i="1"/>
  <c r="L1264" i="1"/>
  <c r="K1264" i="1"/>
  <c r="L1263" i="1"/>
  <c r="K1263" i="1"/>
  <c r="L1262" i="1"/>
  <c r="K1262" i="1"/>
  <c r="L1261" i="1"/>
  <c r="K1261" i="1"/>
  <c r="L1260" i="1"/>
  <c r="K1260" i="1"/>
  <c r="L1259" i="1"/>
  <c r="K1259" i="1"/>
  <c r="L1258" i="1"/>
  <c r="K1258" i="1"/>
  <c r="L1257" i="1"/>
  <c r="K1257" i="1"/>
  <c r="L1254" i="1"/>
  <c r="K1254" i="1"/>
  <c r="L1253" i="1"/>
  <c r="K1253" i="1"/>
  <c r="L1252" i="1"/>
  <c r="K1252" i="1"/>
  <c r="L1251" i="1"/>
  <c r="K1251" i="1"/>
  <c r="L1250" i="1"/>
  <c r="K1250" i="1"/>
  <c r="L1249" i="1"/>
  <c r="K1249" i="1"/>
  <c r="L1248" i="1"/>
  <c r="K1248" i="1"/>
  <c r="L1247" i="1"/>
  <c r="K1247" i="1"/>
  <c r="L1246" i="1"/>
  <c r="K1246" i="1"/>
  <c r="L1245" i="1"/>
  <c r="K1245" i="1"/>
  <c r="L1244" i="1"/>
  <c r="K1244" i="1"/>
  <c r="L1243" i="1"/>
  <c r="K1243" i="1"/>
  <c r="L1242" i="1"/>
  <c r="K1242" i="1"/>
  <c r="L1241" i="1"/>
  <c r="K1241" i="1"/>
  <c r="L1240" i="1"/>
  <c r="K1240" i="1"/>
  <c r="L1239" i="1"/>
  <c r="K1239" i="1"/>
  <c r="L1238" i="1"/>
  <c r="K1238" i="1"/>
  <c r="L1237" i="1"/>
  <c r="K1237" i="1"/>
  <c r="L1236" i="1"/>
  <c r="K1236" i="1"/>
  <c r="L1235" i="1"/>
  <c r="K1235" i="1"/>
  <c r="L1234" i="1"/>
  <c r="K1234" i="1"/>
  <c r="L1232" i="1"/>
  <c r="K1232" i="1"/>
  <c r="L1231" i="1"/>
  <c r="K1231" i="1"/>
  <c r="L1230" i="1"/>
  <c r="K1230" i="1"/>
  <c r="L1229" i="1"/>
  <c r="K1229" i="1"/>
  <c r="L1228" i="1"/>
  <c r="K1228" i="1"/>
  <c r="L1227" i="1"/>
  <c r="K1227" i="1"/>
  <c r="L1226" i="1"/>
  <c r="K1226" i="1"/>
  <c r="L1225" i="1"/>
  <c r="K1225" i="1"/>
  <c r="L1224" i="1"/>
  <c r="K1224" i="1"/>
  <c r="L1223" i="1"/>
  <c r="K1223" i="1"/>
  <c r="L1222" i="1"/>
  <c r="K1222" i="1"/>
  <c r="L1221" i="1"/>
  <c r="K1221" i="1"/>
  <c r="L1220" i="1"/>
  <c r="K1220" i="1"/>
  <c r="L1219" i="1"/>
  <c r="K1219" i="1"/>
  <c r="L1218" i="1"/>
  <c r="K1218" i="1"/>
  <c r="L1217" i="1"/>
  <c r="K1217" i="1"/>
  <c r="L1216" i="1"/>
  <c r="K1216" i="1"/>
  <c r="L1215" i="1"/>
  <c r="K1215" i="1"/>
  <c r="L1214" i="1"/>
  <c r="K1214" i="1"/>
  <c r="L1213" i="1"/>
  <c r="K1213" i="1"/>
  <c r="L1212" i="1"/>
  <c r="K1212" i="1"/>
  <c r="L1211" i="1"/>
  <c r="K1211" i="1"/>
  <c r="L1210" i="1"/>
  <c r="K1210" i="1"/>
  <c r="L1209" i="1"/>
  <c r="K1209" i="1"/>
  <c r="L1208" i="1"/>
  <c r="K1208" i="1"/>
  <c r="L1207" i="1"/>
  <c r="K1207" i="1"/>
  <c r="L1206" i="1"/>
  <c r="K1206" i="1"/>
  <c r="L1205" i="1"/>
  <c r="K1205" i="1"/>
  <c r="L1204" i="1"/>
  <c r="K1204" i="1"/>
  <c r="L1203" i="1"/>
  <c r="K1203" i="1"/>
  <c r="L1202" i="1"/>
  <c r="K1202" i="1"/>
  <c r="L1201" i="1"/>
  <c r="K1201" i="1"/>
  <c r="L1200" i="1"/>
  <c r="K1200" i="1"/>
  <c r="L1199" i="1"/>
  <c r="K1199" i="1"/>
  <c r="L1198" i="1"/>
  <c r="K1198" i="1"/>
  <c r="L1197" i="1"/>
  <c r="K1197" i="1"/>
  <c r="L1196" i="1"/>
  <c r="K1196" i="1"/>
  <c r="L1195" i="1"/>
  <c r="K1195" i="1"/>
  <c r="L1194" i="1"/>
  <c r="K1194" i="1"/>
  <c r="L1193" i="1"/>
  <c r="K1193" i="1"/>
  <c r="L1192" i="1"/>
  <c r="K1192" i="1"/>
  <c r="L1191" i="1"/>
  <c r="K1191" i="1"/>
  <c r="L1190" i="1"/>
  <c r="K1190" i="1"/>
  <c r="L1189" i="1"/>
  <c r="K1189" i="1"/>
  <c r="L1188" i="1"/>
  <c r="K1188" i="1"/>
  <c r="L1187" i="1"/>
  <c r="K1187" i="1"/>
  <c r="L1186" i="1"/>
  <c r="K1186" i="1"/>
  <c r="L1185" i="1"/>
  <c r="K1185" i="1"/>
  <c r="L1184" i="1"/>
  <c r="K1184" i="1"/>
  <c r="L1183" i="1"/>
  <c r="K1183" i="1"/>
  <c r="L1182" i="1"/>
  <c r="K1182" i="1"/>
  <c r="L1181" i="1"/>
  <c r="K1181" i="1"/>
  <c r="L1180" i="1"/>
  <c r="K1180" i="1"/>
  <c r="L1179" i="1"/>
  <c r="K1179" i="1"/>
  <c r="L1178" i="1"/>
  <c r="K1178" i="1"/>
  <c r="L1177" i="1"/>
  <c r="K1177" i="1"/>
  <c r="L1176" i="1"/>
  <c r="K1176" i="1"/>
  <c r="L1175" i="1"/>
  <c r="K1175" i="1"/>
  <c r="L1174" i="1"/>
  <c r="K1174" i="1"/>
  <c r="L1173" i="1"/>
  <c r="K1173" i="1"/>
  <c r="L1172" i="1"/>
  <c r="K1172" i="1"/>
  <c r="L1169" i="1"/>
  <c r="K1169" i="1"/>
  <c r="L1168" i="1"/>
  <c r="K1168" i="1"/>
  <c r="L1167" i="1"/>
  <c r="K1167" i="1"/>
  <c r="L1166" i="1"/>
  <c r="K1166" i="1"/>
  <c r="L1165" i="1"/>
  <c r="K1165" i="1"/>
  <c r="L1164" i="1"/>
  <c r="K1164" i="1"/>
  <c r="L1163" i="1"/>
  <c r="K1163" i="1"/>
  <c r="L1162" i="1"/>
  <c r="K1162" i="1"/>
  <c r="L1161" i="1"/>
  <c r="K1161" i="1"/>
  <c r="L1160" i="1"/>
  <c r="K1160" i="1"/>
  <c r="L1159" i="1"/>
  <c r="K1159" i="1"/>
  <c r="L1158" i="1"/>
  <c r="K1158" i="1"/>
  <c r="L1157" i="1"/>
  <c r="K1157" i="1"/>
  <c r="L1156" i="1"/>
  <c r="K1156" i="1"/>
  <c r="L1155" i="1"/>
  <c r="K1155" i="1"/>
  <c r="L1154" i="1"/>
  <c r="K1154" i="1"/>
  <c r="L1153" i="1"/>
  <c r="K1153" i="1"/>
  <c r="L1152" i="1"/>
  <c r="K1152" i="1"/>
  <c r="L1151" i="1"/>
  <c r="K1151" i="1"/>
  <c r="L1150" i="1"/>
  <c r="K1150" i="1"/>
  <c r="L1149" i="1"/>
  <c r="K1149" i="1"/>
  <c r="L1148" i="1"/>
  <c r="K1148" i="1"/>
  <c r="L1147" i="1"/>
  <c r="K1147" i="1"/>
  <c r="L1146" i="1"/>
  <c r="K1146" i="1"/>
  <c r="L1145" i="1"/>
  <c r="K1145" i="1"/>
  <c r="L1144" i="1"/>
  <c r="K1144" i="1"/>
  <c r="L1143" i="1"/>
  <c r="K1143" i="1"/>
  <c r="L1142" i="1"/>
  <c r="K1142" i="1"/>
  <c r="L1141" i="1"/>
  <c r="K1141" i="1"/>
  <c r="L1140" i="1"/>
  <c r="K1140" i="1"/>
  <c r="L1139" i="1"/>
  <c r="K1139" i="1"/>
  <c r="L1138" i="1"/>
  <c r="K1138" i="1"/>
  <c r="L1137" i="1"/>
  <c r="K1137" i="1"/>
  <c r="L1136" i="1"/>
  <c r="K1136" i="1"/>
  <c r="L1135" i="1"/>
  <c r="K1135" i="1"/>
  <c r="L1134" i="1"/>
  <c r="K1134" i="1"/>
  <c r="L1133" i="1"/>
  <c r="K1133" i="1"/>
  <c r="L1132" i="1"/>
  <c r="K1132" i="1"/>
  <c r="L1131" i="1"/>
  <c r="K1131" i="1"/>
  <c r="L1130" i="1"/>
  <c r="K1130" i="1"/>
  <c r="L1129" i="1"/>
  <c r="K1129" i="1"/>
  <c r="L1128" i="1"/>
  <c r="K1128" i="1"/>
  <c r="L1127" i="1"/>
  <c r="K1127" i="1"/>
  <c r="L1126" i="1"/>
  <c r="K1126" i="1"/>
  <c r="L1125" i="1"/>
  <c r="K1125" i="1"/>
  <c r="L1124" i="1"/>
  <c r="K1124" i="1"/>
  <c r="L1123" i="1"/>
  <c r="K1123" i="1"/>
  <c r="L1122" i="1"/>
  <c r="K1122" i="1"/>
  <c r="L1121" i="1"/>
  <c r="K1121" i="1"/>
  <c r="L1120" i="1"/>
  <c r="K1120" i="1"/>
  <c r="L1119" i="1"/>
  <c r="K1119" i="1"/>
  <c r="L1118" i="1"/>
  <c r="K1118" i="1"/>
  <c r="L1117" i="1"/>
  <c r="K1117" i="1"/>
  <c r="L1116" i="1"/>
  <c r="K1116" i="1"/>
  <c r="L1115" i="1"/>
  <c r="K1115" i="1"/>
  <c r="L1114" i="1"/>
  <c r="K1114" i="1"/>
  <c r="L1113" i="1"/>
  <c r="K1113" i="1"/>
  <c r="L1112" i="1"/>
  <c r="K1112" i="1"/>
  <c r="L1111" i="1"/>
  <c r="K1111" i="1"/>
  <c r="L1110" i="1"/>
  <c r="K1110" i="1"/>
  <c r="L1109" i="1"/>
  <c r="K1109" i="1"/>
  <c r="L1108" i="1"/>
  <c r="K1108" i="1"/>
  <c r="L1106" i="1"/>
  <c r="K1106" i="1"/>
  <c r="L1105" i="1"/>
  <c r="K1105" i="1"/>
  <c r="L1104" i="1"/>
  <c r="K1104" i="1"/>
  <c r="L1103" i="1"/>
  <c r="K1103" i="1"/>
  <c r="L1102" i="1"/>
  <c r="K1102" i="1"/>
  <c r="L1101" i="1"/>
  <c r="K1101" i="1"/>
  <c r="L1100" i="1"/>
  <c r="K1100" i="1"/>
  <c r="L1099" i="1"/>
  <c r="K1099" i="1"/>
  <c r="L1098" i="1"/>
  <c r="K1098" i="1"/>
  <c r="L1097" i="1"/>
  <c r="K1097" i="1"/>
  <c r="L1096" i="1"/>
  <c r="K1096" i="1"/>
  <c r="L1095" i="1"/>
  <c r="K1095" i="1"/>
  <c r="L1094" i="1"/>
  <c r="K1094" i="1"/>
  <c r="L1093" i="1"/>
  <c r="K1093" i="1"/>
  <c r="L1092" i="1"/>
  <c r="K1092" i="1"/>
  <c r="L1091" i="1"/>
  <c r="K1091" i="1"/>
  <c r="L1090" i="1"/>
  <c r="K1090" i="1"/>
  <c r="L1089" i="1"/>
  <c r="K1089" i="1"/>
  <c r="L1088" i="1"/>
  <c r="K1088" i="1"/>
  <c r="L1087" i="1"/>
  <c r="K1087" i="1"/>
  <c r="L1086" i="1"/>
  <c r="K1086" i="1"/>
  <c r="L1085" i="1"/>
  <c r="K1085" i="1"/>
  <c r="L1084" i="1"/>
  <c r="K1084" i="1"/>
  <c r="L1083" i="1"/>
  <c r="K1083" i="1"/>
  <c r="L1082" i="1"/>
  <c r="K1082" i="1"/>
  <c r="L1081" i="1"/>
  <c r="K1081" i="1"/>
  <c r="L1080" i="1"/>
  <c r="K1080" i="1"/>
  <c r="L1079" i="1"/>
  <c r="K1079" i="1"/>
  <c r="L1078" i="1"/>
  <c r="K1078" i="1"/>
  <c r="L1077" i="1"/>
  <c r="K1077" i="1"/>
  <c r="L1076" i="1"/>
  <c r="K1076" i="1"/>
  <c r="L1075" i="1"/>
  <c r="K1075" i="1"/>
  <c r="L1074" i="1"/>
  <c r="K1074" i="1"/>
  <c r="L1073" i="1"/>
  <c r="K1073" i="1"/>
  <c r="L1072" i="1"/>
  <c r="K1072" i="1"/>
  <c r="L1071" i="1"/>
  <c r="K1071" i="1"/>
  <c r="L1070" i="1"/>
  <c r="K1070" i="1"/>
  <c r="L1069" i="1"/>
  <c r="K1069" i="1"/>
  <c r="L1068" i="1"/>
  <c r="K1068" i="1"/>
  <c r="L1067" i="1"/>
  <c r="K1067" i="1"/>
  <c r="L1066" i="1"/>
  <c r="K1066" i="1"/>
  <c r="L1065" i="1"/>
  <c r="K1065" i="1"/>
  <c r="L1064" i="1"/>
  <c r="K1064" i="1"/>
  <c r="L1063" i="1"/>
  <c r="K1063" i="1"/>
  <c r="L1062" i="1"/>
  <c r="K1062" i="1"/>
  <c r="L1061" i="1"/>
  <c r="K1061" i="1"/>
  <c r="L1060" i="1"/>
  <c r="K1060" i="1"/>
  <c r="L1059" i="1"/>
  <c r="K1059" i="1"/>
  <c r="L1058" i="1"/>
  <c r="K1058" i="1"/>
  <c r="L1057" i="1"/>
  <c r="K1057" i="1"/>
  <c r="L1056" i="1"/>
  <c r="K1056" i="1"/>
  <c r="L1055" i="1"/>
  <c r="K1055" i="1"/>
  <c r="L1054" i="1"/>
  <c r="K1054" i="1"/>
  <c r="L1053" i="1"/>
  <c r="K1053" i="1"/>
  <c r="L1052" i="1"/>
  <c r="K1052" i="1"/>
  <c r="L1051" i="1"/>
  <c r="K1051" i="1"/>
  <c r="L1050" i="1"/>
  <c r="K1050" i="1"/>
  <c r="L1049" i="1"/>
  <c r="K1049" i="1"/>
  <c r="L1048" i="1"/>
  <c r="K1048" i="1"/>
  <c r="L1047" i="1"/>
  <c r="K1047" i="1"/>
  <c r="L1046" i="1"/>
  <c r="K1046" i="1"/>
  <c r="L1045" i="1"/>
  <c r="K1045" i="1"/>
  <c r="L1044" i="1"/>
  <c r="K1044" i="1"/>
  <c r="L1043" i="1"/>
  <c r="K1043" i="1"/>
  <c r="L1042" i="1"/>
  <c r="K1042" i="1"/>
  <c r="L1041" i="1"/>
  <c r="K1041" i="1"/>
  <c r="L1040" i="1"/>
  <c r="K1040" i="1"/>
  <c r="L1039" i="1"/>
  <c r="K1039" i="1"/>
  <c r="L1038" i="1"/>
  <c r="K1038" i="1"/>
  <c r="L1037" i="1"/>
  <c r="K1037" i="1"/>
  <c r="L1036" i="1"/>
  <c r="K1036" i="1"/>
  <c r="L1035" i="1"/>
  <c r="K1035" i="1"/>
  <c r="L1034" i="1"/>
  <c r="K1034" i="1"/>
  <c r="L1033" i="1"/>
  <c r="K1033" i="1"/>
  <c r="L1032" i="1"/>
  <c r="K1032" i="1"/>
  <c r="L1031" i="1"/>
  <c r="K1031" i="1"/>
  <c r="L1030" i="1"/>
  <c r="K1030" i="1"/>
  <c r="L1029" i="1"/>
  <c r="K1029" i="1"/>
  <c r="L1028" i="1"/>
  <c r="K1028" i="1"/>
  <c r="L1027" i="1"/>
  <c r="K1027" i="1"/>
  <c r="L1026" i="1"/>
  <c r="K1026" i="1"/>
  <c r="L1025" i="1"/>
  <c r="K1025" i="1"/>
  <c r="L1024" i="1"/>
  <c r="K1024" i="1"/>
  <c r="L1023" i="1"/>
  <c r="K1023" i="1"/>
  <c r="L1022" i="1"/>
  <c r="K1022" i="1"/>
  <c r="L1021" i="1"/>
  <c r="K1021" i="1"/>
  <c r="L1020" i="1"/>
  <c r="K1020" i="1"/>
  <c r="L1019" i="1"/>
  <c r="K1019" i="1"/>
  <c r="L1018" i="1"/>
  <c r="K1018" i="1"/>
  <c r="L1017" i="1"/>
  <c r="K1017" i="1"/>
  <c r="L1016" i="1"/>
  <c r="K1016" i="1"/>
  <c r="L1015" i="1"/>
  <c r="K1015" i="1"/>
  <c r="L1014" i="1"/>
  <c r="K1014" i="1"/>
  <c r="L1013" i="1"/>
  <c r="K1013" i="1"/>
  <c r="L1012" i="1"/>
  <c r="K1012" i="1"/>
  <c r="L1011" i="1"/>
  <c r="K1011" i="1"/>
  <c r="L1010" i="1"/>
  <c r="K1010" i="1"/>
  <c r="L1009" i="1"/>
  <c r="K1009" i="1"/>
  <c r="L1008" i="1"/>
  <c r="K1008" i="1"/>
  <c r="L1007" i="1"/>
  <c r="K1007" i="1"/>
  <c r="L1006" i="1"/>
  <c r="K1006" i="1"/>
  <c r="L1005" i="1"/>
  <c r="K1005" i="1"/>
  <c r="L1004" i="1"/>
  <c r="K1004" i="1"/>
  <c r="L1003" i="1"/>
  <c r="K1003" i="1"/>
  <c r="L1002" i="1"/>
  <c r="K1002" i="1"/>
  <c r="L1001" i="1"/>
  <c r="K1001" i="1"/>
  <c r="L1000" i="1"/>
  <c r="K1000" i="1"/>
  <c r="L999" i="1"/>
  <c r="K999" i="1"/>
  <c r="L998" i="1"/>
  <c r="K998" i="1"/>
  <c r="L997" i="1"/>
  <c r="K997" i="1"/>
  <c r="L996" i="1"/>
  <c r="K996" i="1"/>
  <c r="L995" i="1"/>
  <c r="K995" i="1"/>
  <c r="L994" i="1"/>
  <c r="K994" i="1"/>
  <c r="L993" i="1"/>
  <c r="K993" i="1"/>
  <c r="L992" i="1"/>
  <c r="K992" i="1"/>
  <c r="L991" i="1"/>
  <c r="K991" i="1"/>
  <c r="L990" i="1"/>
  <c r="K990" i="1"/>
  <c r="L989" i="1"/>
  <c r="K989" i="1"/>
  <c r="L988" i="1"/>
  <c r="K988" i="1"/>
  <c r="L987" i="1"/>
  <c r="K987" i="1"/>
  <c r="L986" i="1"/>
  <c r="K986" i="1"/>
  <c r="L985" i="1"/>
  <c r="K985" i="1"/>
  <c r="L984" i="1"/>
  <c r="K984" i="1"/>
  <c r="L983" i="1"/>
  <c r="K983" i="1"/>
  <c r="L982" i="1"/>
  <c r="K982" i="1"/>
  <c r="L981" i="1"/>
  <c r="K981" i="1"/>
  <c r="L980" i="1"/>
  <c r="K980" i="1"/>
  <c r="L979" i="1"/>
  <c r="K979" i="1"/>
  <c r="L978" i="1"/>
  <c r="K978" i="1"/>
  <c r="L977" i="1"/>
  <c r="K977" i="1"/>
  <c r="L976" i="1"/>
  <c r="K976" i="1"/>
  <c r="L975" i="1"/>
  <c r="K975" i="1"/>
  <c r="L974" i="1"/>
  <c r="K974" i="1"/>
  <c r="L973" i="1"/>
  <c r="K973" i="1"/>
  <c r="L972" i="1"/>
  <c r="K972" i="1"/>
  <c r="L971" i="1"/>
  <c r="K971" i="1"/>
  <c r="L970" i="1"/>
  <c r="K970" i="1"/>
  <c r="L969" i="1"/>
  <c r="K969" i="1"/>
  <c r="L968" i="1"/>
  <c r="K968" i="1"/>
  <c r="L967" i="1"/>
  <c r="K967" i="1"/>
  <c r="L966" i="1"/>
  <c r="K966" i="1"/>
  <c r="L965" i="1"/>
  <c r="K965" i="1"/>
  <c r="L964" i="1"/>
  <c r="K964" i="1"/>
  <c r="L963" i="1"/>
  <c r="K963" i="1"/>
  <c r="L962" i="1"/>
  <c r="K962" i="1"/>
  <c r="L961" i="1"/>
  <c r="K961" i="1"/>
  <c r="L960" i="1"/>
  <c r="K960" i="1"/>
  <c r="L959" i="1"/>
  <c r="K959" i="1"/>
  <c r="L958" i="1"/>
  <c r="K958" i="1"/>
  <c r="L957" i="1"/>
  <c r="K957" i="1"/>
  <c r="L956" i="1"/>
  <c r="K956" i="1"/>
  <c r="L955" i="1"/>
  <c r="K955" i="1"/>
  <c r="L954" i="1"/>
  <c r="K954" i="1"/>
  <c r="L953" i="1"/>
  <c r="K953" i="1"/>
  <c r="L952" i="1"/>
  <c r="K952" i="1"/>
  <c r="L951" i="1"/>
  <c r="K951" i="1"/>
  <c r="L950" i="1"/>
  <c r="K950" i="1"/>
  <c r="L949" i="1"/>
  <c r="K949" i="1"/>
  <c r="L948" i="1"/>
  <c r="K948" i="1"/>
  <c r="L947" i="1"/>
  <c r="K947" i="1"/>
  <c r="L946" i="1"/>
  <c r="K946" i="1"/>
  <c r="L945" i="1"/>
  <c r="K945" i="1"/>
  <c r="L944" i="1"/>
  <c r="K944" i="1"/>
  <c r="L942" i="1"/>
  <c r="K942" i="1"/>
  <c r="L941" i="1"/>
  <c r="K941" i="1"/>
  <c r="L940" i="1"/>
  <c r="K940" i="1"/>
  <c r="L939" i="1"/>
  <c r="K939" i="1"/>
  <c r="L938" i="1"/>
  <c r="K938" i="1"/>
  <c r="L937" i="1"/>
  <c r="K937" i="1"/>
  <c r="L936" i="1"/>
  <c r="K936" i="1"/>
  <c r="L935" i="1"/>
  <c r="K935" i="1"/>
  <c r="L934" i="1"/>
  <c r="K934" i="1"/>
  <c r="L933" i="1"/>
  <c r="K933" i="1"/>
  <c r="L932" i="1"/>
  <c r="K932" i="1"/>
  <c r="L931" i="1"/>
  <c r="K931" i="1"/>
  <c r="L930" i="1"/>
  <c r="K930" i="1"/>
  <c r="L929" i="1"/>
  <c r="K929" i="1"/>
  <c r="L928" i="1"/>
  <c r="K928" i="1"/>
  <c r="L927" i="1"/>
  <c r="K927" i="1"/>
  <c r="L926" i="1"/>
  <c r="K926" i="1"/>
  <c r="L925" i="1"/>
  <c r="K925" i="1"/>
  <c r="L924" i="1"/>
  <c r="K924" i="1"/>
  <c r="L923" i="1"/>
  <c r="K923" i="1"/>
  <c r="L922" i="1"/>
  <c r="K922" i="1"/>
  <c r="L921" i="1"/>
  <c r="K921" i="1"/>
  <c r="L920" i="1"/>
  <c r="K920" i="1"/>
  <c r="L919" i="1"/>
  <c r="K919" i="1"/>
  <c r="L918" i="1"/>
  <c r="K918" i="1"/>
  <c r="L917" i="1"/>
  <c r="K917" i="1"/>
  <c r="L916" i="1"/>
  <c r="K916" i="1"/>
  <c r="L915" i="1"/>
  <c r="K915" i="1"/>
  <c r="L914" i="1"/>
  <c r="K914" i="1"/>
  <c r="L913" i="1"/>
  <c r="K913" i="1"/>
  <c r="L912" i="1"/>
  <c r="K912" i="1"/>
  <c r="L911" i="1"/>
  <c r="K911" i="1"/>
  <c r="L910" i="1"/>
  <c r="K910" i="1"/>
  <c r="L909" i="1"/>
  <c r="K909" i="1"/>
  <c r="L908" i="1"/>
  <c r="K908" i="1"/>
  <c r="L906" i="1"/>
  <c r="K906" i="1"/>
  <c r="L905" i="1"/>
  <c r="K905" i="1"/>
  <c r="L904" i="1"/>
  <c r="K904" i="1"/>
  <c r="L903" i="1"/>
  <c r="K903" i="1"/>
  <c r="L902" i="1"/>
  <c r="K902" i="1"/>
  <c r="L901" i="1"/>
  <c r="K901" i="1"/>
  <c r="L900" i="1"/>
  <c r="K900" i="1"/>
  <c r="L899" i="1"/>
  <c r="K899" i="1"/>
  <c r="L898" i="1"/>
  <c r="K898" i="1"/>
  <c r="L897" i="1"/>
  <c r="K897" i="1"/>
  <c r="L896" i="1"/>
  <c r="K896" i="1"/>
  <c r="L895" i="1"/>
  <c r="K895" i="1"/>
  <c r="L894" i="1"/>
  <c r="K894" i="1"/>
  <c r="L893" i="1"/>
  <c r="K893" i="1"/>
  <c r="L891" i="1"/>
  <c r="K891" i="1"/>
  <c r="L890" i="1"/>
  <c r="K890" i="1"/>
  <c r="L889" i="1"/>
  <c r="K889" i="1"/>
  <c r="L888" i="1"/>
  <c r="K888" i="1"/>
  <c r="L887" i="1"/>
  <c r="K887" i="1"/>
  <c r="L886" i="1"/>
  <c r="K886" i="1"/>
  <c r="L885" i="1"/>
  <c r="K885" i="1"/>
  <c r="L884" i="1"/>
  <c r="K884" i="1"/>
  <c r="L883" i="1"/>
  <c r="K883" i="1"/>
  <c r="L882" i="1"/>
  <c r="K882" i="1"/>
  <c r="L881" i="1"/>
  <c r="K881" i="1"/>
  <c r="L880" i="1"/>
  <c r="K880" i="1"/>
  <c r="L879" i="1"/>
  <c r="K879" i="1"/>
  <c r="L878" i="1"/>
  <c r="K878" i="1"/>
  <c r="L877" i="1"/>
  <c r="K877" i="1"/>
  <c r="L876" i="1"/>
  <c r="K876" i="1"/>
  <c r="L875" i="1"/>
  <c r="K875" i="1"/>
  <c r="L874" i="1"/>
  <c r="K874" i="1"/>
  <c r="L873" i="1"/>
  <c r="K873" i="1"/>
  <c r="L872" i="1"/>
  <c r="K872" i="1"/>
  <c r="L871" i="1"/>
  <c r="K871" i="1"/>
  <c r="L870" i="1"/>
  <c r="K870" i="1"/>
  <c r="L869" i="1"/>
  <c r="K869" i="1"/>
  <c r="L868" i="1"/>
  <c r="K868" i="1"/>
  <c r="L867" i="1"/>
  <c r="K867" i="1"/>
  <c r="L866" i="1"/>
  <c r="K866" i="1"/>
  <c r="L865" i="1"/>
  <c r="K865" i="1"/>
  <c r="L864" i="1"/>
  <c r="K864" i="1"/>
  <c r="L863" i="1"/>
  <c r="K863" i="1"/>
  <c r="L862" i="1"/>
  <c r="K862" i="1"/>
  <c r="L861" i="1"/>
  <c r="K861" i="1"/>
  <c r="L860" i="1"/>
  <c r="K860" i="1"/>
  <c r="L859" i="1"/>
  <c r="K859" i="1"/>
  <c r="L858" i="1"/>
  <c r="K858" i="1"/>
  <c r="L857" i="1"/>
  <c r="K857" i="1"/>
  <c r="L856" i="1"/>
  <c r="K856" i="1"/>
  <c r="L855" i="1"/>
  <c r="K855" i="1"/>
  <c r="L854" i="1"/>
  <c r="K854" i="1"/>
  <c r="L853" i="1"/>
  <c r="K853" i="1"/>
  <c r="L852" i="1"/>
  <c r="K852" i="1"/>
  <c r="L851" i="1"/>
  <c r="K851" i="1"/>
  <c r="L850" i="1"/>
  <c r="K850" i="1"/>
  <c r="L849" i="1"/>
  <c r="K849" i="1"/>
  <c r="L848" i="1"/>
  <c r="K848" i="1"/>
  <c r="L847" i="1"/>
  <c r="K847" i="1"/>
  <c r="L846" i="1"/>
  <c r="K846" i="1"/>
  <c r="L845" i="1"/>
  <c r="K845" i="1"/>
  <c r="L844" i="1"/>
  <c r="K844" i="1"/>
  <c r="L843" i="1"/>
  <c r="K843" i="1"/>
  <c r="L842" i="1"/>
  <c r="K842" i="1"/>
  <c r="L840" i="1"/>
  <c r="K840" i="1"/>
  <c r="L839" i="1"/>
  <c r="K839" i="1"/>
  <c r="L838" i="1"/>
  <c r="K838" i="1"/>
  <c r="L837" i="1"/>
  <c r="K837" i="1"/>
  <c r="L836" i="1"/>
  <c r="K836" i="1"/>
  <c r="L835" i="1"/>
  <c r="K835" i="1"/>
  <c r="L834" i="1"/>
  <c r="K834" i="1"/>
  <c r="L833" i="1"/>
  <c r="K833" i="1"/>
  <c r="L832" i="1"/>
  <c r="K832" i="1"/>
  <c r="L831" i="1"/>
  <c r="K831" i="1"/>
  <c r="L830" i="1"/>
  <c r="K830" i="1"/>
  <c r="L829" i="1"/>
  <c r="K829" i="1"/>
  <c r="L828" i="1"/>
  <c r="K828" i="1"/>
  <c r="L827" i="1"/>
  <c r="K827" i="1"/>
  <c r="L826" i="1"/>
  <c r="K826" i="1"/>
  <c r="L825" i="1"/>
  <c r="K825" i="1"/>
  <c r="L824" i="1"/>
  <c r="K824" i="1"/>
  <c r="L823" i="1"/>
  <c r="K823" i="1"/>
  <c r="L822" i="1"/>
  <c r="K822" i="1"/>
  <c r="L821" i="1"/>
  <c r="K821" i="1"/>
  <c r="L820" i="1"/>
  <c r="K820" i="1"/>
  <c r="L819" i="1"/>
  <c r="K819" i="1"/>
  <c r="L818" i="1"/>
  <c r="K818" i="1"/>
  <c r="L816" i="1"/>
  <c r="K816" i="1"/>
  <c r="L815" i="1"/>
  <c r="K815" i="1"/>
  <c r="L814" i="1"/>
  <c r="K814" i="1"/>
  <c r="L813" i="1"/>
  <c r="K813" i="1"/>
  <c r="L812" i="1"/>
  <c r="K812" i="1"/>
  <c r="L811" i="1"/>
  <c r="K811" i="1"/>
  <c r="L810" i="1"/>
  <c r="K810" i="1"/>
  <c r="L809" i="1"/>
  <c r="K809" i="1"/>
  <c r="L808" i="1"/>
  <c r="K808" i="1"/>
  <c r="L807" i="1"/>
  <c r="K807" i="1"/>
  <c r="L806" i="1"/>
  <c r="K806" i="1"/>
  <c r="L805" i="1"/>
  <c r="K805" i="1"/>
  <c r="L804" i="1"/>
  <c r="K804" i="1"/>
  <c r="L803" i="1"/>
  <c r="K803" i="1"/>
  <c r="L802" i="1"/>
  <c r="K802" i="1"/>
  <c r="L801" i="1"/>
  <c r="K801" i="1"/>
  <c r="L800" i="1"/>
  <c r="K800" i="1"/>
  <c r="L799" i="1"/>
  <c r="K799" i="1"/>
  <c r="L798" i="1"/>
  <c r="K798" i="1"/>
  <c r="L797" i="1"/>
  <c r="K797" i="1"/>
  <c r="L796" i="1"/>
  <c r="K796" i="1"/>
  <c r="L795" i="1"/>
  <c r="K795" i="1"/>
  <c r="L794" i="1"/>
  <c r="K794" i="1"/>
  <c r="L793" i="1"/>
  <c r="K793" i="1"/>
  <c r="L792" i="1"/>
  <c r="K792" i="1"/>
  <c r="L791" i="1"/>
  <c r="K791" i="1"/>
  <c r="L790" i="1"/>
  <c r="K790" i="1"/>
  <c r="L789" i="1"/>
  <c r="K789" i="1"/>
  <c r="L788" i="1"/>
  <c r="K788" i="1"/>
  <c r="L787" i="1"/>
  <c r="K787" i="1"/>
  <c r="L786" i="1"/>
  <c r="K786" i="1"/>
  <c r="L785" i="1"/>
  <c r="K785" i="1"/>
  <c r="L784" i="1"/>
  <c r="K784" i="1"/>
  <c r="L783" i="1"/>
  <c r="K783" i="1"/>
  <c r="L782" i="1"/>
  <c r="K782" i="1"/>
  <c r="L781" i="1"/>
  <c r="K781" i="1"/>
  <c r="L780" i="1"/>
  <c r="K780" i="1"/>
  <c r="L779" i="1"/>
  <c r="K779" i="1"/>
  <c r="L778" i="1"/>
  <c r="K778" i="1"/>
  <c r="L777" i="1"/>
  <c r="K777" i="1"/>
  <c r="L776" i="1"/>
  <c r="K776" i="1"/>
  <c r="L775" i="1"/>
  <c r="K775" i="1"/>
  <c r="L774" i="1"/>
  <c r="K774" i="1"/>
  <c r="L773" i="1"/>
  <c r="K773" i="1"/>
  <c r="L772" i="1"/>
  <c r="K772" i="1"/>
  <c r="L771" i="1"/>
  <c r="K771" i="1"/>
  <c r="L770" i="1"/>
  <c r="K770" i="1"/>
  <c r="L768" i="1"/>
  <c r="K768" i="1"/>
  <c r="L767" i="1"/>
  <c r="K767" i="1"/>
  <c r="L766" i="1"/>
  <c r="K766" i="1"/>
  <c r="L765" i="1"/>
  <c r="K765" i="1"/>
  <c r="L764" i="1"/>
  <c r="K764" i="1"/>
  <c r="L763" i="1"/>
  <c r="K763" i="1"/>
  <c r="L762" i="1"/>
  <c r="K762" i="1"/>
  <c r="L761" i="1"/>
  <c r="K761" i="1"/>
  <c r="L760" i="1"/>
  <c r="K760" i="1"/>
  <c r="L759" i="1"/>
  <c r="K759" i="1"/>
  <c r="L758" i="1"/>
  <c r="K758" i="1"/>
  <c r="L757" i="1"/>
  <c r="K757" i="1"/>
  <c r="L756" i="1"/>
  <c r="K756" i="1"/>
  <c r="L755" i="1"/>
  <c r="K755" i="1"/>
  <c r="L754" i="1"/>
  <c r="K754" i="1"/>
  <c r="L753" i="1"/>
  <c r="K753" i="1"/>
  <c r="L752" i="1"/>
  <c r="K752" i="1"/>
  <c r="L751" i="1"/>
  <c r="K751" i="1"/>
  <c r="L750" i="1"/>
  <c r="K750" i="1"/>
  <c r="L749" i="1"/>
  <c r="K749" i="1"/>
  <c r="L748" i="1"/>
  <c r="K748" i="1"/>
  <c r="L747" i="1"/>
  <c r="K747" i="1"/>
  <c r="L746" i="1"/>
  <c r="K746" i="1"/>
  <c r="L745" i="1"/>
  <c r="K745" i="1"/>
  <c r="L744" i="1"/>
  <c r="K744" i="1"/>
  <c r="L743" i="1"/>
  <c r="K743" i="1"/>
  <c r="L742" i="1"/>
  <c r="K742" i="1"/>
  <c r="L741" i="1"/>
  <c r="K741" i="1"/>
  <c r="L740" i="1"/>
  <c r="K740" i="1"/>
  <c r="L739" i="1"/>
  <c r="K739" i="1"/>
  <c r="L738" i="1"/>
  <c r="K738" i="1"/>
  <c r="L737" i="1"/>
  <c r="K737" i="1"/>
  <c r="L736" i="1"/>
  <c r="K736" i="1"/>
  <c r="L735" i="1"/>
  <c r="K735" i="1"/>
  <c r="L734" i="1"/>
  <c r="K734" i="1"/>
  <c r="L733" i="1"/>
  <c r="K733" i="1"/>
  <c r="L732" i="1"/>
  <c r="K732" i="1"/>
  <c r="L731" i="1"/>
  <c r="K731" i="1"/>
  <c r="L730" i="1"/>
  <c r="K730" i="1"/>
  <c r="L729" i="1"/>
  <c r="K729" i="1"/>
  <c r="L728" i="1"/>
  <c r="K728" i="1"/>
  <c r="L727" i="1"/>
  <c r="K727" i="1"/>
  <c r="L726" i="1"/>
  <c r="K726" i="1"/>
  <c r="L725" i="1"/>
  <c r="K725" i="1"/>
  <c r="L724" i="1"/>
  <c r="K724" i="1"/>
  <c r="L723" i="1"/>
  <c r="K723" i="1"/>
  <c r="L722" i="1"/>
  <c r="K722" i="1"/>
  <c r="L721" i="1"/>
  <c r="K721" i="1"/>
  <c r="L720" i="1"/>
  <c r="K720" i="1"/>
  <c r="L719" i="1"/>
  <c r="K719" i="1"/>
  <c r="L718" i="1"/>
  <c r="K718" i="1"/>
  <c r="L717" i="1"/>
  <c r="K717" i="1"/>
  <c r="L716" i="1"/>
  <c r="K716" i="1"/>
  <c r="L715" i="1"/>
  <c r="K715" i="1"/>
  <c r="L714" i="1"/>
  <c r="K714" i="1"/>
  <c r="L713" i="1"/>
  <c r="K713" i="1"/>
  <c r="L712" i="1"/>
  <c r="K712" i="1"/>
  <c r="L711" i="1"/>
  <c r="K711" i="1"/>
  <c r="L710" i="1"/>
  <c r="K710" i="1"/>
  <c r="L709" i="1"/>
  <c r="K709" i="1"/>
  <c r="L708" i="1"/>
  <c r="K708" i="1"/>
  <c r="L707" i="1"/>
  <c r="K707" i="1"/>
  <c r="L706" i="1"/>
  <c r="K706" i="1"/>
  <c r="L705" i="1"/>
  <c r="K705" i="1"/>
  <c r="L704" i="1"/>
  <c r="K704" i="1"/>
  <c r="L703" i="1"/>
  <c r="K703" i="1"/>
  <c r="L702" i="1"/>
  <c r="K702" i="1"/>
  <c r="L701" i="1"/>
  <c r="K701" i="1"/>
  <c r="L700" i="1"/>
  <c r="K700" i="1"/>
  <c r="L699" i="1"/>
  <c r="K699" i="1"/>
  <c r="L698" i="1"/>
  <c r="K698" i="1"/>
  <c r="L697" i="1"/>
  <c r="K697" i="1"/>
  <c r="L696" i="1"/>
  <c r="K696" i="1"/>
  <c r="L695" i="1"/>
  <c r="K695" i="1"/>
  <c r="L694" i="1"/>
  <c r="K694" i="1"/>
  <c r="L693" i="1"/>
  <c r="K693" i="1"/>
  <c r="L692" i="1"/>
  <c r="K692" i="1"/>
  <c r="L691" i="1"/>
  <c r="K691" i="1"/>
  <c r="L690" i="1"/>
  <c r="K690" i="1"/>
  <c r="L689" i="1"/>
  <c r="K689" i="1"/>
  <c r="L688" i="1"/>
  <c r="K688" i="1"/>
  <c r="L687" i="1"/>
  <c r="K687" i="1"/>
  <c r="L686" i="1"/>
  <c r="K686" i="1"/>
  <c r="L685" i="1"/>
  <c r="K685" i="1"/>
  <c r="L684" i="1"/>
  <c r="K684" i="1"/>
  <c r="L683" i="1"/>
  <c r="K683" i="1"/>
  <c r="L682" i="1"/>
  <c r="K682" i="1"/>
  <c r="L681" i="1"/>
  <c r="K681" i="1"/>
  <c r="L680" i="1"/>
  <c r="K680" i="1"/>
  <c r="L679" i="1"/>
  <c r="K679" i="1"/>
  <c r="L678" i="1"/>
  <c r="K678" i="1"/>
  <c r="L677" i="1"/>
  <c r="K677" i="1"/>
  <c r="L676" i="1"/>
  <c r="K676" i="1"/>
  <c r="L675" i="1"/>
  <c r="K675" i="1"/>
  <c r="L674" i="1"/>
  <c r="K674" i="1"/>
  <c r="L673" i="1"/>
  <c r="K673" i="1"/>
  <c r="L672" i="1"/>
  <c r="K672" i="1"/>
  <c r="L671" i="1"/>
  <c r="K671" i="1"/>
  <c r="L670" i="1"/>
  <c r="K670" i="1"/>
  <c r="L669" i="1"/>
  <c r="K669" i="1"/>
  <c r="L668" i="1"/>
  <c r="K668" i="1"/>
  <c r="L667" i="1"/>
  <c r="K667" i="1"/>
  <c r="L666" i="1"/>
  <c r="K666" i="1"/>
  <c r="L665" i="1"/>
  <c r="K665" i="1"/>
  <c r="L664" i="1"/>
  <c r="K664" i="1"/>
  <c r="L662" i="1"/>
  <c r="K662" i="1"/>
  <c r="L661" i="1"/>
  <c r="K661" i="1"/>
  <c r="L660" i="1"/>
  <c r="K660" i="1"/>
  <c r="L659" i="1"/>
  <c r="K659" i="1"/>
  <c r="L658" i="1"/>
  <c r="K658" i="1"/>
  <c r="L657" i="1"/>
  <c r="K657" i="1"/>
  <c r="L656" i="1"/>
  <c r="K656" i="1"/>
  <c r="L655" i="1"/>
  <c r="K655" i="1"/>
  <c r="L654" i="1"/>
  <c r="K654" i="1"/>
  <c r="L653" i="1"/>
  <c r="K653" i="1"/>
  <c r="L652" i="1"/>
  <c r="K652" i="1"/>
  <c r="L651" i="1"/>
  <c r="K651" i="1"/>
  <c r="L650" i="1"/>
  <c r="K650" i="1"/>
  <c r="L649" i="1"/>
  <c r="K649" i="1"/>
  <c r="L648" i="1"/>
  <c r="K648" i="1"/>
  <c r="L647" i="1"/>
  <c r="K647" i="1"/>
  <c r="L646" i="1"/>
  <c r="K646" i="1"/>
  <c r="L645" i="1"/>
  <c r="K645" i="1"/>
  <c r="L644" i="1"/>
  <c r="K644" i="1"/>
  <c r="L643" i="1"/>
  <c r="K643" i="1"/>
  <c r="L642" i="1"/>
  <c r="K642" i="1"/>
  <c r="L641" i="1"/>
  <c r="K641" i="1"/>
  <c r="L640" i="1"/>
  <c r="K640" i="1"/>
  <c r="L639" i="1"/>
  <c r="K639" i="1"/>
  <c r="L638" i="1"/>
  <c r="K638" i="1"/>
  <c r="L637" i="1"/>
  <c r="K637" i="1"/>
  <c r="L636" i="1"/>
  <c r="K636" i="1"/>
  <c r="L635" i="1"/>
  <c r="K635" i="1"/>
  <c r="L634" i="1"/>
  <c r="K634" i="1"/>
  <c r="L633" i="1"/>
  <c r="K633" i="1"/>
  <c r="L632" i="1"/>
  <c r="K632" i="1"/>
  <c r="L631" i="1"/>
  <c r="K631" i="1"/>
  <c r="L630" i="1"/>
  <c r="K630" i="1"/>
  <c r="L629" i="1"/>
  <c r="K629" i="1"/>
  <c r="L628" i="1"/>
  <c r="K628" i="1"/>
  <c r="L627" i="1"/>
  <c r="K627" i="1"/>
  <c r="L626" i="1"/>
  <c r="K626" i="1"/>
  <c r="L625" i="1"/>
  <c r="K625" i="1"/>
  <c r="L624" i="1"/>
  <c r="K624" i="1"/>
  <c r="L623" i="1"/>
  <c r="K623" i="1"/>
  <c r="L622" i="1"/>
  <c r="K622" i="1"/>
  <c r="L621" i="1"/>
  <c r="K621" i="1"/>
  <c r="L620" i="1"/>
  <c r="K620" i="1"/>
  <c r="L619" i="1"/>
  <c r="K619" i="1"/>
  <c r="L618" i="1"/>
  <c r="K618" i="1"/>
  <c r="L617" i="1"/>
  <c r="K617" i="1"/>
  <c r="L616" i="1"/>
  <c r="K616" i="1"/>
  <c r="L615" i="1"/>
  <c r="K615" i="1"/>
  <c r="L614" i="1"/>
  <c r="K614" i="1"/>
  <c r="L613" i="1"/>
  <c r="K613" i="1"/>
  <c r="L612" i="1"/>
  <c r="K612" i="1"/>
  <c r="L611" i="1"/>
  <c r="K611" i="1"/>
  <c r="L610" i="1"/>
  <c r="K610" i="1"/>
  <c r="L609" i="1"/>
  <c r="K609" i="1"/>
  <c r="L608" i="1"/>
  <c r="K608" i="1"/>
  <c r="L607" i="1"/>
  <c r="K607" i="1"/>
  <c r="L606" i="1"/>
  <c r="K606" i="1"/>
  <c r="L605" i="1"/>
  <c r="K605" i="1"/>
  <c r="L604" i="1"/>
  <c r="K604" i="1"/>
  <c r="L603" i="1"/>
  <c r="K603" i="1"/>
  <c r="L602" i="1"/>
  <c r="K602" i="1"/>
  <c r="L601" i="1"/>
  <c r="K601" i="1"/>
  <c r="L600" i="1"/>
  <c r="K600" i="1"/>
  <c r="L599" i="1"/>
  <c r="K599" i="1"/>
  <c r="L598" i="1"/>
  <c r="K598" i="1"/>
  <c r="L597" i="1"/>
  <c r="K597" i="1"/>
  <c r="L596" i="1"/>
  <c r="K596" i="1"/>
  <c r="L595" i="1"/>
  <c r="K595" i="1"/>
  <c r="L594" i="1"/>
  <c r="K594" i="1"/>
  <c r="L593" i="1"/>
  <c r="K593" i="1"/>
  <c r="L592" i="1"/>
  <c r="K592" i="1"/>
  <c r="L591" i="1"/>
  <c r="K591" i="1"/>
  <c r="L590" i="1"/>
  <c r="K590" i="1"/>
  <c r="L589" i="1"/>
  <c r="K589" i="1"/>
  <c r="L588" i="1"/>
  <c r="K588" i="1"/>
  <c r="L587" i="1"/>
  <c r="K587" i="1"/>
  <c r="L586" i="1"/>
  <c r="K586" i="1"/>
  <c r="L585" i="1"/>
  <c r="K585" i="1"/>
  <c r="L584" i="1"/>
  <c r="K584" i="1"/>
  <c r="L583" i="1"/>
  <c r="K583" i="1"/>
  <c r="L582" i="1"/>
  <c r="K582" i="1"/>
  <c r="L581" i="1"/>
  <c r="K581" i="1"/>
  <c r="L580" i="1"/>
  <c r="K580" i="1"/>
  <c r="L579" i="1"/>
  <c r="K579" i="1"/>
  <c r="L578" i="1"/>
  <c r="K578" i="1"/>
  <c r="L577" i="1"/>
  <c r="K577" i="1"/>
  <c r="L576" i="1"/>
  <c r="K576" i="1"/>
  <c r="L575" i="1"/>
  <c r="K575" i="1"/>
  <c r="L574" i="1"/>
  <c r="K574" i="1"/>
  <c r="L573" i="1"/>
  <c r="K573" i="1"/>
  <c r="L572" i="1"/>
  <c r="K572" i="1"/>
  <c r="L571" i="1"/>
  <c r="K571" i="1"/>
  <c r="L570" i="1"/>
  <c r="K570" i="1"/>
  <c r="L569" i="1"/>
  <c r="K569" i="1"/>
  <c r="L568" i="1"/>
  <c r="K568" i="1"/>
  <c r="L567" i="1"/>
  <c r="K567" i="1"/>
  <c r="L566" i="1"/>
  <c r="K566" i="1"/>
  <c r="L565" i="1"/>
  <c r="K565" i="1"/>
  <c r="L564" i="1"/>
  <c r="K564" i="1"/>
  <c r="L563" i="1"/>
  <c r="K563" i="1"/>
  <c r="L562" i="1"/>
  <c r="K562" i="1"/>
  <c r="L561" i="1"/>
  <c r="K561" i="1"/>
  <c r="L560" i="1"/>
  <c r="K560" i="1"/>
  <c r="L559" i="1"/>
  <c r="K559" i="1"/>
  <c r="L558" i="1"/>
  <c r="K558" i="1"/>
  <c r="L557" i="1"/>
  <c r="K557" i="1"/>
  <c r="L556" i="1"/>
  <c r="K556" i="1"/>
  <c r="L555" i="1"/>
  <c r="K555" i="1"/>
  <c r="L554" i="1"/>
  <c r="K554" i="1"/>
  <c r="L553" i="1"/>
  <c r="K553" i="1"/>
  <c r="L552" i="1"/>
  <c r="K552" i="1"/>
  <c r="L551" i="1"/>
  <c r="K551" i="1"/>
  <c r="L550" i="1"/>
  <c r="K550" i="1"/>
  <c r="L549" i="1"/>
  <c r="K549" i="1"/>
  <c r="L548" i="1"/>
  <c r="K548" i="1"/>
  <c r="L547" i="1"/>
  <c r="K547" i="1"/>
  <c r="L546" i="1"/>
  <c r="K546" i="1"/>
  <c r="L545" i="1"/>
  <c r="K545" i="1"/>
  <c r="L544" i="1"/>
  <c r="K544" i="1"/>
  <c r="L543" i="1"/>
  <c r="K543" i="1"/>
  <c r="L542" i="1"/>
  <c r="K542" i="1"/>
  <c r="L541" i="1"/>
  <c r="K541" i="1"/>
  <c r="L540" i="1"/>
  <c r="K540" i="1"/>
  <c r="L539" i="1"/>
  <c r="K539" i="1"/>
  <c r="L538" i="1"/>
  <c r="K538" i="1"/>
  <c r="L537" i="1"/>
  <c r="K537" i="1"/>
  <c r="L536" i="1"/>
  <c r="K536" i="1"/>
  <c r="L535" i="1"/>
  <c r="K535" i="1"/>
  <c r="L534" i="1"/>
  <c r="K534" i="1"/>
  <c r="L533" i="1"/>
  <c r="K533" i="1"/>
  <c r="L532" i="1"/>
  <c r="K532" i="1"/>
  <c r="L531" i="1"/>
  <c r="K531" i="1"/>
  <c r="L530" i="1"/>
  <c r="K530" i="1"/>
  <c r="L529" i="1"/>
  <c r="K529" i="1"/>
  <c r="L528" i="1"/>
  <c r="K528" i="1"/>
  <c r="L527" i="1"/>
  <c r="K527" i="1"/>
  <c r="L526" i="1"/>
  <c r="K526" i="1"/>
  <c r="L525" i="1"/>
  <c r="K525" i="1"/>
  <c r="L524" i="1"/>
  <c r="K524" i="1"/>
  <c r="L523" i="1"/>
  <c r="K523" i="1"/>
  <c r="L522" i="1"/>
  <c r="K522" i="1"/>
  <c r="L521" i="1"/>
  <c r="K521" i="1"/>
  <c r="L520" i="1"/>
  <c r="K520" i="1"/>
  <c r="L519" i="1"/>
  <c r="K519" i="1"/>
  <c r="L518" i="1"/>
  <c r="K518" i="1"/>
  <c r="L517" i="1"/>
  <c r="K517" i="1"/>
  <c r="L516" i="1"/>
  <c r="K516" i="1"/>
  <c r="L515" i="1"/>
  <c r="K515" i="1"/>
  <c r="L514" i="1"/>
  <c r="K514" i="1"/>
  <c r="L513" i="1"/>
  <c r="K513" i="1"/>
  <c r="L512" i="1"/>
  <c r="K512" i="1"/>
  <c r="L511" i="1"/>
  <c r="K511" i="1"/>
  <c r="L510" i="1"/>
  <c r="K510" i="1"/>
  <c r="L509" i="1"/>
  <c r="K509" i="1"/>
  <c r="L508" i="1"/>
  <c r="K508" i="1"/>
  <c r="L507" i="1"/>
  <c r="K507" i="1"/>
  <c r="L506" i="1"/>
  <c r="K506" i="1"/>
  <c r="L505" i="1"/>
  <c r="K505" i="1"/>
  <c r="L504" i="1"/>
  <c r="K504" i="1"/>
  <c r="L503" i="1"/>
  <c r="K503" i="1"/>
  <c r="L502" i="1"/>
  <c r="K502" i="1"/>
  <c r="L501" i="1"/>
  <c r="K501" i="1"/>
  <c r="L500" i="1"/>
  <c r="K500" i="1"/>
  <c r="L499" i="1"/>
  <c r="K499" i="1"/>
  <c r="L498" i="1"/>
  <c r="K498" i="1"/>
  <c r="L497" i="1"/>
  <c r="K497" i="1"/>
  <c r="L496" i="1"/>
  <c r="K496" i="1"/>
  <c r="L495" i="1"/>
  <c r="K495" i="1"/>
  <c r="L494" i="1"/>
  <c r="K494" i="1"/>
  <c r="L491" i="1"/>
  <c r="K491" i="1"/>
  <c r="L490" i="1"/>
  <c r="K490" i="1"/>
  <c r="L489" i="1"/>
  <c r="K489" i="1"/>
  <c r="L488" i="1"/>
  <c r="K488" i="1"/>
  <c r="L487" i="1"/>
  <c r="K487" i="1"/>
  <c r="L486" i="1"/>
  <c r="K486" i="1"/>
  <c r="L485" i="1"/>
  <c r="K485" i="1"/>
  <c r="L484" i="1"/>
  <c r="K484" i="1"/>
  <c r="L483" i="1"/>
  <c r="K483" i="1"/>
  <c r="L482" i="1"/>
  <c r="K482" i="1"/>
  <c r="L481" i="1"/>
  <c r="K481" i="1"/>
  <c r="L480" i="1"/>
  <c r="K480" i="1"/>
  <c r="L479" i="1"/>
  <c r="K479" i="1"/>
  <c r="L477" i="1"/>
  <c r="K477" i="1"/>
  <c r="L476" i="1"/>
  <c r="K476" i="1"/>
  <c r="L475" i="1"/>
  <c r="K475" i="1"/>
  <c r="L474" i="1"/>
  <c r="K474" i="1"/>
  <c r="L473" i="1"/>
  <c r="K473" i="1"/>
  <c r="L472" i="1"/>
  <c r="K472" i="1"/>
  <c r="L471" i="1"/>
  <c r="K471" i="1"/>
  <c r="L470" i="1"/>
  <c r="K470" i="1"/>
  <c r="L469" i="1"/>
  <c r="K469" i="1"/>
  <c r="L468" i="1"/>
  <c r="K468" i="1"/>
  <c r="L467" i="1"/>
  <c r="K467" i="1"/>
  <c r="L466" i="1"/>
  <c r="K466" i="1"/>
  <c r="L465" i="1"/>
  <c r="K465" i="1"/>
  <c r="L464" i="1"/>
  <c r="K464" i="1"/>
  <c r="L463" i="1"/>
  <c r="K463" i="1"/>
  <c r="L462" i="1"/>
  <c r="K462" i="1"/>
  <c r="L461" i="1"/>
  <c r="K461" i="1"/>
  <c r="L460" i="1"/>
  <c r="K460" i="1"/>
  <c r="L459" i="1"/>
  <c r="K459" i="1"/>
  <c r="L458" i="1"/>
  <c r="K458" i="1"/>
  <c r="L457" i="1"/>
  <c r="K457" i="1"/>
  <c r="L456" i="1"/>
  <c r="K456" i="1"/>
  <c r="L455" i="1"/>
  <c r="K455" i="1"/>
  <c r="L454" i="1"/>
  <c r="K454" i="1"/>
  <c r="L453" i="1"/>
  <c r="K453" i="1"/>
  <c r="L452" i="1"/>
  <c r="K452" i="1"/>
  <c r="L451" i="1"/>
  <c r="K451" i="1"/>
  <c r="L450" i="1"/>
  <c r="K450" i="1"/>
  <c r="L449" i="1"/>
  <c r="K449" i="1"/>
  <c r="L448" i="1"/>
  <c r="K448" i="1"/>
  <c r="L447" i="1"/>
  <c r="K447" i="1"/>
  <c r="L446" i="1"/>
  <c r="K446" i="1"/>
  <c r="L445" i="1"/>
  <c r="K445" i="1"/>
  <c r="L444" i="1"/>
  <c r="K444" i="1"/>
  <c r="L443" i="1"/>
  <c r="K443" i="1"/>
  <c r="L442" i="1"/>
  <c r="K442" i="1"/>
  <c r="L441" i="1"/>
  <c r="K441" i="1"/>
  <c r="L440" i="1"/>
  <c r="K440" i="1"/>
  <c r="L439" i="1"/>
  <c r="K439" i="1"/>
  <c r="L438" i="1"/>
  <c r="K438" i="1"/>
  <c r="L437" i="1"/>
  <c r="K437" i="1"/>
  <c r="L436" i="1"/>
  <c r="K436" i="1"/>
  <c r="L435" i="1"/>
  <c r="K435" i="1"/>
  <c r="L434" i="1"/>
  <c r="K434" i="1"/>
  <c r="L433" i="1"/>
  <c r="K433" i="1"/>
  <c r="L432" i="1"/>
  <c r="K432" i="1"/>
  <c r="L431" i="1"/>
  <c r="K431" i="1"/>
  <c r="L430" i="1"/>
  <c r="K430" i="1"/>
  <c r="L429" i="1"/>
  <c r="K429" i="1"/>
  <c r="L428" i="1"/>
  <c r="K428" i="1"/>
  <c r="L427" i="1"/>
  <c r="K427" i="1"/>
  <c r="L426" i="1"/>
  <c r="K426" i="1"/>
  <c r="L425" i="1"/>
  <c r="K425" i="1"/>
  <c r="L424" i="1"/>
  <c r="K424" i="1"/>
  <c r="L423" i="1"/>
  <c r="K423" i="1"/>
  <c r="L422" i="1"/>
  <c r="K422" i="1"/>
  <c r="L421" i="1"/>
  <c r="K421" i="1"/>
  <c r="L420" i="1"/>
  <c r="K420" i="1"/>
  <c r="L419" i="1"/>
  <c r="K419" i="1"/>
  <c r="L418" i="1"/>
  <c r="K418" i="1"/>
  <c r="L417" i="1"/>
  <c r="K417" i="1"/>
  <c r="L416" i="1"/>
  <c r="K416" i="1"/>
  <c r="L415" i="1"/>
  <c r="K415" i="1"/>
  <c r="L414" i="1"/>
  <c r="K414" i="1"/>
  <c r="L413" i="1"/>
  <c r="K413" i="1"/>
  <c r="L412" i="1"/>
  <c r="K412" i="1"/>
  <c r="L411" i="1"/>
  <c r="K411" i="1"/>
  <c r="L410" i="1"/>
  <c r="K410" i="1"/>
  <c r="L409" i="1"/>
  <c r="K409" i="1"/>
  <c r="L408" i="1"/>
  <c r="K408" i="1"/>
  <c r="L407" i="1"/>
  <c r="K407" i="1"/>
  <c r="L406" i="1"/>
  <c r="K406" i="1"/>
  <c r="L405" i="1"/>
  <c r="K405" i="1"/>
  <c r="L404" i="1"/>
  <c r="K404" i="1"/>
  <c r="L403" i="1"/>
  <c r="K403" i="1"/>
  <c r="L402" i="1"/>
  <c r="K402" i="1"/>
  <c r="L401" i="1"/>
  <c r="K401" i="1"/>
  <c r="L400" i="1"/>
  <c r="K400" i="1"/>
  <c r="L399" i="1"/>
  <c r="K399" i="1"/>
  <c r="L398" i="1"/>
  <c r="K398" i="1"/>
  <c r="L397" i="1"/>
  <c r="K397" i="1"/>
  <c r="L396" i="1"/>
  <c r="K396" i="1"/>
  <c r="L395" i="1"/>
  <c r="K395" i="1"/>
  <c r="L394" i="1"/>
  <c r="K394" i="1"/>
  <c r="L393" i="1"/>
  <c r="K393" i="1"/>
  <c r="L392" i="1"/>
  <c r="K392" i="1"/>
  <c r="L391" i="1"/>
  <c r="K391" i="1"/>
  <c r="L390" i="1"/>
  <c r="K390" i="1"/>
  <c r="L389" i="1"/>
  <c r="K389" i="1"/>
  <c r="L388" i="1"/>
  <c r="K388" i="1"/>
  <c r="L386" i="1"/>
  <c r="K386" i="1"/>
  <c r="L385" i="1"/>
  <c r="K385" i="1"/>
  <c r="L384" i="1"/>
  <c r="K384" i="1"/>
  <c r="L383" i="1"/>
  <c r="K383" i="1"/>
  <c r="L382" i="1"/>
  <c r="K382" i="1"/>
  <c r="L381" i="1"/>
  <c r="K381" i="1"/>
  <c r="L380" i="1"/>
  <c r="K380" i="1"/>
  <c r="L379" i="1"/>
  <c r="K379" i="1"/>
  <c r="L378" i="1"/>
  <c r="K378" i="1"/>
  <c r="L377" i="1"/>
  <c r="K377" i="1"/>
  <c r="L376" i="1"/>
  <c r="K376" i="1"/>
  <c r="L375" i="1"/>
  <c r="K375" i="1"/>
  <c r="L374" i="1"/>
  <c r="K374" i="1"/>
  <c r="L373" i="1"/>
  <c r="K373" i="1"/>
  <c r="L372" i="1"/>
  <c r="K372" i="1"/>
  <c r="L371" i="1"/>
  <c r="K371" i="1"/>
  <c r="L370" i="1"/>
  <c r="K370" i="1"/>
  <c r="L369" i="1"/>
  <c r="K369" i="1"/>
  <c r="L368" i="1"/>
  <c r="K368" i="1"/>
  <c r="L367" i="1"/>
  <c r="K367" i="1"/>
  <c r="L366" i="1"/>
  <c r="K366" i="1"/>
  <c r="L365" i="1"/>
  <c r="K365" i="1"/>
  <c r="L364" i="1"/>
  <c r="K364" i="1"/>
  <c r="L363" i="1"/>
  <c r="K363" i="1"/>
  <c r="L362" i="1"/>
  <c r="K362" i="1"/>
  <c r="L361" i="1"/>
  <c r="K361" i="1"/>
  <c r="L360" i="1"/>
  <c r="K360" i="1"/>
  <c r="L359" i="1"/>
  <c r="K359" i="1"/>
  <c r="L358" i="1"/>
  <c r="K358" i="1"/>
  <c r="L357" i="1"/>
  <c r="K357" i="1"/>
  <c r="L356" i="1"/>
  <c r="K356" i="1"/>
  <c r="L355" i="1"/>
  <c r="K355" i="1"/>
  <c r="L354" i="1"/>
  <c r="K354" i="1"/>
  <c r="L353" i="1"/>
  <c r="K353" i="1"/>
  <c r="L352" i="1"/>
  <c r="K352" i="1"/>
  <c r="L351" i="1"/>
  <c r="K351" i="1"/>
  <c r="L350" i="1"/>
  <c r="K350" i="1"/>
  <c r="L349" i="1"/>
  <c r="K349" i="1"/>
  <c r="L348" i="1"/>
  <c r="K348" i="1"/>
  <c r="L347" i="1"/>
  <c r="K347" i="1"/>
  <c r="L346" i="1"/>
  <c r="K346" i="1"/>
  <c r="L345" i="1"/>
  <c r="K345" i="1"/>
  <c r="L344" i="1"/>
  <c r="K344" i="1"/>
  <c r="L343" i="1"/>
  <c r="K343" i="1"/>
  <c r="L342" i="1"/>
  <c r="K342" i="1"/>
  <c r="L341" i="1"/>
  <c r="K341" i="1"/>
  <c r="L340" i="1"/>
  <c r="K340" i="1"/>
  <c r="L339" i="1"/>
  <c r="K339" i="1"/>
  <c r="L338" i="1"/>
  <c r="K338" i="1"/>
  <c r="L337" i="1"/>
  <c r="K337" i="1"/>
  <c r="L336" i="1"/>
  <c r="K336" i="1"/>
  <c r="L335" i="1"/>
  <c r="K335" i="1"/>
  <c r="L334" i="1"/>
  <c r="K334" i="1"/>
  <c r="L333" i="1"/>
  <c r="K333" i="1"/>
  <c r="L332" i="1"/>
  <c r="K332" i="1"/>
  <c r="L331" i="1"/>
  <c r="K331" i="1"/>
  <c r="L330" i="1"/>
  <c r="K330" i="1"/>
  <c r="L329" i="1"/>
  <c r="K329" i="1"/>
  <c r="L328" i="1"/>
  <c r="K328" i="1"/>
  <c r="L327" i="1"/>
  <c r="K327" i="1"/>
  <c r="L326" i="1"/>
  <c r="K326" i="1"/>
  <c r="L325" i="1"/>
  <c r="K325" i="1"/>
  <c r="L324" i="1"/>
  <c r="K324" i="1"/>
  <c r="L323" i="1"/>
  <c r="K323" i="1"/>
  <c r="L322" i="1"/>
  <c r="K322" i="1"/>
  <c r="L321" i="1"/>
  <c r="K321" i="1"/>
  <c r="L320" i="1"/>
  <c r="K320" i="1"/>
  <c r="L319" i="1"/>
  <c r="K319" i="1"/>
  <c r="L318" i="1"/>
  <c r="K318" i="1"/>
  <c r="L317" i="1"/>
  <c r="K317" i="1"/>
  <c r="L316" i="1"/>
  <c r="K316" i="1"/>
  <c r="L315" i="1"/>
  <c r="K315" i="1"/>
  <c r="L314" i="1"/>
  <c r="K314" i="1"/>
  <c r="L313" i="1"/>
  <c r="K313" i="1"/>
  <c r="L312" i="1"/>
  <c r="K312" i="1"/>
  <c r="L311" i="1"/>
  <c r="K311" i="1"/>
  <c r="L310" i="1"/>
  <c r="K310" i="1"/>
  <c r="L309" i="1"/>
  <c r="K309" i="1"/>
  <c r="L308" i="1"/>
  <c r="K308" i="1"/>
  <c r="L307" i="1"/>
  <c r="K307" i="1"/>
  <c r="L306" i="1"/>
  <c r="K306" i="1"/>
  <c r="L305" i="1"/>
  <c r="K305" i="1"/>
  <c r="L304" i="1"/>
  <c r="K304" i="1"/>
  <c r="L303" i="1"/>
  <c r="K303" i="1"/>
  <c r="L302" i="1"/>
  <c r="K302" i="1"/>
  <c r="L301" i="1"/>
  <c r="K301" i="1"/>
  <c r="L300" i="1"/>
  <c r="K300" i="1"/>
  <c r="L299" i="1"/>
  <c r="K299" i="1"/>
  <c r="L298" i="1"/>
  <c r="K298" i="1"/>
  <c r="L297" i="1"/>
  <c r="K297" i="1"/>
  <c r="L296" i="1"/>
  <c r="K296" i="1"/>
  <c r="L295" i="1"/>
  <c r="K295" i="1"/>
  <c r="L294" i="1"/>
  <c r="K294" i="1"/>
  <c r="L293" i="1"/>
  <c r="K293" i="1"/>
  <c r="L292" i="1"/>
  <c r="K292" i="1"/>
  <c r="L291" i="1"/>
  <c r="K291" i="1"/>
  <c r="L290" i="1"/>
  <c r="K290" i="1"/>
  <c r="L289" i="1"/>
  <c r="K289" i="1"/>
  <c r="L288" i="1"/>
  <c r="K288" i="1"/>
  <c r="L287" i="1"/>
  <c r="K287" i="1"/>
  <c r="L286" i="1"/>
  <c r="K286" i="1"/>
  <c r="L285" i="1"/>
  <c r="K285" i="1"/>
  <c r="L284" i="1"/>
  <c r="K284" i="1"/>
  <c r="L283" i="1"/>
  <c r="K283" i="1"/>
  <c r="L282" i="1"/>
  <c r="K282" i="1"/>
  <c r="L281" i="1"/>
  <c r="K281" i="1"/>
  <c r="L280" i="1"/>
  <c r="K280" i="1"/>
  <c r="L279" i="1"/>
  <c r="K279" i="1"/>
  <c r="L278" i="1"/>
  <c r="K278" i="1"/>
  <c r="L277" i="1"/>
  <c r="K277" i="1"/>
  <c r="L276" i="1"/>
  <c r="K276" i="1"/>
  <c r="L275" i="1"/>
  <c r="K275" i="1"/>
  <c r="L274" i="1"/>
  <c r="K274" i="1"/>
  <c r="L273" i="1"/>
  <c r="K273" i="1"/>
  <c r="L272" i="1"/>
  <c r="K272" i="1"/>
  <c r="L271" i="1"/>
  <c r="K271" i="1"/>
  <c r="L270" i="1"/>
  <c r="K270" i="1"/>
  <c r="L269" i="1"/>
  <c r="K269" i="1"/>
  <c r="L268" i="1"/>
  <c r="K268" i="1"/>
  <c r="L267" i="1"/>
  <c r="K267" i="1"/>
  <c r="L266" i="1"/>
  <c r="K266" i="1"/>
  <c r="L265" i="1"/>
  <c r="K265" i="1"/>
  <c r="L264" i="1"/>
  <c r="K264" i="1"/>
  <c r="L263" i="1"/>
  <c r="K263" i="1"/>
  <c r="L262" i="1"/>
  <c r="K262" i="1"/>
  <c r="L261" i="1"/>
  <c r="K261" i="1"/>
  <c r="L260" i="1"/>
  <c r="K260" i="1"/>
  <c r="L259" i="1"/>
  <c r="K259" i="1"/>
  <c r="L258" i="1"/>
  <c r="K258" i="1"/>
  <c r="L257" i="1"/>
  <c r="K257" i="1"/>
  <c r="L256" i="1"/>
  <c r="K256" i="1"/>
  <c r="L255" i="1"/>
  <c r="K255" i="1"/>
  <c r="L254" i="1"/>
  <c r="K254" i="1"/>
  <c r="L253" i="1"/>
  <c r="K253" i="1"/>
  <c r="L252" i="1"/>
  <c r="K252" i="1"/>
  <c r="L251" i="1"/>
  <c r="K251" i="1"/>
  <c r="L250" i="1"/>
  <c r="K250" i="1"/>
  <c r="L249" i="1"/>
  <c r="K249" i="1"/>
  <c r="L248" i="1"/>
  <c r="K248" i="1"/>
  <c r="L247" i="1"/>
  <c r="K247" i="1"/>
  <c r="L246" i="1"/>
  <c r="K246" i="1"/>
  <c r="L245" i="1"/>
  <c r="K245" i="1"/>
  <c r="L244" i="1"/>
  <c r="K244" i="1"/>
  <c r="L243" i="1"/>
  <c r="K243" i="1"/>
  <c r="L242" i="1"/>
  <c r="K242" i="1"/>
  <c r="L241" i="1"/>
  <c r="K241" i="1"/>
  <c r="L240" i="1"/>
  <c r="K240" i="1"/>
  <c r="L239" i="1"/>
  <c r="K239" i="1"/>
  <c r="L238" i="1"/>
  <c r="K238" i="1"/>
  <c r="L237" i="1"/>
  <c r="K237" i="1"/>
  <c r="L236" i="1"/>
  <c r="K236" i="1"/>
  <c r="L235" i="1"/>
  <c r="K235" i="1"/>
  <c r="L234" i="1"/>
  <c r="K234" i="1"/>
  <c r="L233" i="1"/>
  <c r="K233" i="1"/>
  <c r="L232" i="1"/>
  <c r="K232" i="1"/>
  <c r="L231" i="1"/>
  <c r="K231" i="1"/>
  <c r="L230" i="1"/>
  <c r="K230" i="1"/>
  <c r="L229" i="1"/>
  <c r="K229" i="1"/>
  <c r="L228" i="1"/>
  <c r="K228" i="1"/>
  <c r="L227" i="1"/>
  <c r="K227" i="1"/>
  <c r="L226" i="1"/>
  <c r="K226" i="1"/>
  <c r="L225" i="1"/>
  <c r="K225" i="1"/>
  <c r="L224" i="1"/>
  <c r="K224" i="1"/>
  <c r="L223" i="1"/>
  <c r="K223" i="1"/>
  <c r="L222" i="1"/>
  <c r="K222" i="1"/>
  <c r="L221" i="1"/>
  <c r="K221" i="1"/>
  <c r="L220" i="1"/>
  <c r="K220" i="1"/>
  <c r="L219" i="1"/>
  <c r="K219" i="1"/>
  <c r="L218" i="1"/>
  <c r="K218" i="1"/>
  <c r="L217" i="1"/>
  <c r="K217" i="1"/>
  <c r="L216" i="1"/>
  <c r="K216" i="1"/>
  <c r="L215" i="1"/>
  <c r="K215" i="1"/>
  <c r="L214" i="1"/>
  <c r="K214" i="1"/>
  <c r="L213" i="1"/>
  <c r="K213" i="1"/>
  <c r="L212" i="1"/>
  <c r="K212" i="1"/>
  <c r="L211" i="1"/>
  <c r="K211" i="1"/>
  <c r="L210" i="1"/>
  <c r="K210" i="1"/>
  <c r="L209" i="1"/>
  <c r="K209" i="1"/>
  <c r="L208" i="1"/>
  <c r="K208" i="1"/>
  <c r="L207" i="1"/>
  <c r="K207" i="1"/>
  <c r="L206" i="1"/>
  <c r="K206" i="1"/>
  <c r="L205" i="1"/>
  <c r="K205" i="1"/>
  <c r="L204" i="1"/>
  <c r="K204" i="1"/>
  <c r="L203" i="1"/>
  <c r="K203" i="1"/>
  <c r="L202" i="1"/>
  <c r="K202" i="1"/>
  <c r="L201" i="1"/>
  <c r="K201" i="1"/>
  <c r="L200" i="1"/>
  <c r="K200" i="1"/>
  <c r="L199" i="1"/>
  <c r="K199" i="1"/>
  <c r="L198" i="1"/>
  <c r="K198" i="1"/>
  <c r="L197" i="1"/>
  <c r="K197" i="1"/>
  <c r="L196" i="1"/>
  <c r="K196" i="1"/>
  <c r="L195" i="1"/>
  <c r="K195" i="1"/>
  <c r="L194" i="1"/>
  <c r="K194" i="1"/>
  <c r="L193" i="1"/>
  <c r="K193" i="1"/>
  <c r="L192" i="1"/>
  <c r="K192" i="1"/>
  <c r="L191" i="1"/>
  <c r="K191" i="1"/>
  <c r="L190" i="1"/>
  <c r="K190" i="1"/>
  <c r="L189" i="1"/>
  <c r="K189" i="1"/>
  <c r="L188" i="1"/>
  <c r="K188" i="1"/>
  <c r="L187" i="1"/>
  <c r="K187" i="1"/>
  <c r="L186" i="1"/>
  <c r="K186" i="1"/>
  <c r="L185" i="1"/>
  <c r="K185" i="1"/>
  <c r="L184" i="1"/>
  <c r="K184" i="1"/>
  <c r="L183" i="1"/>
  <c r="K183" i="1"/>
  <c r="L182" i="1"/>
  <c r="K182" i="1"/>
  <c r="L181" i="1"/>
  <c r="K181" i="1"/>
  <c r="L180" i="1"/>
  <c r="K180" i="1"/>
  <c r="L179" i="1"/>
  <c r="K179" i="1"/>
  <c r="L178" i="1"/>
  <c r="K178" i="1"/>
  <c r="L177" i="1"/>
  <c r="K177" i="1"/>
  <c r="L176" i="1"/>
  <c r="K176" i="1"/>
  <c r="L175" i="1"/>
  <c r="K175" i="1"/>
  <c r="L174" i="1"/>
  <c r="K174" i="1"/>
  <c r="L173" i="1"/>
  <c r="K173" i="1"/>
  <c r="L172" i="1"/>
  <c r="K172" i="1"/>
  <c r="L171" i="1"/>
  <c r="K171" i="1"/>
  <c r="L170" i="1"/>
  <c r="K170" i="1"/>
  <c r="L169" i="1"/>
  <c r="K169" i="1"/>
  <c r="L168" i="1"/>
  <c r="K168" i="1"/>
  <c r="L167" i="1"/>
  <c r="K167" i="1"/>
  <c r="L166" i="1"/>
  <c r="K166" i="1"/>
  <c r="L165" i="1"/>
  <c r="K165" i="1"/>
  <c r="L164" i="1"/>
  <c r="K164" i="1"/>
  <c r="L163" i="1"/>
  <c r="K163" i="1"/>
  <c r="L162" i="1"/>
  <c r="K162" i="1"/>
  <c r="L161" i="1"/>
  <c r="K161" i="1"/>
  <c r="L160" i="1"/>
  <c r="K160" i="1"/>
  <c r="L159" i="1"/>
  <c r="K159" i="1"/>
  <c r="L158" i="1"/>
  <c r="K158" i="1"/>
  <c r="L157" i="1"/>
  <c r="K157" i="1"/>
  <c r="L156" i="1"/>
  <c r="K156" i="1"/>
  <c r="L155" i="1"/>
  <c r="K155" i="1"/>
  <c r="L154" i="1"/>
  <c r="K154" i="1"/>
  <c r="L153" i="1"/>
  <c r="K153" i="1"/>
  <c r="L152" i="1"/>
  <c r="K152" i="1"/>
  <c r="L151" i="1"/>
  <c r="K151" i="1"/>
  <c r="L150" i="1"/>
  <c r="K150" i="1"/>
  <c r="L149" i="1"/>
  <c r="K149" i="1"/>
  <c r="L148" i="1"/>
  <c r="K148" i="1"/>
  <c r="L147" i="1"/>
  <c r="K147" i="1"/>
  <c r="L146" i="1"/>
  <c r="K146" i="1"/>
  <c r="L145" i="1"/>
  <c r="K145" i="1"/>
  <c r="L144" i="1"/>
  <c r="K144" i="1"/>
  <c r="L143" i="1"/>
  <c r="K143" i="1"/>
  <c r="L142" i="1"/>
  <c r="K142" i="1"/>
  <c r="L141" i="1"/>
  <c r="K141" i="1"/>
  <c r="L140" i="1"/>
  <c r="K140" i="1"/>
  <c r="L139" i="1"/>
  <c r="K139" i="1"/>
  <c r="L138" i="1"/>
  <c r="K138" i="1"/>
  <c r="L137" i="1"/>
  <c r="K137" i="1"/>
  <c r="L136" i="1"/>
  <c r="K136" i="1"/>
  <c r="L135" i="1"/>
  <c r="K135" i="1"/>
  <c r="L134" i="1"/>
  <c r="K134" i="1"/>
  <c r="L133" i="1"/>
  <c r="K133" i="1"/>
  <c r="L132" i="1"/>
  <c r="K132" i="1"/>
  <c r="L131" i="1"/>
  <c r="K131" i="1"/>
  <c r="L130" i="1"/>
  <c r="K130" i="1"/>
  <c r="L129" i="1"/>
  <c r="K129" i="1"/>
  <c r="L128" i="1"/>
  <c r="K128" i="1"/>
  <c r="L127" i="1"/>
  <c r="K127" i="1"/>
  <c r="L126" i="1"/>
  <c r="K126" i="1"/>
  <c r="L125" i="1"/>
  <c r="K125" i="1"/>
  <c r="L124" i="1"/>
  <c r="K124" i="1"/>
  <c r="L123" i="1"/>
  <c r="K123" i="1"/>
  <c r="L122" i="1"/>
  <c r="K122" i="1"/>
  <c r="L121" i="1"/>
  <c r="K121" i="1"/>
  <c r="L120" i="1"/>
  <c r="K120" i="1"/>
  <c r="L119" i="1"/>
  <c r="K119" i="1"/>
  <c r="L118" i="1"/>
  <c r="K118" i="1"/>
  <c r="L117" i="1"/>
  <c r="K117" i="1"/>
  <c r="L116" i="1"/>
  <c r="K116" i="1"/>
  <c r="L115" i="1"/>
  <c r="K115" i="1"/>
  <c r="L114" i="1"/>
  <c r="K114" i="1"/>
  <c r="L113" i="1"/>
  <c r="K113" i="1"/>
  <c r="L112" i="1"/>
  <c r="K112" i="1"/>
  <c r="L111" i="1"/>
  <c r="K111" i="1"/>
  <c r="L110" i="1"/>
  <c r="K110" i="1"/>
  <c r="L109" i="1"/>
  <c r="K109" i="1"/>
  <c r="L108" i="1"/>
  <c r="K108" i="1"/>
  <c r="L107" i="1"/>
  <c r="K107" i="1"/>
  <c r="L106" i="1"/>
  <c r="K106" i="1"/>
  <c r="L105" i="1"/>
  <c r="K105" i="1"/>
  <c r="L104" i="1"/>
  <c r="K104" i="1"/>
  <c r="L103" i="1"/>
  <c r="K103" i="1"/>
  <c r="L102" i="1"/>
  <c r="K102" i="1"/>
  <c r="L101" i="1"/>
  <c r="K101" i="1"/>
  <c r="L100" i="1"/>
  <c r="K100" i="1"/>
  <c r="L99" i="1"/>
  <c r="K99" i="1"/>
  <c r="L98" i="1"/>
  <c r="K98" i="1"/>
  <c r="L97" i="1"/>
  <c r="K97" i="1"/>
  <c r="L96" i="1"/>
  <c r="K96" i="1"/>
  <c r="L95" i="1"/>
  <c r="K95" i="1"/>
  <c r="L94" i="1"/>
  <c r="K94" i="1"/>
  <c r="L93" i="1"/>
  <c r="K93" i="1"/>
  <c r="L92" i="1"/>
  <c r="K92" i="1"/>
  <c r="L91" i="1"/>
  <c r="K91" i="1"/>
  <c r="L90" i="1"/>
  <c r="K90" i="1"/>
  <c r="L89" i="1"/>
  <c r="K89" i="1"/>
  <c r="L88" i="1"/>
  <c r="K88" i="1"/>
  <c r="L87" i="1"/>
  <c r="K87" i="1"/>
  <c r="L86" i="1"/>
  <c r="K86" i="1"/>
  <c r="L85" i="1"/>
  <c r="K85" i="1"/>
  <c r="L84" i="1"/>
  <c r="K84" i="1"/>
  <c r="L83" i="1"/>
  <c r="K83" i="1"/>
  <c r="L82" i="1"/>
  <c r="K82" i="1"/>
  <c r="L81" i="1"/>
  <c r="K81" i="1"/>
  <c r="L80" i="1"/>
  <c r="K80" i="1"/>
  <c r="L79" i="1"/>
  <c r="K79" i="1"/>
  <c r="L78" i="1"/>
  <c r="K78" i="1"/>
  <c r="L77" i="1"/>
  <c r="K77" i="1"/>
  <c r="L76" i="1"/>
  <c r="K76" i="1"/>
  <c r="L75" i="1"/>
  <c r="K75" i="1"/>
  <c r="L74" i="1"/>
  <c r="K74" i="1"/>
  <c r="L73" i="1"/>
  <c r="K73" i="1"/>
  <c r="L72" i="1"/>
  <c r="K72" i="1"/>
  <c r="L71" i="1"/>
  <c r="K71" i="1"/>
  <c r="L70" i="1"/>
  <c r="K70" i="1"/>
  <c r="L69" i="1"/>
  <c r="K69" i="1"/>
  <c r="L68" i="1"/>
  <c r="K68" i="1"/>
  <c r="L67" i="1"/>
  <c r="K67" i="1"/>
  <c r="L66" i="1"/>
  <c r="K66" i="1"/>
  <c r="L65" i="1"/>
  <c r="K65" i="1"/>
  <c r="L64" i="1"/>
  <c r="K64" i="1"/>
  <c r="L63" i="1"/>
  <c r="K63" i="1"/>
  <c r="L62" i="1"/>
  <c r="K62" i="1"/>
  <c r="L61" i="1"/>
  <c r="K61" i="1"/>
  <c r="L60" i="1"/>
  <c r="K60" i="1"/>
  <c r="L59" i="1"/>
  <c r="K59" i="1"/>
  <c r="L58" i="1"/>
  <c r="K58" i="1"/>
  <c r="L57" i="1"/>
  <c r="K57" i="1"/>
  <c r="L56" i="1"/>
  <c r="K56" i="1"/>
  <c r="L55" i="1"/>
  <c r="K55" i="1"/>
  <c r="L54" i="1"/>
  <c r="K54" i="1"/>
  <c r="L53" i="1"/>
  <c r="K53" i="1"/>
  <c r="L52" i="1"/>
  <c r="K52" i="1"/>
  <c r="L51" i="1"/>
  <c r="K51" i="1"/>
  <c r="L50" i="1"/>
  <c r="K50" i="1"/>
  <c r="L49" i="1"/>
  <c r="K49" i="1"/>
  <c r="L48" i="1"/>
  <c r="K48" i="1"/>
  <c r="L47" i="1"/>
  <c r="K47" i="1"/>
  <c r="L46" i="1"/>
  <c r="K46" i="1"/>
  <c r="L45" i="1"/>
  <c r="K45" i="1"/>
  <c r="L44" i="1"/>
  <c r="K44" i="1"/>
  <c r="L43" i="1"/>
  <c r="K43" i="1"/>
  <c r="L42" i="1"/>
  <c r="K42" i="1"/>
  <c r="L41" i="1"/>
  <c r="K41" i="1"/>
  <c r="L40" i="1"/>
  <c r="K40" i="1"/>
  <c r="L39" i="1"/>
  <c r="K39" i="1"/>
  <c r="L38" i="1"/>
  <c r="K38" i="1"/>
  <c r="L37" i="1"/>
  <c r="K37" i="1"/>
  <c r="L36" i="1"/>
  <c r="K36" i="1"/>
  <c r="L35" i="1"/>
  <c r="K35" i="1"/>
  <c r="L34" i="1"/>
  <c r="K34" i="1"/>
  <c r="L33" i="1"/>
  <c r="K33" i="1"/>
  <c r="L32" i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J4" i="1"/>
  <c r="J3" i="1"/>
  <c r="J2" i="1"/>
  <c r="I2" i="1"/>
  <c r="J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F479" authorId="0" shapeId="0" xr:uid="{00000000-0006-0000-0000-000001000000}">
      <text>
        <r>
          <rPr>
            <sz val="11"/>
            <color rgb="FF000000"/>
            <rFont val="Calibri"/>
          </rPr>
          <t>Осталось 11шт</t>
        </r>
      </text>
    </comment>
    <comment ref="F481" authorId="0" shapeId="0" xr:uid="{00000000-0006-0000-0000-000002000000}">
      <text>
        <r>
          <rPr>
            <sz val="11"/>
            <color rgb="FF000000"/>
            <rFont val="Calibri"/>
          </rPr>
          <t>Осталось 500шт</t>
        </r>
      </text>
    </comment>
    <comment ref="F483" authorId="0" shapeId="0" xr:uid="{00000000-0006-0000-0000-000003000000}">
      <text>
        <r>
          <rPr>
            <sz val="11"/>
            <color rgb="FF000000"/>
            <rFont val="Calibri"/>
          </rPr>
          <t>Осталось 450шт</t>
        </r>
      </text>
    </comment>
    <comment ref="F485" authorId="0" shapeId="0" xr:uid="{00000000-0006-0000-0000-000004000000}">
      <text>
        <r>
          <rPr>
            <sz val="11"/>
            <color rgb="FF000000"/>
            <rFont val="Calibri"/>
          </rPr>
          <t>Осталось 845шт</t>
        </r>
      </text>
    </comment>
    <comment ref="F487" authorId="0" shapeId="0" xr:uid="{00000000-0006-0000-0000-000005000000}">
      <text>
        <r>
          <rPr>
            <sz val="11"/>
            <color rgb="FF000000"/>
            <rFont val="Calibri"/>
          </rPr>
          <t>Осталось 0шт</t>
        </r>
      </text>
    </comment>
    <comment ref="F494" authorId="0" shapeId="0" xr:uid="{00000000-0006-0000-0000-000006000000}">
      <text>
        <r>
          <rPr>
            <sz val="11"/>
            <color rgb="FF000000"/>
            <rFont val="Calibri"/>
          </rPr>
          <t>Осталось 73200шт</t>
        </r>
      </text>
    </comment>
    <comment ref="F495" authorId="0" shapeId="0" xr:uid="{00000000-0006-0000-0000-000007000000}">
      <text>
        <r>
          <rPr>
            <sz val="11"/>
            <color rgb="FF000000"/>
            <rFont val="Calibri"/>
          </rPr>
          <t>Осталось 23000шт</t>
        </r>
      </text>
    </comment>
    <comment ref="F496" authorId="0" shapeId="0" xr:uid="{00000000-0006-0000-0000-000008000000}">
      <text>
        <r>
          <rPr>
            <sz val="11"/>
            <color rgb="FF000000"/>
            <rFont val="Calibri"/>
          </rPr>
          <t>Осталось 29300шт</t>
        </r>
      </text>
    </comment>
    <comment ref="F497" authorId="0" shapeId="0" xr:uid="{00000000-0006-0000-0000-000009000000}">
      <text>
        <r>
          <rPr>
            <sz val="11"/>
            <color rgb="FF000000"/>
            <rFont val="Calibri"/>
          </rPr>
          <t>Осталось 27900шт</t>
        </r>
      </text>
    </comment>
    <comment ref="F498" authorId="0" shapeId="0" xr:uid="{00000000-0006-0000-0000-00000A000000}">
      <text>
        <r>
          <rPr>
            <sz val="11"/>
            <color rgb="FF000000"/>
            <rFont val="Calibri"/>
          </rPr>
          <t>Осталось 43400шт</t>
        </r>
      </text>
    </comment>
    <comment ref="F499" authorId="0" shapeId="0" xr:uid="{00000000-0006-0000-0000-00000B000000}">
      <text>
        <r>
          <rPr>
            <sz val="11"/>
            <color rgb="FF000000"/>
            <rFont val="Calibri"/>
          </rPr>
          <t>Осталось 53700шт</t>
        </r>
      </text>
    </comment>
    <comment ref="F500" authorId="0" shapeId="0" xr:uid="{00000000-0006-0000-0000-00000C000000}">
      <text>
        <r>
          <rPr>
            <sz val="11"/>
            <color rgb="FF000000"/>
            <rFont val="Calibri"/>
          </rPr>
          <t>Осталось 53800шт</t>
        </r>
      </text>
    </comment>
    <comment ref="F501" authorId="0" shapeId="0" xr:uid="{00000000-0006-0000-0000-00000D000000}">
      <text>
        <r>
          <rPr>
            <sz val="11"/>
            <color rgb="FF000000"/>
            <rFont val="Calibri"/>
          </rPr>
          <t>Осталось 19700шт</t>
        </r>
      </text>
    </comment>
    <comment ref="F502" authorId="0" shapeId="0" xr:uid="{00000000-0006-0000-0000-00000E000000}">
      <text>
        <r>
          <rPr>
            <sz val="11"/>
            <color rgb="FF000000"/>
            <rFont val="Calibri"/>
          </rPr>
          <t>Осталось 44800шт</t>
        </r>
      </text>
    </comment>
    <comment ref="F503" authorId="0" shapeId="0" xr:uid="{00000000-0006-0000-0000-00000F000000}">
      <text>
        <r>
          <rPr>
            <sz val="11"/>
            <color rgb="FF000000"/>
            <rFont val="Calibri"/>
          </rPr>
          <t>Осталось 23900шт</t>
        </r>
      </text>
    </comment>
    <comment ref="F504" authorId="0" shapeId="0" xr:uid="{00000000-0006-0000-0000-000010000000}">
      <text>
        <r>
          <rPr>
            <sz val="11"/>
            <color rgb="FF000000"/>
            <rFont val="Calibri"/>
          </rPr>
          <t>Осталось 27300шт</t>
        </r>
      </text>
    </comment>
    <comment ref="F505" authorId="0" shapeId="0" xr:uid="{00000000-0006-0000-0000-000011000000}">
      <text>
        <r>
          <rPr>
            <sz val="11"/>
            <color rgb="FF000000"/>
            <rFont val="Calibri"/>
          </rPr>
          <t>Осталось 31500шт</t>
        </r>
      </text>
    </comment>
    <comment ref="F506" authorId="0" shapeId="0" xr:uid="{00000000-0006-0000-0000-000012000000}">
      <text>
        <r>
          <rPr>
            <sz val="11"/>
            <color rgb="FF000000"/>
            <rFont val="Calibri"/>
          </rPr>
          <t>Осталось 15900шт</t>
        </r>
      </text>
    </comment>
    <comment ref="F520" authorId="0" shapeId="0" xr:uid="{00000000-0006-0000-0000-000013000000}">
      <text>
        <r>
          <rPr>
            <sz val="11"/>
            <color rgb="FF000000"/>
            <rFont val="Calibri"/>
          </rPr>
          <t>Осталось 3200шт</t>
        </r>
      </text>
    </comment>
    <comment ref="F521" authorId="0" shapeId="0" xr:uid="{00000000-0006-0000-0000-000014000000}">
      <text>
        <r>
          <rPr>
            <sz val="11"/>
            <color rgb="FF000000"/>
            <rFont val="Calibri"/>
          </rPr>
          <t>Осталось 3000шт</t>
        </r>
      </text>
    </comment>
    <comment ref="F522" authorId="0" shapeId="0" xr:uid="{00000000-0006-0000-0000-000015000000}">
      <text>
        <r>
          <rPr>
            <sz val="11"/>
            <color rgb="FF000000"/>
            <rFont val="Calibri"/>
          </rPr>
          <t>Осталось 5700шт</t>
        </r>
      </text>
    </comment>
    <comment ref="F523" authorId="0" shapeId="0" xr:uid="{00000000-0006-0000-0000-000016000000}">
      <text>
        <r>
          <rPr>
            <sz val="11"/>
            <color rgb="FF000000"/>
            <rFont val="Calibri"/>
          </rPr>
          <t>Осталось 5300шт</t>
        </r>
      </text>
    </comment>
    <comment ref="F524" authorId="0" shapeId="0" xr:uid="{00000000-0006-0000-0000-000017000000}">
      <text>
        <r>
          <rPr>
            <sz val="11"/>
            <color rgb="FF000000"/>
            <rFont val="Calibri"/>
          </rPr>
          <t>Осталось 1200шт</t>
        </r>
      </text>
    </comment>
    <comment ref="F525" authorId="0" shapeId="0" xr:uid="{00000000-0006-0000-0000-000018000000}">
      <text>
        <r>
          <rPr>
            <sz val="11"/>
            <color rgb="FF000000"/>
            <rFont val="Calibri"/>
          </rPr>
          <t>Осталось 5300шт</t>
        </r>
      </text>
    </comment>
    <comment ref="F526" authorId="0" shapeId="0" xr:uid="{00000000-0006-0000-0000-000019000000}">
      <text>
        <r>
          <rPr>
            <sz val="11"/>
            <color rgb="FF000000"/>
            <rFont val="Calibri"/>
          </rPr>
          <t>Осталось 5000шт</t>
        </r>
      </text>
    </comment>
    <comment ref="F527" authorId="0" shapeId="0" xr:uid="{00000000-0006-0000-0000-00001A000000}">
      <text>
        <r>
          <rPr>
            <sz val="11"/>
            <color rgb="FF000000"/>
            <rFont val="Calibri"/>
          </rPr>
          <t>Осталось 6000шт</t>
        </r>
      </text>
    </comment>
    <comment ref="F528" authorId="0" shapeId="0" xr:uid="{00000000-0006-0000-0000-00001B000000}">
      <text>
        <r>
          <rPr>
            <sz val="11"/>
            <color rgb="FF000000"/>
            <rFont val="Calibri"/>
          </rPr>
          <t>Осталось 3400шт</t>
        </r>
      </text>
    </comment>
    <comment ref="F529" authorId="0" shapeId="0" xr:uid="{00000000-0006-0000-0000-00001C000000}">
      <text>
        <r>
          <rPr>
            <sz val="11"/>
            <color rgb="FF000000"/>
            <rFont val="Calibri"/>
          </rPr>
          <t>Осталось 2600шт</t>
        </r>
      </text>
    </comment>
    <comment ref="F530" authorId="0" shapeId="0" xr:uid="{00000000-0006-0000-0000-00001D000000}">
      <text>
        <r>
          <rPr>
            <sz val="11"/>
            <color rgb="FF000000"/>
            <rFont val="Calibri"/>
          </rPr>
          <t>Осталось 4700шт</t>
        </r>
      </text>
    </comment>
    <comment ref="F531" authorId="0" shapeId="0" xr:uid="{00000000-0006-0000-0000-00001E000000}">
      <text>
        <r>
          <rPr>
            <sz val="11"/>
            <color rgb="FF000000"/>
            <rFont val="Calibri"/>
          </rPr>
          <t>Осталось 5400шт</t>
        </r>
      </text>
    </comment>
    <comment ref="F532" authorId="0" shapeId="0" xr:uid="{00000000-0006-0000-0000-00001F000000}">
      <text>
        <r>
          <rPr>
            <sz val="11"/>
            <color rgb="FF000000"/>
            <rFont val="Calibri"/>
          </rPr>
          <t>Осталось 4800шт</t>
        </r>
      </text>
    </comment>
    <comment ref="F547" authorId="0" shapeId="0" xr:uid="{00000000-0006-0000-0000-000020000000}">
      <text>
        <r>
          <rPr>
            <sz val="11"/>
            <color rgb="FF000000"/>
            <rFont val="Calibri"/>
          </rPr>
          <t>Осталось 11000шт</t>
        </r>
      </text>
    </comment>
    <comment ref="F549" authorId="0" shapeId="0" xr:uid="{00000000-0006-0000-0000-000021000000}">
      <text>
        <r>
          <rPr>
            <sz val="11"/>
            <color rgb="FF000000"/>
            <rFont val="Calibri"/>
          </rPr>
          <t>Осталось 3200шт</t>
        </r>
      </text>
    </comment>
    <comment ref="F550" authorId="0" shapeId="0" xr:uid="{00000000-0006-0000-0000-000022000000}">
      <text>
        <r>
          <rPr>
            <sz val="11"/>
            <color rgb="FF000000"/>
            <rFont val="Calibri"/>
          </rPr>
          <t>Осталось 1700шт</t>
        </r>
      </text>
    </comment>
    <comment ref="F551" authorId="0" shapeId="0" xr:uid="{00000000-0006-0000-0000-000023000000}">
      <text>
        <r>
          <rPr>
            <sz val="11"/>
            <color rgb="FF000000"/>
            <rFont val="Calibri"/>
          </rPr>
          <t>Осталось 3900шт</t>
        </r>
      </text>
    </comment>
    <comment ref="F552" authorId="0" shapeId="0" xr:uid="{00000000-0006-0000-0000-000024000000}">
      <text>
        <r>
          <rPr>
            <sz val="11"/>
            <color rgb="FF000000"/>
            <rFont val="Calibri"/>
          </rPr>
          <t>Осталось 9200шт</t>
        </r>
      </text>
    </comment>
    <comment ref="F553" authorId="0" shapeId="0" xr:uid="{00000000-0006-0000-0000-000025000000}">
      <text>
        <r>
          <rPr>
            <sz val="11"/>
            <color rgb="FF000000"/>
            <rFont val="Calibri"/>
          </rPr>
          <t>Осталось 3900шт</t>
        </r>
      </text>
    </comment>
    <comment ref="F554" authorId="0" shapeId="0" xr:uid="{00000000-0006-0000-0000-000026000000}">
      <text>
        <r>
          <rPr>
            <sz val="11"/>
            <color rgb="FF000000"/>
            <rFont val="Calibri"/>
          </rPr>
          <t>Осталось 4300шт</t>
        </r>
      </text>
    </comment>
    <comment ref="F555" authorId="0" shapeId="0" xr:uid="{00000000-0006-0000-0000-000027000000}">
      <text>
        <r>
          <rPr>
            <sz val="11"/>
            <color rgb="FF000000"/>
            <rFont val="Calibri"/>
          </rPr>
          <t>Осталось 2900шт</t>
        </r>
      </text>
    </comment>
    <comment ref="F566" authorId="0" shapeId="0" xr:uid="{00000000-0006-0000-0000-000028000000}">
      <text>
        <r>
          <rPr>
            <sz val="11"/>
            <color rgb="FF000000"/>
            <rFont val="Calibri"/>
          </rPr>
          <t>Осталось 12000шт</t>
        </r>
      </text>
    </comment>
    <comment ref="F567" authorId="0" shapeId="0" xr:uid="{00000000-0006-0000-0000-000029000000}">
      <text>
        <r>
          <rPr>
            <sz val="11"/>
            <color rgb="FF000000"/>
            <rFont val="Calibri"/>
          </rPr>
          <t>Осталось 6400шт</t>
        </r>
      </text>
    </comment>
    <comment ref="F568" authorId="0" shapeId="0" xr:uid="{00000000-0006-0000-0000-00002A000000}">
      <text>
        <r>
          <rPr>
            <sz val="11"/>
            <color rgb="FF000000"/>
            <rFont val="Calibri"/>
          </rPr>
          <t>Осталось 6100шт</t>
        </r>
      </text>
    </comment>
    <comment ref="F569" authorId="0" shapeId="0" xr:uid="{00000000-0006-0000-0000-00002B000000}">
      <text>
        <r>
          <rPr>
            <sz val="11"/>
            <color rgb="FF000000"/>
            <rFont val="Calibri"/>
          </rPr>
          <t>Осталось 600шт</t>
        </r>
      </text>
    </comment>
    <comment ref="F571" authorId="0" shapeId="0" xr:uid="{00000000-0006-0000-0000-00002C000000}">
      <text>
        <r>
          <rPr>
            <sz val="11"/>
            <color rgb="FF000000"/>
            <rFont val="Calibri"/>
          </rPr>
          <t>Осталось 4500шт</t>
        </r>
      </text>
    </comment>
    <comment ref="F572" authorId="0" shapeId="0" xr:uid="{00000000-0006-0000-0000-00002D000000}">
      <text>
        <r>
          <rPr>
            <sz val="11"/>
            <color rgb="FF000000"/>
            <rFont val="Calibri"/>
          </rPr>
          <t>Осталось 2600шт</t>
        </r>
      </text>
    </comment>
    <comment ref="F582" authorId="0" shapeId="0" xr:uid="{00000000-0006-0000-0000-00002E000000}">
      <text>
        <r>
          <rPr>
            <sz val="11"/>
            <color rgb="FF000000"/>
            <rFont val="Calibri"/>
          </rPr>
          <t>Осталось 2500шт</t>
        </r>
      </text>
    </comment>
    <comment ref="F583" authorId="0" shapeId="0" xr:uid="{00000000-0006-0000-0000-00002F000000}">
      <text>
        <r>
          <rPr>
            <sz val="11"/>
            <color rgb="FF000000"/>
            <rFont val="Calibri"/>
          </rPr>
          <t>Осталось 21500шт</t>
        </r>
      </text>
    </comment>
    <comment ref="F584" authorId="0" shapeId="0" xr:uid="{00000000-0006-0000-0000-000030000000}">
      <text>
        <r>
          <rPr>
            <sz val="11"/>
            <color rgb="FF000000"/>
            <rFont val="Calibri"/>
          </rPr>
          <t>Осталось 28000шт</t>
        </r>
      </text>
    </comment>
    <comment ref="F585" authorId="0" shapeId="0" xr:uid="{00000000-0006-0000-0000-000031000000}">
      <text>
        <r>
          <rPr>
            <sz val="11"/>
            <color rgb="FF000000"/>
            <rFont val="Calibri"/>
          </rPr>
          <t>Осталось 35500шт</t>
        </r>
      </text>
    </comment>
    <comment ref="F586" authorId="0" shapeId="0" xr:uid="{00000000-0006-0000-0000-000032000000}">
      <text>
        <r>
          <rPr>
            <sz val="11"/>
            <color rgb="FF000000"/>
            <rFont val="Calibri"/>
          </rPr>
          <t>Осталось 66700шт</t>
        </r>
      </text>
    </comment>
    <comment ref="F587" authorId="0" shapeId="0" xr:uid="{00000000-0006-0000-0000-000033000000}">
      <text>
        <r>
          <rPr>
            <sz val="11"/>
            <color rgb="FF000000"/>
            <rFont val="Calibri"/>
          </rPr>
          <t>Осталось 23800шт</t>
        </r>
      </text>
    </comment>
    <comment ref="F588" authorId="0" shapeId="0" xr:uid="{00000000-0006-0000-0000-000034000000}">
      <text>
        <r>
          <rPr>
            <sz val="11"/>
            <color rgb="FF000000"/>
            <rFont val="Calibri"/>
          </rPr>
          <t>Осталось 6100шт</t>
        </r>
      </text>
    </comment>
    <comment ref="F589" authorId="0" shapeId="0" xr:uid="{00000000-0006-0000-0000-000035000000}">
      <text>
        <r>
          <rPr>
            <sz val="11"/>
            <color rgb="FF000000"/>
            <rFont val="Calibri"/>
          </rPr>
          <t>Осталось 3400шт</t>
        </r>
      </text>
    </comment>
    <comment ref="F590" authorId="0" shapeId="0" xr:uid="{00000000-0006-0000-0000-000036000000}">
      <text>
        <r>
          <rPr>
            <sz val="11"/>
            <color rgb="FF000000"/>
            <rFont val="Calibri"/>
          </rPr>
          <t>Осталось 9100шт</t>
        </r>
      </text>
    </comment>
    <comment ref="F600" authorId="0" shapeId="0" xr:uid="{00000000-0006-0000-0000-000037000000}">
      <text>
        <r>
          <rPr>
            <sz val="11"/>
            <color rgb="FF000000"/>
            <rFont val="Calibri"/>
          </rPr>
          <t>Осталось 5100шт</t>
        </r>
      </text>
    </comment>
    <comment ref="F601" authorId="0" shapeId="0" xr:uid="{00000000-0006-0000-0000-000038000000}">
      <text>
        <r>
          <rPr>
            <sz val="11"/>
            <color rgb="FF000000"/>
            <rFont val="Calibri"/>
          </rPr>
          <t>Осталось 4900шт</t>
        </r>
      </text>
    </comment>
    <comment ref="F602" authorId="0" shapeId="0" xr:uid="{00000000-0006-0000-0000-000039000000}">
      <text>
        <r>
          <rPr>
            <sz val="11"/>
            <color rgb="FF000000"/>
            <rFont val="Calibri"/>
          </rPr>
          <t>Осталось 3700шт</t>
        </r>
      </text>
    </comment>
    <comment ref="F603" authorId="0" shapeId="0" xr:uid="{00000000-0006-0000-0000-00003A000000}">
      <text>
        <r>
          <rPr>
            <sz val="11"/>
            <color rgb="FF000000"/>
            <rFont val="Calibri"/>
          </rPr>
          <t>Осталось 4600шт</t>
        </r>
      </text>
    </comment>
    <comment ref="F612" authorId="0" shapeId="0" xr:uid="{00000000-0006-0000-0000-00003B000000}">
      <text>
        <r>
          <rPr>
            <sz val="11"/>
            <color rgb="FF000000"/>
            <rFont val="Calibri"/>
          </rPr>
          <t>Осталось 0шт</t>
        </r>
      </text>
    </comment>
    <comment ref="F613" authorId="0" shapeId="0" xr:uid="{00000000-0006-0000-0000-00003C000000}">
      <text>
        <r>
          <rPr>
            <sz val="11"/>
            <color rgb="FF000000"/>
            <rFont val="Calibri"/>
          </rPr>
          <t>Осталось 2200шт</t>
        </r>
      </text>
    </comment>
    <comment ref="F615" authorId="0" shapeId="0" xr:uid="{00000000-0006-0000-0000-00003D000000}">
      <text>
        <r>
          <rPr>
            <sz val="11"/>
            <color rgb="FF000000"/>
            <rFont val="Calibri"/>
          </rPr>
          <t>Осталось 200шт</t>
        </r>
      </text>
    </comment>
    <comment ref="F620" authorId="0" shapeId="0" xr:uid="{00000000-0006-0000-0000-00003E000000}">
      <text>
        <r>
          <rPr>
            <sz val="11"/>
            <color rgb="FF000000"/>
            <rFont val="Calibri"/>
          </rPr>
          <t>Осталось 2000шт</t>
        </r>
      </text>
    </comment>
    <comment ref="F621" authorId="0" shapeId="0" xr:uid="{00000000-0006-0000-0000-00003F000000}">
      <text>
        <r>
          <rPr>
            <sz val="11"/>
            <color rgb="FF000000"/>
            <rFont val="Calibri"/>
          </rPr>
          <t>Осталось 2400шт</t>
        </r>
      </text>
    </comment>
    <comment ref="F622" authorId="0" shapeId="0" xr:uid="{00000000-0006-0000-0000-000040000000}">
      <text>
        <r>
          <rPr>
            <sz val="11"/>
            <color rgb="FF000000"/>
            <rFont val="Calibri"/>
          </rPr>
          <t>Осталось 100шт</t>
        </r>
      </text>
    </comment>
    <comment ref="F626" authorId="0" shapeId="0" xr:uid="{00000000-0006-0000-0000-000041000000}">
      <text>
        <r>
          <rPr>
            <sz val="11"/>
            <color rgb="FF000000"/>
            <rFont val="Calibri"/>
          </rPr>
          <t>Осталось 2400шт</t>
        </r>
      </text>
    </comment>
    <comment ref="F627" authorId="0" shapeId="0" xr:uid="{00000000-0006-0000-0000-000042000000}">
      <text>
        <r>
          <rPr>
            <sz val="11"/>
            <color rgb="FF000000"/>
            <rFont val="Calibri"/>
          </rPr>
          <t>Осталось 1300шт</t>
        </r>
      </text>
    </comment>
    <comment ref="F628" authorId="0" shapeId="0" xr:uid="{00000000-0006-0000-0000-000043000000}">
      <text>
        <r>
          <rPr>
            <sz val="11"/>
            <color rgb="FF000000"/>
            <rFont val="Calibri"/>
          </rPr>
          <t>Осталось 2100шт</t>
        </r>
      </text>
    </comment>
    <comment ref="F634" authorId="0" shapeId="0" xr:uid="{00000000-0006-0000-0000-000044000000}">
      <text>
        <r>
          <rPr>
            <sz val="11"/>
            <color rgb="FF000000"/>
            <rFont val="Calibri"/>
          </rPr>
          <t>Осталось 700шт</t>
        </r>
      </text>
    </comment>
    <comment ref="F636" authorId="0" shapeId="0" xr:uid="{00000000-0006-0000-0000-000045000000}">
      <text>
        <r>
          <rPr>
            <sz val="11"/>
            <color rgb="FF000000"/>
            <rFont val="Calibri"/>
          </rPr>
          <t>Осталось 1100шт</t>
        </r>
      </text>
    </comment>
    <comment ref="F637" authorId="0" shapeId="0" xr:uid="{00000000-0006-0000-0000-000046000000}">
      <text>
        <r>
          <rPr>
            <sz val="11"/>
            <color rgb="FF000000"/>
            <rFont val="Calibri"/>
          </rPr>
          <t>Осталось 1500шт</t>
        </r>
      </text>
    </comment>
    <comment ref="F645" authorId="0" shapeId="0" xr:uid="{00000000-0006-0000-0000-000047000000}">
      <text>
        <r>
          <rPr>
            <sz val="11"/>
            <color rgb="FF000000"/>
            <rFont val="Calibri"/>
          </rPr>
          <t>Осталось 7шт</t>
        </r>
      </text>
    </comment>
    <comment ref="F664" authorId="0" shapeId="0" xr:uid="{00000000-0006-0000-0000-000048000000}">
      <text>
        <r>
          <rPr>
            <sz val="11"/>
            <color rgb="FF000000"/>
            <rFont val="Calibri"/>
          </rPr>
          <t>Осталось 16400шт</t>
        </r>
      </text>
    </comment>
    <comment ref="F665" authorId="0" shapeId="0" xr:uid="{00000000-0006-0000-0000-000049000000}">
      <text>
        <r>
          <rPr>
            <sz val="11"/>
            <color rgb="FF000000"/>
            <rFont val="Calibri"/>
          </rPr>
          <t>Осталось 1500шт</t>
        </r>
      </text>
    </comment>
    <comment ref="F666" authorId="0" shapeId="0" xr:uid="{00000000-0006-0000-0000-00004A000000}">
      <text>
        <r>
          <rPr>
            <sz val="11"/>
            <color rgb="FF000000"/>
            <rFont val="Calibri"/>
          </rPr>
          <t>Осталось 26600шт</t>
        </r>
      </text>
    </comment>
    <comment ref="F667" authorId="0" shapeId="0" xr:uid="{00000000-0006-0000-0000-00004B000000}">
      <text>
        <r>
          <rPr>
            <sz val="11"/>
            <color rgb="FF000000"/>
            <rFont val="Calibri"/>
          </rPr>
          <t>Осталось 7200шт</t>
        </r>
      </text>
    </comment>
    <comment ref="F668" authorId="0" shapeId="0" xr:uid="{00000000-0006-0000-0000-00004C000000}">
      <text>
        <r>
          <rPr>
            <sz val="11"/>
            <color rgb="FF000000"/>
            <rFont val="Calibri"/>
          </rPr>
          <t>Осталось 7500шт</t>
        </r>
      </text>
    </comment>
    <comment ref="F676" authorId="0" shapeId="0" xr:uid="{00000000-0006-0000-0000-00004D000000}">
      <text>
        <r>
          <rPr>
            <sz val="11"/>
            <color rgb="FF000000"/>
            <rFont val="Calibri"/>
          </rPr>
          <t>Осталось 11800шт</t>
        </r>
      </text>
    </comment>
    <comment ref="F677" authorId="0" shapeId="0" xr:uid="{00000000-0006-0000-0000-00004E000000}">
      <text>
        <r>
          <rPr>
            <sz val="11"/>
            <color rgb="FF000000"/>
            <rFont val="Calibri"/>
          </rPr>
          <t>Осталось 19400шт</t>
        </r>
      </text>
    </comment>
    <comment ref="F678" authorId="0" shapeId="0" xr:uid="{00000000-0006-0000-0000-00004F000000}">
      <text>
        <r>
          <rPr>
            <sz val="11"/>
            <color rgb="FF000000"/>
            <rFont val="Calibri"/>
          </rPr>
          <t>Осталось 5500шт</t>
        </r>
      </text>
    </comment>
    <comment ref="F679" authorId="0" shapeId="0" xr:uid="{00000000-0006-0000-0000-000050000000}">
      <text>
        <r>
          <rPr>
            <sz val="11"/>
            <color rgb="FF000000"/>
            <rFont val="Calibri"/>
          </rPr>
          <t>Осталось 0шт</t>
        </r>
      </text>
    </comment>
    <comment ref="F680" authorId="0" shapeId="0" xr:uid="{00000000-0006-0000-0000-000051000000}">
      <text>
        <r>
          <rPr>
            <sz val="11"/>
            <color rgb="FF000000"/>
            <rFont val="Calibri"/>
          </rPr>
          <t>Осталось 7500шт</t>
        </r>
      </text>
    </comment>
    <comment ref="F681" authorId="0" shapeId="0" xr:uid="{00000000-0006-0000-0000-000052000000}">
      <text>
        <r>
          <rPr>
            <sz val="11"/>
            <color rgb="FF000000"/>
            <rFont val="Calibri"/>
          </rPr>
          <t>Осталось 4100шт</t>
        </r>
      </text>
    </comment>
    <comment ref="F688" authorId="0" shapeId="0" xr:uid="{00000000-0006-0000-0000-000053000000}">
      <text>
        <r>
          <rPr>
            <sz val="11"/>
            <color rgb="FF000000"/>
            <rFont val="Calibri"/>
          </rPr>
          <t>Осталось 5200шт</t>
        </r>
      </text>
    </comment>
    <comment ref="F689" authorId="0" shapeId="0" xr:uid="{00000000-0006-0000-0000-000054000000}">
      <text>
        <r>
          <rPr>
            <sz val="11"/>
            <color rgb="FF000000"/>
            <rFont val="Calibri"/>
          </rPr>
          <t>Осталось 4400шт</t>
        </r>
      </text>
    </comment>
    <comment ref="F690" authorId="0" shapeId="0" xr:uid="{00000000-0006-0000-0000-000055000000}">
      <text>
        <r>
          <rPr>
            <sz val="11"/>
            <color rgb="FF000000"/>
            <rFont val="Calibri"/>
          </rPr>
          <t>Осталось 6100шт</t>
        </r>
      </text>
    </comment>
    <comment ref="F691" authorId="0" shapeId="0" xr:uid="{00000000-0006-0000-0000-000056000000}">
      <text>
        <r>
          <rPr>
            <sz val="11"/>
            <color rgb="FF000000"/>
            <rFont val="Calibri"/>
          </rPr>
          <t>Осталось 3200шт</t>
        </r>
      </text>
    </comment>
    <comment ref="F692" authorId="0" shapeId="0" xr:uid="{00000000-0006-0000-0000-000057000000}">
      <text>
        <r>
          <rPr>
            <sz val="11"/>
            <color rgb="FF000000"/>
            <rFont val="Calibri"/>
          </rPr>
          <t>Осталось 12600шт</t>
        </r>
      </text>
    </comment>
    <comment ref="F693" authorId="0" shapeId="0" xr:uid="{00000000-0006-0000-0000-000058000000}">
      <text>
        <r>
          <rPr>
            <sz val="11"/>
            <color rgb="FF000000"/>
            <rFont val="Calibri"/>
          </rPr>
          <t>Осталось 4500шт</t>
        </r>
      </text>
    </comment>
    <comment ref="F700" authorId="0" shapeId="0" xr:uid="{00000000-0006-0000-0000-000059000000}">
      <text>
        <r>
          <rPr>
            <sz val="11"/>
            <color rgb="FF000000"/>
            <rFont val="Calibri"/>
          </rPr>
          <t>Осталось 3500шт</t>
        </r>
      </text>
    </comment>
    <comment ref="F701" authorId="0" shapeId="0" xr:uid="{00000000-0006-0000-0000-00005A000000}">
      <text>
        <r>
          <rPr>
            <sz val="11"/>
            <color rgb="FF000000"/>
            <rFont val="Calibri"/>
          </rPr>
          <t>Осталось 2400шт</t>
        </r>
      </text>
    </comment>
    <comment ref="F704" authorId="0" shapeId="0" xr:uid="{00000000-0006-0000-0000-00005B000000}">
      <text>
        <r>
          <rPr>
            <sz val="11"/>
            <color rgb="FF000000"/>
            <rFont val="Calibri"/>
          </rPr>
          <t>Осталось 0шт</t>
        </r>
      </text>
    </comment>
    <comment ref="F705" authorId="0" shapeId="0" xr:uid="{00000000-0006-0000-0000-00005C000000}">
      <text>
        <r>
          <rPr>
            <sz val="11"/>
            <color rgb="FF000000"/>
            <rFont val="Calibri"/>
          </rPr>
          <t>Осталось 4000шт</t>
        </r>
      </text>
    </comment>
    <comment ref="F710" authorId="0" shapeId="0" xr:uid="{00000000-0006-0000-0000-00005D000000}">
      <text>
        <r>
          <rPr>
            <sz val="11"/>
            <color rgb="FF000000"/>
            <rFont val="Calibri"/>
          </rPr>
          <t>Осталось 2200шт</t>
        </r>
      </text>
    </comment>
    <comment ref="F711" authorId="0" shapeId="0" xr:uid="{00000000-0006-0000-0000-00005E000000}">
      <text>
        <r>
          <rPr>
            <sz val="11"/>
            <color rgb="FF000000"/>
            <rFont val="Calibri"/>
          </rPr>
          <t>Осталось 3900шт</t>
        </r>
      </text>
    </comment>
    <comment ref="F716" authorId="0" shapeId="0" xr:uid="{00000000-0006-0000-0000-00005F000000}">
      <text>
        <r>
          <rPr>
            <sz val="11"/>
            <color rgb="FF000000"/>
            <rFont val="Calibri"/>
          </rPr>
          <t>Осталось 10300шт</t>
        </r>
      </text>
    </comment>
    <comment ref="F717" authorId="0" shapeId="0" xr:uid="{00000000-0006-0000-0000-000060000000}">
      <text>
        <r>
          <rPr>
            <sz val="11"/>
            <color rgb="FF000000"/>
            <rFont val="Calibri"/>
          </rPr>
          <t>Осталось 5900шт</t>
        </r>
      </text>
    </comment>
    <comment ref="F722" authorId="0" shapeId="0" xr:uid="{00000000-0006-0000-0000-000061000000}">
      <text>
        <r>
          <rPr>
            <sz val="11"/>
            <color rgb="FF000000"/>
            <rFont val="Calibri"/>
          </rPr>
          <t>Осталось 16300шт</t>
        </r>
      </text>
    </comment>
    <comment ref="F723" authorId="0" shapeId="0" xr:uid="{00000000-0006-0000-0000-000062000000}">
      <text>
        <r>
          <rPr>
            <sz val="11"/>
            <color rgb="FF000000"/>
            <rFont val="Calibri"/>
          </rPr>
          <t>Осталось 14600шт</t>
        </r>
      </text>
    </comment>
    <comment ref="F728" authorId="0" shapeId="0" xr:uid="{00000000-0006-0000-0000-000063000000}">
      <text>
        <r>
          <rPr>
            <sz val="11"/>
            <color rgb="FF000000"/>
            <rFont val="Calibri"/>
          </rPr>
          <t>Осталось 2300шт</t>
        </r>
      </text>
    </comment>
    <comment ref="F729" authorId="0" shapeId="0" xr:uid="{00000000-0006-0000-0000-000064000000}">
      <text>
        <r>
          <rPr>
            <sz val="11"/>
            <color rgb="FF000000"/>
            <rFont val="Calibri"/>
          </rPr>
          <t>Осталось 4900шт</t>
        </r>
      </text>
    </comment>
    <comment ref="F732" authorId="0" shapeId="0" xr:uid="{00000000-0006-0000-0000-000065000000}">
      <text>
        <r>
          <rPr>
            <sz val="11"/>
            <color rgb="FF000000"/>
            <rFont val="Calibri"/>
          </rPr>
          <t>Осталось 3100шт</t>
        </r>
      </text>
    </comment>
    <comment ref="F736" authorId="0" shapeId="0" xr:uid="{00000000-0006-0000-0000-000066000000}">
      <text>
        <r>
          <rPr>
            <sz val="11"/>
            <color rgb="FF000000"/>
            <rFont val="Calibri"/>
          </rPr>
          <t>Осталось 7500шт</t>
        </r>
      </text>
    </comment>
    <comment ref="F740" authorId="0" shapeId="0" xr:uid="{00000000-0006-0000-0000-000067000000}">
      <text>
        <r>
          <rPr>
            <sz val="11"/>
            <color rgb="FF000000"/>
            <rFont val="Calibri"/>
          </rPr>
          <t>Осталось 2900шт</t>
        </r>
      </text>
    </comment>
    <comment ref="F743" authorId="0" shapeId="0" xr:uid="{00000000-0006-0000-0000-000068000000}">
      <text>
        <r>
          <rPr>
            <sz val="11"/>
            <color rgb="FF000000"/>
            <rFont val="Calibri"/>
          </rPr>
          <t>Осталось 100шт</t>
        </r>
      </text>
    </comment>
    <comment ref="F745" authorId="0" shapeId="0" xr:uid="{00000000-0006-0000-0000-000069000000}">
      <text>
        <r>
          <rPr>
            <sz val="11"/>
            <color rgb="FF000000"/>
            <rFont val="Calibri"/>
          </rPr>
          <t>Осталось 7900шт</t>
        </r>
      </text>
    </comment>
    <comment ref="F746" authorId="0" shapeId="0" xr:uid="{00000000-0006-0000-0000-00006A000000}">
      <text>
        <r>
          <rPr>
            <sz val="11"/>
            <color rgb="FF000000"/>
            <rFont val="Calibri"/>
          </rPr>
          <t>Осталось 3900шт</t>
        </r>
      </text>
    </comment>
    <comment ref="F747" authorId="0" shapeId="0" xr:uid="{00000000-0006-0000-0000-00006B000000}">
      <text>
        <r>
          <rPr>
            <sz val="11"/>
            <color rgb="FF000000"/>
            <rFont val="Calibri"/>
          </rPr>
          <t>Осталось 1000шт</t>
        </r>
      </text>
    </comment>
    <comment ref="F751" authorId="0" shapeId="0" xr:uid="{00000000-0006-0000-0000-00006C000000}">
      <text>
        <r>
          <rPr>
            <sz val="11"/>
            <color rgb="FF000000"/>
            <rFont val="Calibri"/>
          </rPr>
          <t>Осталось 1700шт</t>
        </r>
      </text>
    </comment>
    <comment ref="F753" authorId="0" shapeId="0" xr:uid="{00000000-0006-0000-0000-00006D000000}">
      <text>
        <r>
          <rPr>
            <sz val="11"/>
            <color rgb="FF000000"/>
            <rFont val="Calibri"/>
          </rPr>
          <t>Осталось 2600шт</t>
        </r>
      </text>
    </comment>
    <comment ref="F770" authorId="0" shapeId="0" xr:uid="{00000000-0006-0000-0000-00006E000000}">
      <text>
        <r>
          <rPr>
            <sz val="11"/>
            <color rgb="FF000000"/>
            <rFont val="Calibri"/>
          </rPr>
          <t>Осталось 49200шт</t>
        </r>
      </text>
    </comment>
    <comment ref="F771" authorId="0" shapeId="0" xr:uid="{00000000-0006-0000-0000-00006F000000}">
      <text>
        <r>
          <rPr>
            <sz val="11"/>
            <color rgb="FF000000"/>
            <rFont val="Calibri"/>
          </rPr>
          <t>Осталось 22800шт</t>
        </r>
      </text>
    </comment>
    <comment ref="F772" authorId="0" shapeId="0" xr:uid="{00000000-0006-0000-0000-000070000000}">
      <text>
        <r>
          <rPr>
            <sz val="11"/>
            <color rgb="FF000000"/>
            <rFont val="Calibri"/>
          </rPr>
          <t>Осталось 11100шт</t>
        </r>
      </text>
    </comment>
    <comment ref="F778" authorId="0" shapeId="0" xr:uid="{00000000-0006-0000-0000-000071000000}">
      <text>
        <r>
          <rPr>
            <sz val="11"/>
            <color rgb="FF000000"/>
            <rFont val="Calibri"/>
          </rPr>
          <t>Осталось 8200шт</t>
        </r>
      </text>
    </comment>
    <comment ref="F779" authorId="0" shapeId="0" xr:uid="{00000000-0006-0000-0000-000072000000}">
      <text>
        <r>
          <rPr>
            <sz val="11"/>
            <color rgb="FF000000"/>
            <rFont val="Calibri"/>
          </rPr>
          <t>Осталось 4400шт</t>
        </r>
      </text>
    </comment>
    <comment ref="F784" authorId="0" shapeId="0" xr:uid="{00000000-0006-0000-0000-000073000000}">
      <text>
        <r>
          <rPr>
            <sz val="11"/>
            <color rgb="FF000000"/>
            <rFont val="Calibri"/>
          </rPr>
          <t>Осталось 3300шт</t>
        </r>
      </text>
    </comment>
    <comment ref="F790" authorId="0" shapeId="0" xr:uid="{00000000-0006-0000-0000-000074000000}">
      <text>
        <r>
          <rPr>
            <sz val="11"/>
            <color rgb="FF000000"/>
            <rFont val="Calibri"/>
          </rPr>
          <t>Осталось 14400шт</t>
        </r>
      </text>
    </comment>
    <comment ref="F791" authorId="0" shapeId="0" xr:uid="{00000000-0006-0000-0000-000075000000}">
      <text>
        <r>
          <rPr>
            <sz val="11"/>
            <color rgb="FF000000"/>
            <rFont val="Calibri"/>
          </rPr>
          <t>Осталось 3300шт</t>
        </r>
      </text>
    </comment>
    <comment ref="F792" authorId="0" shapeId="0" xr:uid="{00000000-0006-0000-0000-000076000000}">
      <text>
        <r>
          <rPr>
            <sz val="11"/>
            <color rgb="FF000000"/>
            <rFont val="Calibri"/>
          </rPr>
          <t>Осталось 5800шт</t>
        </r>
      </text>
    </comment>
    <comment ref="F797" authorId="0" shapeId="0" xr:uid="{00000000-0006-0000-0000-000077000000}">
      <text>
        <r>
          <rPr>
            <sz val="11"/>
            <color rgb="FF000000"/>
            <rFont val="Calibri"/>
          </rPr>
          <t>Осталось 3740шт</t>
        </r>
      </text>
    </comment>
    <comment ref="F798" authorId="0" shapeId="0" xr:uid="{00000000-0006-0000-0000-000078000000}">
      <text>
        <r>
          <rPr>
            <sz val="11"/>
            <color rgb="FF000000"/>
            <rFont val="Calibri"/>
          </rPr>
          <t>Осталось 2000шт</t>
        </r>
      </text>
    </comment>
    <comment ref="F818" authorId="0" shapeId="0" xr:uid="{00000000-0006-0000-0000-000079000000}">
      <text>
        <r>
          <rPr>
            <sz val="11"/>
            <color rgb="FF000000"/>
            <rFont val="Calibri"/>
          </rPr>
          <t>Осталось 24500шт</t>
        </r>
      </text>
    </comment>
    <comment ref="F819" authorId="0" shapeId="0" xr:uid="{00000000-0006-0000-0000-00007A000000}">
      <text>
        <r>
          <rPr>
            <sz val="11"/>
            <color rgb="FF000000"/>
            <rFont val="Calibri"/>
          </rPr>
          <t>Осталось 25100шт</t>
        </r>
      </text>
    </comment>
    <comment ref="F820" authorId="0" shapeId="0" xr:uid="{00000000-0006-0000-0000-00007B000000}">
      <text>
        <r>
          <rPr>
            <sz val="11"/>
            <color rgb="FF000000"/>
            <rFont val="Calibri"/>
          </rPr>
          <t>Осталось 11200шт</t>
        </r>
      </text>
    </comment>
    <comment ref="F821" authorId="0" shapeId="0" xr:uid="{00000000-0006-0000-0000-00007C000000}">
      <text>
        <r>
          <rPr>
            <sz val="11"/>
            <color rgb="FF000000"/>
            <rFont val="Calibri"/>
          </rPr>
          <t>Осталось 3600шт</t>
        </r>
      </text>
    </comment>
    <comment ref="F822" authorId="0" shapeId="0" xr:uid="{00000000-0006-0000-0000-00007D000000}">
      <text>
        <r>
          <rPr>
            <sz val="11"/>
            <color rgb="FF000000"/>
            <rFont val="Calibri"/>
          </rPr>
          <t>Осталось 500шт</t>
        </r>
      </text>
    </comment>
    <comment ref="F828" authorId="0" shapeId="0" xr:uid="{00000000-0006-0000-0000-00007E000000}">
      <text>
        <r>
          <rPr>
            <sz val="11"/>
            <color rgb="FF000000"/>
            <rFont val="Calibri"/>
          </rPr>
          <t>Осталось 4900шт</t>
        </r>
      </text>
    </comment>
    <comment ref="F829" authorId="0" shapeId="0" xr:uid="{00000000-0006-0000-0000-00007F000000}">
      <text>
        <r>
          <rPr>
            <sz val="11"/>
            <color rgb="FF000000"/>
            <rFont val="Calibri"/>
          </rPr>
          <t>Осталось 1600шт</t>
        </r>
      </text>
    </comment>
    <comment ref="F830" authorId="0" shapeId="0" xr:uid="{00000000-0006-0000-0000-000080000000}">
      <text>
        <r>
          <rPr>
            <sz val="11"/>
            <color rgb="FF000000"/>
            <rFont val="Calibri"/>
          </rPr>
          <t>Осталось 800шт</t>
        </r>
      </text>
    </comment>
    <comment ref="F834" authorId="0" shapeId="0" xr:uid="{00000000-0006-0000-0000-000081000000}">
      <text>
        <r>
          <rPr>
            <sz val="11"/>
            <color rgb="FF000000"/>
            <rFont val="Calibri"/>
          </rPr>
          <t>Осталось 4000шт</t>
        </r>
      </text>
    </comment>
    <comment ref="F835" authorId="0" shapeId="0" xr:uid="{00000000-0006-0000-0000-000082000000}">
      <text>
        <r>
          <rPr>
            <sz val="11"/>
            <color rgb="FF000000"/>
            <rFont val="Calibri"/>
          </rPr>
          <t>Осталось 1300шт</t>
        </r>
      </text>
    </comment>
    <comment ref="F836" authorId="0" shapeId="0" xr:uid="{00000000-0006-0000-0000-000083000000}">
      <text>
        <r>
          <rPr>
            <sz val="11"/>
            <color rgb="FF000000"/>
            <rFont val="Calibri"/>
          </rPr>
          <t>Осталось 1600шт</t>
        </r>
      </text>
    </comment>
    <comment ref="F842" authorId="0" shapeId="0" xr:uid="{00000000-0006-0000-0000-000084000000}">
      <text>
        <r>
          <rPr>
            <sz val="11"/>
            <color rgb="FF000000"/>
            <rFont val="Calibri"/>
          </rPr>
          <t>Осталось 40шт</t>
        </r>
      </text>
    </comment>
    <comment ref="F843" authorId="0" shapeId="0" xr:uid="{00000000-0006-0000-0000-000085000000}">
      <text>
        <r>
          <rPr>
            <sz val="11"/>
            <color rgb="FF000000"/>
            <rFont val="Calibri"/>
          </rPr>
          <t>Осталось 10шт</t>
        </r>
      </text>
    </comment>
    <comment ref="F844" authorId="0" shapeId="0" xr:uid="{00000000-0006-0000-0000-000086000000}">
      <text>
        <r>
          <rPr>
            <sz val="11"/>
            <color rgb="FF000000"/>
            <rFont val="Calibri"/>
          </rPr>
          <t>Осталось 860шт</t>
        </r>
      </text>
    </comment>
    <comment ref="F845" authorId="0" shapeId="0" xr:uid="{00000000-0006-0000-0000-000087000000}">
      <text>
        <r>
          <rPr>
            <sz val="11"/>
            <color rgb="FF000000"/>
            <rFont val="Calibri"/>
          </rPr>
          <t>Осталось 0шт</t>
        </r>
      </text>
    </comment>
    <comment ref="F846" authorId="0" shapeId="0" xr:uid="{00000000-0006-0000-0000-000088000000}">
      <text>
        <r>
          <rPr>
            <sz val="11"/>
            <color rgb="FF000000"/>
            <rFont val="Calibri"/>
          </rPr>
          <t>Осталось 30шт</t>
        </r>
      </text>
    </comment>
    <comment ref="F847" authorId="0" shapeId="0" xr:uid="{00000000-0006-0000-0000-000089000000}">
      <text>
        <r>
          <rPr>
            <sz val="11"/>
            <color rgb="FF000000"/>
            <rFont val="Calibri"/>
          </rPr>
          <t>Осталось 290шт</t>
        </r>
      </text>
    </comment>
    <comment ref="F848" authorId="0" shapeId="0" xr:uid="{00000000-0006-0000-0000-00008A000000}">
      <text>
        <r>
          <rPr>
            <sz val="11"/>
            <color rgb="FF000000"/>
            <rFont val="Calibri"/>
          </rPr>
          <t>Осталось 20шт</t>
        </r>
      </text>
    </comment>
    <comment ref="F849" authorId="0" shapeId="0" xr:uid="{00000000-0006-0000-0000-00008B000000}">
      <text>
        <r>
          <rPr>
            <sz val="11"/>
            <color rgb="FF000000"/>
            <rFont val="Calibri"/>
          </rPr>
          <t>Осталось 0шт</t>
        </r>
      </text>
    </comment>
    <comment ref="F850" authorId="0" shapeId="0" xr:uid="{00000000-0006-0000-0000-00008C000000}">
      <text>
        <r>
          <rPr>
            <sz val="11"/>
            <color rgb="FF000000"/>
            <rFont val="Calibri"/>
          </rPr>
          <t>Осталось 0шт</t>
        </r>
      </text>
    </comment>
    <comment ref="F873" authorId="0" shapeId="0" xr:uid="{00000000-0006-0000-0000-00008D000000}">
      <text>
        <r>
          <rPr>
            <sz val="11"/>
            <color rgb="FF000000"/>
            <rFont val="Calibri"/>
          </rPr>
          <t>Осталось 20шт</t>
        </r>
      </text>
    </comment>
    <comment ref="F875" authorId="0" shapeId="0" xr:uid="{00000000-0006-0000-0000-00008E000000}">
      <text>
        <r>
          <rPr>
            <sz val="11"/>
            <color rgb="FF000000"/>
            <rFont val="Calibri"/>
          </rPr>
          <t>Осталось 40шт</t>
        </r>
      </text>
    </comment>
    <comment ref="F876" authorId="0" shapeId="0" xr:uid="{00000000-0006-0000-0000-00008F000000}">
      <text>
        <r>
          <rPr>
            <sz val="11"/>
            <color rgb="FF000000"/>
            <rFont val="Calibri"/>
          </rPr>
          <t>Осталось 0шт</t>
        </r>
      </text>
    </comment>
    <comment ref="F877" authorId="0" shapeId="0" xr:uid="{00000000-0006-0000-0000-000090000000}">
      <text>
        <r>
          <rPr>
            <sz val="11"/>
            <color rgb="FF000000"/>
            <rFont val="Calibri"/>
          </rPr>
          <t>Осталось 30шт</t>
        </r>
      </text>
    </comment>
    <comment ref="F899" authorId="0" shapeId="0" xr:uid="{00000000-0006-0000-0000-000091000000}">
      <text>
        <r>
          <rPr>
            <sz val="11"/>
            <color rgb="FF000000"/>
            <rFont val="Calibri"/>
          </rPr>
          <t>Осталось 0шт</t>
        </r>
      </text>
    </comment>
    <comment ref="F901" authorId="0" shapeId="0" xr:uid="{00000000-0006-0000-0000-000092000000}">
      <text>
        <r>
          <rPr>
            <sz val="11"/>
            <color rgb="FF000000"/>
            <rFont val="Calibri"/>
          </rPr>
          <t>Осталось 220шт</t>
        </r>
      </text>
    </comment>
    <comment ref="F903" authorId="0" shapeId="0" xr:uid="{00000000-0006-0000-0000-000093000000}">
      <text>
        <r>
          <rPr>
            <sz val="11"/>
            <color rgb="FF000000"/>
            <rFont val="Calibri"/>
          </rPr>
          <t>Осталось 0шт</t>
        </r>
      </text>
    </comment>
    <comment ref="F905" authorId="0" shapeId="0" xr:uid="{00000000-0006-0000-0000-000094000000}">
      <text>
        <r>
          <rPr>
            <sz val="11"/>
            <color rgb="FF000000"/>
            <rFont val="Calibri"/>
          </rPr>
          <t>Осталось 0шт</t>
        </r>
      </text>
    </comment>
    <comment ref="F908" authorId="0" shapeId="0" xr:uid="{00000000-0006-0000-0000-000095000000}">
      <text>
        <r>
          <rPr>
            <sz val="11"/>
            <color rgb="FF000000"/>
            <rFont val="Calibri"/>
          </rPr>
          <t>Осталось 1100шт</t>
        </r>
      </text>
    </comment>
    <comment ref="F910" authorId="0" shapeId="0" xr:uid="{00000000-0006-0000-0000-000096000000}">
      <text>
        <r>
          <rPr>
            <sz val="11"/>
            <color rgb="FF000000"/>
            <rFont val="Calibri"/>
          </rPr>
          <t>Осталось 700шт</t>
        </r>
      </text>
    </comment>
    <comment ref="F912" authorId="0" shapeId="0" xr:uid="{00000000-0006-0000-0000-000097000000}">
      <text>
        <r>
          <rPr>
            <sz val="11"/>
            <color rgb="FF000000"/>
            <rFont val="Calibri"/>
          </rPr>
          <t>Осталось 8900шт</t>
        </r>
      </text>
    </comment>
    <comment ref="F914" authorId="0" shapeId="0" xr:uid="{00000000-0006-0000-0000-000098000000}">
      <text>
        <r>
          <rPr>
            <sz val="11"/>
            <color rgb="FF000000"/>
            <rFont val="Calibri"/>
          </rPr>
          <t>Осталось 1400шт</t>
        </r>
      </text>
    </comment>
    <comment ref="F916" authorId="0" shapeId="0" xr:uid="{00000000-0006-0000-0000-000099000000}">
      <text>
        <r>
          <rPr>
            <sz val="11"/>
            <color rgb="FF000000"/>
            <rFont val="Calibri"/>
          </rPr>
          <t>Осталось 34800шт</t>
        </r>
      </text>
    </comment>
    <comment ref="F918" authorId="0" shapeId="0" xr:uid="{00000000-0006-0000-0000-00009A000000}">
      <text>
        <r>
          <rPr>
            <sz val="11"/>
            <color rgb="FF000000"/>
            <rFont val="Calibri"/>
          </rPr>
          <t>Осталось 11300шт</t>
        </r>
      </text>
    </comment>
    <comment ref="F920" authorId="0" shapeId="0" xr:uid="{00000000-0006-0000-0000-00009B000000}">
      <text>
        <r>
          <rPr>
            <sz val="11"/>
            <color rgb="FF000000"/>
            <rFont val="Calibri"/>
          </rPr>
          <t>Осталось 4400шт</t>
        </r>
      </text>
    </comment>
    <comment ref="F922" authorId="0" shapeId="0" xr:uid="{00000000-0006-0000-0000-00009C000000}">
      <text>
        <r>
          <rPr>
            <sz val="11"/>
            <color rgb="FF000000"/>
            <rFont val="Calibri"/>
          </rPr>
          <t>Осталось 2000шт</t>
        </r>
      </text>
    </comment>
    <comment ref="F924" authorId="0" shapeId="0" xr:uid="{00000000-0006-0000-0000-00009D000000}">
      <text>
        <r>
          <rPr>
            <sz val="11"/>
            <color rgb="FF000000"/>
            <rFont val="Calibri"/>
          </rPr>
          <t>Осталось 1300шт</t>
        </r>
      </text>
    </comment>
    <comment ref="F926" authorId="0" shapeId="0" xr:uid="{00000000-0006-0000-0000-00009E000000}">
      <text>
        <r>
          <rPr>
            <sz val="11"/>
            <color rgb="FF000000"/>
            <rFont val="Calibri"/>
          </rPr>
          <t>Осталось 21000шт</t>
        </r>
      </text>
    </comment>
    <comment ref="F929" authorId="0" shapeId="0" xr:uid="{00000000-0006-0000-0000-00009F000000}">
      <text>
        <r>
          <rPr>
            <sz val="11"/>
            <color rgb="FF000000"/>
            <rFont val="Calibri"/>
          </rPr>
          <t>Осталось 400шт</t>
        </r>
      </text>
    </comment>
    <comment ref="F931" authorId="0" shapeId="0" xr:uid="{00000000-0006-0000-0000-0000A0000000}">
      <text>
        <r>
          <rPr>
            <sz val="11"/>
            <color rgb="FF000000"/>
            <rFont val="Calibri"/>
          </rPr>
          <t>Осталось 500шт</t>
        </r>
      </text>
    </comment>
    <comment ref="F935" authorId="0" shapeId="0" xr:uid="{00000000-0006-0000-0000-0000A1000000}">
      <text>
        <r>
          <rPr>
            <sz val="11"/>
            <color rgb="FF000000"/>
            <rFont val="Calibri"/>
          </rPr>
          <t>Осталось 460компл</t>
        </r>
      </text>
    </comment>
    <comment ref="F936" authorId="0" shapeId="0" xr:uid="{00000000-0006-0000-0000-0000A2000000}">
      <text>
        <r>
          <rPr>
            <sz val="11"/>
            <color rgb="FF000000"/>
            <rFont val="Calibri"/>
          </rPr>
          <t>Осталось 80компл</t>
        </r>
      </text>
    </comment>
    <comment ref="F937" authorId="0" shapeId="0" xr:uid="{00000000-0006-0000-0000-0000A3000000}">
      <text>
        <r>
          <rPr>
            <sz val="11"/>
            <color rgb="FF000000"/>
            <rFont val="Calibri"/>
          </rPr>
          <t>Осталось 0компл</t>
        </r>
      </text>
    </comment>
    <comment ref="F944" authorId="0" shapeId="0" xr:uid="{00000000-0006-0000-0000-0000A4000000}">
      <text>
        <r>
          <rPr>
            <sz val="11"/>
            <color rgb="FF000000"/>
            <rFont val="Calibri"/>
          </rPr>
          <t>Осталось 14000шт</t>
        </r>
      </text>
    </comment>
    <comment ref="F945" authorId="0" shapeId="0" xr:uid="{00000000-0006-0000-0000-0000A5000000}">
      <text>
        <r>
          <rPr>
            <sz val="11"/>
            <color rgb="FF000000"/>
            <rFont val="Calibri"/>
          </rPr>
          <t>Осталось 69300шт</t>
        </r>
      </text>
    </comment>
    <comment ref="F946" authorId="0" shapeId="0" xr:uid="{00000000-0006-0000-0000-0000A6000000}">
      <text>
        <r>
          <rPr>
            <sz val="11"/>
            <color rgb="FF000000"/>
            <rFont val="Calibri"/>
          </rPr>
          <t>Осталось 54900шт</t>
        </r>
      </text>
    </comment>
    <comment ref="F947" authorId="0" shapeId="0" xr:uid="{00000000-0006-0000-0000-0000A7000000}">
      <text>
        <r>
          <rPr>
            <sz val="11"/>
            <color rgb="FF000000"/>
            <rFont val="Calibri"/>
          </rPr>
          <t>Осталось 323300шт</t>
        </r>
      </text>
    </comment>
    <comment ref="F948" authorId="0" shapeId="0" xr:uid="{00000000-0006-0000-0000-0000A8000000}">
      <text>
        <r>
          <rPr>
            <sz val="11"/>
            <color rgb="FF000000"/>
            <rFont val="Calibri"/>
          </rPr>
          <t>Осталось 177900шт</t>
        </r>
      </text>
    </comment>
    <comment ref="F949" authorId="0" shapeId="0" xr:uid="{00000000-0006-0000-0000-0000A9000000}">
      <text>
        <r>
          <rPr>
            <sz val="11"/>
            <color rgb="FF000000"/>
            <rFont val="Calibri"/>
          </rPr>
          <t>Осталось 291200шт</t>
        </r>
      </text>
    </comment>
    <comment ref="F950" authorId="0" shapeId="0" xr:uid="{00000000-0006-0000-0000-0000AA000000}">
      <text>
        <r>
          <rPr>
            <sz val="11"/>
            <color rgb="FF000000"/>
            <rFont val="Calibri"/>
          </rPr>
          <t>Осталось 142900шт</t>
        </r>
      </text>
    </comment>
    <comment ref="F951" authorId="0" shapeId="0" xr:uid="{00000000-0006-0000-0000-0000AB000000}">
      <text>
        <r>
          <rPr>
            <sz val="11"/>
            <color rgb="FF000000"/>
            <rFont val="Calibri"/>
          </rPr>
          <t>Осталось 317600шт</t>
        </r>
      </text>
    </comment>
    <comment ref="F952" authorId="0" shapeId="0" xr:uid="{00000000-0006-0000-0000-0000AC000000}">
      <text>
        <r>
          <rPr>
            <sz val="11"/>
            <color rgb="FF000000"/>
            <rFont val="Calibri"/>
          </rPr>
          <t>Осталось 41900шт</t>
        </r>
      </text>
    </comment>
    <comment ref="F953" authorId="0" shapeId="0" xr:uid="{00000000-0006-0000-0000-0000AD000000}">
      <text>
        <r>
          <rPr>
            <sz val="11"/>
            <color rgb="FF000000"/>
            <rFont val="Calibri"/>
          </rPr>
          <t>Осталось 115600шт</t>
        </r>
      </text>
    </comment>
    <comment ref="F954" authorId="0" shapeId="0" xr:uid="{00000000-0006-0000-0000-0000AE000000}">
      <text>
        <r>
          <rPr>
            <sz val="11"/>
            <color rgb="FF000000"/>
            <rFont val="Calibri"/>
          </rPr>
          <t>Осталось 62600шт</t>
        </r>
      </text>
    </comment>
    <comment ref="F955" authorId="0" shapeId="0" xr:uid="{00000000-0006-0000-0000-0000AF000000}">
      <text>
        <r>
          <rPr>
            <sz val="11"/>
            <color rgb="FF000000"/>
            <rFont val="Calibri"/>
          </rPr>
          <t>Осталось 286100шт</t>
        </r>
      </text>
    </comment>
    <comment ref="F956" authorId="0" shapeId="0" xr:uid="{00000000-0006-0000-0000-0000B0000000}">
      <text>
        <r>
          <rPr>
            <sz val="11"/>
            <color rgb="FF000000"/>
            <rFont val="Calibri"/>
          </rPr>
          <t>Осталось 34000шт</t>
        </r>
      </text>
    </comment>
    <comment ref="F957" authorId="0" shapeId="0" xr:uid="{00000000-0006-0000-0000-0000B1000000}">
      <text>
        <r>
          <rPr>
            <sz val="11"/>
            <color rgb="FF000000"/>
            <rFont val="Calibri"/>
          </rPr>
          <t>Осталось 294800шт</t>
        </r>
      </text>
    </comment>
    <comment ref="F958" authorId="0" shapeId="0" xr:uid="{00000000-0006-0000-0000-0000B2000000}">
      <text>
        <r>
          <rPr>
            <sz val="11"/>
            <color rgb="FF000000"/>
            <rFont val="Calibri"/>
          </rPr>
          <t>Осталось 62700шт</t>
        </r>
      </text>
    </comment>
    <comment ref="F959" authorId="0" shapeId="0" xr:uid="{00000000-0006-0000-0000-0000B3000000}">
      <text>
        <r>
          <rPr>
            <sz val="11"/>
            <color rgb="FF000000"/>
            <rFont val="Calibri"/>
          </rPr>
          <t>Осталось 55000шт</t>
        </r>
      </text>
    </comment>
    <comment ref="F960" authorId="0" shapeId="0" xr:uid="{00000000-0006-0000-0000-0000B4000000}">
      <text>
        <r>
          <rPr>
            <sz val="11"/>
            <color rgb="FF000000"/>
            <rFont val="Calibri"/>
          </rPr>
          <t>Осталось 183500шт</t>
        </r>
      </text>
    </comment>
    <comment ref="F961" authorId="0" shapeId="0" xr:uid="{00000000-0006-0000-0000-0000B5000000}">
      <text>
        <r>
          <rPr>
            <sz val="11"/>
            <color rgb="FF000000"/>
            <rFont val="Calibri"/>
          </rPr>
          <t>Осталось 21000шт</t>
        </r>
      </text>
    </comment>
    <comment ref="F962" authorId="0" shapeId="0" xr:uid="{00000000-0006-0000-0000-0000B6000000}">
      <text>
        <r>
          <rPr>
            <sz val="11"/>
            <color rgb="FF000000"/>
            <rFont val="Calibri"/>
          </rPr>
          <t>Осталось 0шт</t>
        </r>
      </text>
    </comment>
    <comment ref="F963" authorId="0" shapeId="0" xr:uid="{00000000-0006-0000-0000-0000B7000000}">
      <text>
        <r>
          <rPr>
            <sz val="11"/>
            <color rgb="FF000000"/>
            <rFont val="Calibri"/>
          </rPr>
          <t>Осталось 231700шт</t>
        </r>
      </text>
    </comment>
    <comment ref="F964" authorId="0" shapeId="0" xr:uid="{00000000-0006-0000-0000-0000B8000000}">
      <text>
        <r>
          <rPr>
            <sz val="11"/>
            <color rgb="FF000000"/>
            <rFont val="Calibri"/>
          </rPr>
          <t>Осталось 2300шт</t>
        </r>
      </text>
    </comment>
    <comment ref="F965" authorId="0" shapeId="0" xr:uid="{00000000-0006-0000-0000-0000B9000000}">
      <text>
        <r>
          <rPr>
            <sz val="11"/>
            <color rgb="FF000000"/>
            <rFont val="Calibri"/>
          </rPr>
          <t>Осталось 117700шт</t>
        </r>
      </text>
    </comment>
    <comment ref="F966" authorId="0" shapeId="0" xr:uid="{00000000-0006-0000-0000-0000BA000000}">
      <text>
        <r>
          <rPr>
            <sz val="11"/>
            <color rgb="FF000000"/>
            <rFont val="Calibri"/>
          </rPr>
          <t>Осталось 82500шт</t>
        </r>
      </text>
    </comment>
    <comment ref="F967" authorId="0" shapeId="0" xr:uid="{00000000-0006-0000-0000-0000BB000000}">
      <text>
        <r>
          <rPr>
            <sz val="11"/>
            <color rgb="FF000000"/>
            <rFont val="Calibri"/>
          </rPr>
          <t>Осталось 2300шт</t>
        </r>
      </text>
    </comment>
    <comment ref="F968" authorId="0" shapeId="0" xr:uid="{00000000-0006-0000-0000-0000BC000000}">
      <text>
        <r>
          <rPr>
            <sz val="11"/>
            <color rgb="FF000000"/>
            <rFont val="Calibri"/>
          </rPr>
          <t>Осталось 2500шт</t>
        </r>
      </text>
    </comment>
    <comment ref="F969" authorId="0" shapeId="0" xr:uid="{00000000-0006-0000-0000-0000BD000000}">
      <text>
        <r>
          <rPr>
            <sz val="11"/>
            <color rgb="FF000000"/>
            <rFont val="Calibri"/>
          </rPr>
          <t>Осталось 2800шт</t>
        </r>
      </text>
    </comment>
    <comment ref="F970" authorId="0" shapeId="0" xr:uid="{00000000-0006-0000-0000-0000BE000000}">
      <text>
        <r>
          <rPr>
            <sz val="11"/>
            <color rgb="FF000000"/>
            <rFont val="Calibri"/>
          </rPr>
          <t>Осталось 275шт</t>
        </r>
      </text>
    </comment>
    <comment ref="F971" authorId="0" shapeId="0" xr:uid="{00000000-0006-0000-0000-0000BF000000}">
      <text>
        <r>
          <rPr>
            <sz val="11"/>
            <color rgb="FF000000"/>
            <rFont val="Calibri"/>
          </rPr>
          <t>Осталось 1000шт</t>
        </r>
      </text>
    </comment>
    <comment ref="F972" authorId="0" shapeId="0" xr:uid="{00000000-0006-0000-0000-0000C0000000}">
      <text>
        <r>
          <rPr>
            <sz val="11"/>
            <color rgb="FF000000"/>
            <rFont val="Calibri"/>
          </rPr>
          <t>Осталось 975шт</t>
        </r>
      </text>
    </comment>
    <comment ref="F973" authorId="0" shapeId="0" xr:uid="{00000000-0006-0000-0000-0000C1000000}">
      <text>
        <r>
          <rPr>
            <sz val="11"/>
            <color rgb="FF000000"/>
            <rFont val="Calibri"/>
          </rPr>
          <t>Осталось 360шт</t>
        </r>
      </text>
    </comment>
    <comment ref="F1004" authorId="0" shapeId="0" xr:uid="{00000000-0006-0000-0000-0000C2000000}">
      <text>
        <r>
          <rPr>
            <sz val="11"/>
            <color rgb="FF000000"/>
            <rFont val="Calibri"/>
          </rPr>
          <t>Осталось 700шт</t>
        </r>
      </text>
    </comment>
    <comment ref="F1005" authorId="0" shapeId="0" xr:uid="{00000000-0006-0000-0000-0000C3000000}">
      <text>
        <r>
          <rPr>
            <sz val="11"/>
            <color rgb="FF000000"/>
            <rFont val="Calibri"/>
          </rPr>
          <t>Осталось 500шт</t>
        </r>
      </text>
    </comment>
    <comment ref="F1006" authorId="0" shapeId="0" xr:uid="{00000000-0006-0000-0000-0000C4000000}">
      <text>
        <r>
          <rPr>
            <sz val="11"/>
            <color rgb="FF000000"/>
            <rFont val="Calibri"/>
          </rPr>
          <t>Осталось 0шт</t>
        </r>
      </text>
    </comment>
    <comment ref="F1007" authorId="0" shapeId="0" xr:uid="{00000000-0006-0000-0000-0000C5000000}">
      <text>
        <r>
          <rPr>
            <sz val="11"/>
            <color rgb="FF000000"/>
            <rFont val="Calibri"/>
          </rPr>
          <t>Осталось 0шт</t>
        </r>
      </text>
    </comment>
    <comment ref="F1008" authorId="0" shapeId="0" xr:uid="{00000000-0006-0000-0000-0000C6000000}">
      <text>
        <r>
          <rPr>
            <sz val="11"/>
            <color rgb="FF000000"/>
            <rFont val="Calibri"/>
          </rPr>
          <t>Осталось 800шт</t>
        </r>
      </text>
    </comment>
    <comment ref="F1009" authorId="0" shapeId="0" xr:uid="{00000000-0006-0000-0000-0000C7000000}">
      <text>
        <r>
          <rPr>
            <sz val="11"/>
            <color rgb="FF000000"/>
            <rFont val="Calibri"/>
          </rPr>
          <t>Осталось 100шт</t>
        </r>
      </text>
    </comment>
    <comment ref="F1010" authorId="0" shapeId="0" xr:uid="{00000000-0006-0000-0000-0000C8000000}">
      <text>
        <r>
          <rPr>
            <sz val="11"/>
            <color rgb="FF000000"/>
            <rFont val="Calibri"/>
          </rPr>
          <t>Осталось 0шт</t>
        </r>
      </text>
    </comment>
    <comment ref="F1011" authorId="0" shapeId="0" xr:uid="{00000000-0006-0000-0000-0000C9000000}">
      <text>
        <r>
          <rPr>
            <sz val="11"/>
            <color rgb="FF000000"/>
            <rFont val="Calibri"/>
          </rPr>
          <t>Осталось 0шт</t>
        </r>
      </text>
    </comment>
    <comment ref="F1012" authorId="0" shapeId="0" xr:uid="{00000000-0006-0000-0000-0000CA000000}">
      <text>
        <r>
          <rPr>
            <sz val="11"/>
            <color rgb="FF000000"/>
            <rFont val="Calibri"/>
          </rPr>
          <t>Осталось 200шт</t>
        </r>
      </text>
    </comment>
    <comment ref="F1013" authorId="0" shapeId="0" xr:uid="{00000000-0006-0000-0000-0000CB000000}">
      <text>
        <r>
          <rPr>
            <sz val="11"/>
            <color rgb="FF000000"/>
            <rFont val="Calibri"/>
          </rPr>
          <t>Осталось 0шт</t>
        </r>
      </text>
    </comment>
    <comment ref="F1014" authorId="0" shapeId="0" xr:uid="{00000000-0006-0000-0000-0000CC000000}">
      <text>
        <r>
          <rPr>
            <sz val="11"/>
            <color rgb="FF000000"/>
            <rFont val="Calibri"/>
          </rPr>
          <t>Осталось 0шт</t>
        </r>
      </text>
    </comment>
    <comment ref="F1015" authorId="0" shapeId="0" xr:uid="{00000000-0006-0000-0000-0000CD000000}">
      <text>
        <r>
          <rPr>
            <sz val="11"/>
            <color rgb="FF000000"/>
            <rFont val="Calibri"/>
          </rPr>
          <t>Осталось 0шт</t>
        </r>
      </text>
    </comment>
    <comment ref="F1016" authorId="0" shapeId="0" xr:uid="{00000000-0006-0000-0000-0000CE000000}">
      <text>
        <r>
          <rPr>
            <sz val="11"/>
            <color rgb="FF000000"/>
            <rFont val="Calibri"/>
          </rPr>
          <t>Осталось 0шт</t>
        </r>
      </text>
    </comment>
    <comment ref="F1030" authorId="0" shapeId="0" xr:uid="{00000000-0006-0000-0000-0000CF000000}">
      <text>
        <r>
          <rPr>
            <sz val="11"/>
            <color rgb="FF000000"/>
            <rFont val="Calibri"/>
          </rPr>
          <t>Осталось 37500шт</t>
        </r>
      </text>
    </comment>
    <comment ref="F1031" authorId="0" shapeId="0" xr:uid="{00000000-0006-0000-0000-0000D0000000}">
      <text>
        <r>
          <rPr>
            <sz val="11"/>
            <color rgb="FF000000"/>
            <rFont val="Calibri"/>
          </rPr>
          <t>Осталось 129900шт</t>
        </r>
      </text>
    </comment>
    <comment ref="F1032" authorId="0" shapeId="0" xr:uid="{00000000-0006-0000-0000-0000D1000000}">
      <text>
        <r>
          <rPr>
            <sz val="11"/>
            <color rgb="FF000000"/>
            <rFont val="Calibri"/>
          </rPr>
          <t>Осталось 46900шт</t>
        </r>
      </text>
    </comment>
    <comment ref="F1033" authorId="0" shapeId="0" xr:uid="{00000000-0006-0000-0000-0000D2000000}">
      <text>
        <r>
          <rPr>
            <sz val="11"/>
            <color rgb="FF000000"/>
            <rFont val="Calibri"/>
          </rPr>
          <t>Осталось 58000шт</t>
        </r>
      </text>
    </comment>
    <comment ref="F1034" authorId="0" shapeId="0" xr:uid="{00000000-0006-0000-0000-0000D3000000}">
      <text>
        <r>
          <rPr>
            <sz val="11"/>
            <color rgb="FF000000"/>
            <rFont val="Calibri"/>
          </rPr>
          <t>Осталось 32500шт</t>
        </r>
      </text>
    </comment>
    <comment ref="F1035" authorId="0" shapeId="0" xr:uid="{00000000-0006-0000-0000-0000D4000000}">
      <text>
        <r>
          <rPr>
            <sz val="11"/>
            <color rgb="FF000000"/>
            <rFont val="Calibri"/>
          </rPr>
          <t>Осталось 102500шт</t>
        </r>
      </text>
    </comment>
    <comment ref="F1036" authorId="0" shapeId="0" xr:uid="{00000000-0006-0000-0000-0000D5000000}">
      <text>
        <r>
          <rPr>
            <sz val="11"/>
            <color rgb="FF000000"/>
            <rFont val="Calibri"/>
          </rPr>
          <t>Осталось 39500шт</t>
        </r>
      </text>
    </comment>
    <comment ref="F1037" authorId="0" shapeId="0" xr:uid="{00000000-0006-0000-0000-0000D6000000}">
      <text>
        <r>
          <rPr>
            <sz val="11"/>
            <color rgb="FF000000"/>
            <rFont val="Calibri"/>
          </rPr>
          <t>Осталось 75100шт</t>
        </r>
      </text>
    </comment>
    <comment ref="F1038" authorId="0" shapeId="0" xr:uid="{00000000-0006-0000-0000-0000D7000000}">
      <text>
        <r>
          <rPr>
            <sz val="11"/>
            <color rgb="FF000000"/>
            <rFont val="Calibri"/>
          </rPr>
          <t>Осталось 300шт</t>
        </r>
      </text>
    </comment>
    <comment ref="F1039" authorId="0" shapeId="0" xr:uid="{00000000-0006-0000-0000-0000D8000000}">
      <text>
        <r>
          <rPr>
            <sz val="11"/>
            <color rgb="FF000000"/>
            <rFont val="Calibri"/>
          </rPr>
          <t>Осталось 43900шт</t>
        </r>
      </text>
    </comment>
    <comment ref="F1040" authorId="0" shapeId="0" xr:uid="{00000000-0006-0000-0000-0000D9000000}">
      <text>
        <r>
          <rPr>
            <sz val="11"/>
            <color rgb="FF000000"/>
            <rFont val="Calibri"/>
          </rPr>
          <t>Осталось 11100шт</t>
        </r>
      </text>
    </comment>
    <comment ref="F1041" authorId="0" shapeId="0" xr:uid="{00000000-0006-0000-0000-0000DA000000}">
      <text>
        <r>
          <rPr>
            <sz val="11"/>
            <color rgb="FF000000"/>
            <rFont val="Calibri"/>
          </rPr>
          <t>Осталось 36600шт</t>
        </r>
      </text>
    </comment>
    <comment ref="F1042" authorId="0" shapeId="0" xr:uid="{00000000-0006-0000-0000-0000DB000000}">
      <text>
        <r>
          <rPr>
            <sz val="11"/>
            <color rgb="FF000000"/>
            <rFont val="Calibri"/>
          </rPr>
          <t>Осталось 2700шт</t>
        </r>
      </text>
    </comment>
    <comment ref="F1056" authorId="0" shapeId="0" xr:uid="{00000000-0006-0000-0000-0000DC000000}">
      <text>
        <r>
          <rPr>
            <sz val="11"/>
            <color rgb="FF000000"/>
            <rFont val="Calibri"/>
          </rPr>
          <t>Осталось 0шт</t>
        </r>
      </text>
    </comment>
    <comment ref="F1057" authorId="0" shapeId="0" xr:uid="{00000000-0006-0000-0000-0000DD000000}">
      <text>
        <r>
          <rPr>
            <sz val="11"/>
            <color rgb="FF000000"/>
            <rFont val="Calibri"/>
          </rPr>
          <t>Осталось 0шт</t>
        </r>
      </text>
    </comment>
    <comment ref="F1058" authorId="0" shapeId="0" xr:uid="{00000000-0006-0000-0000-0000DE000000}">
      <text>
        <r>
          <rPr>
            <sz val="11"/>
            <color rgb="FF000000"/>
            <rFont val="Calibri"/>
          </rPr>
          <t>Осталось 0шт</t>
        </r>
      </text>
    </comment>
    <comment ref="F1059" authorId="0" shapeId="0" xr:uid="{00000000-0006-0000-0000-0000DF000000}">
      <text>
        <r>
          <rPr>
            <sz val="11"/>
            <color rgb="FF000000"/>
            <rFont val="Calibri"/>
          </rPr>
          <t>Осталось 0шт</t>
        </r>
      </text>
    </comment>
    <comment ref="F1060" authorId="0" shapeId="0" xr:uid="{00000000-0006-0000-0000-0000E0000000}">
      <text>
        <r>
          <rPr>
            <sz val="11"/>
            <color rgb="FF000000"/>
            <rFont val="Calibri"/>
          </rPr>
          <t>Осталось 200шт</t>
        </r>
      </text>
    </comment>
    <comment ref="F1061" authorId="0" shapeId="0" xr:uid="{00000000-0006-0000-0000-0000E1000000}">
      <text>
        <r>
          <rPr>
            <sz val="11"/>
            <color rgb="FF000000"/>
            <rFont val="Calibri"/>
          </rPr>
          <t>Осталось 500шт</t>
        </r>
      </text>
    </comment>
    <comment ref="F1062" authorId="0" shapeId="0" xr:uid="{00000000-0006-0000-0000-0000E2000000}">
      <text>
        <r>
          <rPr>
            <sz val="11"/>
            <color rgb="FF000000"/>
            <rFont val="Calibri"/>
          </rPr>
          <t>Осталось 100шт</t>
        </r>
      </text>
    </comment>
    <comment ref="F1063" authorId="0" shapeId="0" xr:uid="{00000000-0006-0000-0000-0000E3000000}">
      <text>
        <r>
          <rPr>
            <sz val="11"/>
            <color rgb="FF000000"/>
            <rFont val="Calibri"/>
          </rPr>
          <t>Осталось 400шт</t>
        </r>
      </text>
    </comment>
    <comment ref="F1072" authorId="0" shapeId="0" xr:uid="{00000000-0006-0000-0000-0000E4000000}">
      <text>
        <r>
          <rPr>
            <sz val="11"/>
            <color rgb="FF000000"/>
            <rFont val="Calibri"/>
          </rPr>
          <t>Осталось 10600шт</t>
        </r>
      </text>
    </comment>
    <comment ref="F1073" authorId="0" shapeId="0" xr:uid="{00000000-0006-0000-0000-0000E5000000}">
      <text>
        <r>
          <rPr>
            <sz val="11"/>
            <color rgb="FF000000"/>
            <rFont val="Calibri"/>
          </rPr>
          <t>Осталось 3000шт</t>
        </r>
      </text>
    </comment>
    <comment ref="F1074" authorId="0" shapeId="0" xr:uid="{00000000-0006-0000-0000-0000E6000000}">
      <text>
        <r>
          <rPr>
            <sz val="11"/>
            <color rgb="FF000000"/>
            <rFont val="Calibri"/>
          </rPr>
          <t>Осталось 7100шт</t>
        </r>
      </text>
    </comment>
    <comment ref="F1075" authorId="0" shapeId="0" xr:uid="{00000000-0006-0000-0000-0000E7000000}">
      <text>
        <r>
          <rPr>
            <sz val="11"/>
            <color rgb="FF000000"/>
            <rFont val="Calibri"/>
          </rPr>
          <t>Осталось 5700шт</t>
        </r>
      </text>
    </comment>
    <comment ref="F1076" authorId="0" shapeId="0" xr:uid="{00000000-0006-0000-0000-0000E8000000}">
      <text>
        <r>
          <rPr>
            <sz val="11"/>
            <color rgb="FF000000"/>
            <rFont val="Calibri"/>
          </rPr>
          <t>Осталось 10200шт</t>
        </r>
      </text>
    </comment>
    <comment ref="F1078" authorId="0" shapeId="0" xr:uid="{00000000-0006-0000-0000-0000E9000000}">
      <text>
        <r>
          <rPr>
            <sz val="11"/>
            <color rgb="FF000000"/>
            <rFont val="Calibri"/>
          </rPr>
          <t>Осталось 7200шт</t>
        </r>
      </text>
    </comment>
    <comment ref="F1079" authorId="0" shapeId="0" xr:uid="{00000000-0006-0000-0000-0000EA000000}">
      <text>
        <r>
          <rPr>
            <sz val="11"/>
            <color rgb="FF000000"/>
            <rFont val="Calibri"/>
          </rPr>
          <t>Осталось 2800шт</t>
        </r>
      </text>
    </comment>
    <comment ref="F1080" authorId="0" shapeId="0" xr:uid="{00000000-0006-0000-0000-0000EB000000}">
      <text>
        <r>
          <rPr>
            <sz val="11"/>
            <color rgb="FF000000"/>
            <rFont val="Calibri"/>
          </rPr>
          <t>Осталось 1600шт</t>
        </r>
      </text>
    </comment>
    <comment ref="F1081" authorId="0" shapeId="0" xr:uid="{00000000-0006-0000-0000-0000EC000000}">
      <text>
        <r>
          <rPr>
            <sz val="11"/>
            <color rgb="FF000000"/>
            <rFont val="Calibri"/>
          </rPr>
          <t>Осталось 1700шт</t>
        </r>
      </text>
    </comment>
    <comment ref="F1099" authorId="0" shapeId="0" xr:uid="{00000000-0006-0000-0000-0000ED000000}">
      <text>
        <r>
          <rPr>
            <sz val="11"/>
            <color rgb="FF000000"/>
            <rFont val="Calibri"/>
          </rPr>
          <t>Осталось 3шт</t>
        </r>
      </text>
    </comment>
    <comment ref="F1101" authorId="0" shapeId="0" xr:uid="{00000000-0006-0000-0000-0000EE000000}">
      <text>
        <r>
          <rPr>
            <sz val="11"/>
            <color rgb="FF000000"/>
            <rFont val="Calibri"/>
          </rPr>
          <t>Осталось 5шт</t>
        </r>
      </text>
    </comment>
    <comment ref="F1108" authorId="0" shapeId="0" xr:uid="{00000000-0006-0000-0000-0000EF000000}">
      <text>
        <r>
          <rPr>
            <sz val="11"/>
            <color rgb="FF000000"/>
            <rFont val="Calibri"/>
          </rPr>
          <t>Осталось 13900шт</t>
        </r>
      </text>
    </comment>
    <comment ref="F1110" authorId="0" shapeId="0" xr:uid="{00000000-0006-0000-0000-0000F0000000}">
      <text>
        <r>
          <rPr>
            <sz val="11"/>
            <color rgb="FF000000"/>
            <rFont val="Calibri"/>
          </rPr>
          <t>Осталось 16700шт</t>
        </r>
      </text>
    </comment>
    <comment ref="F1112" authorId="0" shapeId="0" xr:uid="{00000000-0006-0000-0000-0000F1000000}">
      <text>
        <r>
          <rPr>
            <sz val="11"/>
            <color rgb="FF000000"/>
            <rFont val="Calibri"/>
          </rPr>
          <t>Осталось 7800шт</t>
        </r>
      </text>
    </comment>
    <comment ref="F1114" authorId="0" shapeId="0" xr:uid="{00000000-0006-0000-0000-0000F2000000}">
      <text>
        <r>
          <rPr>
            <sz val="11"/>
            <color rgb="FF000000"/>
            <rFont val="Calibri"/>
          </rPr>
          <t>Осталось 8600шт</t>
        </r>
      </text>
    </comment>
    <comment ref="F1118" authorId="0" shapeId="0" xr:uid="{00000000-0006-0000-0000-0000F3000000}">
      <text>
        <r>
          <rPr>
            <sz val="11"/>
            <color rgb="FF000000"/>
            <rFont val="Calibri"/>
          </rPr>
          <t>Осталось 7500шт</t>
        </r>
      </text>
    </comment>
    <comment ref="F1120" authorId="0" shapeId="0" xr:uid="{00000000-0006-0000-0000-0000F4000000}">
      <text>
        <r>
          <rPr>
            <sz val="11"/>
            <color rgb="FF000000"/>
            <rFont val="Calibri"/>
          </rPr>
          <t>Осталось 6800шт</t>
        </r>
      </text>
    </comment>
    <comment ref="F1122" authorId="0" shapeId="0" xr:uid="{00000000-0006-0000-0000-0000F5000000}">
      <text>
        <r>
          <rPr>
            <sz val="11"/>
            <color rgb="FF000000"/>
            <rFont val="Calibri"/>
          </rPr>
          <t>Осталось 4200шт</t>
        </r>
      </text>
    </comment>
    <comment ref="F1124" authorId="0" shapeId="0" xr:uid="{00000000-0006-0000-0000-0000F6000000}">
      <text>
        <r>
          <rPr>
            <sz val="11"/>
            <color rgb="FF000000"/>
            <rFont val="Calibri"/>
          </rPr>
          <t>Осталось 14200шт</t>
        </r>
      </text>
    </comment>
    <comment ref="F1126" authorId="0" shapeId="0" xr:uid="{00000000-0006-0000-0000-0000F7000000}">
      <text>
        <r>
          <rPr>
            <sz val="11"/>
            <color rgb="FF000000"/>
            <rFont val="Calibri"/>
          </rPr>
          <t>Осталось 1950шт</t>
        </r>
      </text>
    </comment>
    <comment ref="F1128" authorId="0" shapeId="0" xr:uid="{00000000-0006-0000-0000-0000F8000000}">
      <text>
        <r>
          <rPr>
            <sz val="11"/>
            <color rgb="FF000000"/>
            <rFont val="Calibri"/>
          </rPr>
          <t>Осталось 1100шт</t>
        </r>
      </text>
    </comment>
    <comment ref="F1130" authorId="0" shapeId="0" xr:uid="{00000000-0006-0000-0000-0000F9000000}">
      <text>
        <r>
          <rPr>
            <sz val="11"/>
            <color rgb="FF000000"/>
            <rFont val="Calibri"/>
          </rPr>
          <t>Осталось 750шт</t>
        </r>
      </text>
    </comment>
    <comment ref="F1132" authorId="0" shapeId="0" xr:uid="{00000000-0006-0000-0000-0000FA000000}">
      <text>
        <r>
          <rPr>
            <sz val="11"/>
            <color rgb="FF000000"/>
            <rFont val="Calibri"/>
          </rPr>
          <t>Осталось 2800шт</t>
        </r>
      </text>
    </comment>
    <comment ref="F1134" authorId="0" shapeId="0" xr:uid="{00000000-0006-0000-0000-0000FB000000}">
      <text>
        <r>
          <rPr>
            <sz val="11"/>
            <color rgb="FF000000"/>
            <rFont val="Calibri"/>
          </rPr>
          <t>Осталось 5850шт</t>
        </r>
      </text>
    </comment>
    <comment ref="F1136" authorId="0" shapeId="0" xr:uid="{00000000-0006-0000-0000-0000FC000000}">
      <text>
        <r>
          <rPr>
            <sz val="11"/>
            <color rgb="FF000000"/>
            <rFont val="Calibri"/>
          </rPr>
          <t>Осталось 50шт</t>
        </r>
      </text>
    </comment>
    <comment ref="F1138" authorId="0" shapeId="0" xr:uid="{00000000-0006-0000-0000-0000FD000000}">
      <text>
        <r>
          <rPr>
            <sz val="11"/>
            <color rgb="FF000000"/>
            <rFont val="Calibri"/>
          </rPr>
          <t>Осталось 2700шт</t>
        </r>
      </text>
    </comment>
    <comment ref="F1140" authorId="0" shapeId="0" xr:uid="{00000000-0006-0000-0000-0000FE000000}">
      <text>
        <r>
          <rPr>
            <sz val="11"/>
            <color rgb="FF000000"/>
            <rFont val="Calibri"/>
          </rPr>
          <t>Осталось 3200шт</t>
        </r>
      </text>
    </comment>
    <comment ref="F1142" authorId="0" shapeId="0" xr:uid="{00000000-0006-0000-0000-0000FF000000}">
      <text>
        <r>
          <rPr>
            <sz val="11"/>
            <color rgb="FF000000"/>
            <rFont val="Calibri"/>
          </rPr>
          <t>Осталось 2350шт</t>
        </r>
      </text>
    </comment>
    <comment ref="F1144" authorId="0" shapeId="0" xr:uid="{00000000-0006-0000-0000-000000010000}">
      <text>
        <r>
          <rPr>
            <sz val="11"/>
            <color rgb="FF000000"/>
            <rFont val="Calibri"/>
          </rPr>
          <t>Осталось 9950шт</t>
        </r>
      </text>
    </comment>
    <comment ref="F1146" authorId="0" shapeId="0" xr:uid="{00000000-0006-0000-0000-000001010000}">
      <text>
        <r>
          <rPr>
            <sz val="11"/>
            <color rgb="FF000000"/>
            <rFont val="Calibri"/>
          </rPr>
          <t>Осталось 1275шт</t>
        </r>
      </text>
    </comment>
    <comment ref="F1148" authorId="0" shapeId="0" xr:uid="{00000000-0006-0000-0000-000002010000}">
      <text>
        <r>
          <rPr>
            <sz val="11"/>
            <color rgb="FF000000"/>
            <rFont val="Calibri"/>
          </rPr>
          <t>Осталось 325шт</t>
        </r>
      </text>
    </comment>
    <comment ref="F1151" authorId="0" shapeId="0" xr:uid="{00000000-0006-0000-0000-000003010000}">
      <text>
        <r>
          <rPr>
            <sz val="11"/>
            <color rgb="FF000000"/>
            <rFont val="Calibri"/>
          </rPr>
          <t>Осталось 725шт</t>
        </r>
      </text>
    </comment>
    <comment ref="F1153" authorId="0" shapeId="0" xr:uid="{00000000-0006-0000-0000-000004010000}">
      <text>
        <r>
          <rPr>
            <sz val="11"/>
            <color rgb="FF000000"/>
            <rFont val="Calibri"/>
          </rPr>
          <t>Осталось 700шт</t>
        </r>
      </text>
    </comment>
    <comment ref="F1155" authorId="0" shapeId="0" xr:uid="{00000000-0006-0000-0000-000005010000}">
      <text>
        <r>
          <rPr>
            <sz val="11"/>
            <color rgb="FF000000"/>
            <rFont val="Calibri"/>
          </rPr>
          <t>Осталось 1260шт</t>
        </r>
      </text>
    </comment>
    <comment ref="F2846" authorId="0" shapeId="0" xr:uid="{00000000-0006-0000-0000-000006010000}">
      <text>
        <r>
          <rPr>
            <sz val="11"/>
            <color rgb="FF000000"/>
            <rFont val="Calibri"/>
          </rPr>
          <t>Осталось 8шт</t>
        </r>
      </text>
    </comment>
    <comment ref="F2852" authorId="0" shapeId="0" xr:uid="{00000000-0006-0000-0000-000007010000}">
      <text>
        <r>
          <rPr>
            <sz val="11"/>
            <color rgb="FF000000"/>
            <rFont val="Calibri"/>
          </rPr>
          <t>Осталось 5шт</t>
        </r>
      </text>
    </comment>
    <comment ref="F2862" authorId="0" shapeId="0" xr:uid="{00000000-0006-0000-0000-000008010000}">
      <text>
        <r>
          <rPr>
            <sz val="11"/>
            <color rgb="FF000000"/>
            <rFont val="Calibri"/>
          </rPr>
          <t>Осталось 1шт</t>
        </r>
      </text>
    </comment>
    <comment ref="F2868" authorId="0" shapeId="0" xr:uid="{00000000-0006-0000-0000-000009010000}">
      <text>
        <r>
          <rPr>
            <sz val="11"/>
            <color rgb="FF000000"/>
            <rFont val="Calibri"/>
          </rPr>
          <t>Осталось 1шт</t>
        </r>
      </text>
    </comment>
    <comment ref="F2869" authorId="0" shapeId="0" xr:uid="{00000000-0006-0000-0000-00000A010000}">
      <text>
        <r>
          <rPr>
            <sz val="11"/>
            <color rgb="FF000000"/>
            <rFont val="Calibri"/>
          </rPr>
          <t>Осталось 1шт</t>
        </r>
      </text>
    </comment>
    <comment ref="F2872" authorId="0" shapeId="0" xr:uid="{00000000-0006-0000-0000-00000B010000}">
      <text>
        <r>
          <rPr>
            <sz val="11"/>
            <color rgb="FF000000"/>
            <rFont val="Calibri"/>
          </rPr>
          <t>Осталось 6шт</t>
        </r>
      </text>
    </comment>
    <comment ref="F2873" authorId="0" shapeId="0" xr:uid="{00000000-0006-0000-0000-00000C010000}">
      <text>
        <r>
          <rPr>
            <sz val="11"/>
            <color rgb="FF000000"/>
            <rFont val="Calibri"/>
          </rPr>
          <t>Осталось 1шт</t>
        </r>
      </text>
    </comment>
    <comment ref="F2880" authorId="0" shapeId="0" xr:uid="{00000000-0006-0000-0000-00000D010000}">
      <text>
        <r>
          <rPr>
            <sz val="11"/>
            <color rgb="FF000000"/>
            <rFont val="Calibri"/>
          </rPr>
          <t>Осталось 8шт</t>
        </r>
      </text>
    </comment>
    <comment ref="F2886" authorId="0" shapeId="0" xr:uid="{00000000-0006-0000-0000-00000E010000}">
      <text>
        <r>
          <rPr>
            <sz val="11"/>
            <color rgb="FF000000"/>
            <rFont val="Calibri"/>
          </rPr>
          <t>Осталось 1шт</t>
        </r>
      </text>
    </comment>
    <comment ref="F2902" authorId="0" shapeId="0" xr:uid="{00000000-0006-0000-0000-00000F010000}">
      <text>
        <r>
          <rPr>
            <sz val="11"/>
            <color rgb="FF000000"/>
            <rFont val="Calibri"/>
          </rPr>
          <t>Осталось 2шт</t>
        </r>
      </text>
    </comment>
    <comment ref="F2904" authorId="0" shapeId="0" xr:uid="{00000000-0006-0000-0000-000010010000}">
      <text>
        <r>
          <rPr>
            <sz val="11"/>
            <color rgb="FF000000"/>
            <rFont val="Calibri"/>
          </rPr>
          <t>Осталось 3шт</t>
        </r>
      </text>
    </comment>
    <comment ref="F3245" authorId="0" shapeId="0" xr:uid="{00000000-0006-0000-0000-000011010000}">
      <text>
        <r>
          <rPr>
            <sz val="11"/>
            <color rgb="FF000000"/>
            <rFont val="Calibri"/>
          </rPr>
          <t>Осталось 35шт</t>
        </r>
      </text>
    </comment>
    <comment ref="F3254" authorId="0" shapeId="0" xr:uid="{00000000-0006-0000-0000-000012010000}">
      <text>
        <r>
          <rPr>
            <sz val="11"/>
            <color rgb="FF000000"/>
            <rFont val="Calibri"/>
          </rPr>
          <t>Осталось 25шт</t>
        </r>
      </text>
    </comment>
    <comment ref="F3305" authorId="0" shapeId="0" xr:uid="{00000000-0006-0000-0000-000013010000}">
      <text>
        <r>
          <rPr>
            <sz val="11"/>
            <color rgb="FF000000"/>
            <rFont val="Calibri"/>
          </rPr>
          <t>Осталось 1компл</t>
        </r>
      </text>
    </comment>
    <comment ref="F3535" authorId="0" shapeId="0" xr:uid="{00000000-0006-0000-0000-000014010000}">
      <text>
        <r>
          <rPr>
            <sz val="11"/>
            <color rgb="FF000000"/>
            <rFont val="Calibri"/>
          </rPr>
          <t>Осталось 0шт</t>
        </r>
      </text>
    </comment>
    <comment ref="F3537" authorId="0" shapeId="0" xr:uid="{00000000-0006-0000-0000-000015010000}">
      <text>
        <r>
          <rPr>
            <sz val="11"/>
            <color rgb="FF000000"/>
            <rFont val="Calibri"/>
          </rPr>
          <t>Осталось 0шт</t>
        </r>
      </text>
    </comment>
    <comment ref="F3538" authorId="0" shapeId="0" xr:uid="{00000000-0006-0000-0000-000016010000}">
      <text>
        <r>
          <rPr>
            <sz val="11"/>
            <color rgb="FF000000"/>
            <rFont val="Calibri"/>
          </rPr>
          <t>Осталось 0шт</t>
        </r>
      </text>
    </comment>
    <comment ref="F3550" authorId="0" shapeId="0" xr:uid="{00000000-0006-0000-0000-000017010000}">
      <text>
        <r>
          <rPr>
            <sz val="11"/>
            <color rgb="FF000000"/>
            <rFont val="Calibri"/>
          </rPr>
          <t>Осталось 1шт</t>
        </r>
      </text>
    </comment>
    <comment ref="F3565" authorId="0" shapeId="0" xr:uid="{00000000-0006-0000-0000-000018010000}">
      <text>
        <r>
          <rPr>
            <sz val="11"/>
            <color rgb="FF000000"/>
            <rFont val="Calibri"/>
          </rPr>
          <t>Осталось 7шт</t>
        </r>
      </text>
    </comment>
    <comment ref="F3575" authorId="0" shapeId="0" xr:uid="{00000000-0006-0000-0000-000019010000}">
      <text>
        <r>
          <rPr>
            <sz val="11"/>
            <color rgb="FF000000"/>
            <rFont val="Calibri"/>
          </rPr>
          <t>Осталось 1шт</t>
        </r>
      </text>
    </comment>
    <comment ref="F3623" authorId="0" shapeId="0" xr:uid="{00000000-0006-0000-0000-00001A010000}">
      <text>
        <r>
          <rPr>
            <sz val="11"/>
            <color rgb="FF000000"/>
            <rFont val="Calibri"/>
          </rPr>
          <t>Осталось 5шт</t>
        </r>
      </text>
    </comment>
    <comment ref="F3628" authorId="0" shapeId="0" xr:uid="{00000000-0006-0000-0000-00001B010000}">
      <text>
        <r>
          <rPr>
            <sz val="11"/>
            <color rgb="FF000000"/>
            <rFont val="Calibri"/>
          </rPr>
          <t>Осталось 31шт</t>
        </r>
      </text>
    </comment>
    <comment ref="F3632" authorId="0" shapeId="0" xr:uid="{00000000-0006-0000-0000-00001C010000}">
      <text>
        <r>
          <rPr>
            <sz val="11"/>
            <color rgb="FF000000"/>
            <rFont val="Calibri"/>
          </rPr>
          <t>Осталось 2шт</t>
        </r>
      </text>
    </comment>
    <comment ref="F3681" authorId="0" shapeId="0" xr:uid="{00000000-0006-0000-0000-00001D010000}">
      <text>
        <r>
          <rPr>
            <sz val="11"/>
            <color rgb="FF000000"/>
            <rFont val="Calibri"/>
          </rPr>
          <t>Осталось 13шт</t>
        </r>
      </text>
    </comment>
    <comment ref="F3682" authorId="0" shapeId="0" xr:uid="{00000000-0006-0000-0000-00001E010000}">
      <text>
        <r>
          <rPr>
            <sz val="11"/>
            <color rgb="FF000000"/>
            <rFont val="Calibri"/>
          </rPr>
          <t>Осталось 15шт</t>
        </r>
      </text>
    </comment>
    <comment ref="F3720" authorId="0" shapeId="0" xr:uid="{00000000-0006-0000-0000-00001F010000}">
      <text>
        <r>
          <rPr>
            <sz val="11"/>
            <color rgb="FF000000"/>
            <rFont val="Calibri"/>
          </rPr>
          <t>Осталось 0шт</t>
        </r>
      </text>
    </comment>
    <comment ref="F3754" authorId="0" shapeId="0" xr:uid="{00000000-0006-0000-0000-000020010000}">
      <text>
        <r>
          <rPr>
            <sz val="11"/>
            <color rgb="FF000000"/>
            <rFont val="Calibri"/>
          </rPr>
          <t>Осталось 10шт</t>
        </r>
      </text>
    </comment>
    <comment ref="F3755" authorId="0" shapeId="0" xr:uid="{00000000-0006-0000-0000-000021010000}">
      <text>
        <r>
          <rPr>
            <sz val="11"/>
            <color rgb="FF000000"/>
            <rFont val="Calibri"/>
          </rPr>
          <t>Осталось 0шт</t>
        </r>
      </text>
    </comment>
    <comment ref="F3756" authorId="0" shapeId="0" xr:uid="{00000000-0006-0000-0000-000022010000}">
      <text>
        <r>
          <rPr>
            <sz val="11"/>
            <color rgb="FF000000"/>
            <rFont val="Calibri"/>
          </rPr>
          <t>Осталось 13шт</t>
        </r>
      </text>
    </comment>
    <comment ref="F3761" authorId="0" shapeId="0" xr:uid="{00000000-0006-0000-0000-000023010000}">
      <text>
        <r>
          <rPr>
            <sz val="11"/>
            <color rgb="FF000000"/>
            <rFont val="Calibri"/>
          </rPr>
          <t>Осталось 4шт</t>
        </r>
      </text>
    </comment>
    <comment ref="F3881" authorId="0" shapeId="0" xr:uid="{00000000-0006-0000-0000-000024010000}">
      <text>
        <r>
          <rPr>
            <sz val="11"/>
            <color rgb="FF000000"/>
            <rFont val="Calibri"/>
          </rPr>
          <t>Осталось 0шт</t>
        </r>
      </text>
    </comment>
    <comment ref="F3882" authorId="0" shapeId="0" xr:uid="{00000000-0006-0000-0000-000025010000}">
      <text>
        <r>
          <rPr>
            <sz val="11"/>
            <color rgb="FF000000"/>
            <rFont val="Calibri"/>
          </rPr>
          <t>Осталось 0шт</t>
        </r>
      </text>
    </comment>
    <comment ref="F3889" authorId="0" shapeId="0" xr:uid="{00000000-0006-0000-0000-000026010000}">
      <text>
        <r>
          <rPr>
            <sz val="11"/>
            <color rgb="FF000000"/>
            <rFont val="Calibri"/>
          </rPr>
          <t>Осталось 10шт</t>
        </r>
      </text>
    </comment>
    <comment ref="F3947" authorId="0" shapeId="0" xr:uid="{00000000-0006-0000-0000-000027010000}">
      <text>
        <r>
          <rPr>
            <sz val="11"/>
            <color rgb="FF000000"/>
            <rFont val="Calibri"/>
          </rPr>
          <t>Осталось 1шт</t>
        </r>
      </text>
    </comment>
    <comment ref="F3949" authorId="0" shapeId="0" xr:uid="{00000000-0006-0000-0000-000028010000}">
      <text>
        <r>
          <rPr>
            <sz val="11"/>
            <color rgb="FF000000"/>
            <rFont val="Calibri"/>
          </rPr>
          <t>Осталось 5шт</t>
        </r>
      </text>
    </comment>
    <comment ref="F3959" authorId="0" shapeId="0" xr:uid="{00000000-0006-0000-0000-000029010000}">
      <text>
        <r>
          <rPr>
            <sz val="11"/>
            <color rgb="FF000000"/>
            <rFont val="Calibri"/>
          </rPr>
          <t>Осталось 11шт</t>
        </r>
      </text>
    </comment>
    <comment ref="F3965" authorId="0" shapeId="0" xr:uid="{00000000-0006-0000-0000-00002A010000}">
      <text>
        <r>
          <rPr>
            <sz val="11"/>
            <color rgb="FF000000"/>
            <rFont val="Calibri"/>
          </rPr>
          <t>Осталось 8шт</t>
        </r>
      </text>
    </comment>
    <comment ref="F3969" authorId="0" shapeId="0" xr:uid="{00000000-0006-0000-0000-00002B010000}">
      <text>
        <r>
          <rPr>
            <sz val="11"/>
            <color rgb="FF000000"/>
            <rFont val="Calibri"/>
          </rPr>
          <t>Осталось 1шт</t>
        </r>
      </text>
    </comment>
    <comment ref="F3970" authorId="0" shapeId="0" xr:uid="{00000000-0006-0000-0000-00002C010000}">
      <text>
        <r>
          <rPr>
            <sz val="11"/>
            <color rgb="FF000000"/>
            <rFont val="Calibri"/>
          </rPr>
          <t>Осталось 12шт</t>
        </r>
      </text>
    </comment>
    <comment ref="F3980" authorId="0" shapeId="0" xr:uid="{00000000-0006-0000-0000-00002D010000}">
      <text>
        <r>
          <rPr>
            <sz val="11"/>
            <color rgb="FF000000"/>
            <rFont val="Calibri"/>
          </rPr>
          <t>Осталось 2шт</t>
        </r>
      </text>
    </comment>
    <comment ref="F3991" authorId="0" shapeId="0" xr:uid="{00000000-0006-0000-0000-00002E010000}">
      <text>
        <r>
          <rPr>
            <sz val="11"/>
            <color rgb="FF000000"/>
            <rFont val="Calibri"/>
          </rPr>
          <t>Осталось 0шт</t>
        </r>
      </text>
    </comment>
    <comment ref="F3993" authorId="0" shapeId="0" xr:uid="{00000000-0006-0000-0000-00002F010000}">
      <text>
        <r>
          <rPr>
            <sz val="11"/>
            <color rgb="FF000000"/>
            <rFont val="Calibri"/>
          </rPr>
          <t>Осталось 12шт</t>
        </r>
      </text>
    </comment>
    <comment ref="F3994" authorId="0" shapeId="0" xr:uid="{00000000-0006-0000-0000-000030010000}">
      <text>
        <r>
          <rPr>
            <sz val="11"/>
            <color rgb="FF000000"/>
            <rFont val="Calibri"/>
          </rPr>
          <t>Осталось 1шт</t>
        </r>
      </text>
    </comment>
    <comment ref="F3998" authorId="0" shapeId="0" xr:uid="{00000000-0006-0000-0000-000031010000}">
      <text>
        <r>
          <rPr>
            <sz val="11"/>
            <color rgb="FF000000"/>
            <rFont val="Calibri"/>
          </rPr>
          <t>Осталось 40шт</t>
        </r>
      </text>
    </comment>
    <comment ref="F3999" authorId="0" shapeId="0" xr:uid="{00000000-0006-0000-0000-000032010000}">
      <text>
        <r>
          <rPr>
            <sz val="11"/>
            <color rgb="FF000000"/>
            <rFont val="Calibri"/>
          </rPr>
          <t>Осталось 0шт</t>
        </r>
      </text>
    </comment>
    <comment ref="F4014" authorId="0" shapeId="0" xr:uid="{00000000-0006-0000-0000-000033010000}">
      <text>
        <r>
          <rPr>
            <sz val="11"/>
            <color rgb="FF000000"/>
            <rFont val="Calibri"/>
          </rPr>
          <t>Осталось 1шт</t>
        </r>
      </text>
    </comment>
    <comment ref="F4020" authorId="0" shapeId="0" xr:uid="{00000000-0006-0000-0000-000034010000}">
      <text>
        <r>
          <rPr>
            <sz val="11"/>
            <color rgb="FF000000"/>
            <rFont val="Calibri"/>
          </rPr>
          <t>Осталось 1шт</t>
        </r>
      </text>
    </comment>
    <comment ref="F4078" authorId="0" shapeId="0" xr:uid="{00000000-0006-0000-0000-000035010000}">
      <text>
        <r>
          <rPr>
            <sz val="11"/>
            <color rgb="FF000000"/>
            <rFont val="Calibri"/>
          </rPr>
          <t>Осталось 1шт</t>
        </r>
      </text>
    </comment>
    <comment ref="F4079" authorId="0" shapeId="0" xr:uid="{00000000-0006-0000-0000-000036010000}">
      <text>
        <r>
          <rPr>
            <sz val="11"/>
            <color rgb="FF000000"/>
            <rFont val="Calibri"/>
          </rPr>
          <t>Осталось 0шт</t>
        </r>
      </text>
    </comment>
    <comment ref="F4179" authorId="0" shapeId="0" xr:uid="{00000000-0006-0000-0000-000037010000}">
      <text>
        <r>
          <rPr>
            <sz val="11"/>
            <color rgb="FF000000"/>
            <rFont val="Calibri"/>
          </rPr>
          <t>Осталось 15шт</t>
        </r>
      </text>
    </comment>
    <comment ref="F4234" authorId="0" shapeId="0" xr:uid="{00000000-0006-0000-0000-000038010000}">
      <text>
        <r>
          <rPr>
            <sz val="11"/>
            <color rgb="FF000000"/>
            <rFont val="Calibri"/>
          </rPr>
          <t>Осталось 1шт</t>
        </r>
      </text>
    </comment>
    <comment ref="F4235" authorId="0" shapeId="0" xr:uid="{00000000-0006-0000-0000-000039010000}">
      <text>
        <r>
          <rPr>
            <sz val="11"/>
            <color rgb="FF000000"/>
            <rFont val="Calibri"/>
          </rPr>
          <t>Осталось 1шт</t>
        </r>
      </text>
    </comment>
    <comment ref="F4238" authorId="0" shapeId="0" xr:uid="{00000000-0006-0000-0000-00003A010000}">
      <text>
        <r>
          <rPr>
            <sz val="11"/>
            <color rgb="FF000000"/>
            <rFont val="Calibri"/>
          </rPr>
          <t>Осталось 1шт</t>
        </r>
      </text>
    </comment>
    <comment ref="F4242" authorId="0" shapeId="0" xr:uid="{00000000-0006-0000-0000-00003B010000}">
      <text>
        <r>
          <rPr>
            <sz val="11"/>
            <color rgb="FF000000"/>
            <rFont val="Calibri"/>
          </rPr>
          <t>Осталось 4шт</t>
        </r>
      </text>
    </comment>
    <comment ref="F4257" authorId="0" shapeId="0" xr:uid="{00000000-0006-0000-0000-00003C010000}">
      <text>
        <r>
          <rPr>
            <sz val="11"/>
            <color rgb="FF000000"/>
            <rFont val="Calibri"/>
          </rPr>
          <t>Осталось 0пар</t>
        </r>
      </text>
    </comment>
    <comment ref="F4289" authorId="0" shapeId="0" xr:uid="{00000000-0006-0000-0000-00003D010000}">
      <text>
        <r>
          <rPr>
            <sz val="11"/>
            <color rgb="FF000000"/>
            <rFont val="Calibri"/>
          </rPr>
          <t>Осталось 1шт</t>
        </r>
      </text>
    </comment>
    <comment ref="F4308" authorId="0" shapeId="0" xr:uid="{00000000-0006-0000-0000-00003E010000}">
      <text>
        <r>
          <rPr>
            <sz val="11"/>
            <color rgb="FF000000"/>
            <rFont val="Calibri"/>
          </rPr>
          <t>Осталось 0шт</t>
        </r>
      </text>
    </comment>
    <comment ref="F4314" authorId="0" shapeId="0" xr:uid="{00000000-0006-0000-0000-00003F010000}">
      <text>
        <r>
          <rPr>
            <sz val="11"/>
            <color rgb="FF000000"/>
            <rFont val="Calibri"/>
          </rPr>
          <t>Осталось 2шт</t>
        </r>
      </text>
    </comment>
    <comment ref="F4316" authorId="0" shapeId="0" xr:uid="{00000000-0006-0000-0000-000040010000}">
      <text>
        <r>
          <rPr>
            <sz val="11"/>
            <color rgb="FF000000"/>
            <rFont val="Calibri"/>
          </rPr>
          <t>Осталось 0шт</t>
        </r>
      </text>
    </comment>
    <comment ref="F4318" authorId="0" shapeId="0" xr:uid="{00000000-0006-0000-0000-000041010000}">
      <text>
        <r>
          <rPr>
            <sz val="11"/>
            <color rgb="FF000000"/>
            <rFont val="Calibri"/>
          </rPr>
          <t>Осталось 240шт</t>
        </r>
      </text>
    </comment>
    <comment ref="F4320" authorId="0" shapeId="0" xr:uid="{00000000-0006-0000-0000-000042010000}">
      <text>
        <r>
          <rPr>
            <sz val="11"/>
            <color rgb="FF000000"/>
            <rFont val="Calibri"/>
          </rPr>
          <t>Осталось 0шт</t>
        </r>
      </text>
    </comment>
    <comment ref="F4322" authorId="0" shapeId="0" xr:uid="{00000000-0006-0000-0000-000043010000}">
      <text>
        <r>
          <rPr>
            <sz val="11"/>
            <color rgb="FF000000"/>
            <rFont val="Calibri"/>
          </rPr>
          <t>Осталось 0шт</t>
        </r>
      </text>
    </comment>
    <comment ref="F4324" authorId="0" shapeId="0" xr:uid="{00000000-0006-0000-0000-000044010000}">
      <text>
        <r>
          <rPr>
            <sz val="11"/>
            <color rgb="FF000000"/>
            <rFont val="Calibri"/>
          </rPr>
          <t>Осталось 0шт</t>
        </r>
      </text>
    </comment>
    <comment ref="F4326" authorId="0" shapeId="0" xr:uid="{00000000-0006-0000-0000-000045010000}">
      <text>
        <r>
          <rPr>
            <sz val="11"/>
            <color rgb="FF000000"/>
            <rFont val="Calibri"/>
          </rPr>
          <t>Осталось 40шт</t>
        </r>
      </text>
    </comment>
    <comment ref="F4328" authorId="0" shapeId="0" xr:uid="{00000000-0006-0000-0000-000046010000}">
      <text>
        <r>
          <rPr>
            <sz val="11"/>
            <color rgb="FF000000"/>
            <rFont val="Calibri"/>
          </rPr>
          <t>Осталось 30шт</t>
        </r>
      </text>
    </comment>
    <comment ref="F4330" authorId="0" shapeId="0" xr:uid="{00000000-0006-0000-0000-000047010000}">
      <text>
        <r>
          <rPr>
            <sz val="11"/>
            <color rgb="FF000000"/>
            <rFont val="Calibri"/>
          </rPr>
          <t>Осталось 9шт</t>
        </r>
      </text>
    </comment>
    <comment ref="F4332" authorId="0" shapeId="0" xr:uid="{00000000-0006-0000-0000-000048010000}">
      <text>
        <r>
          <rPr>
            <sz val="11"/>
            <color rgb="FF000000"/>
            <rFont val="Calibri"/>
          </rPr>
          <t>Осталось 4шт</t>
        </r>
      </text>
    </comment>
    <comment ref="F4334" authorId="0" shapeId="0" xr:uid="{00000000-0006-0000-0000-000049010000}">
      <text>
        <r>
          <rPr>
            <sz val="11"/>
            <color rgb="FF000000"/>
            <rFont val="Calibri"/>
          </rPr>
          <t>Осталось 192шт</t>
        </r>
      </text>
    </comment>
    <comment ref="F4336" authorId="0" shapeId="0" xr:uid="{00000000-0006-0000-0000-00004A010000}">
      <text>
        <r>
          <rPr>
            <sz val="11"/>
            <color rgb="FF000000"/>
            <rFont val="Calibri"/>
          </rPr>
          <t>Осталось 59шт</t>
        </r>
      </text>
    </comment>
    <comment ref="F4338" authorId="0" shapeId="0" xr:uid="{00000000-0006-0000-0000-00004B010000}">
      <text>
        <r>
          <rPr>
            <sz val="11"/>
            <color rgb="FF000000"/>
            <rFont val="Calibri"/>
          </rPr>
          <t>Осталось 42шт</t>
        </r>
      </text>
    </comment>
    <comment ref="F4342" authorId="0" shapeId="0" xr:uid="{00000000-0006-0000-0000-00004C010000}">
      <text>
        <r>
          <rPr>
            <sz val="11"/>
            <color rgb="FF000000"/>
            <rFont val="Calibri"/>
          </rPr>
          <t>Осталось 14шт</t>
        </r>
      </text>
    </comment>
    <comment ref="F4344" authorId="0" shapeId="0" xr:uid="{00000000-0006-0000-0000-00004D010000}">
      <text>
        <r>
          <rPr>
            <sz val="11"/>
            <color rgb="FF000000"/>
            <rFont val="Calibri"/>
          </rPr>
          <t>Осталось 20шт</t>
        </r>
      </text>
    </comment>
    <comment ref="F4346" authorId="0" shapeId="0" xr:uid="{00000000-0006-0000-0000-00004E010000}">
      <text>
        <r>
          <rPr>
            <sz val="11"/>
            <color rgb="FF000000"/>
            <rFont val="Calibri"/>
          </rPr>
          <t>Осталось 0шт</t>
        </r>
      </text>
    </comment>
    <comment ref="F4366" authorId="0" shapeId="0" xr:uid="{00000000-0006-0000-0000-00004F010000}">
      <text>
        <r>
          <rPr>
            <sz val="11"/>
            <color rgb="FF000000"/>
            <rFont val="Calibri"/>
          </rPr>
          <t>Осталось 0шт</t>
        </r>
      </text>
    </comment>
    <comment ref="F4372" authorId="0" shapeId="0" xr:uid="{00000000-0006-0000-0000-000050010000}">
      <text>
        <r>
          <rPr>
            <sz val="11"/>
            <color rgb="FF000000"/>
            <rFont val="Calibri"/>
          </rPr>
          <t>Осталось 0шт</t>
        </r>
      </text>
    </comment>
    <comment ref="F4374" authorId="0" shapeId="0" xr:uid="{00000000-0006-0000-0000-000051010000}">
      <text>
        <r>
          <rPr>
            <sz val="11"/>
            <color rgb="FF000000"/>
            <rFont val="Calibri"/>
          </rPr>
          <t>Осталось 0шт</t>
        </r>
      </text>
    </comment>
    <comment ref="F4376" authorId="0" shapeId="0" xr:uid="{00000000-0006-0000-0000-000052010000}">
      <text>
        <r>
          <rPr>
            <sz val="11"/>
            <color rgb="FF000000"/>
            <rFont val="Calibri"/>
          </rPr>
          <t>Осталось 0шт</t>
        </r>
      </text>
    </comment>
    <comment ref="F4382" authorId="0" shapeId="0" xr:uid="{00000000-0006-0000-0000-000053010000}">
      <text>
        <r>
          <rPr>
            <sz val="11"/>
            <color rgb="FF000000"/>
            <rFont val="Calibri"/>
          </rPr>
          <t>Осталось 0шт</t>
        </r>
      </text>
    </comment>
    <comment ref="F4388" authorId="0" shapeId="0" xr:uid="{00000000-0006-0000-0000-000054010000}">
      <text>
        <r>
          <rPr>
            <sz val="11"/>
            <color rgb="FF000000"/>
            <rFont val="Calibri"/>
          </rPr>
          <t>Осталось 0шт</t>
        </r>
      </text>
    </comment>
    <comment ref="F4390" authorId="0" shapeId="0" xr:uid="{00000000-0006-0000-0000-000055010000}">
      <text>
        <r>
          <rPr>
            <sz val="11"/>
            <color rgb="FF000000"/>
            <rFont val="Calibri"/>
          </rPr>
          <t>Осталось 0шт</t>
        </r>
      </text>
    </comment>
    <comment ref="F4394" authorId="0" shapeId="0" xr:uid="{00000000-0006-0000-0000-000056010000}">
      <text>
        <r>
          <rPr>
            <sz val="11"/>
            <color rgb="FF000000"/>
            <rFont val="Calibri"/>
          </rPr>
          <t>Осталось 0шт</t>
        </r>
      </text>
    </comment>
    <comment ref="F4396" authorId="0" shapeId="0" xr:uid="{00000000-0006-0000-0000-000057010000}">
      <text>
        <r>
          <rPr>
            <sz val="11"/>
            <color rgb="FF000000"/>
            <rFont val="Calibri"/>
          </rPr>
          <t>Осталось 0шт</t>
        </r>
      </text>
    </comment>
    <comment ref="F4398" authorId="0" shapeId="0" xr:uid="{00000000-0006-0000-0000-000058010000}">
      <text>
        <r>
          <rPr>
            <sz val="11"/>
            <color rgb="FF000000"/>
            <rFont val="Calibri"/>
          </rPr>
          <t>Осталось 0шт</t>
        </r>
      </text>
    </comment>
    <comment ref="F4400" authorId="0" shapeId="0" xr:uid="{00000000-0006-0000-0000-000059010000}">
      <text>
        <r>
          <rPr>
            <sz val="11"/>
            <color rgb="FF000000"/>
            <rFont val="Calibri"/>
          </rPr>
          <t>Осталось 0шт</t>
        </r>
      </text>
    </comment>
    <comment ref="F4402" authorId="0" shapeId="0" xr:uid="{00000000-0006-0000-0000-00005A010000}">
      <text>
        <r>
          <rPr>
            <sz val="11"/>
            <color rgb="FF000000"/>
            <rFont val="Calibri"/>
          </rPr>
          <t>Осталось 0шт</t>
        </r>
      </text>
    </comment>
    <comment ref="F4404" authorId="0" shapeId="0" xr:uid="{00000000-0006-0000-0000-00005B010000}">
      <text>
        <r>
          <rPr>
            <sz val="11"/>
            <color rgb="FF000000"/>
            <rFont val="Calibri"/>
          </rPr>
          <t>Осталось 0шт</t>
        </r>
      </text>
    </comment>
    <comment ref="F4406" authorId="0" shapeId="0" xr:uid="{00000000-0006-0000-0000-00005C010000}">
      <text>
        <r>
          <rPr>
            <sz val="11"/>
            <color rgb="FF000000"/>
            <rFont val="Calibri"/>
          </rPr>
          <t>Осталось 0шт</t>
        </r>
      </text>
    </comment>
    <comment ref="F4836" authorId="0" shapeId="0" xr:uid="{00000000-0006-0000-0000-00005D010000}">
      <text>
        <r>
          <rPr>
            <sz val="11"/>
            <color rgb="FF000000"/>
            <rFont val="Calibri"/>
          </rPr>
          <t>Осталось 0шт</t>
        </r>
      </text>
    </comment>
    <comment ref="F4839" authorId="0" shapeId="0" xr:uid="{00000000-0006-0000-0000-00005E010000}">
      <text>
        <r>
          <rPr>
            <sz val="11"/>
            <color rgb="FF000000"/>
            <rFont val="Calibri"/>
          </rPr>
          <t>Осталось 0шт</t>
        </r>
      </text>
    </comment>
    <comment ref="F4891" authorId="0" shapeId="0" xr:uid="{00000000-0006-0000-0000-00005F010000}">
      <text>
        <r>
          <rPr>
            <sz val="11"/>
            <color rgb="FF000000"/>
            <rFont val="Calibri"/>
          </rPr>
          <t>Осталось 22упак</t>
        </r>
      </text>
    </comment>
    <comment ref="F5640" authorId="0" shapeId="0" xr:uid="{00000000-0006-0000-0000-000060010000}">
      <text>
        <r>
          <rPr>
            <sz val="11"/>
            <color rgb="FF000000"/>
            <rFont val="Calibri"/>
          </rPr>
          <t>Осталось 0м</t>
        </r>
      </text>
    </comment>
    <comment ref="F5642" authorId="0" shapeId="0" xr:uid="{00000000-0006-0000-0000-000061010000}">
      <text>
        <r>
          <rPr>
            <sz val="11"/>
            <color rgb="FF000000"/>
            <rFont val="Calibri"/>
          </rPr>
          <t>Осталось 0м</t>
        </r>
      </text>
    </comment>
    <comment ref="F6039" authorId="0" shapeId="0" xr:uid="{00000000-0006-0000-0000-000062010000}">
      <text>
        <r>
          <rPr>
            <sz val="11"/>
            <color rgb="FF000000"/>
            <rFont val="Calibri"/>
          </rPr>
          <t>Осталось 0шт</t>
        </r>
      </text>
    </comment>
    <comment ref="F6044" authorId="0" shapeId="0" xr:uid="{00000000-0006-0000-0000-000063010000}">
      <text>
        <r>
          <rPr>
            <sz val="11"/>
            <color rgb="FF000000"/>
            <rFont val="Calibri"/>
          </rPr>
          <t>Осталось 0шт</t>
        </r>
      </text>
    </comment>
  </commentList>
</comments>
</file>

<file path=xl/sharedStrings.xml><?xml version="1.0" encoding="utf-8"?>
<sst xmlns="http://schemas.openxmlformats.org/spreadsheetml/2006/main" count="36604" uniqueCount="8648">
  <si>
    <t xml:space="preserve">укажите процент скидки: </t>
  </si>
  <si>
    <r>
      <rPr>
        <b/>
        <sz val="12"/>
        <color rgb="FF000000"/>
        <rFont val="Calibri"/>
      </rPr>
      <t xml:space="preserve">Итоговая сумма заявки </t>
    </r>
    <r>
      <rPr>
        <sz val="11"/>
        <color rgb="FF000000"/>
        <rFont val="Calibri"/>
      </rPr>
      <t>(с НДС)</t>
    </r>
  </si>
  <si>
    <t xml:space="preserve">РРЦ </t>
  </si>
  <si>
    <t xml:space="preserve">~ Итоговый вес заявки (кг) </t>
  </si>
  <si>
    <t>20.10.2026</t>
  </si>
  <si>
    <t xml:space="preserve">~ Итоговый объем заявки (м³) </t>
  </si>
  <si>
    <t>Цены с вашей скидкой</t>
  </si>
  <si>
    <t>РРЦ</t>
  </si>
  <si>
    <t>МИЦ</t>
  </si>
  <si>
    <t>Код товара (SKU)</t>
  </si>
  <si>
    <t>Текстовое наименование</t>
  </si>
  <si>
    <t>Обозначение</t>
  </si>
  <si>
    <t>Группа</t>
  </si>
  <si>
    <t>Карточка товара</t>
  </si>
  <si>
    <t>Статус</t>
  </si>
  <si>
    <t>В упак.</t>
  </si>
  <si>
    <t>Ед.изм</t>
  </si>
  <si>
    <r>
      <rPr>
        <b/>
        <sz val="11"/>
        <color rgb="FFFFFFFF"/>
        <rFont val="Calibri"/>
      </rPr>
      <t xml:space="preserve">Кратность 
</t>
    </r>
    <r>
      <rPr>
        <sz val="9"/>
        <color rgb="FFFFFFFF"/>
        <rFont val="Calibri"/>
      </rPr>
      <t>(мин. кол-во)</t>
    </r>
  </si>
  <si>
    <r>
      <rPr>
        <b/>
        <sz val="11"/>
        <color rgb="FFFFFFFF"/>
        <rFont val="Calibri"/>
      </rPr>
      <t xml:space="preserve">В ЗАЯВКЕ: 
</t>
    </r>
    <r>
      <rPr>
        <sz val="9"/>
        <color rgb="FFFFFFFF"/>
        <rFont val="Calibri"/>
      </rPr>
      <t>укажите кратное кол-во</t>
    </r>
  </si>
  <si>
    <t>c НДС</t>
  </si>
  <si>
    <t>без НДС</t>
  </si>
  <si>
    <t>соотношение кратность/вес (кг)</t>
  </si>
  <si>
    <t>соотношение кратность/объем (м³)</t>
  </si>
  <si>
    <t>Кабельные наконечники, гильзы, сжимы</t>
  </si>
  <si>
    <t>Медные наконечники и гильзы</t>
  </si>
  <si>
    <t>Наконечник кабельный</t>
  </si>
  <si>
    <t>ТМЛс 1.5-4</t>
  </si>
  <si>
    <t>ТМЛс</t>
  </si>
  <si>
    <t>сайт→</t>
  </si>
  <si>
    <t>в продаже</t>
  </si>
  <si>
    <t>шт</t>
  </si>
  <si>
    <t>ТМЛс 1.5-5</t>
  </si>
  <si>
    <t>ТМЛс 2.5-5</t>
  </si>
  <si>
    <t>ТМЛс 2.5-6</t>
  </si>
  <si>
    <t>ТМЛс 4-5</t>
  </si>
  <si>
    <t>ТМЛс 4-6</t>
  </si>
  <si>
    <t>ТМЛс 6-5</t>
  </si>
  <si>
    <t>ТМЛс 6-6</t>
  </si>
  <si>
    <t>ТМЛс 10-6</t>
  </si>
  <si>
    <t>ТМЛс 10-8</t>
  </si>
  <si>
    <t>ТМЛс 16-6</t>
  </si>
  <si>
    <t>ТМЛс 16-8</t>
  </si>
  <si>
    <t>ТМЛс 16-10</t>
  </si>
  <si>
    <t>ТМЛс 25-6</t>
  </si>
  <si>
    <t>ТМЛс 25-8</t>
  </si>
  <si>
    <t>ТМЛс 25-10</t>
  </si>
  <si>
    <t>ТМЛс 35-8</t>
  </si>
  <si>
    <t>ТМЛс 35-10</t>
  </si>
  <si>
    <t>ТМЛс 50-8</t>
  </si>
  <si>
    <t>ТМЛс 50-10</t>
  </si>
  <si>
    <t>ТМЛс 70-8</t>
  </si>
  <si>
    <t>ТМЛс 70-10</t>
  </si>
  <si>
    <t>ТМЛс 70-12</t>
  </si>
  <si>
    <t>ТМЛс 95-10</t>
  </si>
  <si>
    <t>ТМЛс 95-12</t>
  </si>
  <si>
    <t>ТМЛс 120-10</t>
  </si>
  <si>
    <t>ТМЛс 120-12</t>
  </si>
  <si>
    <t>ТМЛс 150-12</t>
  </si>
  <si>
    <t>ТМЛс 150-16</t>
  </si>
  <si>
    <t>ТМЛс 185-12</t>
  </si>
  <si>
    <t>ТМЛс 185-16</t>
  </si>
  <si>
    <t>ТМЛс 240-12</t>
  </si>
  <si>
    <t>ТМЛс 240-16</t>
  </si>
  <si>
    <t>ТМЛс 300-16</t>
  </si>
  <si>
    <t>ТМЛс 400-16</t>
  </si>
  <si>
    <t xml:space="preserve">Наконечник кабельный </t>
  </si>
  <si>
    <t>ТМЛ 2.5–4–2.6</t>
  </si>
  <si>
    <t>ТМЛ</t>
  </si>
  <si>
    <t>ТМЛ 2.5-5-2.6</t>
  </si>
  <si>
    <t>ТМЛ 2.5-6-2.6</t>
  </si>
  <si>
    <t>ТМЛ 4-5-3</t>
  </si>
  <si>
    <t>ТМЛ 4-6-3</t>
  </si>
  <si>
    <t>ТМЛ 4-8-3</t>
  </si>
  <si>
    <t>ТМЛ 6-5-4</t>
  </si>
  <si>
    <t>ТМЛ 6-6-4</t>
  </si>
  <si>
    <t>ТМЛ 6-8-4</t>
  </si>
  <si>
    <t>ТМЛ 10-5-5</t>
  </si>
  <si>
    <t>ТМЛ 10-6-5</t>
  </si>
  <si>
    <t>ТМЛ 10-8-5</t>
  </si>
  <si>
    <t>ТМЛ 16-6-6</t>
  </si>
  <si>
    <t>ТМЛ 16-8-6</t>
  </si>
  <si>
    <t>ТМЛ 16-10-6</t>
  </si>
  <si>
    <t>ТМЛ 25-6-7</t>
  </si>
  <si>
    <t>ТМЛ 25-8-7</t>
  </si>
  <si>
    <t>ТМЛ 25-8-8</t>
  </si>
  <si>
    <t>ТМЛ 25-10-8</t>
  </si>
  <si>
    <t>ТМЛ 35-8-9</t>
  </si>
  <si>
    <t>ТМЛ 35-10-9</t>
  </si>
  <si>
    <t>ТМЛ 35-12-9</t>
  </si>
  <si>
    <t>ТМЛ 35-8-10</t>
  </si>
  <si>
    <t>ТМЛ 35-10-10</t>
  </si>
  <si>
    <t>ТМЛ 35-12-10</t>
  </si>
  <si>
    <t>ТМЛ 50-8-11</t>
  </si>
  <si>
    <t>ТМЛ 50-10-11</t>
  </si>
  <si>
    <t>ТМЛ 50-12-11</t>
  </si>
  <si>
    <t>ТМЛ 70-8-13</t>
  </si>
  <si>
    <t>ТМЛ 70-10-13</t>
  </si>
  <si>
    <t>ТМЛ 70-12-13</t>
  </si>
  <si>
    <t>ТМЛ 95-10-15</t>
  </si>
  <si>
    <t>ТМЛ 95-12-15</t>
  </si>
  <si>
    <t>ТМЛ 95-10-16</t>
  </si>
  <si>
    <t>ТМЛ 95-12-16</t>
  </si>
  <si>
    <t>ТМЛ 120-10-17</t>
  </si>
  <si>
    <t>ТМЛ 120-12-17</t>
  </si>
  <si>
    <t>ТМЛ 120-16-17</t>
  </si>
  <si>
    <t>ТМЛ 120-12-18</t>
  </si>
  <si>
    <t>ТМЛ 120-16-18</t>
  </si>
  <si>
    <t>ТМЛ 150-10-19</t>
  </si>
  <si>
    <t>ТМЛ 150–12–19</t>
  </si>
  <si>
    <t>ТМЛ 150-16-19</t>
  </si>
  <si>
    <t>ТМЛ 150-12-20</t>
  </si>
  <si>
    <t>ТМЛ 150-16-20</t>
  </si>
  <si>
    <t>ТМЛ 185-12-21</t>
  </si>
  <si>
    <t>ТМЛ 185–16–21</t>
  </si>
  <si>
    <t>ТМЛ 185-20-21</t>
  </si>
  <si>
    <t>ТМЛ 185-16-23</t>
  </si>
  <si>
    <t>ТМЛ 185-20-23</t>
  </si>
  <si>
    <t>ТМЛ 240-12-24</t>
  </si>
  <si>
    <t>ТМЛ 240-16-24</t>
  </si>
  <si>
    <t>ТМЛ 240-20-24</t>
  </si>
  <si>
    <t>ТМЛ 300-16-27</t>
  </si>
  <si>
    <t>ТМ 2.5-5-2.6</t>
  </si>
  <si>
    <t>ТМ</t>
  </si>
  <si>
    <t>ТМ 2.5-6-2.6</t>
  </si>
  <si>
    <t>ТМ 4-5-3</t>
  </si>
  <si>
    <t>ТМ 4-6-3</t>
  </si>
  <si>
    <t>ТМ 6-5-4</t>
  </si>
  <si>
    <t>ТМ 6-6-4</t>
  </si>
  <si>
    <t>ТМ 10-6-5</t>
  </si>
  <si>
    <t>ТМ 10-8-5</t>
  </si>
  <si>
    <t>ТМ 16-6-6</t>
  </si>
  <si>
    <t>ТМ 16-8-6</t>
  </si>
  <si>
    <t>ТМ 25-6-7</t>
  </si>
  <si>
    <t>ТМ 25-8-7</t>
  </si>
  <si>
    <t>ТМ 25-8-8</t>
  </si>
  <si>
    <t>ТМ 25-10-8</t>
  </si>
  <si>
    <t>ТМ 35-8-9</t>
  </si>
  <si>
    <t>ТМ 35-8-10</t>
  </si>
  <si>
    <t>ТМ 35-10-9</t>
  </si>
  <si>
    <t>ТМ 35-10-10</t>
  </si>
  <si>
    <t>ТМ 50-8-11</t>
  </si>
  <si>
    <t>ТМ 50-10-11</t>
  </si>
  <si>
    <t>ТМ 70-10-13</t>
  </si>
  <si>
    <t>ТМ 70-12-13</t>
  </si>
  <si>
    <t>ТМ 95-10-15</t>
  </si>
  <si>
    <t>ТМ 95-12-15</t>
  </si>
  <si>
    <t>ТМ 120-12-17</t>
  </si>
  <si>
    <t>ТМ 120-16-17</t>
  </si>
  <si>
    <t>ТМ 150-12-19</t>
  </si>
  <si>
    <t>ТМ 150-16-19</t>
  </si>
  <si>
    <t>ТМ 185-12-21</t>
  </si>
  <si>
    <t>ТМ 185-16-21</t>
  </si>
  <si>
    <t>ТМ 240-16-24</t>
  </si>
  <si>
    <t>ТМ 240-20-24</t>
  </si>
  <si>
    <t>ТМ 300-16-27</t>
  </si>
  <si>
    <t>ТМЛ(DIN) 6-5</t>
  </si>
  <si>
    <t>ТМЛ(DIN)</t>
  </si>
  <si>
    <t>ТМЛ(DIN) 6-6</t>
  </si>
  <si>
    <t>ТМЛ(DIN) 10-5</t>
  </si>
  <si>
    <t>ТМЛ(DIN) 10-6</t>
  </si>
  <si>
    <t>ТМЛ(DIN) 10-8</t>
  </si>
  <si>
    <t>ТМЛ(DIN) 16-6</t>
  </si>
  <si>
    <t>ТМЛ(DIN) 16-8</t>
  </si>
  <si>
    <t>ТМЛ(DIN) 16-10</t>
  </si>
  <si>
    <t>ТМЛ(DIN) 25-6</t>
  </si>
  <si>
    <t>ТМЛ(DIN) 25-8</t>
  </si>
  <si>
    <t>ТМЛ(DIN) 25-10</t>
  </si>
  <si>
    <t>ТМЛ(DIN) 35-8</t>
  </si>
  <si>
    <t>ТМЛ(DIN) 35-10</t>
  </si>
  <si>
    <t>ТМЛ(DIN) 50-8</t>
  </si>
  <si>
    <t>ТМЛ(DIN) 50-10</t>
  </si>
  <si>
    <t>ТМЛ(DIN) 70-8</t>
  </si>
  <si>
    <t>ТМЛ(DIN) 70-10</t>
  </si>
  <si>
    <t>ТМЛ(DIN) 70-12</t>
  </si>
  <si>
    <t>ТМЛ(DIN) 95-10</t>
  </si>
  <si>
    <t>ТМЛ(DIN) 95-12</t>
  </si>
  <si>
    <t>ТМЛ(DIN) 120-10</t>
  </si>
  <si>
    <t>ТМЛ(DIN) 120-12</t>
  </si>
  <si>
    <t>ТМЛ(DIN) 150-10</t>
  </si>
  <si>
    <t>ТМЛ(DIN) 150-12</t>
  </si>
  <si>
    <t>ТМЛ(DIN) 185-12</t>
  </si>
  <si>
    <t>ТМЛ(DIN) 185-16</t>
  </si>
  <si>
    <t>ТМЛ(DIN) 240-12</t>
  </si>
  <si>
    <t>ТМЛ(DIN) 240-16</t>
  </si>
  <si>
    <t>ТМЛ(DIN) 300-12</t>
  </si>
  <si>
    <t>ТМЛ(DIN) 300-16</t>
  </si>
  <si>
    <t>ТМЛ(DIN) 400-16</t>
  </si>
  <si>
    <t>ТМЛ(DIN) 500-20</t>
  </si>
  <si>
    <t>ТМЛ(DIN) 625-20</t>
  </si>
  <si>
    <t>ТМЛ(DIN) 800-20</t>
  </si>
  <si>
    <t>ТМЛ(DIN) 1000-20</t>
  </si>
  <si>
    <t>ТМЛ-У 25-6</t>
  </si>
  <si>
    <t>ТМЛ-У</t>
  </si>
  <si>
    <t>ТМЛ-У 35–6</t>
  </si>
  <si>
    <t>ТМЛ-У 50-6</t>
  </si>
  <si>
    <t>ТМЛ-У 70-6</t>
  </si>
  <si>
    <t>ТМЛ-У 70-8</t>
  </si>
  <si>
    <t>ТМЛ-У 70-10</t>
  </si>
  <si>
    <t>ТМЛ-У 95-8</t>
  </si>
  <si>
    <t>ТМЛ-У 95-10</t>
  </si>
  <si>
    <t>ТМЛ-У 120-8</t>
  </si>
  <si>
    <t>ТМЛ-У 120-10</t>
  </si>
  <si>
    <t>ТМЛ-У 120-12</t>
  </si>
  <si>
    <t>ТМЛ-У 150-8</t>
  </si>
  <si>
    <t>ТМЛ-У 150-10</t>
  </si>
  <si>
    <t>ТМЛ-У 185-10</t>
  </si>
  <si>
    <t>ТМЛ-У 185-12</t>
  </si>
  <si>
    <t>ТМЛ-У 240-10</t>
  </si>
  <si>
    <t>ТМЛ-У 240-12</t>
  </si>
  <si>
    <t>ТМЛ-Р 1.5-4</t>
  </si>
  <si>
    <t>ТМЛ-Р</t>
  </si>
  <si>
    <t>ТМЛ-Р 1.5-5</t>
  </si>
  <si>
    <t>ТМЛ-Р 2.5-5</t>
  </si>
  <si>
    <t>ТМЛ-Р 2.5-6</t>
  </si>
  <si>
    <t>ТМЛ-Р 4-5</t>
  </si>
  <si>
    <t>ТМЛ-Р 4-6</t>
  </si>
  <si>
    <t>ТМЛ-Р 6-5</t>
  </si>
  <si>
    <t>ТМЛ-Р 6-6</t>
  </si>
  <si>
    <t>ТМЛ-Р 10-6</t>
  </si>
  <si>
    <t>ТМЛ-Р 10-8</t>
  </si>
  <si>
    <t>ТМЛ-Р 16-6</t>
  </si>
  <si>
    <t>ТМЛ-Р 16-8</t>
  </si>
  <si>
    <t>ТМЛ-Р 25-8</t>
  </si>
  <si>
    <t>ТМЛ-Р 25-10</t>
  </si>
  <si>
    <t>ТМЛ-Р 35-8</t>
  </si>
  <si>
    <t>ТМЛ-Р 35-10</t>
  </si>
  <si>
    <t>ТМЛ-Р 50-8</t>
  </si>
  <si>
    <t>ТМЛ-Р 50-10</t>
  </si>
  <si>
    <t>ТМЛ-Р 70-10</t>
  </si>
  <si>
    <t>ТМЛ-Р 95-10</t>
  </si>
  <si>
    <t>ТМЛ-Р 120-12</t>
  </si>
  <si>
    <t>ТМЛ-Р 150-16</t>
  </si>
  <si>
    <t>ТМЛ-Р 185-16</t>
  </si>
  <si>
    <t>ТМЛ-Р 240-16</t>
  </si>
  <si>
    <t>ПМ 1.5–4</t>
  </si>
  <si>
    <t>ПМ</t>
  </si>
  <si>
    <t>ПМ 1.5–5</t>
  </si>
  <si>
    <t>ПМ 2.5–4</t>
  </si>
  <si>
    <t>ПМ 2.5–5</t>
  </si>
  <si>
    <t>ПМ 2.5–6</t>
  </si>
  <si>
    <t>ПМ 4–5</t>
  </si>
  <si>
    <t>ПМ 4-6</t>
  </si>
  <si>
    <t>ПМ 6–5</t>
  </si>
  <si>
    <t>ПМ 6–6</t>
  </si>
  <si>
    <t>ПМ 6–8</t>
  </si>
  <si>
    <t>ПМ 10–6</t>
  </si>
  <si>
    <t>ПМ 10–8</t>
  </si>
  <si>
    <t>ПМ 16-6</t>
  </si>
  <si>
    <t>ПМ 16–8</t>
  </si>
  <si>
    <t>ПМ 16–10</t>
  </si>
  <si>
    <t>ПМ 25–8</t>
  </si>
  <si>
    <t>ПМ 25-10</t>
  </si>
  <si>
    <t>ПМ 35-8</t>
  </si>
  <si>
    <t>ПМ 35–10</t>
  </si>
  <si>
    <t>ПМ 50-8</t>
  </si>
  <si>
    <t>ПМ 50–10</t>
  </si>
  <si>
    <t>ПМ 70-10</t>
  </si>
  <si>
    <t>ПМ 95-10</t>
  </si>
  <si>
    <t>ПМ 120-10</t>
  </si>
  <si>
    <t>ПМ 150-12</t>
  </si>
  <si>
    <t>ПМ 185-12</t>
  </si>
  <si>
    <t xml:space="preserve">Наконечник кабельный штифтовой </t>
  </si>
  <si>
    <t>НШП 1.5–12</t>
  </si>
  <si>
    <t>НШП</t>
  </si>
  <si>
    <t>НШП 2.5–12</t>
  </si>
  <si>
    <t>НШП 6-12</t>
  </si>
  <si>
    <t>НШП 10–12</t>
  </si>
  <si>
    <t>НШП 16–13</t>
  </si>
  <si>
    <t>НШП 25–15</t>
  </si>
  <si>
    <t>НШП 35–20</t>
  </si>
  <si>
    <t>НШП 50–20</t>
  </si>
  <si>
    <t>НШП 70–25</t>
  </si>
  <si>
    <t>НШП 95–25</t>
  </si>
  <si>
    <t>Наконечник кабельный штифтовой</t>
  </si>
  <si>
    <t>НШП 120-34</t>
  </si>
  <si>
    <t>НШП 150-37</t>
  </si>
  <si>
    <t>НШП 185-38</t>
  </si>
  <si>
    <t>НШП 240-44</t>
  </si>
  <si>
    <t>НШМЛ 6-11</t>
  </si>
  <si>
    <t>НШМЛ</t>
  </si>
  <si>
    <t>НШМЛ 10-12</t>
  </si>
  <si>
    <t>НШМЛ 16-12</t>
  </si>
  <si>
    <t>НШМЛ 25-12</t>
  </si>
  <si>
    <t>НШМЛ 35-16</t>
  </si>
  <si>
    <t>НШМЛ 50-16</t>
  </si>
  <si>
    <t>НШМЛ 70-20</t>
  </si>
  <si>
    <t>НШМЛ 95-25</t>
  </si>
  <si>
    <t xml:space="preserve">Наконечник кабельный угловой </t>
  </si>
  <si>
    <t>ТМЛс(90) 6-5</t>
  </si>
  <si>
    <t>ТМЛс(90)</t>
  </si>
  <si>
    <t>ТМЛс(90) 6-6</t>
  </si>
  <si>
    <t>ТМЛс(90) 10-6</t>
  </si>
  <si>
    <t>ТМЛс(90) 10-8</t>
  </si>
  <si>
    <t>ТМЛс(90) 16-6</t>
  </si>
  <si>
    <t>ТМЛс(90) 16-8</t>
  </si>
  <si>
    <t>ТМЛс(90) 25-8</t>
  </si>
  <si>
    <t>ТМЛс(90) 25-10</t>
  </si>
  <si>
    <t>ТМЛс(90) 35-8</t>
  </si>
  <si>
    <t>ТМЛс(90) 35-10</t>
  </si>
  <si>
    <t>ТМЛс(90) 50-8</t>
  </si>
  <si>
    <t>ТМЛс(90) 50-10</t>
  </si>
  <si>
    <t>Наконечник кабельный угловой</t>
  </si>
  <si>
    <t>ТМЛс(90) 70-8</t>
  </si>
  <si>
    <t>ТМЛс(90) 70-10</t>
  </si>
  <si>
    <t>ТМЛс(90) 70-12</t>
  </si>
  <si>
    <t>ТМЛс(90) 95-10</t>
  </si>
  <si>
    <t>ТМЛс(90) 95-12</t>
  </si>
  <si>
    <t>ТМЛс(90) 120-10</t>
  </si>
  <si>
    <t>ТМЛс(90) 120-12</t>
  </si>
  <si>
    <t>ТМЛс(90) 150-12</t>
  </si>
  <si>
    <t>ТМЛс(45) 6-5</t>
  </si>
  <si>
    <t>ТМЛс(45)</t>
  </si>
  <si>
    <t>ТМЛс(45) 6-6</t>
  </si>
  <si>
    <t>ТМЛс(45) 10-6</t>
  </si>
  <si>
    <t>ТМЛс(45) 10-8</t>
  </si>
  <si>
    <t>ТМЛс(45) 16-6</t>
  </si>
  <si>
    <t>ТМЛс(45) 16-8</t>
  </si>
  <si>
    <t>ТМЛс(45) 25-8</t>
  </si>
  <si>
    <t>ТМЛс(45) 25-10</t>
  </si>
  <si>
    <t>ТМЛс(45) 35-8</t>
  </si>
  <si>
    <t>ТМЛс(45) 35-10</t>
  </si>
  <si>
    <t>ТМЛс(45) 50-8</t>
  </si>
  <si>
    <t>ТМЛс(45) 50-10</t>
  </si>
  <si>
    <t>ТМЛс(45) 70-10</t>
  </si>
  <si>
    <t>ТМЛс(45) 70-12</t>
  </si>
  <si>
    <t>ТМЛс(45) 95-10</t>
  </si>
  <si>
    <t>ТМЛс(45) 95-12</t>
  </si>
  <si>
    <t>ТМЛс(45) 120-12</t>
  </si>
  <si>
    <t>ТМЛс(45) 150-12</t>
  </si>
  <si>
    <t xml:space="preserve">Гильза кабельная </t>
  </si>
  <si>
    <t>ГМ 2.5-2.6</t>
  </si>
  <si>
    <t>ГМ</t>
  </si>
  <si>
    <t>ГМ 4-3</t>
  </si>
  <si>
    <t>ГМ 6-4</t>
  </si>
  <si>
    <t>ГМ 10-5</t>
  </si>
  <si>
    <t>ГМ 16-6</t>
  </si>
  <si>
    <t>ГМ 25-7</t>
  </si>
  <si>
    <t>ГМ 25-8</t>
  </si>
  <si>
    <t>ГМ 35-9</t>
  </si>
  <si>
    <t>ГМ 50-11</t>
  </si>
  <si>
    <t>ГМ 70-13</t>
  </si>
  <si>
    <t>ГМ 95-15</t>
  </si>
  <si>
    <t>ГМ 120-17</t>
  </si>
  <si>
    <t>ГМ 150-19</t>
  </si>
  <si>
    <t>ГМ 185-21</t>
  </si>
  <si>
    <t>ГМ 240-24</t>
  </si>
  <si>
    <t>ГМЛ 1.5-1.8</t>
  </si>
  <si>
    <t>ГМЛ</t>
  </si>
  <si>
    <t>ГМЛ 2.5-2.6</t>
  </si>
  <si>
    <t>ГМЛ 4-3</t>
  </si>
  <si>
    <t>ГМЛ 6-4</t>
  </si>
  <si>
    <t>ГМЛ 10-5</t>
  </si>
  <si>
    <t>ГМЛ 16-6</t>
  </si>
  <si>
    <t>ГМЛ 25-7</t>
  </si>
  <si>
    <t>ГМЛ 25-8</t>
  </si>
  <si>
    <t>ГМЛ 35-9</t>
  </si>
  <si>
    <t>Гильза кабельная</t>
  </si>
  <si>
    <t>ГМЛ 35-10</t>
  </si>
  <si>
    <t>ГМЛ 50-11</t>
  </si>
  <si>
    <t>ГМЛ 70-13</t>
  </si>
  <si>
    <t>ГМЛ 95-15</t>
  </si>
  <si>
    <t>ГМЛ 120-17</t>
  </si>
  <si>
    <t>ГМЛ 150-19</t>
  </si>
  <si>
    <t>ГМЛ 185-21</t>
  </si>
  <si>
    <t>ГМЛ 240-24</t>
  </si>
  <si>
    <t>ГМЛ(DIN)-6</t>
  </si>
  <si>
    <t>ГМЛ(DIN)</t>
  </si>
  <si>
    <t>ГМЛ(DIN)-10</t>
  </si>
  <si>
    <t>ГМЛ(DIN)-16</t>
  </si>
  <si>
    <t>ГМЛ(DIN)-25</t>
  </si>
  <si>
    <t>ГМЛ(DIN)-35</t>
  </si>
  <si>
    <t>ГМЛ(DIN)-50</t>
  </si>
  <si>
    <t>ГМЛ(DIN)-70</t>
  </si>
  <si>
    <t>ГМЛ(DIN)-95</t>
  </si>
  <si>
    <t>ГМЛ(DIN)-120</t>
  </si>
  <si>
    <t>ГМЛ(DIN)-150</t>
  </si>
  <si>
    <t>ГМЛ(DIN)-185</t>
  </si>
  <si>
    <t>ГМЛ(DIN)-240</t>
  </si>
  <si>
    <t>ГМЛ(DIN)-300</t>
  </si>
  <si>
    <t>ГМЛ(DIN)-400</t>
  </si>
  <si>
    <t>ГМЛ(DIN)-500</t>
  </si>
  <si>
    <t>ГМЛ(DIN)-625</t>
  </si>
  <si>
    <t>ГМЛ(DIN)-800</t>
  </si>
  <si>
    <t>ГМЛ(DIN)-1000</t>
  </si>
  <si>
    <t>ГМЛ-П 4</t>
  </si>
  <si>
    <t>ГМЛ-П</t>
  </si>
  <si>
    <t>ГМЛ-П 6</t>
  </si>
  <si>
    <t>ГМЛ-П 10</t>
  </si>
  <si>
    <t>ГМЛ-П 16</t>
  </si>
  <si>
    <t>ГМЛ-П 25</t>
  </si>
  <si>
    <t>ГМЛ(о) 0.34/1.5</t>
  </si>
  <si>
    <t>ГМЛ(о)</t>
  </si>
  <si>
    <t>ГМЛ(о) 1.5/2.5</t>
  </si>
  <si>
    <t>ГМЛ(о) 2.5/6</t>
  </si>
  <si>
    <t>ГМЛ(о) 6/10</t>
  </si>
  <si>
    <t>ГМЛ(о) 16</t>
  </si>
  <si>
    <t>ГМЛ(о) 25</t>
  </si>
  <si>
    <t>ГМЛс 1.5</t>
  </si>
  <si>
    <t>ГМЛс</t>
  </si>
  <si>
    <t>ГМЛс 2.5</t>
  </si>
  <si>
    <t>ГМЛс 4</t>
  </si>
  <si>
    <t>ГМЛс 6</t>
  </si>
  <si>
    <t>ГМЛс 10</t>
  </si>
  <si>
    <t>ГМЛс 16</t>
  </si>
  <si>
    <t>ГМЛс 25</t>
  </si>
  <si>
    <t>ГМЛс 35</t>
  </si>
  <si>
    <t>ГМЛс 50</t>
  </si>
  <si>
    <t>ГМЛс 70</t>
  </si>
  <si>
    <t>ГМЛс 95</t>
  </si>
  <si>
    <t>ГМЛс 120</t>
  </si>
  <si>
    <t>ГМЛс 150</t>
  </si>
  <si>
    <t>ГМЛс 185</t>
  </si>
  <si>
    <t>ГМЛс 240</t>
  </si>
  <si>
    <t>Блок соединителей</t>
  </si>
  <si>
    <t>КСМ 1.5-6</t>
  </si>
  <si>
    <t>КСМ</t>
  </si>
  <si>
    <t>КСМ 6-25</t>
  </si>
  <si>
    <t>КСМ-Т 35–70</t>
  </si>
  <si>
    <t>ТМЛс 1.5–4 (20 шт)</t>
  </si>
  <si>
    <t>ТМЛс в мини-упаковке</t>
  </si>
  <si>
    <t>упак</t>
  </si>
  <si>
    <t>ТМЛс 2.5–6 (20 шт)</t>
  </si>
  <si>
    <t>ТМЛс 4–6 (20 шт)</t>
  </si>
  <si>
    <t>ТМЛс 6–6 (20 шт)</t>
  </si>
  <si>
    <t>ТМЛс 10–6 (10 шт)</t>
  </si>
  <si>
    <t>ТМЛс 16–6 (10 шт)</t>
  </si>
  <si>
    <t>ТМЛс 25–8 (5 шт)</t>
  </si>
  <si>
    <t>ГМЛ(о) 0.34/1.5 (20 шт)</t>
  </si>
  <si>
    <t>ГМЛ(о) в мини-упаковке</t>
  </si>
  <si>
    <t>ГМЛ(о) 1.5/2.5 (20 шт)</t>
  </si>
  <si>
    <t>ГМЛ(о) 2.5/6 (20 шт)</t>
  </si>
  <si>
    <t>ГМЛ(о) 6/10 (20 шт)</t>
  </si>
  <si>
    <t>ГМЛ(о) 25 (5 шт)</t>
  </si>
  <si>
    <t>ГМЛ-П 6 (30шт)</t>
  </si>
  <si>
    <t>ГМЛ-П в мини-упаковке</t>
  </si>
  <si>
    <t>ГМЛ-П 10 (30шт)</t>
  </si>
  <si>
    <t>ГМЛ-П 16 (20шт)</t>
  </si>
  <si>
    <t>ГМЛ-П 25 (15шт)</t>
  </si>
  <si>
    <t>Алюмомедные и алюминиевые наконечники и гильзы</t>
  </si>
  <si>
    <t>ТА 10-8-4.5</t>
  </si>
  <si>
    <t>ТА</t>
  </si>
  <si>
    <t>ТА 16-8-5.4</t>
  </si>
  <si>
    <t>ТА 25-8-7</t>
  </si>
  <si>
    <t>ТА 35-10-8</t>
  </si>
  <si>
    <t>ТА 50-10-9</t>
  </si>
  <si>
    <t>ТА 70-10-12</t>
  </si>
  <si>
    <t>ТА 95-12-13</t>
  </si>
  <si>
    <t>ТА 120-12-14</t>
  </si>
  <si>
    <t>ТА 150-12-17</t>
  </si>
  <si>
    <t>ТА 185-16-19</t>
  </si>
  <si>
    <t>ТА 240-20-20</t>
  </si>
  <si>
    <t>ТА 300-20-24</t>
  </si>
  <si>
    <t>ГА 10</t>
  </si>
  <si>
    <t>ГА</t>
  </si>
  <si>
    <t>ГА 16</t>
  </si>
  <si>
    <t>ГА 25</t>
  </si>
  <si>
    <t>ГА 35</t>
  </si>
  <si>
    <t>ГА 50</t>
  </si>
  <si>
    <t>ГА 70</t>
  </si>
  <si>
    <t>ГА 95</t>
  </si>
  <si>
    <t>ГА 120</t>
  </si>
  <si>
    <t>ГА 150</t>
  </si>
  <si>
    <t>ГА 185</t>
  </si>
  <si>
    <t>ГА 240</t>
  </si>
  <si>
    <t>ГА 300</t>
  </si>
  <si>
    <t xml:space="preserve">Наконечник кабельный алюмомедный </t>
  </si>
  <si>
    <t>ТАМ 10-8-4.5</t>
  </si>
  <si>
    <t>ТАМ</t>
  </si>
  <si>
    <t>ТАМ 16-8-5.4</t>
  </si>
  <si>
    <t>ТАМ 25-8-7</t>
  </si>
  <si>
    <t>ТАМ 35-10-8</t>
  </si>
  <si>
    <t>ТАМ 50-10-9</t>
  </si>
  <si>
    <t>ТАМ 70-12-12</t>
  </si>
  <si>
    <t>ТАМ 95-12-13</t>
  </si>
  <si>
    <t>ТАМ 120-12-14</t>
  </si>
  <si>
    <t>ТАМ 150-12-17</t>
  </si>
  <si>
    <t>ТАМ 185-16-19</t>
  </si>
  <si>
    <t>ТАМ 240-16-20</t>
  </si>
  <si>
    <t>ТАМ 300-16-24</t>
  </si>
  <si>
    <t>Гильза кабельная алюмомедная</t>
  </si>
  <si>
    <t>ГАМ 10/10</t>
  </si>
  <si>
    <t>ГАМ</t>
  </si>
  <si>
    <t xml:space="preserve">Гильза кабельная алюмомедная </t>
  </si>
  <si>
    <t>ГАМ 16/10</t>
  </si>
  <si>
    <t>ГАМ 16/16</t>
  </si>
  <si>
    <t>ГАМ 25/10</t>
  </si>
  <si>
    <t>ГАМ 25/16</t>
  </si>
  <si>
    <t>ГАМ 25/25</t>
  </si>
  <si>
    <t>ГАМ 35/16</t>
  </si>
  <si>
    <t>ГАМ 35/25</t>
  </si>
  <si>
    <t>ГАМ 35/35</t>
  </si>
  <si>
    <t>ГАМ 50/25</t>
  </si>
  <si>
    <t>ГАМ 50/35</t>
  </si>
  <si>
    <t>ГАМ 50/50</t>
  </si>
  <si>
    <t>ГАМ 70/35</t>
  </si>
  <si>
    <t>ГАМ 70/50</t>
  </si>
  <si>
    <t>ГАМ 70/70</t>
  </si>
  <si>
    <t>ГАМ 95/50</t>
  </si>
  <si>
    <t>ГАМ 95/70</t>
  </si>
  <si>
    <t>ГАМ 95/95</t>
  </si>
  <si>
    <t>ГАМ 120/70</t>
  </si>
  <si>
    <t>ГАМ 120/95</t>
  </si>
  <si>
    <t>ГАМ 120/120</t>
  </si>
  <si>
    <t>ГАМ 150/95</t>
  </si>
  <si>
    <t>ГАМ 150/120</t>
  </si>
  <si>
    <t>ГАМ 150/150</t>
  </si>
  <si>
    <t>ГАМ 185/120</t>
  </si>
  <si>
    <t>ГАМ 185/150</t>
  </si>
  <si>
    <t>ГАМ 185/185</t>
  </si>
  <si>
    <t>ГАМ 240/150</t>
  </si>
  <si>
    <t>ГАМ 240/185</t>
  </si>
  <si>
    <t>ГАМ 240/240</t>
  </si>
  <si>
    <t>ГАМ 300/185</t>
  </si>
  <si>
    <t>ГАМ 300/240</t>
  </si>
  <si>
    <t>ГАМ 300/300</t>
  </si>
  <si>
    <t xml:space="preserve">Наконечник кабельный штыревой алюмомедный </t>
  </si>
  <si>
    <t>НШАМ 16</t>
  </si>
  <si>
    <t>НШАМ</t>
  </si>
  <si>
    <t>НШАМ 25</t>
  </si>
  <si>
    <t>НШАМ 35</t>
  </si>
  <si>
    <t>НШАМ 50</t>
  </si>
  <si>
    <t>Наконечник кабельный штыревой алюмомедный</t>
  </si>
  <si>
    <t>НШАМ 70</t>
  </si>
  <si>
    <t>НШАМ 95</t>
  </si>
  <si>
    <t>НШАМ 120</t>
  </si>
  <si>
    <t>НШАМ 150</t>
  </si>
  <si>
    <t>НШАМ 185</t>
  </si>
  <si>
    <t>НШАМ 240</t>
  </si>
  <si>
    <t>НШАМ-П 16-13</t>
  </si>
  <si>
    <t>НШАМ-П</t>
  </si>
  <si>
    <t>НШАМ-П 25-13</t>
  </si>
  <si>
    <t>НШАМ-П 35-13</t>
  </si>
  <si>
    <t>НШАМ-П 50-20</t>
  </si>
  <si>
    <t>НШАМ-П 70-20</t>
  </si>
  <si>
    <t>Соединитель алюмомедный</t>
  </si>
  <si>
    <t>АМК-30</t>
  </si>
  <si>
    <t>АМК</t>
  </si>
  <si>
    <t xml:space="preserve">Шайба алюмомедная </t>
  </si>
  <si>
    <t>ШАМ 17/8.5</t>
  </si>
  <si>
    <t>ШАМ</t>
  </si>
  <si>
    <t>ШАМ 20/11</t>
  </si>
  <si>
    <t>ШАМ 25/13</t>
  </si>
  <si>
    <t>ШАМ 30/17</t>
  </si>
  <si>
    <t>Контактная проводящая паста</t>
  </si>
  <si>
    <t>КПП</t>
  </si>
  <si>
    <t>Ответвительные сжимы</t>
  </si>
  <si>
    <t xml:space="preserve">Сжим кабельный ответвительный </t>
  </si>
  <si>
    <t>У731М</t>
  </si>
  <si>
    <t>У731M</t>
  </si>
  <si>
    <t>распродажа</t>
  </si>
  <si>
    <t>Сжим кабельный ответвительный</t>
  </si>
  <si>
    <t>У731М (10шт)</t>
  </si>
  <si>
    <t>У733М</t>
  </si>
  <si>
    <t>У733М (10шт)</t>
  </si>
  <si>
    <t>У734М</t>
  </si>
  <si>
    <t>У734М (10шт)</t>
  </si>
  <si>
    <t>У739М</t>
  </si>
  <si>
    <t>У739M</t>
  </si>
  <si>
    <t>У739М (10шт)</t>
  </si>
  <si>
    <t>У859М</t>
  </si>
  <si>
    <t>У859M</t>
  </si>
  <si>
    <t>У859М (5шт)</t>
  </si>
  <si>
    <t>У870М</t>
  </si>
  <si>
    <t>У871М</t>
  </si>
  <si>
    <t>У872М</t>
  </si>
  <si>
    <t>Изолированные разъемы, наконечники и клеммы</t>
  </si>
  <si>
    <t>Изолированные наконечники</t>
  </si>
  <si>
    <t xml:space="preserve">Наконечник кабельный кольцевой изолированный </t>
  </si>
  <si>
    <t xml:space="preserve">НКИ 1.5-3 серия ПРОФИ </t>
  </si>
  <si>
    <t>НКИ</t>
  </si>
  <si>
    <t>НКИ 1.5–4 серия ПРОФИ</t>
  </si>
  <si>
    <t>НКИ 1.5–5 серия ПРОФИ</t>
  </si>
  <si>
    <t>НКИ 1.5–6 серия ПРОФИ</t>
  </si>
  <si>
    <t>НКИ 2.5–4 серия ПРОФИ</t>
  </si>
  <si>
    <t>НКИ 2.5–5 серия ПРОФИ</t>
  </si>
  <si>
    <t>НКИ 2.5–6 серия ПРОФИ</t>
  </si>
  <si>
    <t>НКИ 2.5–8 серия ПРОФИ</t>
  </si>
  <si>
    <t>НКИ 6.0–4 серия ПРОФИ</t>
  </si>
  <si>
    <t>НКИ 6.0–5 серия ПРОФИ</t>
  </si>
  <si>
    <t>НКИ 6.0–6 серия ПРОФИ</t>
  </si>
  <si>
    <t>НКИ 6.0–8 серия ПРОФИ</t>
  </si>
  <si>
    <t>НКИ 6.0–10 серия ПРОФИ</t>
  </si>
  <si>
    <t>Наконечник кабельный кольцевой изолированный</t>
  </si>
  <si>
    <t>НКИ 1.5-3 серия ПРОФИ (100шт)</t>
  </si>
  <si>
    <t>НКИ 1.5–4 серия ПРОФИ (100шт)</t>
  </si>
  <si>
    <t>НКИ 1.5–5 серия ПРОФИ (100шт)</t>
  </si>
  <si>
    <t>НКИ 1.5–6 серия ПРОФИ (100шт)</t>
  </si>
  <si>
    <t>НКИ 2.5–4 серия ПРОФИ (100шт)</t>
  </si>
  <si>
    <t>НКИ 2.5–5 серия ПРОФИ (100шт)</t>
  </si>
  <si>
    <t>НКИ 2.5–6 серия ПРОФИ (100шт)</t>
  </si>
  <si>
    <t>НКИ 2.5–8 серия ПРОФИ (100шт)</t>
  </si>
  <si>
    <t>НКИ 6.0–4 серия ПРОФИ (100шт)</t>
  </si>
  <si>
    <t>НКИ 6.0–5 серия ПРОФИ (100шт)</t>
  </si>
  <si>
    <t>НКИ 6.0–6 серия ПРОФИ (100шт)</t>
  </si>
  <si>
    <t>НКИ 6.0–8 серия ПРОФИ (100шт)</t>
  </si>
  <si>
    <t>НКИ 6.0–10 серия ПРОФИ (100шт)</t>
  </si>
  <si>
    <t>НКИ 1.5-3 серия EasyFix</t>
  </si>
  <si>
    <t>НКИ серия EasyFix</t>
  </si>
  <si>
    <t>НКИ 1.5-4 серия EasyFix</t>
  </si>
  <si>
    <t>НКИ 1.5-5 серия EasyFix</t>
  </si>
  <si>
    <t>НКИ 1.5-6 серия EasyFix</t>
  </si>
  <si>
    <t>НКИ 2.5-4 серия EasyFix</t>
  </si>
  <si>
    <t>НКИ 2.5-5 серия EasyFix</t>
  </si>
  <si>
    <t>НКИ 2.5-6 серия EasyFix</t>
  </si>
  <si>
    <t>НКИ 2.5-8 серия EasyFix</t>
  </si>
  <si>
    <t>НКИ 6.0-4 серия EasyFix</t>
  </si>
  <si>
    <t>НКИ 6.0-5 серия EasyFix</t>
  </si>
  <si>
    <t>НКИ 6.0-6 серия EasyFix</t>
  </si>
  <si>
    <t>НКИ 6.0-8 серия EasyFix</t>
  </si>
  <si>
    <t>НКИ 6.0-10 серия EasyFix</t>
  </si>
  <si>
    <t>НКИ 1.5-3 серия EasyFix (100шт)</t>
  </si>
  <si>
    <t>НКИ 1.5-4 серия EasyFix (100шт)</t>
  </si>
  <si>
    <t>НКИ 1.5-5 серия EasyFix (100шт)</t>
  </si>
  <si>
    <t>НКИ 1.5-6 серия EasyFix (100шт)</t>
  </si>
  <si>
    <t>НКИ 2.5-4 серия EasyFix (100шт)</t>
  </si>
  <si>
    <t>НКИ 2.5-5 серия EasyFix (100шт)</t>
  </si>
  <si>
    <t>НКИ 2.5-6 серия EasyFix (100шт)</t>
  </si>
  <si>
    <t>НКИ 2.5-8 серия EasyFix (100шт)</t>
  </si>
  <si>
    <t>НКИ 6.0-4 серия EasyFix (100шт)</t>
  </si>
  <si>
    <t>НКИ 6.0-5 серия EasyFix (100шт)</t>
  </si>
  <si>
    <t>НКИ 6.0-6 серия EasyFix (100шт)</t>
  </si>
  <si>
    <t>НКИ 6.0-8 серия EasyFix (100шт)</t>
  </si>
  <si>
    <t>НКИ 6.0-10 серия EasyFix (100шт)</t>
  </si>
  <si>
    <t>НКИ(н) 1.5–4 серия ПРОФИ</t>
  </si>
  <si>
    <t>НКИ(н)</t>
  </si>
  <si>
    <t>НКИ(н) 1.5–6 серия ПРОФИ</t>
  </si>
  <si>
    <t>НКИ(н) 2.5–4 серия ПРОФИ</t>
  </si>
  <si>
    <t>НКИ(н) 2.5–6 серия ПРОФИ</t>
  </si>
  <si>
    <t>НКИ(н) 6.0–6 серия ПРОФИ</t>
  </si>
  <si>
    <t>НКИ(н) 6.0–8 серия ПРОФИ</t>
  </si>
  <si>
    <t>НКИ(н) 10–6 серия ПРОФИ</t>
  </si>
  <si>
    <t>НКИ(н) 10–8 серия ПРОФИ</t>
  </si>
  <si>
    <t>НКИ(н) 16–6 серия ПРОФИ</t>
  </si>
  <si>
    <t>НКИ(н) 16–8 серия ПРОФИ</t>
  </si>
  <si>
    <t>НКИ(н) 1.5–4 серия ПРОФИ (100шт)</t>
  </si>
  <si>
    <t>НКИ(н) 1.5–6 серия ПРОФИ (100шт)</t>
  </si>
  <si>
    <t>НКИ(н) 2.5–4 серия ПРОФИ (100шт)</t>
  </si>
  <si>
    <t>НКИ(н) 2.5–6 серия ПРОФИ (100шт)</t>
  </si>
  <si>
    <t>НКИ(н) 6.0–6 серия ПРОФИ (100шт)</t>
  </si>
  <si>
    <t>НКИ(н) 6.0–8 серия ПРОФИ (100шт)</t>
  </si>
  <si>
    <t>НКИ(н) 10–6 серия ПРОФИ (100шт)</t>
  </si>
  <si>
    <t>НКИ(н) 10–8 серия ПРОФИ (100шт)</t>
  </si>
  <si>
    <t>НКИ(н) 16–6 серия ПРОФИ (100шт)</t>
  </si>
  <si>
    <t>НКИ(н) 16–8 серия ПРОФИ (100шт)</t>
  </si>
  <si>
    <t>ВНКИ 1.5–4 серия ПРОФИ</t>
  </si>
  <si>
    <t>ВНКИ</t>
  </si>
  <si>
    <t>ВНКИ 1.5–5 серия ПРОФИ</t>
  </si>
  <si>
    <t>ВНКИ 1.5–6 серия ПРОФИ</t>
  </si>
  <si>
    <t>ВНКИ 2.5–4 серия ПРОФИ</t>
  </si>
  <si>
    <t>ВНКИ 2.5–5 серия ПРОФИ</t>
  </si>
  <si>
    <t>ВНКИ 2.5–6 серия ПРОФИ</t>
  </si>
  <si>
    <t>ВНКИ 6.0–6 серия ПРОФИ</t>
  </si>
  <si>
    <t>ВНКИ 6.0–8 серия ПРОФИ</t>
  </si>
  <si>
    <t>ВНКИ 1.5–4 серия ПРОФИ (100шт)</t>
  </si>
  <si>
    <t>ВНКИ 1.5–5 серия ПРОФИ (100шт)</t>
  </si>
  <si>
    <t>ВНКИ 1.5–6 серия ПРОФИ (100шт)</t>
  </si>
  <si>
    <t>ВНКИ 2.5–4 серия ПРОФИ (100шт)</t>
  </si>
  <si>
    <t>ВНКИ 2.5–5 серия ПРОФИ (100шт)</t>
  </si>
  <si>
    <t>ВНКИ 2.5–6 серия ПРОФИ (100шт)</t>
  </si>
  <si>
    <t>ВНКИ 6.0–6 серия ПРОФИ (100шт)</t>
  </si>
  <si>
    <t>ВНКИ 6.0–8 серия ПРОФИ (100шт)</t>
  </si>
  <si>
    <t xml:space="preserve">Наконечник кабельный вилочный изолированный </t>
  </si>
  <si>
    <t>НВИ 1.5-3 серия ПРОФИ</t>
  </si>
  <si>
    <t>НВИ</t>
  </si>
  <si>
    <t>НВИ 1.5–4 серия ПРОФИ</t>
  </si>
  <si>
    <t>НВИ 1.5–5 серия ПРОФИ</t>
  </si>
  <si>
    <t>НВИ 2.5–4 серия ПРОФИ</t>
  </si>
  <si>
    <t>НВИ 2.5–5 серия ПРОФИ</t>
  </si>
  <si>
    <t>НВИ 2.5–6 серия ПРОФИ</t>
  </si>
  <si>
    <t>НВИ 6.0–4 серия ПРОФИ</t>
  </si>
  <si>
    <t>НВИ 6.0–5 серия ПРОФИ</t>
  </si>
  <si>
    <t>НВИ 6.0–6 серия ПРОФИ</t>
  </si>
  <si>
    <t>Наконечник кабельный вилочный изолированный</t>
  </si>
  <si>
    <t>НВИ 1.5-3 серия ПРОФИ (100шт)</t>
  </si>
  <si>
    <t>НВИ 1.5–4 серия ПРОФИ (100шт)</t>
  </si>
  <si>
    <t>НВИ 1.5–5 серия ПРОФИ (100шт)</t>
  </si>
  <si>
    <t>НВИ 2.5–4 серия ПРОФИ (100шт)</t>
  </si>
  <si>
    <t>НВИ 2.5–5 серия ПРОФИ (100шт)</t>
  </si>
  <si>
    <t>НВИ 2.5–6 серия ПРОФИ (100шт)</t>
  </si>
  <si>
    <t>НВИ 6.0–4 серия ПРОФИ (100шт)</t>
  </si>
  <si>
    <t>НВИ 6.0–5 серия ПРОФИ (100шт)</t>
  </si>
  <si>
    <t>НВИ 6.0–6 серия ПРОФИ (100шт)</t>
  </si>
  <si>
    <t>НВИ 1.5-3 серия EasyFix</t>
  </si>
  <si>
    <t>НВИ серия EasyFix</t>
  </si>
  <si>
    <t>НВИ 1.5-4 серия EasyFix</t>
  </si>
  <si>
    <t>НВИ 2.5-4 серия EasyFix</t>
  </si>
  <si>
    <t>НВИ 2.5-5 серия EasyFix</t>
  </si>
  <si>
    <t>НВИ 6.0-4 серия EasyFix</t>
  </si>
  <si>
    <t>НВИ 6.0-6 серия EasyFix</t>
  </si>
  <si>
    <t>НВИ 1.5-3 серия EasyFix (100шт)</t>
  </si>
  <si>
    <t>НВИ 1.5-4 серия EasyFix (100шт)</t>
  </si>
  <si>
    <t>НВИ 2.5-4 серия EasyFix (100шт)</t>
  </si>
  <si>
    <t>НВИ 2.5-5 серия EasyFix (100шт)</t>
  </si>
  <si>
    <t>НВИ 6.0-4 серия EasyFix (100шт)</t>
  </si>
  <si>
    <t>НВИ 6.0-6 серия EasyFix (100шт)</t>
  </si>
  <si>
    <t>НВИ(н) 10–5 серия ПРОФИ</t>
  </si>
  <si>
    <t>НВИ(н)</t>
  </si>
  <si>
    <t>НВИ(н) 10–6 серия ПРОФИ</t>
  </si>
  <si>
    <t>НВИ(н) 16–6 серия ПРОФИ</t>
  </si>
  <si>
    <t>НВИ(н) 16–8 серия ПРОФИ</t>
  </si>
  <si>
    <t>НВИ(н) 10–5 серия ПРОФИ (100шт)</t>
  </si>
  <si>
    <t>НВИ(н) 10–6 серия ПРОФИ (100шт)</t>
  </si>
  <si>
    <t>НВИ(н) 16–6 серия ПРОФИ (100шт)</t>
  </si>
  <si>
    <t>НВИ(н) 16–8 серия ПРОФИ (100шт)</t>
  </si>
  <si>
    <t xml:space="preserve">Наконечник кабельный штифтовой плоский изолированный </t>
  </si>
  <si>
    <t>НШПИ 1.5-10 серия ПРОФИ</t>
  </si>
  <si>
    <t>НШПИ</t>
  </si>
  <si>
    <t>НШПИ 2.5-10 серия ПРОФИ</t>
  </si>
  <si>
    <t>НШПИ 6.0-14 серия ПРОФИ</t>
  </si>
  <si>
    <t>Наконечник кабельный штифтовой плоский изолированный</t>
  </si>
  <si>
    <t>НШПИ 1.5-10 серия ПРОФИ (100шт)</t>
  </si>
  <si>
    <t>НШПИ 2.5-10 серия ПРОФИ (100шт)</t>
  </si>
  <si>
    <t>НШПИ 6.0-14 серия ПРОФИ (100шт)</t>
  </si>
  <si>
    <t xml:space="preserve">Наконечник кабельный штыревой круглый изолированный </t>
  </si>
  <si>
    <t>НШКИ 1.5–12 серия ПРОФИ</t>
  </si>
  <si>
    <t>НШКИ</t>
  </si>
  <si>
    <t>НШКИ 2.5–12 серия ПРОФИ</t>
  </si>
  <si>
    <t>НШКИ 6.0–13 серия ПРОФИ</t>
  </si>
  <si>
    <t>Наконечник кабельный штыревой круглый изолированный</t>
  </si>
  <si>
    <t>НШКИ 1.5–12 серия ПРОФИ (100шт)</t>
  </si>
  <si>
    <t>НШКИ 2.5–12 серия ПРОФИ (100шт)</t>
  </si>
  <si>
    <t>НШКИ 6.0–13 серия ПРОФИ (100шт)</t>
  </si>
  <si>
    <t>НКИ-Т 1.5–4 серия ПРОФИ</t>
  </si>
  <si>
    <t>НКИ-Т</t>
  </si>
  <si>
    <t>НКИ-Т 1.5–6 серия ПРОФИ</t>
  </si>
  <si>
    <t>НКИ-Т 2.5–4 серия ПРОФИ</t>
  </si>
  <si>
    <t>НКИ-Т 2.5–6 серия ПРОФИ</t>
  </si>
  <si>
    <t>НКИ-Т 6.0–6 серия ПРОФИ</t>
  </si>
  <si>
    <t>НКИ-Т 6.0–8 серия ПРОФИ</t>
  </si>
  <si>
    <t>НКИ-Т 1.5–4 серия ПРОФИ (100шт)</t>
  </si>
  <si>
    <t>НКИ-Т 1.5–6 серия ПРОФИ (100шт)</t>
  </si>
  <si>
    <t>НКИ-Т 2.5–4 серия ПРОФИ (100шт)</t>
  </si>
  <si>
    <t>НКИ-Т 2.5–6 серия ПРОФИ (100шт)</t>
  </si>
  <si>
    <t>НКИ-Т 6.0–6 серия ПРОФИ (100шт)</t>
  </si>
  <si>
    <t>НКИ-Т 6.0–8 серия ПРОФИ (100шт)</t>
  </si>
  <si>
    <t xml:space="preserve">Набор изолированных наконечников и гильз </t>
  </si>
  <si>
    <t>П-290</t>
  </si>
  <si>
    <t>М-950-0</t>
  </si>
  <si>
    <t>М-950-1</t>
  </si>
  <si>
    <t>М-950-2</t>
  </si>
  <si>
    <t>НКИ 1.5–4 (30 шт)</t>
  </si>
  <si>
    <t>НКИ в мини-упаковке</t>
  </si>
  <si>
    <t>НКИ 1.5–5 (30 шт)</t>
  </si>
  <si>
    <t>НКИ 1.5–6 (30 шт)</t>
  </si>
  <si>
    <t>НКИ 2.5–4 (30 шт)</t>
  </si>
  <si>
    <t>НКИ 2.5–5 (30 шт)</t>
  </si>
  <si>
    <t>НКИ 2.5–6 (30 шт)</t>
  </si>
  <si>
    <t>НКИ 6.0–6 (20 шт)</t>
  </si>
  <si>
    <t>НКИ 6.0–8 (15 шт)</t>
  </si>
  <si>
    <t>НКИ 6.0–10 (10 шт)</t>
  </si>
  <si>
    <t>НВИ 1.5–4 (30 шт)</t>
  </si>
  <si>
    <t>НВИ в мини-упаковке</t>
  </si>
  <si>
    <t>НВИ 2.5–4 (30 шт)</t>
  </si>
  <si>
    <t>НВИ 6.0–4 (20 шт)</t>
  </si>
  <si>
    <t>НШКИ 1.5–12 (30 шт)</t>
  </si>
  <si>
    <t>НШКИ в мини-упаковке</t>
  </si>
  <si>
    <t>НШКИ 2.5–12 (30 шт)</t>
  </si>
  <si>
    <t>НШКИ 6.0–13 (20 шт)</t>
  </si>
  <si>
    <t>Изолированные разъемы</t>
  </si>
  <si>
    <t xml:space="preserve">Разъем кабельный плоский изолированный «папа» </t>
  </si>
  <si>
    <t>РПИ-П 1.5–(2.8) серия ПРОФИ</t>
  </si>
  <si>
    <t>РПИ-П</t>
  </si>
  <si>
    <t>РПИ-П 1.5–(4.8) серия ПРОФИ</t>
  </si>
  <si>
    <t>РПИ-П 1.5–(6.3) серия ПРОФИ</t>
  </si>
  <si>
    <t>РПИ-П 2.5–(4.8) серия ПРОФИ</t>
  </si>
  <si>
    <t>РПИ-П 2.5–(6.3) серия ПРОФИ</t>
  </si>
  <si>
    <t>РПИ-П 6.0–(6.3) серия ПРОФИ</t>
  </si>
  <si>
    <t>Разъем кабельный плоский изолированный «папа»</t>
  </si>
  <si>
    <t>РПИ-П 1.5–(2.8) серия ПРОФИ (100шт)</t>
  </si>
  <si>
    <t>РПИ-П 1.5–(4.8) серия ПРОФИ (100шт)</t>
  </si>
  <si>
    <t>РПИ-П 1.5–(6.3) серия ПРОФИ (100шт)</t>
  </si>
  <si>
    <t>РПИ-П 2.5–(4.8) серия ПРОФИ (100шт)</t>
  </si>
  <si>
    <t>РПИ-П 2.5–(6.3) серия ПРОФИ (100шт)</t>
  </si>
  <si>
    <t>РПИ-П 6.0–(6.3) серия ПРОФИ (100шт)</t>
  </si>
  <si>
    <t xml:space="preserve">Разъем кабельный плоский изолированный «мама» </t>
  </si>
  <si>
    <t>РПИ-М 1.5–(2.8) серия ПРОФИ</t>
  </si>
  <si>
    <t>РПИ-М</t>
  </si>
  <si>
    <t>РПИ-М 1.5–(4.8) серия ПРОФИ</t>
  </si>
  <si>
    <t>РПИ-М 1.5–(6.3) серия ПРОФИ</t>
  </si>
  <si>
    <t>РПИ-М 2.5–(4.8) серия ПРОФИ</t>
  </si>
  <si>
    <t>РПИ-М 2.5–(6.3) серия ПРОФИ</t>
  </si>
  <si>
    <t>РПИ-М 6.0–(6.3) серия ПРОФИ</t>
  </si>
  <si>
    <t>Разъем кабельный плоский изолированный «мама»</t>
  </si>
  <si>
    <t>РПИ-М 1.5–(2.8) серия ПРОФИ (100шт)</t>
  </si>
  <si>
    <t>РПИ-М 1.5–(4.8) серия ПРОФИ (100шт)</t>
  </si>
  <si>
    <t>РПИ-М 1.5–(6.3) серия ПРОФИ (100шт)</t>
  </si>
  <si>
    <t>РПИ-М 2.5–(4.8) серия ПРОФИ (100шт)</t>
  </si>
  <si>
    <t>РПИ-М 2.5–(6.3) серия ПРОФИ (100шт)</t>
  </si>
  <si>
    <t>РПИ-М 6.0–(6.3) серия ПРОФИ (100шт)</t>
  </si>
  <si>
    <t xml:space="preserve">Разъем кабельный плоский полностью изолированный «мама» </t>
  </si>
  <si>
    <t>РППИ-М 1.5–(2.8) серия ПРОФИ</t>
  </si>
  <si>
    <t>РППИ-М</t>
  </si>
  <si>
    <t>РППИ-М 1.5–(4.8) серия ПРОФИ</t>
  </si>
  <si>
    <t>РППИ-М 1.5–(6.3) серия ПРОФИ</t>
  </si>
  <si>
    <t>РППИ-М 2.5–(4.8) серия ПРОФИ</t>
  </si>
  <si>
    <t>РППИ-М 2.5–(6.3) серия ПРОФИ</t>
  </si>
  <si>
    <t>РППИ-М 6.0–(6.3) серия ПРОФИ</t>
  </si>
  <si>
    <t>Разъем кабельный плоский полностью изолированный «мама»</t>
  </si>
  <si>
    <t>РППИ-М 1.5–(2.8) серия ПРОФИ (100шт)</t>
  </si>
  <si>
    <t>РППИ-М 1.5–(4.8) серия ПРОФИ (100шт)</t>
  </si>
  <si>
    <t>РППИ-М 1.5–(6.3) серия ПРОФИ (100шт)</t>
  </si>
  <si>
    <t>РППИ-М 2.5–(4.8) серия ПРОФИ (100шт)</t>
  </si>
  <si>
    <t>РППИ-М 2.5–(6.3) серия ПРОФИ (100шт)</t>
  </si>
  <si>
    <t>РППИ-М 6.0–(6.3) серия ПРОФИ (100шт)</t>
  </si>
  <si>
    <t xml:space="preserve">Разъем плоский ответвительный изолированный </t>
  </si>
  <si>
    <t>РПИ-О 1.5–(6.3) серия ПРОФИ</t>
  </si>
  <si>
    <t>РПИ-О</t>
  </si>
  <si>
    <t>РПИ-О 2.5–(6.3) серия ПРОФИ</t>
  </si>
  <si>
    <t>Разъем плоский ответвительный изолированный</t>
  </si>
  <si>
    <t>РПИ-О 1.5–(6.3) серия ПРОФИ (100шт)</t>
  </si>
  <si>
    <t>РПИ-О 2.5–(6.3) серия ПРОФИ (100шт)</t>
  </si>
  <si>
    <t>ВРПИ-П 1.5–(6.3) серия ПРОФИ</t>
  </si>
  <si>
    <t>ВРПИ-П</t>
  </si>
  <si>
    <t>ВРПИ-П 2.5–(6.3) серия ПРОФИ</t>
  </si>
  <si>
    <t>ВРПИ-П 6.0–(6.3) серия ПРОФИ</t>
  </si>
  <si>
    <t>ВРПИ-П 1.5–(6.3) серия ПРОФИ (100шт)</t>
  </si>
  <si>
    <t>ВРПИ-П 2.5–(6.3) серия ПРОФИ (100шт)</t>
  </si>
  <si>
    <t>ВРПИ-П 6.0–(6.3) серия ПРОФИ (100шт)</t>
  </si>
  <si>
    <t>ВРПИ-М 1.5–(6.3) серия ПРОФИ</t>
  </si>
  <si>
    <t>ВРПИ-М</t>
  </si>
  <si>
    <t>ВРПИ-М 2.5–(6.3) серия ПРОФИ</t>
  </si>
  <si>
    <t>ВРПИ-М 6.0–(6.3) серия ПРОФИ</t>
  </si>
  <si>
    <t>ВРПИ-М 1.5–(6.3) серия ПРОФИ (100шт)</t>
  </si>
  <si>
    <t>ВРПИ-М 2.5–(6.3) серия ПРОФИ (100шт)</t>
  </si>
  <si>
    <t>ВРПИ-М 6.0–(6.3) серия ПРОФИ (100шт)</t>
  </si>
  <si>
    <t xml:space="preserve">Разъем плоский полностью изолированный «папа» </t>
  </si>
  <si>
    <t>РПИ-П(н) 1.5–(6.3) серия ПРОФИ</t>
  </si>
  <si>
    <t>РПИ-П(н)</t>
  </si>
  <si>
    <t>РПИ-П(н) 2.5–(6.3) серия ПРОФИ</t>
  </si>
  <si>
    <t>РПИ-П(н) 6.0–(6.3) серия ПРОФИ</t>
  </si>
  <si>
    <t>Разъем плоский полностью изолированный «папа»</t>
  </si>
  <si>
    <t>РПИ-П(н) 1.5–(6.3) серия ПРОФИ (100шт)</t>
  </si>
  <si>
    <t>РПИ-П(н) 2.5–(6.3) серия ПРОФИ (100шт)</t>
  </si>
  <si>
    <t>РПИ-П(н) 6.0–(6.3) серия ПРОФИ (100шт)</t>
  </si>
  <si>
    <t xml:space="preserve">Разъем плоский полностью изолированный «мама» </t>
  </si>
  <si>
    <t>РПИ-М(н) 1.5–(6.3) серия ПРОФИ</t>
  </si>
  <si>
    <t>РПИ-М(н)</t>
  </si>
  <si>
    <t>РПИ-М(н) 2.5–(6.3) серия ПРОФИ</t>
  </si>
  <si>
    <t>РПИ-М(н) 6.0–(6.3) серия ПРОФИ</t>
  </si>
  <si>
    <t>Разъем плоский полностью изолированный «мама»</t>
  </si>
  <si>
    <t>РПИ-М(н) 1.5–(6.3) серия ПРОФИ (100шт)</t>
  </si>
  <si>
    <t>РПИ-М(н) 2.5–(6.3) серия ПРОФИ (100шт)</t>
  </si>
  <si>
    <t>РПИ-М(н) 6.0–(6.3) серия ПРОФИ (100шт)</t>
  </si>
  <si>
    <t xml:space="preserve">Разъем флажковый изолированный «мама» </t>
  </si>
  <si>
    <t>РФИ-М(н) 1.5–(6.3) серия ПРОФИ</t>
  </si>
  <si>
    <t>РФИ-М(н)</t>
  </si>
  <si>
    <t>РФИ-М(н) 2.5–(6.3) серия ПРОФИ</t>
  </si>
  <si>
    <t>Разъем флажковый изолированный «мама»</t>
  </si>
  <si>
    <t>РФИ-М(н) 1.5–(6.3) серия ПРОФИ (100шт)</t>
  </si>
  <si>
    <t>РФИ-М(н) 2.5–(6.3) серия ПРОФИ (100шт)</t>
  </si>
  <si>
    <t xml:space="preserve">Разъем штекерный изолированный «папа» </t>
  </si>
  <si>
    <t>РШИ-П 1.5–4 серия ПРОФИ</t>
  </si>
  <si>
    <t>РШИ-П</t>
  </si>
  <si>
    <t>РШИ-П 2.5–4 серия ПРОФИ</t>
  </si>
  <si>
    <t>Разъем штекерный изолированный «папа»</t>
  </si>
  <si>
    <t>РШИ-П 1.5–4 серия ПРОФИ (100шт)</t>
  </si>
  <si>
    <t>РШИ-П 2.5–4 серия ПРОФИ (100шт)</t>
  </si>
  <si>
    <t xml:space="preserve">Разъем штекерный изолированный «мама» </t>
  </si>
  <si>
    <t>РШИ-М 1.5–4 серия ПРОФИ</t>
  </si>
  <si>
    <t>РШИ-М</t>
  </si>
  <si>
    <t>РШИ-М 2.5–4 серия ПРОФИ</t>
  </si>
  <si>
    <t>Разъем штекерный изолированный «мама»</t>
  </si>
  <si>
    <t>РШИ-М 1.5–4 серия ПРОФИ (100шт)</t>
  </si>
  <si>
    <t>РШИ-М 2.5–4 серия ПРОФИ (100шт)</t>
  </si>
  <si>
    <t>ВРШИ-П(н) 1.5–4 серия ПРОФИ</t>
  </si>
  <si>
    <t>ВРШИ-П(н)</t>
  </si>
  <si>
    <t>ВРШИ-П(н) 2.5–4 серия ПРОФИ</t>
  </si>
  <si>
    <t>ВРШИ-П(н) 1.5–4 серия ПРОФИ (100шт)</t>
  </si>
  <si>
    <t>ВРШИ-М(н) 1.5–4 серия ПРОФИ</t>
  </si>
  <si>
    <t>ВРШИ-М(н)</t>
  </si>
  <si>
    <t>ВРШИ-М(н) 1.5–4 серия ПРОФИ (100шт)</t>
  </si>
  <si>
    <t xml:space="preserve">Ответвитель параллельный прокалывающего типа </t>
  </si>
  <si>
    <t>ОВ-1</t>
  </si>
  <si>
    <t>ОВ</t>
  </si>
  <si>
    <t>ОВ-2</t>
  </si>
  <si>
    <t>ОВ-3</t>
  </si>
  <si>
    <t>Ответвитель параллельный прокалывающего типа</t>
  </si>
  <si>
    <t>ОВ-1 (100шт)</t>
  </si>
  <si>
    <t>ОВ-2 (100шт)</t>
  </si>
  <si>
    <t>ОВ-3 (100шт)</t>
  </si>
  <si>
    <t xml:space="preserve">Ответвитель Т-образный прокалывающего типа </t>
  </si>
  <si>
    <t>ОВ-Т 1</t>
  </si>
  <si>
    <t>ОВ-Т</t>
  </si>
  <si>
    <t>ОВ-Т 2</t>
  </si>
  <si>
    <t>ОВ-Т 3</t>
  </si>
  <si>
    <t>Ответвитель Т-образный прокалывающего типа</t>
  </si>
  <si>
    <t>ОВ-Т 1 (100шт)</t>
  </si>
  <si>
    <t>ОВ-Т 2 (100шт)</t>
  </si>
  <si>
    <t>ОВ-Т 3 (100шт)</t>
  </si>
  <si>
    <t xml:space="preserve">Набор изолированных разъемов и гильз </t>
  </si>
  <si>
    <t>П-280</t>
  </si>
  <si>
    <t>РПИ-П 1.5-(6.3) (30 шт)</t>
  </si>
  <si>
    <t>РПИ-П в мини-упаковке</t>
  </si>
  <si>
    <t>РПИ-П 2.5-(6.3) (30 шт)</t>
  </si>
  <si>
    <t>РПИ-М 1.5-(6.3) (30 шт)</t>
  </si>
  <si>
    <t>РПИ-М в мини-упаковке</t>
  </si>
  <si>
    <t>РПИ-М 2.5-(6.3) (30 шт)</t>
  </si>
  <si>
    <t>РППИ-М 1.5-(6.3) (20 шт)</t>
  </si>
  <si>
    <t>РППИ-М в мини-упаковке</t>
  </si>
  <si>
    <t>РППИ-М 2.5-(6.3) (20 шт)</t>
  </si>
  <si>
    <t>РППИ-М 6.0-(6.3) (10 шт)</t>
  </si>
  <si>
    <t>РПИ-П(н) 1.5-(6.3) (15 шт)</t>
  </si>
  <si>
    <t>РПИ-П(н) в мини-упаковке</t>
  </si>
  <si>
    <t>РПИ-П(н) 2.5-(6.3) (15 шт)</t>
  </si>
  <si>
    <t>РПИ-М(н) 1.5-(6.3) (20 шт)</t>
  </si>
  <si>
    <t>РПИ-М(н) в мини-упаковке</t>
  </si>
  <si>
    <t>РПИ-М(н) 2.5-(6.3) (20 шт)</t>
  </si>
  <si>
    <t>Изолированные гильзы</t>
  </si>
  <si>
    <t xml:space="preserve">Гильза соединительная изолированная </t>
  </si>
  <si>
    <t>ГСИ 1.5 серия ПРОФИ</t>
  </si>
  <si>
    <t>ГСИ</t>
  </si>
  <si>
    <t>ГСИ 2.5 серия ПРОФИ</t>
  </si>
  <si>
    <t>ГСИ 6.0 серия ПРОФИ</t>
  </si>
  <si>
    <t>ГСИ 10 серия ПРОФИ</t>
  </si>
  <si>
    <t>ГСИ 16 серия ПРОФИ</t>
  </si>
  <si>
    <t>Гильза соединительная изолированная</t>
  </si>
  <si>
    <t>ГСИ 1.5 серия ПРОФИ (100шт)</t>
  </si>
  <si>
    <t>ГСИ 2.5 серия ПРОФИ (100шт)</t>
  </si>
  <si>
    <t>ГСИ 6.0 серия ПРОФИ (100шт)</t>
  </si>
  <si>
    <t>ГСИ 1.5 серия EasyFix</t>
  </si>
  <si>
    <t>ГСИ серия EasyFix</t>
  </si>
  <si>
    <t>ГСИ 2.5 серия EasyFix</t>
  </si>
  <si>
    <t>ГСИ 6.0 серия EasyFix</t>
  </si>
  <si>
    <t>ГСИ 1.5 серия EasyFix (100шт)</t>
  </si>
  <si>
    <t>ГСИ 2.5 серия EasyFix (100шт)</t>
  </si>
  <si>
    <t>ГСИ 6.0 серия EasyFix (100шт)</t>
  </si>
  <si>
    <t>ГСИ(н) 1.5 серия ПРОФИ</t>
  </si>
  <si>
    <t>ГСИ(н)</t>
  </si>
  <si>
    <t>ГСИ(н) 2.5 серия ПРОФИ</t>
  </si>
  <si>
    <t>ГСИ(н) 6.0 серия ПРОФИ</t>
  </si>
  <si>
    <t>ГСИ(н) 1.5 серия ПРОФИ (100шт)</t>
  </si>
  <si>
    <t>ГСИ(н) 2.5 серия ПРОФИ (100шт)</t>
  </si>
  <si>
    <t>ГСИ(н) 6.0 серия ПРОФИ (100шт)</t>
  </si>
  <si>
    <t>ГСИ-Т 1.5 серия ПРОФИ</t>
  </si>
  <si>
    <t>ГСИ-Т</t>
  </si>
  <si>
    <t>ГСИ-Т 2.5 серия ПРОФИ</t>
  </si>
  <si>
    <t>ГСИ-Т 6.0 серия ПРОФИ</t>
  </si>
  <si>
    <t>ГСИ-Т 1.5 серия ПРОФИ (100шт)</t>
  </si>
  <si>
    <t>ГСИ-Т 2.5 серия ПРОФИ (100шт)</t>
  </si>
  <si>
    <t>ГСИ-Т 6.0 серия ПРОФИ (100шт)</t>
  </si>
  <si>
    <t xml:space="preserve">Cоединитель термоусаживаемый под пайку </t>
  </si>
  <si>
    <t>ПК-Т 0.34 серия ПРОФИ</t>
  </si>
  <si>
    <t>ПК-Т</t>
  </si>
  <si>
    <t>ПК-Т 1.0 серия ПРОФИ</t>
  </si>
  <si>
    <t>ПК-Т 2.5 серия ПРОФИ</t>
  </si>
  <si>
    <t>ПК-Т 6.0 серия ПРОФИ</t>
  </si>
  <si>
    <t>Cоединитель термоусаживаемый под пайку</t>
  </si>
  <si>
    <t>ПК-Т 0.34 серия ПРОФИ (20шт)</t>
  </si>
  <si>
    <t>ПК-Т 1.0 серия ПРОФИ (20шт)</t>
  </si>
  <si>
    <t>ПК-Т 2.5 серия ПРОФИ (20шт)</t>
  </si>
  <si>
    <t>ПК-Т 6.0 серия ПРОФИ (20шт)</t>
  </si>
  <si>
    <t xml:space="preserve">Набор гильз под опрессовку </t>
  </si>
  <si>
    <t>ГСИ-Т-100</t>
  </si>
  <si>
    <t>ГСИ-Т-200</t>
  </si>
  <si>
    <t xml:space="preserve">Набор термоусаживаемых соединителей под пайку </t>
  </si>
  <si>
    <t>ПК-Т-50</t>
  </si>
  <si>
    <t>ПК-Т-100</t>
  </si>
  <si>
    <t>ГСИ 1.5 (30 шт)</t>
  </si>
  <si>
    <t>ГСИ в мини-упаковке</t>
  </si>
  <si>
    <t>ГСИ 2.5 (20 шт)</t>
  </si>
  <si>
    <t>ГСИ 6.0 (15 шт)</t>
  </si>
  <si>
    <t>ГСИ-Т 1.5 (20шт)</t>
  </si>
  <si>
    <t>ГСИ-Т в мини-упаковке</t>
  </si>
  <si>
    <t>ГСИ-Т 2.5 (20шт)</t>
  </si>
  <si>
    <t>ГСИ-Т 6.0 (10шт)</t>
  </si>
  <si>
    <t>ПК-Т 1.0 (10 шт)</t>
  </si>
  <si>
    <t>ПК-Т в мини-упаковке</t>
  </si>
  <si>
    <t>ПК-Т 2.5 (10 шт)</t>
  </si>
  <si>
    <t>ПК-Т 6.0 (10 шт)</t>
  </si>
  <si>
    <t>Соединительные зажимы</t>
  </si>
  <si>
    <t xml:space="preserve">Соединительный изолирующий зажим </t>
  </si>
  <si>
    <t>СИЗ-1</t>
  </si>
  <si>
    <t>СИЗ</t>
  </si>
  <si>
    <t>СИЗ-2</t>
  </si>
  <si>
    <t>СИЗ-3</t>
  </si>
  <si>
    <t>СИЗ-4</t>
  </si>
  <si>
    <t>СИЗ-5</t>
  </si>
  <si>
    <t>Соединительный изолирующий зажим</t>
  </si>
  <si>
    <t>СИЗ-1 (100шт)</t>
  </si>
  <si>
    <t>СИЗ-2 (100шт)</t>
  </si>
  <si>
    <t>СИЗ-3 (100шт)</t>
  </si>
  <si>
    <t>СИЗ-4 (100шт)</t>
  </si>
  <si>
    <t>СИЗ-5 (100шт)</t>
  </si>
  <si>
    <t>СИЗ-К-6</t>
  </si>
  <si>
    <t>СИЗ-К</t>
  </si>
  <si>
    <t>СИЗ-К-7</t>
  </si>
  <si>
    <t>СИЗ-К-8</t>
  </si>
  <si>
    <t>СИЗ-К-6 (100шт)</t>
  </si>
  <si>
    <t>СИЗ-К-7 (100шт)</t>
  </si>
  <si>
    <t>СИЗ-К-8 (100шт)</t>
  </si>
  <si>
    <t xml:space="preserve">Концевая изолированная заглушка </t>
  </si>
  <si>
    <t>КИЗ-1</t>
  </si>
  <si>
    <t>КИЗ</t>
  </si>
  <si>
    <t>КИЗ-2</t>
  </si>
  <si>
    <t>КИЗ-3</t>
  </si>
  <si>
    <t>Концевая изолированная заглушка</t>
  </si>
  <si>
    <t>КИЗ-1 (100шт)</t>
  </si>
  <si>
    <t>КИЗ-2 (100шт)</t>
  </si>
  <si>
    <t>КИЗ-3 (100шт)</t>
  </si>
  <si>
    <t>Набор СИЗ</t>
  </si>
  <si>
    <t>Зажимы винтовые и шины N</t>
  </si>
  <si>
    <t xml:space="preserve">Зажим винтовой изолированный </t>
  </si>
  <si>
    <t>ЗВИ-3А (0.5-2.5мм2)</t>
  </si>
  <si>
    <t>ЗВИ</t>
  </si>
  <si>
    <t>ЗВИ-6А (1-4мм2)</t>
  </si>
  <si>
    <t>ЗВИ-10А (1.5-6мм2)</t>
  </si>
  <si>
    <t>ЗВИ-16А (2.5-10.0мм2)</t>
  </si>
  <si>
    <t>ЗВИ-20А (2.5-10мм2)</t>
  </si>
  <si>
    <t>ЗВИ-30А (2.5-16мм2)</t>
  </si>
  <si>
    <t>ЗВИ-60А (4-16мм2)</t>
  </si>
  <si>
    <t>ЗВИ-80А (6-25мм2)</t>
  </si>
  <si>
    <t>ЗВИ-100А (6-35мм2)</t>
  </si>
  <si>
    <t>Зажим винтовой изолированный</t>
  </si>
  <si>
    <t>ЗВИ-3А (0.5-2.5мм2) (10шт)</t>
  </si>
  <si>
    <t>ЗВИ-6А (1-4мм2) (10шт)</t>
  </si>
  <si>
    <t>ЗВИ-10А (1.5-6мм2) (10шт)</t>
  </si>
  <si>
    <t>ЗВИ-16А (2.5-10.0мм2) (10шт)</t>
  </si>
  <si>
    <t>ЗВИ-20А (2.5-10мм2) (10шт)</t>
  </si>
  <si>
    <t>ЗВИ-30А (2.5-16мм2) (10шт)</t>
  </si>
  <si>
    <t>ЗВИ-60А (4-16мм2) (10шт)</t>
  </si>
  <si>
    <t>ЗВИ-80А (6-25мм2) (10шт)</t>
  </si>
  <si>
    <t>ЗВИ-100А (6-35мм2) (10шт)</t>
  </si>
  <si>
    <t>ЗВИнг-3А (0.5-2.5мм2) (бел)</t>
  </si>
  <si>
    <t>ЗВИнг (бел)</t>
  </si>
  <si>
    <t>ЗВИнг-6А (1-4мм2) (бел)</t>
  </si>
  <si>
    <t>ЗВИнг-10А (1.5-6мм2) (бел)</t>
  </si>
  <si>
    <t>ЗВИнг-16А (2.5-10.0мм2) (бел)</t>
  </si>
  <si>
    <t>ЗВИнг-20А (2.5-10мм2) (бел)</t>
  </si>
  <si>
    <t>ЗВИнг-30А (2.5-16мм2) (бел)</t>
  </si>
  <si>
    <t>ЗВИнг-60А (4-16мм2) (бел)</t>
  </si>
  <si>
    <t>ЗВИнг-80А (6-25мм2) (бел)</t>
  </si>
  <si>
    <t>ЗВИнг-100А (6-35мм2) (бел)</t>
  </si>
  <si>
    <t>ЗВИнг-16А (2.5-10.0мм2) (чер)</t>
  </si>
  <si>
    <t>ЗВИнг (черн)</t>
  </si>
  <si>
    <t>ЗВИнг-20А (2.5-10мм2) (чер)</t>
  </si>
  <si>
    <t>ЗВИнг-80А (6-25мм2) (чер)</t>
  </si>
  <si>
    <t>ЗВИнг-100А (6-35мм2) (чер)</t>
  </si>
  <si>
    <t xml:space="preserve">Зажим винтовой концевой изолированный </t>
  </si>
  <si>
    <t>КЗВИ-2.5</t>
  </si>
  <si>
    <t>КЗВИ</t>
  </si>
  <si>
    <t>КЗВИ-4</t>
  </si>
  <si>
    <t>КЗВИ-6</t>
  </si>
  <si>
    <t>КЗВИ-10</t>
  </si>
  <si>
    <t>КЗВИ-16</t>
  </si>
  <si>
    <t>Зажим винтовой концевой изолированный</t>
  </si>
  <si>
    <t>КЗВИ-2.5 (20шт)</t>
  </si>
  <si>
    <t>КЗВИ-4 (20шт)</t>
  </si>
  <si>
    <t>КЗВИ-6 (10шт)</t>
  </si>
  <si>
    <t>КЗВИ-10 (10шт)</t>
  </si>
  <si>
    <t>КЗВИ-16 (10шт)</t>
  </si>
  <si>
    <t>Шина N "ноль" на 2-х изол ШНИ-6х9-6 (син)</t>
  </si>
  <si>
    <t>ШНИ</t>
  </si>
  <si>
    <t>Шина N "ноль" на 2-х изол ШНИ-6х9-8 (син)</t>
  </si>
  <si>
    <t>Шина N "ноль" на 2-х изол ШНИ-6х9-12 (син)</t>
  </si>
  <si>
    <t>Шина N "ноль" на 2-х изол ШНИ-6х9-14 (син)</t>
  </si>
  <si>
    <t>Шина N "ноль" на DIN-изол ШНИ-6х9-6 (син)</t>
  </si>
  <si>
    <t>ШНИ (DIN)</t>
  </si>
  <si>
    <t>Шина N "ноль" на DIN-изол ШНИ-6х9-8 (син)</t>
  </si>
  <si>
    <t>Шина N "ноль" на DIN-изол ШНИ-6х9-10 (син)</t>
  </si>
  <si>
    <t>Шина N "ноль" на DIN-изол ШНИ-6х9-12 (син)</t>
  </si>
  <si>
    <t>Шина N "ноль" на DIN-изол ШНИ-6х9-14 (син)</t>
  </si>
  <si>
    <t>Клеммники для уличного освещения</t>
  </si>
  <si>
    <t xml:space="preserve">Набор клеммников </t>
  </si>
  <si>
    <t>НК-15 (SV-15: 3х KE 10.1+1х KE 10.3)</t>
  </si>
  <si>
    <t>НК-15</t>
  </si>
  <si>
    <t>НК-17(SV-17: 3x KE 10.1+1x KE 10.3+3x КНК)</t>
  </si>
  <si>
    <t>НК-17</t>
  </si>
  <si>
    <t>Комплект клеммников</t>
  </si>
  <si>
    <t>НК-17-С</t>
  </si>
  <si>
    <t>НК-15.5 (SV-15.5: 4х KE 10.1+1х KE 10.3)</t>
  </si>
  <si>
    <t>НК-15.5</t>
  </si>
  <si>
    <t>НК-50 (SV-50: 3х KE10.504+1х KE10.506)</t>
  </si>
  <si>
    <t>НК-50</t>
  </si>
  <si>
    <t xml:space="preserve">Крышка для наборов клеммников сетей уличного освещения </t>
  </si>
  <si>
    <t>КНК</t>
  </si>
  <si>
    <t xml:space="preserve">Клеммник </t>
  </si>
  <si>
    <t>KE10.1 (AL 10-35/Cu 1.5-25)</t>
  </si>
  <si>
    <t>KE10.1</t>
  </si>
  <si>
    <t>Клеммник</t>
  </si>
  <si>
    <t>KE10.1 (AL 10-35/Cu 1.5-25) (10шт)</t>
  </si>
  <si>
    <t>KE10.3 (AL 10-35/Cu 1.5-25)</t>
  </si>
  <si>
    <t>KE10.3</t>
  </si>
  <si>
    <t>KE10.3 (AL 10-35/Cu 1.5-25) (10шт)</t>
  </si>
  <si>
    <t>KE10.504 (AL 10-50/Cu 2.5-35)</t>
  </si>
  <si>
    <t>KE10.504</t>
  </si>
  <si>
    <t>KE10.504 (AL 10-50/Cu 2.5-35) (10шт)</t>
  </si>
  <si>
    <t>KE10.506 (AL 10-50/Cu 2.5-35)</t>
  </si>
  <si>
    <t>KE10.506</t>
  </si>
  <si>
    <t>KE10.506 (AL 10-50/Cu 2.5-35) (10шт)</t>
  </si>
  <si>
    <t>Автоклеммы</t>
  </si>
  <si>
    <t xml:space="preserve">Разъем плоский неизолированный (папа) </t>
  </si>
  <si>
    <t>РП-П 1.0–(2.8)</t>
  </si>
  <si>
    <t>Разъем плоский неизолированный (папа)</t>
  </si>
  <si>
    <t>РП-П 1.0–(2.8) (100шт)</t>
  </si>
  <si>
    <t>РП-П 1.5–(4.8)</t>
  </si>
  <si>
    <t>РП-П 1.5–(4.8) (100шт)</t>
  </si>
  <si>
    <t>РП-П 2.5–(6.3)</t>
  </si>
  <si>
    <t>РП-П 2.5–(6.3) (100шт)</t>
  </si>
  <si>
    <t xml:space="preserve">Разъем плоский неизолированный (мама) </t>
  </si>
  <si>
    <t>РП-М 1.0–(2.8)</t>
  </si>
  <si>
    <t>Разъем плоский неизолированный (мама)</t>
  </si>
  <si>
    <t>РП-М 1.0–(2.8) (100шт)</t>
  </si>
  <si>
    <t>РП-М 1.5–(4.8)</t>
  </si>
  <si>
    <t>РП-М 1.5–(4.8) (100шт)</t>
  </si>
  <si>
    <t>РП-М 2.5–(6.3)</t>
  </si>
  <si>
    <t>РП-М 2.5–(6.3) (100шт)</t>
  </si>
  <si>
    <t xml:space="preserve">Наконечник кольцевой неизолированный </t>
  </si>
  <si>
    <t>НК 1.5-4</t>
  </si>
  <si>
    <t>Наконечник кольцевой неизолированный</t>
  </si>
  <si>
    <t>НК 1.5-4 (100шт)</t>
  </si>
  <si>
    <t>НК 2.5-5</t>
  </si>
  <si>
    <t>НК 2.5-5 (100шт)</t>
  </si>
  <si>
    <t>НК 2.5-6</t>
  </si>
  <si>
    <t>НК 2.5-6 (100шт)</t>
  </si>
  <si>
    <t xml:space="preserve">Гильза соединительная неизолированная </t>
  </si>
  <si>
    <t>ГС 2.5</t>
  </si>
  <si>
    <t>Гильза соединительная неизолированная</t>
  </si>
  <si>
    <t>ГС 2.5 (100шт)</t>
  </si>
  <si>
    <t xml:space="preserve">Набор автоклемм </t>
  </si>
  <si>
    <t>НАК-12</t>
  </si>
  <si>
    <t>РП-М(л) 2.5 - (6.3)</t>
  </si>
  <si>
    <t>РП-М(л) 2.5 - (6.3) (100шт)</t>
  </si>
  <si>
    <t>РП-П(л) 2.5 - (6.3)</t>
  </si>
  <si>
    <t>РП-П(л) 2.5 - (6.3) (100шт)</t>
  </si>
  <si>
    <t>Набор автоклемм луженых</t>
  </si>
  <si>
    <t>АКЛ</t>
  </si>
  <si>
    <t>Разъем герметичный автомобильный</t>
  </si>
  <si>
    <t>РГА-1П</t>
  </si>
  <si>
    <t>РГА</t>
  </si>
  <si>
    <t>компл</t>
  </si>
  <si>
    <t>РГА-2П</t>
  </si>
  <si>
    <t>РГА-3П</t>
  </si>
  <si>
    <t>РГА-4П</t>
  </si>
  <si>
    <t>РГА-2П (10шт)</t>
  </si>
  <si>
    <t>РГА-3П (10шт)</t>
  </si>
  <si>
    <t>РГА-4П (10шт)</t>
  </si>
  <si>
    <t>РГА-2П с проводом</t>
  </si>
  <si>
    <t>РГА с проводом</t>
  </si>
  <si>
    <t>РГА-3П с проводом</t>
  </si>
  <si>
    <t>Наконечники НШВИ</t>
  </si>
  <si>
    <t>Наконечник штыревой втулочный изолированный</t>
  </si>
  <si>
    <t>НШВИ 0.25–8</t>
  </si>
  <si>
    <t>НШВИ</t>
  </si>
  <si>
    <t xml:space="preserve">Наконечник штыревой втулочный изолированный </t>
  </si>
  <si>
    <t>НШВИ 0.34–8</t>
  </si>
  <si>
    <t>НШВИ 0.5–8</t>
  </si>
  <si>
    <t>НШВИ 0.75–8</t>
  </si>
  <si>
    <t>НШВИ 0.75–12</t>
  </si>
  <si>
    <t>НШВИ 1.0–8</t>
  </si>
  <si>
    <t>НШВИ 1.0–12</t>
  </si>
  <si>
    <t>НШВИ 1.5–8</t>
  </si>
  <si>
    <t>НШВИ 1.5-10</t>
  </si>
  <si>
    <t>НШВИ 1.5–12</t>
  </si>
  <si>
    <t>НШВИ 1.5–18</t>
  </si>
  <si>
    <t>НШВИ 2.5–8</t>
  </si>
  <si>
    <t>НШВИ 2.5-10</t>
  </si>
  <si>
    <t>НШВИ 2.5–12</t>
  </si>
  <si>
    <t>НШВИ 2.5–18</t>
  </si>
  <si>
    <t>НШВИ 4.0–9</t>
  </si>
  <si>
    <t>НШВИ 4.0–12</t>
  </si>
  <si>
    <t>НШВИ 4.0–18</t>
  </si>
  <si>
    <t>НШВИ 6.0-10</t>
  </si>
  <si>
    <t>НШВИ 6.0–12</t>
  </si>
  <si>
    <t>НШВИ 6.0–18</t>
  </si>
  <si>
    <t>НШВИ 10–12</t>
  </si>
  <si>
    <t>НШВИ 16–12</t>
  </si>
  <si>
    <t>НШВИ 25–16</t>
  </si>
  <si>
    <t>НШВИ 35–16</t>
  </si>
  <si>
    <t>НШВИ 50–20</t>
  </si>
  <si>
    <t>НШВИ 70–20</t>
  </si>
  <si>
    <t>НШВИ 95–25</t>
  </si>
  <si>
    <t>НШВИ 120–27</t>
  </si>
  <si>
    <t>НШВИ 150–27</t>
  </si>
  <si>
    <t>НШВИ 0.25–8 (100шт)</t>
  </si>
  <si>
    <t>НШВИ 0.34–8 (100шт)</t>
  </si>
  <si>
    <t>НШВИ 0.5–8 (100шт)</t>
  </si>
  <si>
    <t>НШВИ 0.75–8 (100шт)</t>
  </si>
  <si>
    <t>НШВИ 0.75–12 (100шт)</t>
  </si>
  <si>
    <t>НШВИ 1.0–8 (100шт)</t>
  </si>
  <si>
    <t>НШВИ 1.0–12 (100шт)</t>
  </si>
  <si>
    <t>НШВИ 1.5–8 (100шт)</t>
  </si>
  <si>
    <t>НШВИ 1.5-10 (100шт)</t>
  </si>
  <si>
    <t>НШВИ 1.5–12 (100шт)</t>
  </si>
  <si>
    <t>НШВИ 1.5–18 (100шт)</t>
  </si>
  <si>
    <t>НШВИ 2.5–8 (100шт)</t>
  </si>
  <si>
    <t>НШВИ 2.5-10 (100шт)</t>
  </si>
  <si>
    <t>НШВИ 2.5–12 (100шт)</t>
  </si>
  <si>
    <t>НШВИ 2.5–18 (100шт)</t>
  </si>
  <si>
    <t>НШВИ 4.0–9 (100шт)</t>
  </si>
  <si>
    <t>НШВИ 4.0–12 (100шт)</t>
  </si>
  <si>
    <t>НШВИ 4.0–18 (100шт)</t>
  </si>
  <si>
    <t>НШВИ 6.0-10 (100шт)</t>
  </si>
  <si>
    <t>НШВИ 6.0–12 (100шт)</t>
  </si>
  <si>
    <t>НШВИ 6.0–18 (100шт)</t>
  </si>
  <si>
    <t>НШВИ 10–12 (100шт)</t>
  </si>
  <si>
    <t>НШВИ 16–12 (100шт)</t>
  </si>
  <si>
    <t>НШВИ 25–16 (100шт)</t>
  </si>
  <si>
    <t>НШВИ 35–16 (100шт)</t>
  </si>
  <si>
    <t>НШВИ 50–20 (50шт)</t>
  </si>
  <si>
    <t>НШВИ 70–20 (25шт)</t>
  </si>
  <si>
    <t>НШВИ 95–25 (25шт)</t>
  </si>
  <si>
    <t>НШВИ 120–27 (20шт)</t>
  </si>
  <si>
    <t>НШВИ 150–27 (20шт)</t>
  </si>
  <si>
    <t>НШВИ 0,5-8 серия ЕВРО</t>
  </si>
  <si>
    <t>НШВИ «ЕВРО»</t>
  </si>
  <si>
    <t>НШВИ 0,75-8 серия ЕВРО</t>
  </si>
  <si>
    <t>НШВИ 1,0-8 серия ЕВРО</t>
  </si>
  <si>
    <t>НШВИ 1,5-8 серия ЕВРО</t>
  </si>
  <si>
    <t>НШВИ 1,5-12 серия ЕВРО</t>
  </si>
  <si>
    <t>НШВИ 2,5-8 серия ЕВРО</t>
  </si>
  <si>
    <t>НШВИ 2,5-12 серия ЕВРО</t>
  </si>
  <si>
    <t>НШВИ 4,0-9 серия ЕВРО</t>
  </si>
  <si>
    <t>НШВИ 4,0-12 серия ЕВРО</t>
  </si>
  <si>
    <t>НШВИ 6,0-12 серия ЕВРО</t>
  </si>
  <si>
    <t>НШВИ 10-12 серия ЕВРО</t>
  </si>
  <si>
    <t>НШВИ 16-12 серия ЕВРО</t>
  </si>
  <si>
    <t>НШВИ 25-16 серия ЕВРО</t>
  </si>
  <si>
    <t>НШВИ 0,5-8 серия ЕВРО (100шт)</t>
  </si>
  <si>
    <t>НШВИ 0,75-8 серия ЕВРО (100шт)</t>
  </si>
  <si>
    <t>НШВИ 1,0-8 серия ЕВРО (100шт)</t>
  </si>
  <si>
    <t>НШВИ 1,5-8 серия ЕВРО (100шт)</t>
  </si>
  <si>
    <t>НШВИ 1,5-12 серия ЕВРО (100шт)</t>
  </si>
  <si>
    <t>НШВИ 2,5-8 серия ЕВРО (100шт)</t>
  </si>
  <si>
    <t>НШВИ 2,5-12 серия ЕВРО (100шт)</t>
  </si>
  <si>
    <t>НШВИ 4,0-9 серия ЕВРО (100шт)</t>
  </si>
  <si>
    <t>НШВИ 4,0-12 серия ЕВРО (100шт)</t>
  </si>
  <si>
    <t>НШВИ 6,0-12 серия ЕВРО (100шт)</t>
  </si>
  <si>
    <t>НШВИ 10-12 серия ЕВРО (100шт)</t>
  </si>
  <si>
    <t>НШВИ 16-12 серия ЕВРО (100шт)</t>
  </si>
  <si>
    <t>НШВИ 25-16 серия ЕВРО (100шт)</t>
  </si>
  <si>
    <t>НШВИ(2) 0.5-8</t>
  </si>
  <si>
    <t>НШВИ(2)</t>
  </si>
  <si>
    <t>НШВИ(2) 0.75-8</t>
  </si>
  <si>
    <t>НШВИ(2) 0.75-10</t>
  </si>
  <si>
    <t>НШВИ(2) 1.0-8</t>
  </si>
  <si>
    <t>НШВИ(2) 1.0-10</t>
  </si>
  <si>
    <t>НШВИ(2) 1.5-8</t>
  </si>
  <si>
    <t>НШВИ(2) 1.5-12</t>
  </si>
  <si>
    <t>НШВИ(2) 2.5-10</t>
  </si>
  <si>
    <t>НШВИ(2) 2.5-13</t>
  </si>
  <si>
    <t>НШВИ(2) 4.0-12</t>
  </si>
  <si>
    <t>НШВИ(2) 6.0-14</t>
  </si>
  <si>
    <t>НШВИ(2) 10-14</t>
  </si>
  <si>
    <t>НШВИ(2) 16-14</t>
  </si>
  <si>
    <t>НШВИ(2) 0.5-8 (100шт)</t>
  </si>
  <si>
    <t>НШВИ(2) 0.75-8 (100шт)</t>
  </si>
  <si>
    <t>НШВИ(2) 0.75-10 (100шт)</t>
  </si>
  <si>
    <t>НШВИ(2) 1.0-8 (100шт)</t>
  </si>
  <si>
    <t>НШВИ(2) 1.0-10 (100шт)</t>
  </si>
  <si>
    <t>НШВИ(2) 1.5-8 (100шт)</t>
  </si>
  <si>
    <t>НШВИ(2) 1.5-12 (100шт)</t>
  </si>
  <si>
    <t>НШВИ(2) 2.5-10 (100шт)</t>
  </si>
  <si>
    <t>НШВИ(2) 2.5-13 (100шт)</t>
  </si>
  <si>
    <t>НШВИ(2) 4.0-12 (100шт)</t>
  </si>
  <si>
    <t>НШВИ(2) 6.0-14 (100шт)</t>
  </si>
  <si>
    <t>НШВИ(2) 10-14 (100шт)</t>
  </si>
  <si>
    <t>НШВИ(2) 16-14 (100шт)</t>
  </si>
  <si>
    <t>НШВИ(2) 0,5-8 серия ЕВРО</t>
  </si>
  <si>
    <t>НШВИ(2) «ЕВРО»</t>
  </si>
  <si>
    <t>НШВИ(2) 0,75-8 серия ЕВРО</t>
  </si>
  <si>
    <t>НШВИ(2) 1,0-8 серия ЕВРО</t>
  </si>
  <si>
    <t>НШВИ(2) 1,5-8 серия ЕВРО</t>
  </si>
  <si>
    <t>НШВИ(2) 2,5-10 серия ЕВРО</t>
  </si>
  <si>
    <t>НШВИ(2) 4,0-12 серия ЕВРО</t>
  </si>
  <si>
    <t>НШВИ(2) 6,0-14 серия ЕВРО</t>
  </si>
  <si>
    <t>НШВИ(2) 10-14 серия ЕВРО</t>
  </si>
  <si>
    <t>НШВИ(2) 0,5-8 серия ЕВРО (100шт)</t>
  </si>
  <si>
    <t>НШВИ(2) 0,75-8 серия ЕВРО (100шт)</t>
  </si>
  <si>
    <t>НШВИ(2) 1,0-8 серия ЕВРО (100шт)</t>
  </si>
  <si>
    <t>НШВИ(2) 1,5-8 серия ЕВРО (100шт)</t>
  </si>
  <si>
    <t>НШВИ(2) 2,5-10 серия ЕВРО (100шт)</t>
  </si>
  <si>
    <t>НШВИ(2) 4,0-12 серия ЕВРО (100шт)</t>
  </si>
  <si>
    <t>НШВИ(2) 6,0-14 серия ЕВРО (100шт)</t>
  </si>
  <si>
    <t>НШВИ(2) 10-14 серия ЕВРО (100шт)</t>
  </si>
  <si>
    <t xml:space="preserve">Наконечник штырьевой втулочный </t>
  </si>
  <si>
    <t>НШВ 0.5–8</t>
  </si>
  <si>
    <t>НШВ</t>
  </si>
  <si>
    <t>НШВ 0.75–8</t>
  </si>
  <si>
    <t>НШВ 1.0–8</t>
  </si>
  <si>
    <t>НШВ 1.5–8</t>
  </si>
  <si>
    <t>НШВ 2.5–8</t>
  </si>
  <si>
    <t>НШВ 4.0–9</t>
  </si>
  <si>
    <t>НШВ 6.0–12</t>
  </si>
  <si>
    <t>НШВ 10–12</t>
  </si>
  <si>
    <t>НШВ 16–12</t>
  </si>
  <si>
    <t>НШВ 25–16</t>
  </si>
  <si>
    <t>Наконечник штырьевой втулочный</t>
  </si>
  <si>
    <t>НШВ 0.5–8 (100шт)</t>
  </si>
  <si>
    <t>НШВ 0.75–8 (100шт)</t>
  </si>
  <si>
    <t>НШВ 1.0–8 (100шт)</t>
  </si>
  <si>
    <t>НШВ 1.5–8 (100шт)</t>
  </si>
  <si>
    <t>НШВ 2.5–8 (100шт)</t>
  </si>
  <si>
    <t>НШВ 4.0–9 (100шт)</t>
  </si>
  <si>
    <t>НШВ 6.0–12 (100шт)</t>
  </si>
  <si>
    <t>НШВ 10–12 (100шт)</t>
  </si>
  <si>
    <t>НШВ 16–12 (100шт)</t>
  </si>
  <si>
    <t>НШВ 25–16 (100шт)</t>
  </si>
  <si>
    <t xml:space="preserve">Набор втулочных наконечников </t>
  </si>
  <si>
    <t>НШВИ №1</t>
  </si>
  <si>
    <t>Набор НШВИ №1</t>
  </si>
  <si>
    <t>НШВИ №2</t>
  </si>
  <si>
    <t>Набор НШВИ №2</t>
  </si>
  <si>
    <t>НШВИ №3</t>
  </si>
  <si>
    <t>Набор НШВИ №3</t>
  </si>
  <si>
    <t>НШВИ №4</t>
  </si>
  <si>
    <t>Набор НШВИ №4</t>
  </si>
  <si>
    <t>НШВИ №5</t>
  </si>
  <si>
    <t>Набор НШВИ №5</t>
  </si>
  <si>
    <t>НШВИ №8</t>
  </si>
  <si>
    <t>Набор НШВИ №8</t>
  </si>
  <si>
    <t>НШВИ №10</t>
  </si>
  <si>
    <t>Набор НШВИ №10</t>
  </si>
  <si>
    <t>М-2850-0</t>
  </si>
  <si>
    <t>Набор НШВИ М-2850-0</t>
  </si>
  <si>
    <t>М-2850-1</t>
  </si>
  <si>
    <t>Набор НШВИ М-2850-1</t>
  </si>
  <si>
    <t>М-3450-0</t>
  </si>
  <si>
    <t>Набор НШВИ М-3450-0</t>
  </si>
  <si>
    <t>М-3450-1</t>
  </si>
  <si>
    <t>Набор НШВИ М-3450-1</t>
  </si>
  <si>
    <t>М-3450-2</t>
  </si>
  <si>
    <t>Набор НШВИ М-3450-2</t>
  </si>
  <si>
    <t>НШВИ К-775-1</t>
  </si>
  <si>
    <t>Набор НШВИ К-775-1</t>
  </si>
  <si>
    <t>НШВИ К-1200-1</t>
  </si>
  <si>
    <t>Набор НШВИ К-1200-1</t>
  </si>
  <si>
    <t>Набор втулочных наконечников</t>
  </si>
  <si>
    <t>НШВИ К-1490-1</t>
  </si>
  <si>
    <t>Набор НШВИ К-1490-1</t>
  </si>
  <si>
    <t>Клеммы СМК</t>
  </si>
  <si>
    <t xml:space="preserve">Клемма миниатюрная </t>
  </si>
  <si>
    <t>СМК 2273-242 (с контактной пастой)</t>
  </si>
  <si>
    <t>Клемма миниатюрная</t>
  </si>
  <si>
    <t>СМК 2273-242 (с контактной пастой) (100шт)</t>
  </si>
  <si>
    <t>СМК 2273-243 (с контактной пастой)</t>
  </si>
  <si>
    <t>СМК 2273-243 (с контактной пастой) (100шт)</t>
  </si>
  <si>
    <t>СМК 2273-244 (с контактной пастой)</t>
  </si>
  <si>
    <t>СМК 2273-244 (с контактной пастой) (100шт)</t>
  </si>
  <si>
    <t>СМК 2273-245 (с контактной пастой)</t>
  </si>
  <si>
    <t>СМК 2273-245 (с контактной пастой) (100шт)</t>
  </si>
  <si>
    <t>СМК 2273-248 (с контактной пастой)</t>
  </si>
  <si>
    <t>СМК 2273-248 (с контактной пастой) (50шт)</t>
  </si>
  <si>
    <t>СМК 2273-202</t>
  </si>
  <si>
    <t>СМК 2273-202 (100шт)</t>
  </si>
  <si>
    <t>СМК 2273-203</t>
  </si>
  <si>
    <t>СМК 2273-203 (100шт)</t>
  </si>
  <si>
    <t>СМК 2273-204</t>
  </si>
  <si>
    <t>СМК 2273-204 (100шт)</t>
  </si>
  <si>
    <t>СМК 2273-205</t>
  </si>
  <si>
    <t>СМК 2273-205 (100шт)</t>
  </si>
  <si>
    <t>СМК 2273-208</t>
  </si>
  <si>
    <t>СМК 2273-208 (50шт)</t>
  </si>
  <si>
    <t xml:space="preserve">Клемма универсальная </t>
  </si>
  <si>
    <t>СМК 221-412</t>
  </si>
  <si>
    <t>Клемма универсальная</t>
  </si>
  <si>
    <t>СМК 221-412 (50шт)</t>
  </si>
  <si>
    <t>СМК 221-413</t>
  </si>
  <si>
    <t>СМК 221-413 (50шт)</t>
  </si>
  <si>
    <t>СМК 221-415</t>
  </si>
  <si>
    <t>СМК 221-415 (50шт)</t>
  </si>
  <si>
    <t>СМК 222-412</t>
  </si>
  <si>
    <t>СМК 222-412 (50шт)</t>
  </si>
  <si>
    <t>СМК 222-413</t>
  </si>
  <si>
    <t>СМК 222-413 (50шт)</t>
  </si>
  <si>
    <t>СМК 222-414</t>
  </si>
  <si>
    <t>СМК 222-414 (50шт)</t>
  </si>
  <si>
    <t>СМК 222-415</t>
  </si>
  <si>
    <t>СМК 222-415 (50шт)</t>
  </si>
  <si>
    <t xml:space="preserve">Клемма проходная </t>
  </si>
  <si>
    <t>СМК 222-2411 на DIN-рейку</t>
  </si>
  <si>
    <t>Клемма проходная</t>
  </si>
  <si>
    <t>СМК 222-2411 на DIN-рейку (25шт)</t>
  </si>
  <si>
    <t>СМК 222-2411</t>
  </si>
  <si>
    <t>СМК 222-2411 (25шт)</t>
  </si>
  <si>
    <t>СМК 222-2412</t>
  </si>
  <si>
    <t>СМК 222-2412 (25шт)</t>
  </si>
  <si>
    <t>СМК 222-2413</t>
  </si>
  <si>
    <t>СМК 222-2413 (25шт)</t>
  </si>
  <si>
    <t>СМК 223-2412</t>
  </si>
  <si>
    <t xml:space="preserve">Клемма ответвительная </t>
  </si>
  <si>
    <t>СМК 222-424</t>
  </si>
  <si>
    <t>Клемма ответвительная</t>
  </si>
  <si>
    <t>СМК 222-424 (25шт)</t>
  </si>
  <si>
    <t>СМК 222-426</t>
  </si>
  <si>
    <t>СМК 222-426 (20шт)</t>
  </si>
  <si>
    <t>СМК 222-436</t>
  </si>
  <si>
    <t>СМК 222-436 (20шт)</t>
  </si>
  <si>
    <t>Клемма</t>
  </si>
  <si>
    <t>СМК 2273-242 с пастой (5шт)</t>
  </si>
  <si>
    <t>СМК 2273 с пастой в мини-упаковке</t>
  </si>
  <si>
    <t>СМК 2273-243 с пастой (5шт)</t>
  </si>
  <si>
    <t>СМК 2273-244 с пастой (5шт)</t>
  </si>
  <si>
    <t>СМК 2273-245 с пастой (5шт)</t>
  </si>
  <si>
    <t>СМК 2273-202 (5шт)</t>
  </si>
  <si>
    <t>СМК 2273 в мини-упаковке</t>
  </si>
  <si>
    <t>СМК 2273-203 (5шт)</t>
  </si>
  <si>
    <t>СМК 2273-204 (5шт)</t>
  </si>
  <si>
    <t>СМК 2273-205 (5шт)</t>
  </si>
  <si>
    <t>СМК 221-412 (5шт)</t>
  </si>
  <si>
    <t>СМК 221 в мини-упаковке</t>
  </si>
  <si>
    <t>СМК 221-413 (5шт)</t>
  </si>
  <si>
    <t>СМК 221-415 (5шт)</t>
  </si>
  <si>
    <t>СМК 222-412 (5шт)</t>
  </si>
  <si>
    <t>СМК 222 в мини-упаковке</t>
  </si>
  <si>
    <t>СМК 222-413 (5шт)</t>
  </si>
  <si>
    <t>Болтовые наконечники и соединители</t>
  </si>
  <si>
    <t>Болтовые наконечники и соединители 10-240мм²</t>
  </si>
  <si>
    <t>Наконечник болтовой</t>
  </si>
  <si>
    <t>1НБ-10/25</t>
  </si>
  <si>
    <t>НБ</t>
  </si>
  <si>
    <t>Наконечник болтовой с рядным расположением болтов</t>
  </si>
  <si>
    <t>1НБ- 25/50</t>
  </si>
  <si>
    <t>2НБ-25/50</t>
  </si>
  <si>
    <t>1НБ-70/120</t>
  </si>
  <si>
    <t>2НБ-70/120</t>
  </si>
  <si>
    <t>2НБ-70/120-16</t>
  </si>
  <si>
    <t>2НБ-150/240</t>
  </si>
  <si>
    <t>2НБ-150/240-12</t>
  </si>
  <si>
    <t>Соединитель болтовой</t>
  </si>
  <si>
    <t>2СБ-10/25</t>
  </si>
  <si>
    <t>СБ</t>
  </si>
  <si>
    <t>Соединитель болтовой с рядным расположением болтов</t>
  </si>
  <si>
    <t>2СБ-25/50</t>
  </si>
  <si>
    <t>4СБ-25/50</t>
  </si>
  <si>
    <t>2СБ-70/120</t>
  </si>
  <si>
    <t>4СБ-70/120</t>
  </si>
  <si>
    <t>4СБ-150/240</t>
  </si>
  <si>
    <t>2НБП-35/50</t>
  </si>
  <si>
    <t>НБП</t>
  </si>
  <si>
    <t>2НБП-70/120</t>
  </si>
  <si>
    <t>2НБП-150/240</t>
  </si>
  <si>
    <t>3НБП-300/400</t>
  </si>
  <si>
    <t>4СБП-35/50</t>
  </si>
  <si>
    <t>СБП</t>
  </si>
  <si>
    <t>4СБП-70/120</t>
  </si>
  <si>
    <t>4СБП-150/240</t>
  </si>
  <si>
    <t>6СБП-300/400</t>
  </si>
  <si>
    <t>2НБЕ-25/50</t>
  </si>
  <si>
    <t>НБЕ</t>
  </si>
  <si>
    <t>2НБЕ-70/120</t>
  </si>
  <si>
    <t>2НБЕ-150/240</t>
  </si>
  <si>
    <t>4СБЕ-25/50</t>
  </si>
  <si>
    <t>СБЕ</t>
  </si>
  <si>
    <t>4СБЕ-70/120</t>
  </si>
  <si>
    <t>4СБЕ-150/240</t>
  </si>
  <si>
    <t>4СБР-25/50</t>
  </si>
  <si>
    <t>СБР</t>
  </si>
  <si>
    <t>4СБР-70/120</t>
  </si>
  <si>
    <t>4СБР-150/240</t>
  </si>
  <si>
    <t>1НБ-10/25(Л)</t>
  </si>
  <si>
    <t>НБЕ-(Л)</t>
  </si>
  <si>
    <t>2НБЕ-25/50(Л)</t>
  </si>
  <si>
    <t>2НБЕ-70/120(Л)</t>
  </si>
  <si>
    <t>2НБЕ-150/240(Л)</t>
  </si>
  <si>
    <t>2СБ-10/25(Л)</t>
  </si>
  <si>
    <t>СБЕ-(Л)</t>
  </si>
  <si>
    <t>4СБЕ-25/50(Л)</t>
  </si>
  <si>
    <t>4СБЕ-70/120(Л)</t>
  </si>
  <si>
    <t>4СБЕ-150/240(Л)</t>
  </si>
  <si>
    <t>4СБЕ-35-70/120</t>
  </si>
  <si>
    <t>СБЕ-35</t>
  </si>
  <si>
    <t>4СБЕ-35-150/240</t>
  </si>
  <si>
    <t>2НБЕ-35–70/120</t>
  </si>
  <si>
    <t>НБЕ-35</t>
  </si>
  <si>
    <t>2НБЕ-35–150/240</t>
  </si>
  <si>
    <t>2НБЕ-16/95 (GPH) с угловым расположением болтов луженый</t>
  </si>
  <si>
    <t>НБЕ (GPH)</t>
  </si>
  <si>
    <t>новинка</t>
  </si>
  <si>
    <t>2НБЕ-25/150 (GPH) с угловым расположением болтов луженый</t>
  </si>
  <si>
    <t>2НБЕ-70/240 (GPH) с угловым расположением болтов луженый</t>
  </si>
  <si>
    <t>2НБЕ-120/300 (GPH) с угловым расположением болтов луженый</t>
  </si>
  <si>
    <t>4СБЕ-16/95 (GPH) с угловым расположением болтов луженый</t>
  </si>
  <si>
    <t>СБЕ (GPH)</t>
  </si>
  <si>
    <t>4СБЕ-25/150 (GPH) с угловым расположением болтов луженый</t>
  </si>
  <si>
    <t>4СБЕ-70/240 (GPH) с угловым расположением болтов луженый</t>
  </si>
  <si>
    <t>4СБЕ-120/300 (GPH) с угловым расположением болтов луженый</t>
  </si>
  <si>
    <t>4ПСБЕ-25-50/70-120</t>
  </si>
  <si>
    <t>ПСБЕ</t>
  </si>
  <si>
    <t>4ПСБЕ-70-120/150-240</t>
  </si>
  <si>
    <t>Комплект болтовых наконечников</t>
  </si>
  <si>
    <t>НБТК-10/25</t>
  </si>
  <si>
    <t>НБТК</t>
  </si>
  <si>
    <t>НБТК-25/70</t>
  </si>
  <si>
    <t>НБТК-50/150</t>
  </si>
  <si>
    <t>НБТК-120/300</t>
  </si>
  <si>
    <t>Комплект болтовых соединителей</t>
  </si>
  <si>
    <t>СБТК-10/25</t>
  </si>
  <si>
    <t>СБТК</t>
  </si>
  <si>
    <t>СБТК-25/70</t>
  </si>
  <si>
    <t>СБТК-50/150</t>
  </si>
  <si>
    <t>СБТК-120/300</t>
  </si>
  <si>
    <t>Болтовые наконечники и соединители 300-800мм²</t>
  </si>
  <si>
    <t>3НБЕ-300/400</t>
  </si>
  <si>
    <t>3НБЕ</t>
  </si>
  <si>
    <t>3НБЕ-500/630</t>
  </si>
  <si>
    <t>3НБЕ-800</t>
  </si>
  <si>
    <t>6СБЕ-300/400</t>
  </si>
  <si>
    <t>6СБЕ</t>
  </si>
  <si>
    <t>6СБЕ-500/630</t>
  </si>
  <si>
    <t>6СБЕ-800</t>
  </si>
  <si>
    <t>3НБЕ-300/400(Л)</t>
  </si>
  <si>
    <t>3НБЕ-(Л)</t>
  </si>
  <si>
    <t>3НБЕ-500/630(Л)</t>
  </si>
  <si>
    <t>6СБЕ-300/400(Л)</t>
  </si>
  <si>
    <t>6СБЕ-(Л)</t>
  </si>
  <si>
    <t>6СБЕ-500/630(Л)</t>
  </si>
  <si>
    <t>6СБЕ-35-300/400</t>
  </si>
  <si>
    <t>6СБЕ-35</t>
  </si>
  <si>
    <t>3НБЕ-35–300/400</t>
  </si>
  <si>
    <t>3НБЕ-35</t>
  </si>
  <si>
    <t>3НБЕ-185/400 (GPH) с угловым расположением болтов луженый</t>
  </si>
  <si>
    <t>3НБЕ (GPH)</t>
  </si>
  <si>
    <t>3НБЕ-400/630 (GPH) с угловым расположением болтов луженый</t>
  </si>
  <si>
    <t>6СБЕ-185/400 (GPH) с угловым расположением болтов луженый</t>
  </si>
  <si>
    <t>6СБЕ (GPH)</t>
  </si>
  <si>
    <t>6СБЕ-400/630 (GPH) с угловым расположением болтов луженый</t>
  </si>
  <si>
    <t>4НБТ-300</t>
  </si>
  <si>
    <t>НБТ</t>
  </si>
  <si>
    <t>4НБТ-400</t>
  </si>
  <si>
    <t>6НБТ-500</t>
  </si>
  <si>
    <t>6НБТ-630</t>
  </si>
  <si>
    <t>6НБТ-800</t>
  </si>
  <si>
    <t>Кабельные муфты</t>
  </si>
  <si>
    <t>Кабельные муфты нг-LS до 1кВ</t>
  </si>
  <si>
    <t>Муфта кабельная концевая</t>
  </si>
  <si>
    <t>4КВНТп-1-25/50 нг-LS</t>
  </si>
  <si>
    <t>4КВНТп-1 нг-LS</t>
  </si>
  <si>
    <t>4КВНТп-1-70/120 нг-LS</t>
  </si>
  <si>
    <t>4КВНТп-1-150/240 нг-LS</t>
  </si>
  <si>
    <t>4КВНТп-1-25/50(Б) нг-LS</t>
  </si>
  <si>
    <t>4КВНТп-1-70/120(Б) нг-LS</t>
  </si>
  <si>
    <t>4КВНТп-1-150/240(Б) нг-LS</t>
  </si>
  <si>
    <t>3КВНТп-1-25/50 нг-LS</t>
  </si>
  <si>
    <t>3КВНТп-1 нг-LS</t>
  </si>
  <si>
    <t>3КВНТп-1-70/120 нг-LS</t>
  </si>
  <si>
    <t>3КВНТп-1-150/240 нг-LS</t>
  </si>
  <si>
    <t>3КВНТп-1-25/50(Б) нг-LS</t>
  </si>
  <si>
    <t>3КВНТп-1-70/120(Б) нг-LS</t>
  </si>
  <si>
    <t>3КВНТп-1-150/240(Б) нг-LS</t>
  </si>
  <si>
    <t>4ПКТп-1-16/25 нг-LS</t>
  </si>
  <si>
    <t>4ПКТп-1 нг-LS</t>
  </si>
  <si>
    <t>4ПКТп-1-25/50 нг-LS</t>
  </si>
  <si>
    <t>4ПКТп-1-70/120 нг-LS</t>
  </si>
  <si>
    <t>4ПКТп-1-150/240 нг-LS</t>
  </si>
  <si>
    <t>4ПКТп-1-16/25(Б) нг-LS</t>
  </si>
  <si>
    <t>4ПКТп-1-25/50(Б) нг-LS</t>
  </si>
  <si>
    <t>4ПКТп-1-70/120(Б) нг-LS</t>
  </si>
  <si>
    <t>4ПКТп-1-150/240(Б) нг-LS</t>
  </si>
  <si>
    <t>4ПКТп(б)-1-16/25 нг-LS</t>
  </si>
  <si>
    <t>4ПКТп(б)-1-25/50 нг-LS</t>
  </si>
  <si>
    <t>4ПКТп(б)-1-70/120 нг-LS</t>
  </si>
  <si>
    <t>4ПКТп(б)-1-150/240 нг-LS</t>
  </si>
  <si>
    <t>4ПКТп(б)-1-16/25(Б) нг-LS</t>
  </si>
  <si>
    <t>4ПКТп(б)-1-25/50(Б) нг-LS</t>
  </si>
  <si>
    <t>4ПКТп(б)-1-70/120(Б) нг-LS</t>
  </si>
  <si>
    <t>4ПКТп(б)-1-150/240(Б) нг-LS</t>
  </si>
  <si>
    <t>5ПКТп-1-16/25 нг-LS</t>
  </si>
  <si>
    <t>5ПКТп-1 нг-LS</t>
  </si>
  <si>
    <t>5ПКТп-1-25/50 нг-LS</t>
  </si>
  <si>
    <t>5ПКТп-1-70/120 нг-LS</t>
  </si>
  <si>
    <t>5ПКТп-1-150/240 нг-LS</t>
  </si>
  <si>
    <t>5ПКТп-1-16/25(Б) нг-LS</t>
  </si>
  <si>
    <t>5ПКТп-1-25/50(Б) нг-LS</t>
  </si>
  <si>
    <t>5ПКТп-1-70/120(Б) нг-LS</t>
  </si>
  <si>
    <t>5ПКТп-1-150/240(Б) нг-LS</t>
  </si>
  <si>
    <t>5ПКТп(б)-1-16/25 нг-LS</t>
  </si>
  <si>
    <t>5ПКТп(б)-1-25/50 нг-LS</t>
  </si>
  <si>
    <t>5ПКТп(б)-1-70/120 нг-LS</t>
  </si>
  <si>
    <t>5ПКТп(б)-1-150/240 нг-LS</t>
  </si>
  <si>
    <t>5ПКТп(б)-1-16/25(Б) нг-LS</t>
  </si>
  <si>
    <t>5ПКТп(б)-1-25/50(Б) нг-LS</t>
  </si>
  <si>
    <t>5ПКТп(б)-1-70/120(Б) нг-LS</t>
  </si>
  <si>
    <t>5ПКТп(б)-1-150/240(Б) нг-LS</t>
  </si>
  <si>
    <t>1ПКТ-1-10/25(Б) нг-LS</t>
  </si>
  <si>
    <t>1ПКТ-1 нг-LS</t>
  </si>
  <si>
    <t>1ПКТ-1-25/50(Б) нг-LS</t>
  </si>
  <si>
    <t>1ПКТ-1-70/120(Б) нг-LS</t>
  </si>
  <si>
    <t>1ПКТ-1-150/240(Б) нг-LS</t>
  </si>
  <si>
    <t>1ПКТ-1-300/400(Б) нг-LS</t>
  </si>
  <si>
    <t>1ПКТ-1-500/630(Б) нг-LS</t>
  </si>
  <si>
    <t>1ПКТ-1-800(Б) нг-LS</t>
  </si>
  <si>
    <t>1ПКТ(б)-1-10/25(Б) нг-LS</t>
  </si>
  <si>
    <t>1ПКТ(б)-1 нг-LS</t>
  </si>
  <si>
    <t>1ПКТ(б)-1-25/50(Б) нг-LS</t>
  </si>
  <si>
    <t>1ПКТ(б)-1-70/120(Б) нг-LS</t>
  </si>
  <si>
    <t>1ПКТ(б)-1-150/240(Б) нг-LS</t>
  </si>
  <si>
    <t>1ПКТ(б)-1-300/400(Б) нг-LS</t>
  </si>
  <si>
    <t>3ПКТп мини - 2.5/10 нг-LS</t>
  </si>
  <si>
    <t>ПКТп мини нг-LS</t>
  </si>
  <si>
    <t>4ПКТп мини - 2.5/10 нг-LS</t>
  </si>
  <si>
    <t>5ПКТп мини - 2.5/10 нг-LS</t>
  </si>
  <si>
    <t>3ПКТп(б) мини - 2.5/10 нг-LS</t>
  </si>
  <si>
    <t>4ПКТп(б) мини - 2.5/10 нг-LS</t>
  </si>
  <si>
    <t>5ПКТп(б) мини - 2.5/10 нг-LS</t>
  </si>
  <si>
    <t>Муфта кабельная соединительная</t>
  </si>
  <si>
    <t>3СТп-1-25/50 нг-LS</t>
  </si>
  <si>
    <t>3СТп-1 нг-LS</t>
  </si>
  <si>
    <t>3СТп-1-70/120 нг-LS</t>
  </si>
  <si>
    <t>3СТп-1-150/240 нг-LS</t>
  </si>
  <si>
    <t>3СТп-1-25/50(Б) нг-LS</t>
  </si>
  <si>
    <t>3СТп-1-70/120(Б) нг-LS</t>
  </si>
  <si>
    <t>3СТп-1-150/240(Б) нг-LS</t>
  </si>
  <si>
    <t>4СТп-1-25/50 нг-LS</t>
  </si>
  <si>
    <t>4СТп-1 нг-LS</t>
  </si>
  <si>
    <t>4СТп-1-70/120 нг-LS</t>
  </si>
  <si>
    <t>4СТп-1-150/240 нг-LS</t>
  </si>
  <si>
    <t>4СТп-1-25/50(Б) нг-LS</t>
  </si>
  <si>
    <t>4СТп-1-70/120(Б) нг-LS</t>
  </si>
  <si>
    <t>4СТп-1-150/240(Б) нг-LS</t>
  </si>
  <si>
    <t>1ПСТ-1-10/25(Б) нг-LS</t>
  </si>
  <si>
    <t>1ПСТ-1 нг-LS</t>
  </si>
  <si>
    <t>1ПСТ-1-25/50(Б) нг-LS</t>
  </si>
  <si>
    <t>1ПСТ-1-70/120(Б) нг-LS</t>
  </si>
  <si>
    <t>1ПСТ-1-150/240(Б) нг-LS</t>
  </si>
  <si>
    <t>1ПСТ-1-300/400(Б) нг-LS</t>
  </si>
  <si>
    <t>1ПСТ-1-500/630(Б) нг-LS</t>
  </si>
  <si>
    <t>1ПСТ-1-800(Б) нг-LS</t>
  </si>
  <si>
    <t>4ПСТ-1-16/25 нг-LS</t>
  </si>
  <si>
    <t>4ПСТ-1 нг-LS</t>
  </si>
  <si>
    <t>4ПСТ-1-25/50 нг-LS</t>
  </si>
  <si>
    <t>4ПСТ-1-70/120 нг-LS</t>
  </si>
  <si>
    <t>4ПСТ-1-150/240 нг-LS</t>
  </si>
  <si>
    <t>4ПСТ-1-16/25(Б) нг-LS</t>
  </si>
  <si>
    <t>4ПСТ-1-25/50(Б) нг-LS</t>
  </si>
  <si>
    <t>4ПСТ-1-70/120(Б) нг-LS</t>
  </si>
  <si>
    <t>4ПСТ-1-150/240(Б) нг-LS</t>
  </si>
  <si>
    <t>4ПСТ(б)-1-16/25 нг-LS</t>
  </si>
  <si>
    <t>4ПСТ(б)-1-25/50 нг-LS</t>
  </si>
  <si>
    <t>4ПСТ(б)-1-70/120 нг-LS</t>
  </si>
  <si>
    <t>4ПСТ(б)-1-150/240 нг-LS</t>
  </si>
  <si>
    <t>4ПСТ(б)-1-16/25(Б) нг-LS</t>
  </si>
  <si>
    <t>4ПСТ(б)-1-25/50(Б) нг-LS</t>
  </si>
  <si>
    <t>4ПСТ(б)-1-70/120(Б) нг-LS</t>
  </si>
  <si>
    <t>4ПСТ(б)-1-150/240(Б) нг-LS</t>
  </si>
  <si>
    <t>5ПСТ-1-16/25 нг-LS</t>
  </si>
  <si>
    <t>5ПСТ-1 нг-LS</t>
  </si>
  <si>
    <t>5ПСТ-1-25/50 нг-LS</t>
  </si>
  <si>
    <t>5ПСТ-1-70/120 нг-LS</t>
  </si>
  <si>
    <t>5ПСТ-1-150/240 нг-LS</t>
  </si>
  <si>
    <t>5ПСТ-1-16/25(Б) нг-LS</t>
  </si>
  <si>
    <t>5ПСТ-1-25/50(Б) нг-LS</t>
  </si>
  <si>
    <t>5ПСТ-1-70/120(Б) нг-LS</t>
  </si>
  <si>
    <t>5ПСТ-1-150/240(Б) нг-LS</t>
  </si>
  <si>
    <t>5ПСТ(б)-1-16/25 нг-LS</t>
  </si>
  <si>
    <t>5ПСТ(б)-1-25/50 нг-LS</t>
  </si>
  <si>
    <t>5ПСТ(б)-1-70/120 нг-LS</t>
  </si>
  <si>
    <t>5ПСТ(б)-1-150/240 нг-LS</t>
  </si>
  <si>
    <t>5ПСТ(б)-1-16/25(Б) нг-LS</t>
  </si>
  <si>
    <t>5ПСТ(б)-1-25/50(Б) нг-LS</t>
  </si>
  <si>
    <t>5ПСТ(б)-1-70/120(Б) нг-LS</t>
  </si>
  <si>
    <t>5ПСТ(б)-1-150/240(Б) нг-LS</t>
  </si>
  <si>
    <t>1ПСТ(б)-1-10/25(Б) нг-LS</t>
  </si>
  <si>
    <t>1ПСТ(б)-1 нг-LS</t>
  </si>
  <si>
    <t>1ПСТ(б)-1-25/50(Б) нг-LS</t>
  </si>
  <si>
    <t>1ПСТ(б)-1-70/120(Б) нг-LS</t>
  </si>
  <si>
    <t>1ПСТ(б)-1-150/240(Б) нг-LS</t>
  </si>
  <si>
    <t>1ПСТ(б)-1-300/400(Б) нг-LS</t>
  </si>
  <si>
    <t>2ПСТ мини - 1/2,5 нг-LS</t>
  </si>
  <si>
    <t>ПСТ мини нг-LS</t>
  </si>
  <si>
    <t>2ПСТ мини - 4/6 нг-LS</t>
  </si>
  <si>
    <t>2ПСТ мини - 6/10 нг-LS</t>
  </si>
  <si>
    <t>3ПСТ мини-1/2.5 нг-LS</t>
  </si>
  <si>
    <t>3ПСТ мини-4/6 нг-LS</t>
  </si>
  <si>
    <t>3ПСТ мини-6/10 нг-LS</t>
  </si>
  <si>
    <t>4ПСТ мини - 1/2,5 нг-LS</t>
  </si>
  <si>
    <t>4ПСТ мини - 4/6 нг-LS</t>
  </si>
  <si>
    <t>4ПСТ мини - 6/10 нг-LS</t>
  </si>
  <si>
    <t>5ПСТ мини-1/2.5 нг-LS</t>
  </si>
  <si>
    <t>5ПСТ мини-4/6 нг-LS</t>
  </si>
  <si>
    <t>5ПСТ мини-6/10 нг-LS</t>
  </si>
  <si>
    <t>2ПСТ(б) мини - 1/2,5 нг-LS</t>
  </si>
  <si>
    <t>2ПСТ(б) мини - 4/6 нг-LS</t>
  </si>
  <si>
    <t>2ПСТ(б) мини - 6/10 нг-LS</t>
  </si>
  <si>
    <t>3ПСТ(б) мини-1/2.5 нг-LS</t>
  </si>
  <si>
    <t>3ПСТ(б) мини-4/6 нг-LS</t>
  </si>
  <si>
    <t>3ПСТ(б) мини-6/10 нг-LS</t>
  </si>
  <si>
    <t>4ПСТ(б) мини - 1/2,5 нг-LS</t>
  </si>
  <si>
    <t>4ПСТ(б) мини - 4/6 нг-LS</t>
  </si>
  <si>
    <t>4ПСТ(б) мини - 6/10 нг-LS</t>
  </si>
  <si>
    <t>5ПСТ(б) мини-1/2.5 нг-LS</t>
  </si>
  <si>
    <t>5ПСТ(б) мини-4/6 нг-LS</t>
  </si>
  <si>
    <t>5ПСТ(б) мини-6/10 нг-LS</t>
  </si>
  <si>
    <t>Кабельные муфты нг-LS до 10кВ</t>
  </si>
  <si>
    <t>1ПКВТ-10-35/50 нг-LS</t>
  </si>
  <si>
    <t>1ПКВТ-10 нг-LS</t>
  </si>
  <si>
    <t>1ПКВТ-10-70/120 нг-LS</t>
  </si>
  <si>
    <t>1ПКВТ-10-150/240 нг-LS</t>
  </si>
  <si>
    <t>1ПКВТ-10-300/400 нг-LS</t>
  </si>
  <si>
    <t>1ПКВТ-10-500/630 нг-LS</t>
  </si>
  <si>
    <t>1ПКВТ-10-800 нг-LS</t>
  </si>
  <si>
    <t>1ПКВТ-10-35/50(Б) нг-LS</t>
  </si>
  <si>
    <t>1ПКВТ-10-70/120(Б) нг-LS</t>
  </si>
  <si>
    <t>1ПКВТ-10-150/240(Б) нг-LS</t>
  </si>
  <si>
    <t>1ПКВТ-10-300/400(Б) нг-LS</t>
  </si>
  <si>
    <t>1ПКВТ-10-500/630(Б) нг-LS</t>
  </si>
  <si>
    <t>1ПКВТ-10-800(Б) нг-LS</t>
  </si>
  <si>
    <t>3ПКВТп-10-35/50 нг-LS</t>
  </si>
  <si>
    <t>3ПКВТп-10 нг-LS</t>
  </si>
  <si>
    <t>3ПКВТп-10-35/50(Б) нг-LS</t>
  </si>
  <si>
    <t>3ПКВТп-10-70/120 нг-LS</t>
  </si>
  <si>
    <t>3ПКВТп-10-70/120(Б) нг-LS</t>
  </si>
  <si>
    <t>3ПКВТп-10-150/240 нг-LS</t>
  </si>
  <si>
    <t>3ПКВТп-10-150/240(Б) нг-LS</t>
  </si>
  <si>
    <t>3ПКВТп-10-300/400 нг-LS</t>
  </si>
  <si>
    <t>3ПКВТп-10-300/400(Б) нг-LS</t>
  </si>
  <si>
    <t>3РКВТп-10-35/50 нг-LS</t>
  </si>
  <si>
    <t>3РКВТп-10 нг-LS</t>
  </si>
  <si>
    <t>3РКВТп-10-35/50(Б) нг-LS</t>
  </si>
  <si>
    <t>3РКВТп-10-70/120 нг-LS</t>
  </si>
  <si>
    <t>3РКВТп-10-70/120(Б) нг-LS</t>
  </si>
  <si>
    <t>3РКВТп-10-150/240 нг-LS</t>
  </si>
  <si>
    <t>3РКВТп-10-150/240(Б) нг-LS</t>
  </si>
  <si>
    <t>3РКВТп-10-300/400 нг-LS</t>
  </si>
  <si>
    <t>3РКВТп-10-300/400(Б) нг-LS</t>
  </si>
  <si>
    <t>3КВТп-10-25/50 нг-LS</t>
  </si>
  <si>
    <t>3КВТп-10 нг-LS</t>
  </si>
  <si>
    <t>3КВТп-10-70/120 нг-LS</t>
  </si>
  <si>
    <t>3КВТп-10-150/240 нг-LS</t>
  </si>
  <si>
    <t>3КВТп-10-25/50(Б) нг-LS</t>
  </si>
  <si>
    <t>3КВТп-10-70/120(Б) нг-LS</t>
  </si>
  <si>
    <t>3КВТп-10-150/240(Б) нг-LS</t>
  </si>
  <si>
    <t>1ПСТ-10-35/50 нг-LS</t>
  </si>
  <si>
    <t>1ПСТ-10 нг-LS</t>
  </si>
  <si>
    <t>1ПСТ-10-70/120 нг-LS</t>
  </si>
  <si>
    <t>1ПСТ-10-150/240 нг-LS</t>
  </si>
  <si>
    <t>1ПСТ-10-300/400 нг-LS</t>
  </si>
  <si>
    <t>1ПСТ-10-500/630 нг-LS</t>
  </si>
  <si>
    <t>1ПСТ-10-800 нг-LS</t>
  </si>
  <si>
    <t>1ПСТ-10-35/50(Б) нг-LS</t>
  </si>
  <si>
    <t>1ПСТ-10-70/120(Б) нг-LS</t>
  </si>
  <si>
    <t>1ПСТ-10-150/240(Б) нг-LS</t>
  </si>
  <si>
    <t>1ПСТ-10-300/400(Б) нг-LS</t>
  </si>
  <si>
    <t>1ПСТ-10-500/630(Б) нг-LS</t>
  </si>
  <si>
    <t>1ПСТ-10-800(Б) нг-LS</t>
  </si>
  <si>
    <t>3ПСТ-10-35/50 нг-LS</t>
  </si>
  <si>
    <t>3ПСТ-10 нг-LS</t>
  </si>
  <si>
    <t>3ПСТ-10-35/50(Б) нг-LS</t>
  </si>
  <si>
    <t>3ПСТ-10-70/120 нг-LS</t>
  </si>
  <si>
    <t>3ПСТ-10-70/120(Б) нг-LS</t>
  </si>
  <si>
    <t>3ПСТ-10-150/240 нг-LS</t>
  </si>
  <si>
    <t>3ПСТ-10-150/240(Б) нг-LS</t>
  </si>
  <si>
    <t>3ПСТ-10-300/400 нг-LS</t>
  </si>
  <si>
    <t>3ПСТ-10-300/400(Б) нг-LS</t>
  </si>
  <si>
    <t>3РСТ-10-35/50 нг- LS</t>
  </si>
  <si>
    <t>3РСТ-10 нг- LS</t>
  </si>
  <si>
    <t>3РСТ-10-35/50(Б) нг- LS</t>
  </si>
  <si>
    <t>3РСТ-10-70/120 нг- LS</t>
  </si>
  <si>
    <t>3РСТ-10-70/120(Б) нг- LS</t>
  </si>
  <si>
    <t>3РСТ-10-150/240 нг- LS</t>
  </si>
  <si>
    <t>3РСТ-10-150/240(Б) нг- LS</t>
  </si>
  <si>
    <t>3РСТ-10-300/400 нг- LS</t>
  </si>
  <si>
    <t>3РСТ-10-300/400(Б) нг- LS</t>
  </si>
  <si>
    <t>3СТп-10-25/50 нг-LS</t>
  </si>
  <si>
    <t>3СТп-10 нг-LS</t>
  </si>
  <si>
    <t>3СТп-10-70/120 нг-LS</t>
  </si>
  <si>
    <t>3СТп-10-150/240 нг-LS</t>
  </si>
  <si>
    <t>3СТп-10-25/50(Б) нг-LS</t>
  </si>
  <si>
    <t>3СТп-10-70/120(Б) нг-LS</t>
  </si>
  <si>
    <t>3СТп-10-150/240(Б) нг-LS</t>
  </si>
  <si>
    <t>Кабельные муфты до 1 кВ</t>
  </si>
  <si>
    <t>4КВНТп-1-25/50</t>
  </si>
  <si>
    <t>4КВНТп-1</t>
  </si>
  <si>
    <t>4КВНТп-1-70/120</t>
  </si>
  <si>
    <t>4КВНТп-1-150/240</t>
  </si>
  <si>
    <t>4КВНТп-1-25/50(Б)</t>
  </si>
  <si>
    <t>4КВНТп-1-70/120(Б)</t>
  </si>
  <si>
    <t>4КВНТп-1-150/240(Б)</t>
  </si>
  <si>
    <t>4КВНТп-1-25/50 (пайка)</t>
  </si>
  <si>
    <t>4КВНТп-1 (пайка)</t>
  </si>
  <si>
    <t>4КВНТп-1-25/50(Б) (пайка)</t>
  </si>
  <si>
    <t>4КВНТп-1-70/120 (пайка)</t>
  </si>
  <si>
    <t>4КВНТп-1-70/120(Б) (пайка)</t>
  </si>
  <si>
    <t>4КВНТп-1-150/240 (пайка)</t>
  </si>
  <si>
    <t>4КВНТп-1-150/240(Б) (пайка)</t>
  </si>
  <si>
    <t>3КВНТп-1-25/50</t>
  </si>
  <si>
    <t>3КВНТп-1</t>
  </si>
  <si>
    <t>3КВНТп-1-70/120</t>
  </si>
  <si>
    <t>3КВНТп-1-150/240</t>
  </si>
  <si>
    <t>3КВНТп-1-25/50(Б)</t>
  </si>
  <si>
    <t>3КВНТп-1-70/120(Б)</t>
  </si>
  <si>
    <t>3КВНТп-1-150/240(Б)</t>
  </si>
  <si>
    <t>3КВНТп-1-25/50 (пайка)</t>
  </si>
  <si>
    <t>3КВНТп-1 (пайка)</t>
  </si>
  <si>
    <t>3КВНТп-1-25/50(Б) (пайка)</t>
  </si>
  <si>
    <t>3КВНТп-1-70/120 (пайка)</t>
  </si>
  <si>
    <t>3КВНТп-1-70/120(Б) (пайка)</t>
  </si>
  <si>
    <t>3КВНТп-1-150/240 (пайка)</t>
  </si>
  <si>
    <t>3КВНТп-1-150/240(Б) (пайка)</t>
  </si>
  <si>
    <t>2ПКТп-1-16/25</t>
  </si>
  <si>
    <t>2ПКТп-1</t>
  </si>
  <si>
    <t>2ПКТп-1-25/50</t>
  </si>
  <si>
    <t>2ПКТп-1-70/120</t>
  </si>
  <si>
    <t>2ПКТп-1-16/25(Б)</t>
  </si>
  <si>
    <t>2ПКТп-1-25/50(Б)</t>
  </si>
  <si>
    <t>2ПКТп-1-70/120(Б)</t>
  </si>
  <si>
    <t>2ПКТп(б)-1-16/25</t>
  </si>
  <si>
    <t>2ПКТп(б)-1-25/50</t>
  </si>
  <si>
    <t>2ПКТп(б)-1-70/120</t>
  </si>
  <si>
    <t>2ПКТп(б)-1-16/25(Б)</t>
  </si>
  <si>
    <t>2ПКТп(б)-1-25/50(Б)</t>
  </si>
  <si>
    <t>2ПКТп(б)-1-70/120(Б)</t>
  </si>
  <si>
    <t>3ПКТп-1-16/25</t>
  </si>
  <si>
    <t>3ПКТп-1</t>
  </si>
  <si>
    <t>3ПКТп-1-35/50</t>
  </si>
  <si>
    <t>3ПКТп-1-70/120</t>
  </si>
  <si>
    <t>3ПКТп-1-150/240</t>
  </si>
  <si>
    <t>3ПКТп-1-16/25(Б)</t>
  </si>
  <si>
    <t>3ПКТп-1-35/50(Б)</t>
  </si>
  <si>
    <t>3ПКТп-1-70/120(Б)</t>
  </si>
  <si>
    <t>3ПКТп-1-150/240(Б)</t>
  </si>
  <si>
    <t>3ПКТп(б)-1-16/25</t>
  </si>
  <si>
    <t>3ПКТп(б)-1-35/50</t>
  </si>
  <si>
    <t>3ПКТп(б)-1-70/120</t>
  </si>
  <si>
    <t>3ПКТп(б)-1-150/240</t>
  </si>
  <si>
    <t>3ПКТп(б)-1-16/25(Б)</t>
  </si>
  <si>
    <t>3ПКТп(б)-1-35/50(Б)</t>
  </si>
  <si>
    <t>3ПКТп(б)-1-70/120(Б)</t>
  </si>
  <si>
    <t>3ПКТп(б)-1-150/240(Б)</t>
  </si>
  <si>
    <t>4ПКТп-1-16/25</t>
  </si>
  <si>
    <t>4ПКТп-1</t>
  </si>
  <si>
    <t>4ПКТп-1-25/50</t>
  </si>
  <si>
    <t>4ПКТп-1-70/120</t>
  </si>
  <si>
    <t>4ПКТп-1-150/240</t>
  </si>
  <si>
    <t>4ПКТп-1-300/400</t>
  </si>
  <si>
    <t>4ПКТп-1-16/25(Б)</t>
  </si>
  <si>
    <t>4ПКТп-1-25/50(Б)</t>
  </si>
  <si>
    <t>4ПКТп-1-70/120(Б)</t>
  </si>
  <si>
    <t>4ПКТп-1-150/240(Б)</t>
  </si>
  <si>
    <t>4ПКТп-1-300/400(Б)</t>
  </si>
  <si>
    <t>4ПКТп(б)-1-16/25</t>
  </si>
  <si>
    <t>4ПКТп(б)-1-25/50</t>
  </si>
  <si>
    <t>4ПКТп(б)-1-70/120</t>
  </si>
  <si>
    <t>4ПКТп(б)-1-150/240</t>
  </si>
  <si>
    <t>4ПКТп(б)-1-300/400</t>
  </si>
  <si>
    <t>4ПКТп(б)-1-16/25(Б)</t>
  </si>
  <si>
    <t>4ПКТп(б)-1-25/50(Б)</t>
  </si>
  <si>
    <t>4ПКТп(б)-1-70/120(Б)</t>
  </si>
  <si>
    <t>4ПКТп(б)-1-150/240(Б)</t>
  </si>
  <si>
    <t>4ПКТп(б)-1-300/400(Б)</t>
  </si>
  <si>
    <t>5ПКТп-1-16/25</t>
  </si>
  <si>
    <t>5ПКТп-1</t>
  </si>
  <si>
    <t>5ПКТп-1-25/50</t>
  </si>
  <si>
    <t>5ПКТп-1-70/120</t>
  </si>
  <si>
    <t>5ПКТп-1-150/240</t>
  </si>
  <si>
    <t>5ПКТп-1-16/25(Б)</t>
  </si>
  <si>
    <t>5ПКТп-1-25/50(Б)</t>
  </si>
  <si>
    <t>5ПКТп-1-70/120(Б)</t>
  </si>
  <si>
    <t>5ПКТп-1-150/240(Б)</t>
  </si>
  <si>
    <t>5ПКТп(б)-1-16/25</t>
  </si>
  <si>
    <t>5ПКТп(б)-1-25/50</t>
  </si>
  <si>
    <t>5ПКТп(б)-1-70/120</t>
  </si>
  <si>
    <t>5ПКТп(б)-1-150/240</t>
  </si>
  <si>
    <t>5ПКТп(б)-1-16/25(Б)</t>
  </si>
  <si>
    <t>5ПКТп(б)-1-25/50(Б)</t>
  </si>
  <si>
    <t>5ПКТп(б)-1-70/120(Б)</t>
  </si>
  <si>
    <t>5ПКТп(б)-1-150/240(Б)</t>
  </si>
  <si>
    <t>ККТ-1 нг-LS</t>
  </si>
  <si>
    <t>ККТнг-LS</t>
  </si>
  <si>
    <t>ККТ-2 нг-LS</t>
  </si>
  <si>
    <t>ККТ-3 нг-LS</t>
  </si>
  <si>
    <t>4РКТп-1-10/25</t>
  </si>
  <si>
    <t>4РКТп-1</t>
  </si>
  <si>
    <t>4РКТп-1-35/50</t>
  </si>
  <si>
    <t>4РКТп-1-70/120</t>
  </si>
  <si>
    <t>4РКТп-1-10/25(Б)</t>
  </si>
  <si>
    <t>4РКТп-1-35/50(Б)</t>
  </si>
  <si>
    <t>4РКТп-1-70/120(Б)</t>
  </si>
  <si>
    <t>2ПКТп мини - 2.5/10</t>
  </si>
  <si>
    <t>ПКТп мини</t>
  </si>
  <si>
    <t>3ПКТп мини - 2.5/10</t>
  </si>
  <si>
    <t>4ПКТп мини - 2.5/10</t>
  </si>
  <si>
    <t>5ПКТп мини - 2.5/10</t>
  </si>
  <si>
    <t>2ПКТп(б) мини - 2.5/10</t>
  </si>
  <si>
    <t>3ПКТп(б) мини - 2.5/10</t>
  </si>
  <si>
    <t>4ПКТп(б) мини - 2.5/10</t>
  </si>
  <si>
    <t>5ПКТп(б) мини - 2.5/10</t>
  </si>
  <si>
    <t>4СТп-1-25/50</t>
  </si>
  <si>
    <t>4СТп-1</t>
  </si>
  <si>
    <t>4СТп-1-70/120</t>
  </si>
  <si>
    <t>4СТп-1-150/240</t>
  </si>
  <si>
    <t>4СТп-1-25/50(Б)</t>
  </si>
  <si>
    <t>4СТп-1-70/120(Б)</t>
  </si>
  <si>
    <t>4СТп-1-150/240(Б)</t>
  </si>
  <si>
    <t>4СТп-1-25/50 (пайка)</t>
  </si>
  <si>
    <t>4СТп-1 (пайка)</t>
  </si>
  <si>
    <t>4СТп-1-25/50(Б) (пайка)</t>
  </si>
  <si>
    <t>4СТп-1-70/120 (пайка)</t>
  </si>
  <si>
    <t>4СТп-1-70/120(Б) (пайка)</t>
  </si>
  <si>
    <t>4СТп-1-150/240 (пайка)</t>
  </si>
  <si>
    <t>4СТп-1-150/240(Б) (пайка)</t>
  </si>
  <si>
    <t>3СТп-1-25/50</t>
  </si>
  <si>
    <t>3СТп-1</t>
  </si>
  <si>
    <t>3СТп-1-70/120</t>
  </si>
  <si>
    <t>3СТп-1-150/240</t>
  </si>
  <si>
    <t>3СТп-1-25/50(Б)</t>
  </si>
  <si>
    <t>3СТп-1-70/120(Б)</t>
  </si>
  <si>
    <t>3СТп-1-150/240(Б)</t>
  </si>
  <si>
    <t>3СТп-1-25/50 (пайка)</t>
  </si>
  <si>
    <t>3СТп-1 (пайка)</t>
  </si>
  <si>
    <t>3СТп-1-25/50(Б) (пайка)</t>
  </si>
  <si>
    <t>3СТп-1-70/120 (пайка)</t>
  </si>
  <si>
    <t>3СТп-1-70/120(Б) (пайка)</t>
  </si>
  <si>
    <t>3СТп-1-150/240 (пайка)</t>
  </si>
  <si>
    <t>3СТп-1-150/240(Б) (пайка)</t>
  </si>
  <si>
    <t>2ПСТ-1-16/25</t>
  </si>
  <si>
    <t>2ПСТ-1</t>
  </si>
  <si>
    <t>2ПСТ-1-25/50</t>
  </si>
  <si>
    <t>2ПСТ-1-70/120</t>
  </si>
  <si>
    <t>2ПСТ-1-16/25(Б)</t>
  </si>
  <si>
    <t>2ПСТ-1-25/50(Б)</t>
  </si>
  <si>
    <t>2ПСТ-1-70/120(Б)</t>
  </si>
  <si>
    <t>2ПСТ(б)-1-16/25</t>
  </si>
  <si>
    <t>2ПСТ(б)-1-25/50</t>
  </si>
  <si>
    <t>2ПСТ(б)-1-70/120</t>
  </si>
  <si>
    <t>2ПСТ(б)-1-16/25(Б)</t>
  </si>
  <si>
    <t>2ПСТ(б)-1-25/50(Б)</t>
  </si>
  <si>
    <t>2ПСТ(б)-1-70/120(Б)</t>
  </si>
  <si>
    <t>3ПСТ-1-16/25</t>
  </si>
  <si>
    <t>3ПСТ-1</t>
  </si>
  <si>
    <t>3ПСТ-1-25/50</t>
  </si>
  <si>
    <t>3ПСТ-1-70/120</t>
  </si>
  <si>
    <t>3ПСТ-1-150/240</t>
  </si>
  <si>
    <t>3ПСТ-1-16/25(Б)</t>
  </si>
  <si>
    <t>3ПСТ-1-25/50(Б)</t>
  </si>
  <si>
    <t>3ПСТ-1-70/120(Б)</t>
  </si>
  <si>
    <t>3ПСТ-1-150/240(Б)</t>
  </si>
  <si>
    <t>3ПСТ(б)-1-16/25</t>
  </si>
  <si>
    <t>3ПСТ(б)-1-25/50</t>
  </si>
  <si>
    <t>3ПСТ(б)-1-70/120</t>
  </si>
  <si>
    <t>3ПСТ(б)-1-150/240</t>
  </si>
  <si>
    <t>3ПСТ(б)-1-16/25(Б)</t>
  </si>
  <si>
    <t>3ПСТ(б)-1-25/50(Б)</t>
  </si>
  <si>
    <t>3ПСТ(б)-1-70/120(Б)</t>
  </si>
  <si>
    <t>3ПСТ(б)-1-150/240(Б)</t>
  </si>
  <si>
    <t>4ПСТ-1-16/25</t>
  </si>
  <si>
    <t>4ПСТ-1</t>
  </si>
  <si>
    <t>4ПСТ-1-25/50</t>
  </si>
  <si>
    <t>4ПСТ-1-70/120</t>
  </si>
  <si>
    <t>4ПСТ-1-150/240</t>
  </si>
  <si>
    <t>4ПСТ-1-300/400</t>
  </si>
  <si>
    <t>4ПСТ-1-16/25(Б)</t>
  </si>
  <si>
    <t>4ПСТ-1-25/50(Б)</t>
  </si>
  <si>
    <t>4ПСТ-1-70/120(Б)</t>
  </si>
  <si>
    <t>4ПСТ-1-150/240(Б)</t>
  </si>
  <si>
    <t>4ПСТ-1-300/400 (Б)</t>
  </si>
  <si>
    <t>4ПСТ(б)-1-16/25</t>
  </si>
  <si>
    <t>4ПСТ(б)-1-25/50</t>
  </si>
  <si>
    <t>4ПСТ(б)-1-70/120</t>
  </si>
  <si>
    <t>4ПСТ(б)-1-150/240</t>
  </si>
  <si>
    <t>4ПСТ(б)-1-300/400</t>
  </si>
  <si>
    <t>4ПСТ(б)-1-16/25(Б)</t>
  </si>
  <si>
    <t>4ПСТ(б)-1-25/50(Б)</t>
  </si>
  <si>
    <t>4ПСТ(б)-1-70/120(Б)</t>
  </si>
  <si>
    <t>4ПСТ(б)-1-150/240(Б)</t>
  </si>
  <si>
    <t>4ПСТ(б)-1-300/400(Б)</t>
  </si>
  <si>
    <t>5ПСТ-1-16/25</t>
  </si>
  <si>
    <t>5ПСТ-1</t>
  </si>
  <si>
    <t>5ПСТ-1-25/50</t>
  </si>
  <si>
    <t>5ПСТ-1-70/120</t>
  </si>
  <si>
    <t>5ПСТ-1-150/240</t>
  </si>
  <si>
    <t>5ПСТ-1-16/25(Б)</t>
  </si>
  <si>
    <t>5ПСТ-1-25/50(Б)</t>
  </si>
  <si>
    <t>5ПСТ-1-70/120(Б)</t>
  </si>
  <si>
    <t>5ПСТ-1-150/240(Б)</t>
  </si>
  <si>
    <t>5ПСТ(б)-1-16/25</t>
  </si>
  <si>
    <t>5ПСТ(б)-1-25/50</t>
  </si>
  <si>
    <t>5ПСТ(б)-1-70/120</t>
  </si>
  <si>
    <t>5ПСТ(б)-1-150/240</t>
  </si>
  <si>
    <t>5ПСТ(б)-1-16/25(Б)</t>
  </si>
  <si>
    <t>5ПСТ(б)-1-25/50(Б)</t>
  </si>
  <si>
    <t>5ПСТ(б)-1-70/120(Б)</t>
  </si>
  <si>
    <t>5ПСТ(б)-1-150/240(Б)</t>
  </si>
  <si>
    <t>4РСТп-1-10/25</t>
  </si>
  <si>
    <t>4РСТ-1</t>
  </si>
  <si>
    <t>4РСТ-1-35/50</t>
  </si>
  <si>
    <t>4РСТ-1-70/120</t>
  </si>
  <si>
    <t>4РСТ-1-10/25(Б)</t>
  </si>
  <si>
    <t>4РСТ-1-35/50(Б)</t>
  </si>
  <si>
    <t>4РСТ-1-70/120(Б)</t>
  </si>
  <si>
    <t>ПСТк (4–7)/(0.75–1.5)</t>
  </si>
  <si>
    <t>ПСТк</t>
  </si>
  <si>
    <t>ПСТк (10–37)/(0.75–1.5)</t>
  </si>
  <si>
    <t>ПСТк (4–14)/(1.5–2.5)</t>
  </si>
  <si>
    <t>ПСТк (19–37)/(1.5–2.5)</t>
  </si>
  <si>
    <t>ПСТк (4–10)/(4–10)</t>
  </si>
  <si>
    <t>Муфта кабельная заливная соединительная</t>
  </si>
  <si>
    <t>МКС-1</t>
  </si>
  <si>
    <t>МКС</t>
  </si>
  <si>
    <t>МКС-2</t>
  </si>
  <si>
    <t>МКС-3</t>
  </si>
  <si>
    <t>МКС(б)-1</t>
  </si>
  <si>
    <t>МКС(б)-2</t>
  </si>
  <si>
    <t>МКС(б)-3</t>
  </si>
  <si>
    <t>МКС-1(Б)</t>
  </si>
  <si>
    <t>МКС-2(Б)</t>
  </si>
  <si>
    <t>МКС-3(Б)</t>
  </si>
  <si>
    <t>МКС(б)-1(Б)</t>
  </si>
  <si>
    <t>МКС(б)-2(Б)</t>
  </si>
  <si>
    <t>МКС(б)-3(Б)</t>
  </si>
  <si>
    <t>МТС(6:1)-1.5/6</t>
  </si>
  <si>
    <t>МТС</t>
  </si>
  <si>
    <t>МТС(6:1)-6/25</t>
  </si>
  <si>
    <t>МВПТ-1.5/2.5</t>
  </si>
  <si>
    <t>МВПТ</t>
  </si>
  <si>
    <t>МВПТ-4/6</t>
  </si>
  <si>
    <t>Набор муфт для подключения саморегулирующихся нагревательных кабелей</t>
  </si>
  <si>
    <t>НГК</t>
  </si>
  <si>
    <t>Муфта кабельная заливная ответвительная</t>
  </si>
  <si>
    <t>МКО-1</t>
  </si>
  <si>
    <t>МКО</t>
  </si>
  <si>
    <t>МКО-2</t>
  </si>
  <si>
    <t>Муфта кабельная ответвительная</t>
  </si>
  <si>
    <t>4ПТО-1-4/35-4/35</t>
  </si>
  <si>
    <t>4ПТО-1</t>
  </si>
  <si>
    <t>4ПТО-1-16/50-1.5/6</t>
  </si>
  <si>
    <t>4ПТО-1-16/50-1,5/16</t>
  </si>
  <si>
    <t>4ПТО-1-25/95-25/95</t>
  </si>
  <si>
    <t>4ПТО-1-35/95-4/35</t>
  </si>
  <si>
    <t>4ПТО-1-50/150-4/50</t>
  </si>
  <si>
    <t>5ПТО-1-4/35-4/35</t>
  </si>
  <si>
    <t>5ПТО-1</t>
  </si>
  <si>
    <t>5ПТО-1-16/50-1.5/6</t>
  </si>
  <si>
    <t>5ПТО-1-16/50-1,5/16</t>
  </si>
  <si>
    <t>5ПТО-1-25/95-25/95</t>
  </si>
  <si>
    <t>5ПТО-1-35/95-4/35</t>
  </si>
  <si>
    <t>5ПТО-1-50/150-4/50</t>
  </si>
  <si>
    <t>5ПТО-1-95/150-35/95</t>
  </si>
  <si>
    <t>Муфта кабельная переходная</t>
  </si>
  <si>
    <t>4ПКТп(б)(СИП)-1-16/25(Б)</t>
  </si>
  <si>
    <t>4ПКТп(б)(СИП)-1</t>
  </si>
  <si>
    <t>4ПКТп(б)(СИП)-1-25/50(Б)</t>
  </si>
  <si>
    <t>4ПКТп(б)(СИП)-1-70/150(Б)</t>
  </si>
  <si>
    <t>Кабельные муфты 6-10 кВ</t>
  </si>
  <si>
    <t>3РКТп-6-10/25</t>
  </si>
  <si>
    <t>3РКТп-6</t>
  </si>
  <si>
    <t>3РКТп-6-35/50</t>
  </si>
  <si>
    <t>3РКТп-6-70/95</t>
  </si>
  <si>
    <t>3РКТп-6-10/25(Б)</t>
  </si>
  <si>
    <t>3РКТп-6-35/50(Б)</t>
  </si>
  <si>
    <t>3РКТп-6-70/95(Б)</t>
  </si>
  <si>
    <t>3ПКТп-6-25/50</t>
  </si>
  <si>
    <t>3ПКТп-6</t>
  </si>
  <si>
    <t>3ПКТп-6-70/120</t>
  </si>
  <si>
    <t>3ПКТп-6-150/240</t>
  </si>
  <si>
    <t>3ПКТп-6-25/50(Б)</t>
  </si>
  <si>
    <t>3ПКТп-6-70/120(Б)</t>
  </si>
  <si>
    <t>3ПКТп-6-150/240(Б)</t>
  </si>
  <si>
    <t>1ПКВТ-10-35/50</t>
  </si>
  <si>
    <t>1ПКВТ-10</t>
  </si>
  <si>
    <t>1ПКВТ-10-70/120</t>
  </si>
  <si>
    <t>1ПКВТ-10-150/240</t>
  </si>
  <si>
    <t>1ПКВТ-10-300/400</t>
  </si>
  <si>
    <t>1ПКВТ-10-500/630</t>
  </si>
  <si>
    <t>1ПКВТ-10-800</t>
  </si>
  <si>
    <t>1ПКВТ-10-35/50(Б)</t>
  </si>
  <si>
    <t>1ПКВТ-10-70/120(Б)</t>
  </si>
  <si>
    <t>1ПКВТ-10-150/240(Б)</t>
  </si>
  <si>
    <t>1ПКВТ-10-300/400(Б)</t>
  </si>
  <si>
    <t>1ПКВТ-10-500/630(Б)</t>
  </si>
  <si>
    <t>1ПКВТ-10-800(Б)</t>
  </si>
  <si>
    <t>1ПКНТ-10-35/50</t>
  </si>
  <si>
    <t>1ПКНТ-10</t>
  </si>
  <si>
    <t>1ПКНТ-10-70/120</t>
  </si>
  <si>
    <t>1ПКНТ-10-150/240</t>
  </si>
  <si>
    <t>1ПКНТ-10-300/400</t>
  </si>
  <si>
    <t>1ПКНТ-10-500/630</t>
  </si>
  <si>
    <t>1ПКНТ-10-800</t>
  </si>
  <si>
    <t>1ПКНТ-10-35/50(Б)</t>
  </si>
  <si>
    <t>1ПКНТ-10-70/120(Б)</t>
  </si>
  <si>
    <t>1ПКНТ-10-150/240(Б)</t>
  </si>
  <si>
    <t>1ПКНТ-10-300/400(Б)</t>
  </si>
  <si>
    <t>1ПКНТ-10-500/630(Б)</t>
  </si>
  <si>
    <t>1ПКНТ-10-800(Б)</t>
  </si>
  <si>
    <t>3ПКВТп-10-35/50</t>
  </si>
  <si>
    <t>3ПКВТп-10</t>
  </si>
  <si>
    <t>3ПКВТп-10-70/120</t>
  </si>
  <si>
    <t>3ПКВТп-10-150/240</t>
  </si>
  <si>
    <t>3ПКВТп-10-35/50(Б)</t>
  </si>
  <si>
    <t>3ПКВТп-10-70/120(Б)</t>
  </si>
  <si>
    <t>3ПКВТп-10-150/240(Б)</t>
  </si>
  <si>
    <t>3ПКВТп-10-300/400</t>
  </si>
  <si>
    <t>3ПКВТп-10-300/400(Б)</t>
  </si>
  <si>
    <t>3ПКНТп-10-35/50</t>
  </si>
  <si>
    <t>3ПКНТп-10</t>
  </si>
  <si>
    <t>3ПКНТп-10-70/120</t>
  </si>
  <si>
    <t>3ПКНТп-10-150/240</t>
  </si>
  <si>
    <t>3ПКНТп-10-35/50(Б)</t>
  </si>
  <si>
    <t>3ПКНТп-10-70/120(Б)</t>
  </si>
  <si>
    <t>3ПКНТп-10-150/240(Б)</t>
  </si>
  <si>
    <t>3ПКНТп-10-300/400</t>
  </si>
  <si>
    <t>3ПКНТп-10-300/400(Б)</t>
  </si>
  <si>
    <t>3РКВТп-10-35/50</t>
  </si>
  <si>
    <t>3РКВТп-10</t>
  </si>
  <si>
    <t>3РКВТп-10-35/50(Б)</t>
  </si>
  <si>
    <t>3РКВТп-10-70/120</t>
  </si>
  <si>
    <t>3РКВТп-10-70/120(Б)</t>
  </si>
  <si>
    <t>3РКВТп-10-150/240</t>
  </si>
  <si>
    <t>3РКВТп-10-150/240(Б)</t>
  </si>
  <si>
    <t>3РКВТп-10-300/400</t>
  </si>
  <si>
    <t>3РКВТп-10-300/400(Б)</t>
  </si>
  <si>
    <t>3РКНТп-10-35/50</t>
  </si>
  <si>
    <t>3РКНТп-10</t>
  </si>
  <si>
    <t>3РКНТп-10-35/50(Б)</t>
  </si>
  <si>
    <t>3РКНТп-10-70/120</t>
  </si>
  <si>
    <t>3РКНТп-10-70/120(Б)</t>
  </si>
  <si>
    <t>3РКНТп-10-150/240</t>
  </si>
  <si>
    <t>3РКНТп-10-150/240(Б)</t>
  </si>
  <si>
    <t>3РКНТп-10-300/400</t>
  </si>
  <si>
    <t>3РКНТп-10-300/400(Б)</t>
  </si>
  <si>
    <t>3КВТп-10-25/50 (пайка)</t>
  </si>
  <si>
    <t>3КВТп-10 (пайка)</t>
  </si>
  <si>
    <t>3КВТп-10-25/50(Б) (пайка)</t>
  </si>
  <si>
    <t>3КВТп-10-70/120 (пайка)</t>
  </si>
  <si>
    <t>3КВТп-10-70/120(Б) (пайка)</t>
  </si>
  <si>
    <t>3КВТп-10-150/240 (пайка)</t>
  </si>
  <si>
    <t>3КВТп-10-150/240(Б) (пайка)</t>
  </si>
  <si>
    <t>3КВТп-10-25/50</t>
  </si>
  <si>
    <t>3КВТп-10</t>
  </si>
  <si>
    <t>3КВТп-10-70/120</t>
  </si>
  <si>
    <t>3КВТп-10-150/240</t>
  </si>
  <si>
    <t>3КВТп-10-25/50(Б)</t>
  </si>
  <si>
    <t>3КВТп-10-70/120(Б)</t>
  </si>
  <si>
    <t>3КВТп-10-150/240(Б)</t>
  </si>
  <si>
    <t>3КНТп-10-25/50 (пайка)</t>
  </si>
  <si>
    <t>3КНТп-10 (пайка)</t>
  </si>
  <si>
    <t>3КНТп-10-25/50(Б) (пайка)</t>
  </si>
  <si>
    <t>3КНТп-10-70/120 (пайка)</t>
  </si>
  <si>
    <t>3КНТп-10-70/120(Б) (пайка)</t>
  </si>
  <si>
    <t>3КНТп-10-150/240 (пайка)</t>
  </si>
  <si>
    <t>3КНТп-10-150/240(Б) (пайка)</t>
  </si>
  <si>
    <t>3КНТп-10-25/50</t>
  </si>
  <si>
    <t>3КНТп-10</t>
  </si>
  <si>
    <t>3КНТп-10-70/120</t>
  </si>
  <si>
    <t>3КНТп-10-150/240</t>
  </si>
  <si>
    <t>3КНТп-10-25/50(Б)</t>
  </si>
  <si>
    <t>3КНТп-10-70/120(Б)</t>
  </si>
  <si>
    <t>3КНТп-10-150/240(Б)</t>
  </si>
  <si>
    <t>3ПСТ-6-25/50</t>
  </si>
  <si>
    <t>3ПСТ-6</t>
  </si>
  <si>
    <t>3ПСТ-6-70/120</t>
  </si>
  <si>
    <t>3ПСТ-6-150/240</t>
  </si>
  <si>
    <t>3ПСТ-6-25/50(Б)</t>
  </si>
  <si>
    <t>3ПСТ-6-70/120(Б)</t>
  </si>
  <si>
    <t>3ПСТ-6-150/240(Б)</t>
  </si>
  <si>
    <t>1ПСТ-10-35/50</t>
  </si>
  <si>
    <t>1ПСТ-10</t>
  </si>
  <si>
    <t>1ПСТ-10-70/120</t>
  </si>
  <si>
    <t>1ПСТ-10-150/240</t>
  </si>
  <si>
    <t>1ПСТ-10-300/400</t>
  </si>
  <si>
    <t>1ПСТ-10-500/630</t>
  </si>
  <si>
    <t>1ПСТ-10-800</t>
  </si>
  <si>
    <t>1ПСТ-10-35/50(Б)</t>
  </si>
  <si>
    <t>1ПСТ-10-70/120(Б)</t>
  </si>
  <si>
    <t>1ПСТ-10-150/240(Б)</t>
  </si>
  <si>
    <t>1ПСТ-10-300/400(Б)</t>
  </si>
  <si>
    <t>1ПСТ-10-500/630(Б)</t>
  </si>
  <si>
    <t>1ПСТ-10-800(Б)</t>
  </si>
  <si>
    <t>3ПСТ-10-35/50</t>
  </si>
  <si>
    <t>3ПСТ-10</t>
  </si>
  <si>
    <t>3ПСТ-10-70/120</t>
  </si>
  <si>
    <t>3ПСТ-10-150/240</t>
  </si>
  <si>
    <t>3ПСТ-10-35/50(Б)</t>
  </si>
  <si>
    <t>3ПСТ-10-70/120(Б)</t>
  </si>
  <si>
    <t>3ПСТ-10-150/240(Б)</t>
  </si>
  <si>
    <t>3ПСТ-10-300/400</t>
  </si>
  <si>
    <t>3ПСТ-10-300/400(Б)</t>
  </si>
  <si>
    <t>3РСТ-10-35/50</t>
  </si>
  <si>
    <t>3РСТ-10</t>
  </si>
  <si>
    <t>3РСТ-10-35/50(Б)</t>
  </si>
  <si>
    <t>3РСТ-10-70/120</t>
  </si>
  <si>
    <t>3РСТ-10-70/120(Б)</t>
  </si>
  <si>
    <t>3РСТ-10-150/240</t>
  </si>
  <si>
    <t>3РСТ-10-150/240(Б)</t>
  </si>
  <si>
    <t>3РСТ-10-300/400</t>
  </si>
  <si>
    <t>3РСТ-10-300/400(Б)</t>
  </si>
  <si>
    <t>3СТп-10-25/50 (пайка)</t>
  </si>
  <si>
    <t>3СТп-10 (пайка)</t>
  </si>
  <si>
    <t>3СТп-10-25/50(Б) (пайка)</t>
  </si>
  <si>
    <t>3СТп-10-70/120 (пайка)</t>
  </si>
  <si>
    <t>3СТп-10-70/120(Б) (пайка)</t>
  </si>
  <si>
    <t>3СТп-10-150/240 (пайка)</t>
  </si>
  <si>
    <t>3СТп-10-150/240(Б) (пайка)</t>
  </si>
  <si>
    <t>3СТп-10-25/50</t>
  </si>
  <si>
    <t>3СТп-10</t>
  </si>
  <si>
    <t>3СТп-10-70/120</t>
  </si>
  <si>
    <t>3СТп-10-150/240</t>
  </si>
  <si>
    <t>3СТп-10-25/50(Б)</t>
  </si>
  <si>
    <t>3СТп-10-70/120(Б)</t>
  </si>
  <si>
    <t>3СТп-10-150/240(Б)</t>
  </si>
  <si>
    <t>Муфта кабельная соединительная ремонтная</t>
  </si>
  <si>
    <t>3СТпР-10-25/50(Б)</t>
  </si>
  <si>
    <t>3СТпР-10</t>
  </si>
  <si>
    <t>3СТпР-10-70/120(Б)</t>
  </si>
  <si>
    <t>3СТпР-10-150/240(Б)</t>
  </si>
  <si>
    <t>(1П+3Б)СПТ-10-70/120(Б)</t>
  </si>
  <si>
    <t>(1П+3Б)СПТ-10</t>
  </si>
  <si>
    <t>(1П+3Б)СПТ-10-150/240(Б)</t>
  </si>
  <si>
    <t>(3П+3Б)СПТ-10-35/50(Б)</t>
  </si>
  <si>
    <t>(3П+3Б)СПТ-10</t>
  </si>
  <si>
    <t>(3П+3Б)СПТ-10-70/120(Б)</t>
  </si>
  <si>
    <t>(3П+3Б)СПТ-10-150/240(Б)</t>
  </si>
  <si>
    <t>Кабельные муфты 20-35 кВ</t>
  </si>
  <si>
    <t>1ПКВТ-20-70/120(Б)</t>
  </si>
  <si>
    <t>1ПКВТ-20</t>
  </si>
  <si>
    <t>1ПКВТ-20-150/240(Б)</t>
  </si>
  <si>
    <t>1ПКВТ-20-300/400(Б)</t>
  </si>
  <si>
    <t>1ПКВТ-20-500/630(Б)</t>
  </si>
  <si>
    <t>1ПКНТ-20-70/120(Б)</t>
  </si>
  <si>
    <t>1ПКНТ-20</t>
  </si>
  <si>
    <t>1ПКНТ-20-150/240(Б)</t>
  </si>
  <si>
    <t>1ПКНТ-20-300/400(Б)</t>
  </si>
  <si>
    <t>1ПКНТ-20-500/630(Б)</t>
  </si>
  <si>
    <t>1ПСТ-20-70/120(Б)</t>
  </si>
  <si>
    <t>1ПСТ-20</t>
  </si>
  <si>
    <t>1ПСТ-20-150/240(Б)</t>
  </si>
  <si>
    <t>1ПСТ-20-300/400(Б)</t>
  </si>
  <si>
    <t>1ПСТ-20-500/630(Б)</t>
  </si>
  <si>
    <t>1ПКВТ-35-70/120(Б)</t>
  </si>
  <si>
    <t>1ПКВТ-35</t>
  </si>
  <si>
    <t>1ПКВТ-35-150/240(Б)</t>
  </si>
  <si>
    <t>1ПКВТ-35-300/400(Б)</t>
  </si>
  <si>
    <t>1ПКНТ-35-70/120(Б)</t>
  </si>
  <si>
    <t>1ПКНТ-35</t>
  </si>
  <si>
    <t>1ПКНТ-35-150/240(Б)</t>
  </si>
  <si>
    <t>1ПКНТ-35-300/400(Б)</t>
  </si>
  <si>
    <t>1ПСТ-35-70/120(Б)</t>
  </si>
  <si>
    <t>1ПСТ-35</t>
  </si>
  <si>
    <t>1ПСТ-35-150/240(Б)</t>
  </si>
  <si>
    <t>1ПСТ-35-300/400(Б)</t>
  </si>
  <si>
    <t>3ПКВТп-35-70/120 (Б)</t>
  </si>
  <si>
    <t>3ПКВТп-35</t>
  </si>
  <si>
    <t>3ПКВТп-35-150/240 (Б)</t>
  </si>
  <si>
    <t>3ПКВТп-35-300/400 (Б)</t>
  </si>
  <si>
    <t>3ПКНТп-35-70/120 (Б)</t>
  </si>
  <si>
    <t>3ПКНТп-35</t>
  </si>
  <si>
    <t>3ПКНТп-35-150/240 (Б)</t>
  </si>
  <si>
    <t>3ПКНТп-35-300/400 (Б)</t>
  </si>
  <si>
    <t>3ПСТ-35-70/120 (Б)</t>
  </si>
  <si>
    <t>3ПСТ-35</t>
  </si>
  <si>
    <t>3ПСТ-35-150/240 (Б)</t>
  </si>
  <si>
    <t>3ПСТ-35-300/400 (Б)</t>
  </si>
  <si>
    <t>Муфты для уличного освещения</t>
  </si>
  <si>
    <t>4ПКТп(б)-1-16/25 Light</t>
  </si>
  <si>
    <t>4ПКТп(б)-1</t>
  </si>
  <si>
    <t>5ПКТп(б)-1-16/25 Light</t>
  </si>
  <si>
    <t>5ПКТп(б)-1</t>
  </si>
  <si>
    <t>Компоненты для муфт</t>
  </si>
  <si>
    <t>Комплект адаптеров экранированных кабельных</t>
  </si>
  <si>
    <t>ЭКАТ-10-70/95</t>
  </si>
  <si>
    <t>ЭКАТ-10</t>
  </si>
  <si>
    <t>ЭКАТ-10-120/150</t>
  </si>
  <si>
    <t>ЭКАТ-10-185/240</t>
  </si>
  <si>
    <t>ЭКАТ-20-70/95</t>
  </si>
  <si>
    <t>ЭКАТ-20</t>
  </si>
  <si>
    <t>ЭКАТ-20-120/150</t>
  </si>
  <si>
    <t>ЭКАТ-20-185/240</t>
  </si>
  <si>
    <t>Комплект адаптеров</t>
  </si>
  <si>
    <t>РИКС-10-70/300</t>
  </si>
  <si>
    <t>РИКС-10</t>
  </si>
  <si>
    <t>РИКС-20-70/150</t>
  </si>
  <si>
    <t>РИКС-20</t>
  </si>
  <si>
    <t>РИКС-20-150/300</t>
  </si>
  <si>
    <t>Перчатка термоусаживаемая</t>
  </si>
  <si>
    <t>3ТПИ нг-4/25 мини</t>
  </si>
  <si>
    <t>ТПИнг мини</t>
  </si>
  <si>
    <t>4ТПИ нг-4/25 мини</t>
  </si>
  <si>
    <t>5ТПИ нг-2.5/16 мини</t>
  </si>
  <si>
    <t>3ТПИнг-25/50</t>
  </si>
  <si>
    <t>ТПИнг</t>
  </si>
  <si>
    <t>3ТПИнг-70/120</t>
  </si>
  <si>
    <t>3ТПИнг-150/240</t>
  </si>
  <si>
    <t>3ТПИнг-185/400</t>
  </si>
  <si>
    <t>4ТПИнг-25/50</t>
  </si>
  <si>
    <t>4ТПИнг-70/120</t>
  </si>
  <si>
    <t>4ТПИнг-150/240</t>
  </si>
  <si>
    <t>4ТПИнг-185/400</t>
  </si>
  <si>
    <t>5ТПИнг-25/50</t>
  </si>
  <si>
    <t>5ТПИнг-70/120</t>
  </si>
  <si>
    <t>5ТПИнг-150/240</t>
  </si>
  <si>
    <t>2ТПИ-2.5/16 мини</t>
  </si>
  <si>
    <t>ТПИ мини</t>
  </si>
  <si>
    <t>3ТПИ-4/25 мини</t>
  </si>
  <si>
    <t>4ТПИ-4/25 мини</t>
  </si>
  <si>
    <t>5ТПИ-2.5/16 мини</t>
  </si>
  <si>
    <t>2ТПИ-25/50</t>
  </si>
  <si>
    <t>ТПИ</t>
  </si>
  <si>
    <t>2ТПИ-70/120</t>
  </si>
  <si>
    <t>2ТПИ-150/240</t>
  </si>
  <si>
    <t>3ТПИ-25/50</t>
  </si>
  <si>
    <t>3ТПИ-70/120</t>
  </si>
  <si>
    <t>3ТПИ-150/240</t>
  </si>
  <si>
    <t>3ТПИ-185/400</t>
  </si>
  <si>
    <t>4ТПИ-25/50</t>
  </si>
  <si>
    <t>4ТПИ-70/120</t>
  </si>
  <si>
    <t>4ТПИ-150/240</t>
  </si>
  <si>
    <t>4ТПИ-185/400</t>
  </si>
  <si>
    <t>5ТПИ-25/50</t>
  </si>
  <si>
    <t>5ТПИ-70/120</t>
  </si>
  <si>
    <t>5ТПИ-150/240</t>
  </si>
  <si>
    <t>3ТПИ-А-25/50</t>
  </si>
  <si>
    <t>ТПИ-А</t>
  </si>
  <si>
    <t>3ТПИ-А-70/120</t>
  </si>
  <si>
    <t>3ТПИ-А-150/240</t>
  </si>
  <si>
    <t>3ТПИ-А-185/400</t>
  </si>
  <si>
    <t>Пружина постоянного давления роликовая</t>
  </si>
  <si>
    <t>ППД №0</t>
  </si>
  <si>
    <t>ППД</t>
  </si>
  <si>
    <t>ППД №1</t>
  </si>
  <si>
    <t>ППД №2</t>
  </si>
  <si>
    <t>ППД №3</t>
  </si>
  <si>
    <t>ППД №4</t>
  </si>
  <si>
    <t>ППД №5</t>
  </si>
  <si>
    <t>Манжета ремонтная термоусаживаемая</t>
  </si>
  <si>
    <t>ТРМ 34/6-1200</t>
  </si>
  <si>
    <t>ТРМ</t>
  </si>
  <si>
    <t>ТРМ 43/8-1200</t>
  </si>
  <si>
    <t>ТРМ 55/12-1200</t>
  </si>
  <si>
    <t>ТРМ 75/15-1200</t>
  </si>
  <si>
    <t>ТРМ 100/25-1200</t>
  </si>
  <si>
    <t>ТРМ 135/35-1200</t>
  </si>
  <si>
    <t>ТРМ 164/42-1200</t>
  </si>
  <si>
    <t>ТРМ 200/50-1200</t>
  </si>
  <si>
    <t>ТРМ 255/80-1200</t>
  </si>
  <si>
    <t>ТРМ 34/6-600</t>
  </si>
  <si>
    <t>ТРМ 43/8-600</t>
  </si>
  <si>
    <t>ТРМ 55/12-600</t>
  </si>
  <si>
    <t>ТРМ 75/15-600</t>
  </si>
  <si>
    <t>ТРМ 100/25-600</t>
  </si>
  <si>
    <t>ТРМ 135/35-600</t>
  </si>
  <si>
    <t>ТРМ 164/42-600</t>
  </si>
  <si>
    <t>ТРМ 200/50-600</t>
  </si>
  <si>
    <t>ТРМ 255/80-600</t>
  </si>
  <si>
    <t>ТРМ-А 43/8-1200</t>
  </si>
  <si>
    <t>ТРМ-А</t>
  </si>
  <si>
    <t>ТРМ-А 75/15-1200</t>
  </si>
  <si>
    <t>ТРМ-А 100/25-1200</t>
  </si>
  <si>
    <t>ТРМ-А 135/35-1200</t>
  </si>
  <si>
    <t>ТРМ-А 200/50-1200</t>
  </si>
  <si>
    <t>ТРМ-А 43/8-600</t>
  </si>
  <si>
    <t>ТРМ-А 75/15-600</t>
  </si>
  <si>
    <t>ТРМ-А 100/25-600</t>
  </si>
  <si>
    <t>ТРМ-А 135/35-600</t>
  </si>
  <si>
    <t>ТРМ-А 200/50-600</t>
  </si>
  <si>
    <t>Провод заземления</t>
  </si>
  <si>
    <t>ПМЛ 10-400 НК</t>
  </si>
  <si>
    <t>ПМЛ</t>
  </si>
  <si>
    <t>ПМЛ 16-400 НК</t>
  </si>
  <si>
    <t>ПМЛ 25-400 НК</t>
  </si>
  <si>
    <t>ПМЛ 10-500 НК</t>
  </si>
  <si>
    <t>ПМЛ 16-500 НК</t>
  </si>
  <si>
    <t>ПМЛ 16-600 НК</t>
  </si>
  <si>
    <t>ПМЛ 16-800 НК</t>
  </si>
  <si>
    <t>ПМЛ 25-500 НК</t>
  </si>
  <si>
    <t>ПМЛ 25-600 НК</t>
  </si>
  <si>
    <t>ПМЛ 25-800 НК</t>
  </si>
  <si>
    <t>ПМЛ 10-1000</t>
  </si>
  <si>
    <t>ПМЛ 16-1000</t>
  </si>
  <si>
    <t>ПМЛ 25-1000</t>
  </si>
  <si>
    <t>ПМЛ 10-10м</t>
  </si>
  <si>
    <t>ПМЛ 16-10м</t>
  </si>
  <si>
    <t>ПМЛ 25-10м</t>
  </si>
  <si>
    <t>Лента термоусаживаемая</t>
  </si>
  <si>
    <t>ТЛК-25-0.8-5 черн (5м)</t>
  </si>
  <si>
    <t>ТЛК</t>
  </si>
  <si>
    <t>рул</t>
  </si>
  <si>
    <t>ТЛК-25-0.8-5 красн (5м)</t>
  </si>
  <si>
    <t>ТЛК-50-0.8-5 черн (5м)</t>
  </si>
  <si>
    <t>ТЛК-50-0.8-5 красн (5м)</t>
  </si>
  <si>
    <t>ТЛК-50-1.0-5 черн (5м)</t>
  </si>
  <si>
    <t>ТЛК-50-1.0-5 красн (5м)</t>
  </si>
  <si>
    <t>Клипса ответвительная с термоплавким клеем</t>
  </si>
  <si>
    <t>KT-S</t>
  </si>
  <si>
    <t>КТ</t>
  </si>
  <si>
    <t>KT-M</t>
  </si>
  <si>
    <t>KT-L</t>
  </si>
  <si>
    <t>Муфта анодная термоусаживаемая</t>
  </si>
  <si>
    <t>АТМ-1</t>
  </si>
  <si>
    <t>АТМ</t>
  </si>
  <si>
    <t>АТМ-2</t>
  </si>
  <si>
    <t>АТМ-3</t>
  </si>
  <si>
    <t>Комплект заземления</t>
  </si>
  <si>
    <t>КБМ-К-1</t>
  </si>
  <si>
    <t>КБМ-К</t>
  </si>
  <si>
    <t>КБМ-К-2</t>
  </si>
  <si>
    <t>КБМ-К-3</t>
  </si>
  <si>
    <t>КБМ-К-4</t>
  </si>
  <si>
    <t>КБМ-С-1</t>
  </si>
  <si>
    <t>КБМ-С</t>
  </si>
  <si>
    <t>КБМ-С-2</t>
  </si>
  <si>
    <t>КБМ-С-3</t>
  </si>
  <si>
    <t>КБМ-С-4</t>
  </si>
  <si>
    <t>КМПБ-1</t>
  </si>
  <si>
    <t>КМПБ</t>
  </si>
  <si>
    <t>КМПБ-2</t>
  </si>
  <si>
    <t>КМПБ-3</t>
  </si>
  <si>
    <t>КМПБ-4</t>
  </si>
  <si>
    <t>КМПБ-5</t>
  </si>
  <si>
    <t>КМПБ-6</t>
  </si>
  <si>
    <t>КМПБ-7</t>
  </si>
  <si>
    <t>КМПБ-8</t>
  </si>
  <si>
    <t>КМЛЭ-1</t>
  </si>
  <si>
    <t>КМЛЭ</t>
  </si>
  <si>
    <t>КМЛЭ-2</t>
  </si>
  <si>
    <t>КМЛЭ-3</t>
  </si>
  <si>
    <t>КМЛЭ-4</t>
  </si>
  <si>
    <t>Комплект удлинительный</t>
  </si>
  <si>
    <t>КУ №1</t>
  </si>
  <si>
    <t>КУ</t>
  </si>
  <si>
    <t>КУ №2</t>
  </si>
  <si>
    <t>КУ №3</t>
  </si>
  <si>
    <t>КУ №4</t>
  </si>
  <si>
    <t>Комплект термоусаживаемых изоляторов</t>
  </si>
  <si>
    <t>КТИ-1</t>
  </si>
  <si>
    <t>КТИ</t>
  </si>
  <si>
    <t>КТИ-2</t>
  </si>
  <si>
    <t>Комплект паяного заземления</t>
  </si>
  <si>
    <t>КЗП</t>
  </si>
  <si>
    <t>Кабельные проходы и капы</t>
  </si>
  <si>
    <t>Капа кабельная термоусаживаемая</t>
  </si>
  <si>
    <t>ОГТ-11/4</t>
  </si>
  <si>
    <t>ОГТ-20/8</t>
  </si>
  <si>
    <t>ОГТ-40/15</t>
  </si>
  <si>
    <t>ОГТ-55/25</t>
  </si>
  <si>
    <t>ОГТ-75/30</t>
  </si>
  <si>
    <t>ОГТ-90/40</t>
  </si>
  <si>
    <t>ОГТ-100/40</t>
  </si>
  <si>
    <t>ОГТ-120/55</t>
  </si>
  <si>
    <t>Уплотнитель кабельных проходов термоусаживаемый</t>
  </si>
  <si>
    <t>УКПт-75/22</t>
  </si>
  <si>
    <t>УКПт</t>
  </si>
  <si>
    <t>УКПт-90/22</t>
  </si>
  <si>
    <t>УКПт-100/22</t>
  </si>
  <si>
    <t>УКПт-115/28</t>
  </si>
  <si>
    <t>УКПт-120/28</t>
  </si>
  <si>
    <t>УКПт-130/28</t>
  </si>
  <si>
    <t>УКПт-140/36</t>
  </si>
  <si>
    <t>УКПт-175/50</t>
  </si>
  <si>
    <t>УКПт-180/50</t>
  </si>
  <si>
    <t>УКПт-200/55</t>
  </si>
  <si>
    <t>УКПт-225/60</t>
  </si>
  <si>
    <t>УКПт-235/65</t>
  </si>
  <si>
    <t>УКПт-Р-75/15</t>
  </si>
  <si>
    <t>УКПт-Р</t>
  </si>
  <si>
    <t>УКПт-Р-100/25</t>
  </si>
  <si>
    <t>УКПт-Р-135/35</t>
  </si>
  <si>
    <t>УКПт-Р-164/42</t>
  </si>
  <si>
    <t>УКПт-Р-200/50</t>
  </si>
  <si>
    <t>УКПтО-75/22</t>
  </si>
  <si>
    <t>УКПтО</t>
  </si>
  <si>
    <t>УКПтО-90/22</t>
  </si>
  <si>
    <t>УКПтО-100/22</t>
  </si>
  <si>
    <t>термоусаживаемый уплотнитель кабельных проходов одиночной прокладки</t>
  </si>
  <si>
    <t>УКПтО-115/28</t>
  </si>
  <si>
    <t>УКПтО-120/28</t>
  </si>
  <si>
    <t>УКПтО-130/28</t>
  </si>
  <si>
    <t>УКПтО-140/36</t>
  </si>
  <si>
    <t>УКПтО-175/50</t>
  </si>
  <si>
    <t>УКПтО-180/50</t>
  </si>
  <si>
    <t>УКПтО-200/55</t>
  </si>
  <si>
    <t>УКПтО-225/60</t>
  </si>
  <si>
    <t>УКПтО-235/65</t>
  </si>
  <si>
    <t>Термоусадочные трубки</t>
  </si>
  <si>
    <t>Термоусадочные трубки общего назначения</t>
  </si>
  <si>
    <t>Трубка термоусадочная</t>
  </si>
  <si>
    <t>ТУТнг-LS-4/2 красн</t>
  </si>
  <si>
    <t>ТУТ нг-LS (цветная)</t>
  </si>
  <si>
    <t>м</t>
  </si>
  <si>
    <t>ТУТнг-LS-6/3 красн</t>
  </si>
  <si>
    <t>ТУТнг-LS-8/4 красн</t>
  </si>
  <si>
    <t>ТУТнг-LS-10/5 красн</t>
  </si>
  <si>
    <t>ТУТнг-LS-12/6 красн</t>
  </si>
  <si>
    <t>ТУТнг-LS-16/8 красн</t>
  </si>
  <si>
    <t>ТУТнг-LS-20/10 красн</t>
  </si>
  <si>
    <t>ТУТнг-LS-25/12,5 красн</t>
  </si>
  <si>
    <t>ТУТнг-LS-30/15 красн</t>
  </si>
  <si>
    <t>ТУТнг-LS-40/20 красн</t>
  </si>
  <si>
    <t>ТУТнг-LS-50/25 красн</t>
  </si>
  <si>
    <t>ТУТнг-LS-60/30 красн</t>
  </si>
  <si>
    <t>ТУТнг-LS-4/2 син</t>
  </si>
  <si>
    <t>ТУТнг-LS-6/3 син</t>
  </si>
  <si>
    <t>ТУТнг-LS-8/4 син</t>
  </si>
  <si>
    <t>ТУТнг-LS-10/5 син</t>
  </si>
  <si>
    <t>ТУТнг-LS-12/6 син</t>
  </si>
  <si>
    <t>ТУТнг-LS-16/8 син</t>
  </si>
  <si>
    <t>ТУТнг-LS-20/10 син</t>
  </si>
  <si>
    <t>ТУТнг-LS-25/12,5 син</t>
  </si>
  <si>
    <t>ТУТнг-LS-30/15 син</t>
  </si>
  <si>
    <t>ТУТнг-LS-40/20 син</t>
  </si>
  <si>
    <t>ТУТнг-LS-50/25 син</t>
  </si>
  <si>
    <t>ТУТнг-LS-60/30 син</t>
  </si>
  <si>
    <t>ТУТнг-LS-4/2 зел</t>
  </si>
  <si>
    <t>ТУТнг-LS-6/3 зел</t>
  </si>
  <si>
    <t>ТУТнг-LS-8/4 зел</t>
  </si>
  <si>
    <t>ТУТнг-LS-10/5 зел</t>
  </si>
  <si>
    <t>ТУТнг-LS-12/6 зел</t>
  </si>
  <si>
    <t>ТУТнг-LS-16/8 зел</t>
  </si>
  <si>
    <t>ТУТнг-LS-20/10 зел</t>
  </si>
  <si>
    <t>ТУТнг-LS-25/12,5 зел</t>
  </si>
  <si>
    <t>ТУТнг-LS-30/15 зел</t>
  </si>
  <si>
    <t>ТУТнг-LS-40/20 зел</t>
  </si>
  <si>
    <t>ТУТнг-LS-50/25 зел</t>
  </si>
  <si>
    <t>ТУТнг-LS-60/30 зел</t>
  </si>
  <si>
    <t>ТУТнг-LS-4/2 желт</t>
  </si>
  <si>
    <t>ТУТнг-LS-6/3 желт</t>
  </si>
  <si>
    <t>ТУТнг-LS-8/4 желт</t>
  </si>
  <si>
    <t>ТУТнг-LS-10/5 желт</t>
  </si>
  <si>
    <t>ТУТнг-LS-12/6 желт</t>
  </si>
  <si>
    <t>ТУТнг-LS-16/8 желт</t>
  </si>
  <si>
    <t>ТУТнг-LS-20/10 желт</t>
  </si>
  <si>
    <t>ТУТнг-LS-25/12,5 желт</t>
  </si>
  <si>
    <t>ТУТнг-LS-30/15 желт</t>
  </si>
  <si>
    <t>ТУТнг-LS-40/20 желт</t>
  </si>
  <si>
    <t>ТУТнг-LS-50/25 желт</t>
  </si>
  <si>
    <t>ТУТнг-LS-60/30 желт</t>
  </si>
  <si>
    <t>ТУТнг-LS-4/2 бел</t>
  </si>
  <si>
    <t>ТУТнг-LS-6/3 бел</t>
  </si>
  <si>
    <t>ТУТнг-LS-8/4 бел</t>
  </si>
  <si>
    <t>ТУТнг-LS-10/5 бел</t>
  </si>
  <si>
    <t>ТУТнг-LS-12/6 бел</t>
  </si>
  <si>
    <t>ТУТнг-LS-16/8 бел</t>
  </si>
  <si>
    <t>ТУТнг-LS-20/10 бел</t>
  </si>
  <si>
    <t>ТУТнг-LS-25/12,5 бел</t>
  </si>
  <si>
    <t>ТУТнг-LS-30/15 бел</t>
  </si>
  <si>
    <t>ТУТнг-LS-40/20 бел</t>
  </si>
  <si>
    <t>ТУТнг-LS-50/25 бел</t>
  </si>
  <si>
    <t>ТУТнг-LS-60/30 бел</t>
  </si>
  <si>
    <t>ТУТ(3:1) нг-LS - 3/1 черн</t>
  </si>
  <si>
    <t>ТУТ нг-LS (3:1)</t>
  </si>
  <si>
    <t>ТУТ(3:1) нг-LS - 4.8/1.6 черн</t>
  </si>
  <si>
    <t>ТУТ(3:1) нг-LS - 6/2 черн</t>
  </si>
  <si>
    <t>ТУТ(3:1) нг-LS - 9/3 черн</t>
  </si>
  <si>
    <t>ТУТ(3:1) нг-LS - 12/4 черн</t>
  </si>
  <si>
    <t>ТУТ(3:1) нг-LS - 15/5 черн</t>
  </si>
  <si>
    <t>ТУТ(3:1) нг-LS - 20/6 черн</t>
  </si>
  <si>
    <t>ТУТ(3:1) нг-LS - 30/10 черн</t>
  </si>
  <si>
    <t>ТУТ(3:1) нг-LS - 40/13 черн</t>
  </si>
  <si>
    <t>ТУТ(3:1) нг-LS - 50/17 черн</t>
  </si>
  <si>
    <t>ТУТ(3:1) нг-LS-60/20 черн</t>
  </si>
  <si>
    <t>ТУТ(3:1) нг-LS-80/26 черн</t>
  </si>
  <si>
    <t>ТНТ-2/1 черн</t>
  </si>
  <si>
    <t>ТНТ</t>
  </si>
  <si>
    <t>ТНТ-3/1,5 черн</t>
  </si>
  <si>
    <t>ТНТ-4/2 черн</t>
  </si>
  <si>
    <t>ТНТ-6/3 черн</t>
  </si>
  <si>
    <t>ТНТ-8/4 черн</t>
  </si>
  <si>
    <t>ТНТ-10/5 черн</t>
  </si>
  <si>
    <t>ТНТ-12/6 черн</t>
  </si>
  <si>
    <t>ТНТ-16/8 черн</t>
  </si>
  <si>
    <t>ТНТ-20/10 черн</t>
  </si>
  <si>
    <t>ТНТ-25/12.5 черн</t>
  </si>
  <si>
    <t>ТНТ-30/15 черн</t>
  </si>
  <si>
    <t>ТНТ-40/20 черн</t>
  </si>
  <si>
    <t>ТНТ-50/25 черн</t>
  </si>
  <si>
    <t>ТНТ-60/30 черн</t>
  </si>
  <si>
    <t>ТНТ-2/1 желт</t>
  </si>
  <si>
    <t>ТНТ-2/1 зел</t>
  </si>
  <si>
    <t>ТНТ-2/1 красн</t>
  </si>
  <si>
    <t>ТНТ-2/1 син</t>
  </si>
  <si>
    <t>ТНТ-3/1,5 желт</t>
  </si>
  <si>
    <t>ТНТ-3/1,5 зел</t>
  </si>
  <si>
    <t>ТНТ-3/1,5 красн</t>
  </si>
  <si>
    <t>ТНТ-3/1,5 син</t>
  </si>
  <si>
    <t>ТНТ-4/2 желт</t>
  </si>
  <si>
    <t>ТНТ-4/2 зел</t>
  </si>
  <si>
    <t>ТНТ-4/2 красн</t>
  </si>
  <si>
    <t>ТНТ-4/2 син</t>
  </si>
  <si>
    <t>ТНТ-4/2 бел</t>
  </si>
  <si>
    <t>ТНТ-6/3 желт</t>
  </si>
  <si>
    <t>ТНТ-6/3 зел</t>
  </si>
  <si>
    <t>ТНТ-6/3 красн</t>
  </si>
  <si>
    <t>ТНТ-6/3 син</t>
  </si>
  <si>
    <t>ТНТ-6/3 бел</t>
  </si>
  <si>
    <t>ТНТ-8/4 желт</t>
  </si>
  <si>
    <t>ТНТ-8/4 зел</t>
  </si>
  <si>
    <t>ТНТ-8/4 красн</t>
  </si>
  <si>
    <t>ТНТ-8/4 син</t>
  </si>
  <si>
    <t>ТНТ-8/4 бел</t>
  </si>
  <si>
    <t>ТНТ-10/5 желт</t>
  </si>
  <si>
    <t>ТНТ-10/5 зел</t>
  </si>
  <si>
    <t>ТНТ-10/5 красн</t>
  </si>
  <si>
    <t>ТНТ-10/5 син</t>
  </si>
  <si>
    <t>ТНТ-10/5 бел</t>
  </si>
  <si>
    <t>ТНТ-12/6 желт</t>
  </si>
  <si>
    <t>ТНТ-12/6 зел</t>
  </si>
  <si>
    <t>ТНТ-12/6 красн</t>
  </si>
  <si>
    <t>ТНТ-12/6 син</t>
  </si>
  <si>
    <t>ТНТ-12/6 бел</t>
  </si>
  <si>
    <t>ТНТ-16/8 желт</t>
  </si>
  <si>
    <t>ТНТ-16/8 зел</t>
  </si>
  <si>
    <t>ТНТ-16/8 красн</t>
  </si>
  <si>
    <t>ТНТ-16/8 син</t>
  </si>
  <si>
    <t>ТНТ-16/8 бел</t>
  </si>
  <si>
    <t>ТНТ-20/10 желт</t>
  </si>
  <si>
    <t>ТНТ-20/10 зел</t>
  </si>
  <si>
    <t>ТНТ-20/10 красн</t>
  </si>
  <si>
    <t>ТНТ-20/10 син</t>
  </si>
  <si>
    <t>ТНТ-20/10 бел</t>
  </si>
  <si>
    <t>ТНТ-25/12.5 желт</t>
  </si>
  <si>
    <t>ТНТ-25/12.5 зел</t>
  </si>
  <si>
    <t>ТНТ-25/12.5 красн</t>
  </si>
  <si>
    <t>ТНТ-25/12.5 син</t>
  </si>
  <si>
    <t>ТНТ-30/15 желт</t>
  </si>
  <si>
    <t>ТНТ-30/15 зел</t>
  </si>
  <si>
    <t>ТНТ-30/15 красн</t>
  </si>
  <si>
    <t>ТНТ-30/15 син</t>
  </si>
  <si>
    <t>ТНТ-40/20 желт</t>
  </si>
  <si>
    <t>ТНТ-40/20 зел</t>
  </si>
  <si>
    <t>ТНТ-40/20 красн</t>
  </si>
  <si>
    <t>ТНТ-40/20 син</t>
  </si>
  <si>
    <t>ТНТ-50/25 желт</t>
  </si>
  <si>
    <t>ТНТ-50/25 зел</t>
  </si>
  <si>
    <t>ТНТ-50/25 красн</t>
  </si>
  <si>
    <t>ТНТ-50/25 син</t>
  </si>
  <si>
    <t>ТНТ-60/30 желт</t>
  </si>
  <si>
    <t>ТНТ-60/30 зел</t>
  </si>
  <si>
    <t>ТНТ-60/30 красн</t>
  </si>
  <si>
    <t>ТНТ-60/30 син</t>
  </si>
  <si>
    <t>ТНТ нг-LS-2/1 ж/з</t>
  </si>
  <si>
    <t>ТНТ нг-LS-ж/з</t>
  </si>
  <si>
    <t>ТНТ нг-LS-3/1.5 ж/з</t>
  </si>
  <si>
    <t>ТНТ нг-LS-4/2 ж/з</t>
  </si>
  <si>
    <t>ТНТ нг-LS-6/3 ж/з</t>
  </si>
  <si>
    <t>ТНТ нг-LS-8/4 ж/з</t>
  </si>
  <si>
    <t>ТНТ нг-LS-10/5 ж/з</t>
  </si>
  <si>
    <t>ТНТ нг-LS-12/6 ж/з</t>
  </si>
  <si>
    <t>ТНТ нг-LS-16/8 ж/з</t>
  </si>
  <si>
    <t>ТНТ нг-LS-20/10 ж/з</t>
  </si>
  <si>
    <t>ТНТ нг-LS-25/12.5 ж/з</t>
  </si>
  <si>
    <t>ТНТ нг-LS-30/15 ж/з</t>
  </si>
  <si>
    <t>ТНТ нг-LS-40/20 ж/з</t>
  </si>
  <si>
    <t>ТНТ нг-LS-50/25 ж/з</t>
  </si>
  <si>
    <t>ТНТ нг-LS-60/30 ж/з</t>
  </si>
  <si>
    <t>ТУТнг-LS-2/1 черн</t>
  </si>
  <si>
    <t>ТУТнг-LS</t>
  </si>
  <si>
    <t>ТУТнг-LS-3/1.5 черн</t>
  </si>
  <si>
    <t>ТУТнг-LS-4/2 черн</t>
  </si>
  <si>
    <t>ТУТнг-LS-5/2.5 черн</t>
  </si>
  <si>
    <t>ТУТнг-LS-6/3 черн</t>
  </si>
  <si>
    <t>ТУТнг-LS-8/4 черн</t>
  </si>
  <si>
    <t>ТУТнг-LS-10/5 черн</t>
  </si>
  <si>
    <t>ТУТнг-LS-12/6 черн</t>
  </si>
  <si>
    <t>ТУТнг-LS-14/7 черн</t>
  </si>
  <si>
    <t>ТУТнг-LS-16/8 черн</t>
  </si>
  <si>
    <t>ТУТнг-LS-20/10 черн</t>
  </si>
  <si>
    <t>ТУТнг-LS-25/12.5 черн</t>
  </si>
  <si>
    <t>ТУТнг-LS-30/15 черн</t>
  </si>
  <si>
    <t>ТУТнг-LS-40/20 черн</t>
  </si>
  <si>
    <t>ТУТнг-LS-50/25 черн</t>
  </si>
  <si>
    <t>ТУТнг-LS-60/30 черн</t>
  </si>
  <si>
    <t>ТУТнг-LS-70/35 черн</t>
  </si>
  <si>
    <t>ТУТнг-LS-80/40 черн</t>
  </si>
  <si>
    <t>ТУТнг-LS-100/50 черн</t>
  </si>
  <si>
    <t>ТУТнг-LS-120/60 черн</t>
  </si>
  <si>
    <t>ТУТнг-LS-150/75 черн</t>
  </si>
  <si>
    <t>ТУТнг-LS-180/90 черн</t>
  </si>
  <si>
    <t>ТУТнг-LS-210/105 черн</t>
  </si>
  <si>
    <t>ТУТнг-LS-2/1 ж/з</t>
  </si>
  <si>
    <t>ТУТнг-LS-ж/з</t>
  </si>
  <si>
    <t>ТУТнг-LS-3/1,5 ж/з</t>
  </si>
  <si>
    <t>ТУТнг-LS-4/2 ж/з</t>
  </si>
  <si>
    <t>ТУТнг-LS-6/3 ж/з</t>
  </si>
  <si>
    <t>ТУТнг-LS-8/4 ж/з</t>
  </si>
  <si>
    <t>ТУТнг-LS-10/5 ж/з</t>
  </si>
  <si>
    <t>ТУТнг-LS-12/6 ж/з</t>
  </si>
  <si>
    <t>ТУТнг-LS-16/8 ж/з</t>
  </si>
  <si>
    <t>ТУТнг-LS-20/10 ж/з</t>
  </si>
  <si>
    <t>ТУТнг-LS-25/12,5 ж/з</t>
  </si>
  <si>
    <t>ТУТнг-LS-30/15 ж/з</t>
  </si>
  <si>
    <t>ТУТнг-LS-40/20 ж/з</t>
  </si>
  <si>
    <t>ТУТнг-LS-50/25 ж/з</t>
  </si>
  <si>
    <t>ТУТнг-LS-60/30 ж/з</t>
  </si>
  <si>
    <t>ТУТ (HF)-2/1 черн</t>
  </si>
  <si>
    <t>ТУТ (HF)</t>
  </si>
  <si>
    <t>ТУТ (HF)-3/1,5 черн</t>
  </si>
  <si>
    <t>ТУТ (HF)-4/2 черн</t>
  </si>
  <si>
    <t>ТУТ (HF)-6/3 черн</t>
  </si>
  <si>
    <t>ТУТ (HF)-8/4 черн</t>
  </si>
  <si>
    <t>ТУТ (HF)-10/5 черн</t>
  </si>
  <si>
    <t>ТУТ (HF)-12/6 черн</t>
  </si>
  <si>
    <t>ТУТ (HF)-16/8 черн</t>
  </si>
  <si>
    <t>ТУТ (HF)-20/10 черн</t>
  </si>
  <si>
    <t>ТУТ (HF)-25/12,5 черн</t>
  </si>
  <si>
    <t>ТУТ (HF)-30/15 черн</t>
  </si>
  <si>
    <t>ТУТ (HF)-40/20 черн</t>
  </si>
  <si>
    <t>ТУТ (HF)-50/25 черн</t>
  </si>
  <si>
    <t>ТУТ (HF)-60/30 черн</t>
  </si>
  <si>
    <t>ТУТ (HF)-3/1.5 бел</t>
  </si>
  <si>
    <t>ТУТ (HF) (цветная)</t>
  </si>
  <si>
    <t>ТУТ (HF)-4/2 бел</t>
  </si>
  <si>
    <t>ТУТ (HF)-6/3 бел</t>
  </si>
  <si>
    <t>ТУТ (HF)-8/4 бел</t>
  </si>
  <si>
    <t>ТУТ (HF)-10/5 бел</t>
  </si>
  <si>
    <t>ТУТ (HF)-12/6 бел</t>
  </si>
  <si>
    <t>ТУТ (HF)-16/8 бел</t>
  </si>
  <si>
    <t>ТУТ (HF)-20/10 бел</t>
  </si>
  <si>
    <t>ТУТ (HF)-25/12.5 бел</t>
  </si>
  <si>
    <t>ТУТ (HF)-30/15 бел</t>
  </si>
  <si>
    <t>ТУТ (HF)-40/20 бел</t>
  </si>
  <si>
    <t>ТУТ (HF)-50/25 бел</t>
  </si>
  <si>
    <t>ТУТ (HF)-60/30 бел</t>
  </si>
  <si>
    <t>ТУТ (HF)-2/1 желт</t>
  </si>
  <si>
    <t>ТУТ (HF)-3/1.5 желт</t>
  </si>
  <si>
    <t>ТУТ (HF)-4/2 желт</t>
  </si>
  <si>
    <t>ТУТ (HF)-6/3 желт</t>
  </si>
  <si>
    <t>ТУТ (HF)-8/4 желт</t>
  </si>
  <si>
    <t>ТУТ (HF)-10/5 желт</t>
  </si>
  <si>
    <t>ТУТ (HF)-12/6 желт</t>
  </si>
  <si>
    <t>ТУТ (HF)-16/8 желт</t>
  </si>
  <si>
    <t>ТУТ (HF)-20/10 желт</t>
  </si>
  <si>
    <t>ТУТ (HF)-25/12.5 желт</t>
  </si>
  <si>
    <t>ТУТ (HF)-30/15 желт</t>
  </si>
  <si>
    <t>ТУТ (HF)-40/20 желт</t>
  </si>
  <si>
    <t>ТУТ (HF)-50/25 желт</t>
  </si>
  <si>
    <t>ТУТ (HF)-60/30 желт</t>
  </si>
  <si>
    <t>ТУТ (HF)-2/1 зел</t>
  </si>
  <si>
    <t>ТУТ (HF)-3/1.5 зел</t>
  </si>
  <si>
    <t>ТУТ (HF)-4/2 зел</t>
  </si>
  <si>
    <t>ТУТ (HF)-6/3 зел</t>
  </si>
  <si>
    <t>ТУТ (HF)-8/4 зел</t>
  </si>
  <si>
    <t>ТУТ (HF)-10/5 зел</t>
  </si>
  <si>
    <t>ТУТ (HF)-12/6 зел</t>
  </si>
  <si>
    <t>ТУТ (HF)-16/8 зел</t>
  </si>
  <si>
    <t>ТУТ (HF)-20/10 зел</t>
  </si>
  <si>
    <t>ТУТ (HF)-25/12.5 зел</t>
  </si>
  <si>
    <t>ТУТ (HF)-30/15 зел</t>
  </si>
  <si>
    <t>ТУТ (HF)-40/20 зел</t>
  </si>
  <si>
    <t>ТУТ (HF)-50/25 зел</t>
  </si>
  <si>
    <t>ТУТ (HF)-60/30 зел</t>
  </si>
  <si>
    <t>ТУТ (HF)-2/1 красн</t>
  </si>
  <si>
    <t>ТУТ (HF)-3/1.5 красн</t>
  </si>
  <si>
    <t>ТУТ (HF)-4/2 красн</t>
  </si>
  <si>
    <t>ТУТ (HF)-6/3 красн</t>
  </si>
  <si>
    <t>ТУТ (HF)-8/4 красн</t>
  </si>
  <si>
    <t>ТУТ (HF)-10/5 красн</t>
  </si>
  <si>
    <t>ТУТ (HF)-12/6 красн</t>
  </si>
  <si>
    <t>ТУТ (HF)-16/8 красн</t>
  </si>
  <si>
    <t>ТУТ (HF)-20/10 красн</t>
  </si>
  <si>
    <t>ТУТ (HF)-25/12.5 красн</t>
  </si>
  <si>
    <t>ТУТ (HF)-30/15 красн</t>
  </si>
  <si>
    <t>ТУТ (HF)-40/20 красн</t>
  </si>
  <si>
    <t>ТУТ (HF)-50/25 красн</t>
  </si>
  <si>
    <t>ТУТ (HF)-60/30 красн</t>
  </si>
  <si>
    <t>ТУТ (HF)-2/1 син</t>
  </si>
  <si>
    <t>ТУТ (HF)-3/1.5 син</t>
  </si>
  <si>
    <t>ТУТ (HF)-4/2 син</t>
  </si>
  <si>
    <t>ТУТ (HF)-6/3 син</t>
  </si>
  <si>
    <t>ТУТ (HF)-8/4 син</t>
  </si>
  <si>
    <t>ТУТ (HF)-10/5 син</t>
  </si>
  <si>
    <t>ТУТ (HF)-12/6 син</t>
  </si>
  <si>
    <t>ТУТ (HF)-16/8 син</t>
  </si>
  <si>
    <t>ТУТ (HF)-20/10 син</t>
  </si>
  <si>
    <t>ТУТ (HF)-25/12.5 син</t>
  </si>
  <si>
    <t>ТУТ (HF)-30/15 син</t>
  </si>
  <si>
    <t>ТУТ (HF)-40/20 син</t>
  </si>
  <si>
    <t>ТУТ (HF)-50/25 син</t>
  </si>
  <si>
    <t>ТУТ (HF)-60/30 син</t>
  </si>
  <si>
    <t>ТУТ (HF)-3/1,5 прозр</t>
  </si>
  <si>
    <t>ТУТ (HF)-4/2 прозр</t>
  </si>
  <si>
    <t>ТУТ (HF)-12/6 прозр</t>
  </si>
  <si>
    <t>ТУТ (HF)-25/12,5 прозр</t>
  </si>
  <si>
    <t>ТУТ (HF)-30/15 прозр</t>
  </si>
  <si>
    <t>Т-BOX-4/2 черн (10м)</t>
  </si>
  <si>
    <t>Т-бокс, черн</t>
  </si>
  <si>
    <t>Т-BOX-8/4 черн (10м)</t>
  </si>
  <si>
    <t>Т-BOX-10/5 черн (10м)</t>
  </si>
  <si>
    <t>Т-BOX-20/10 черн (10м)</t>
  </si>
  <si>
    <t>Т-BOX-4/2 бел (10м)</t>
  </si>
  <si>
    <t>Т-бокс (цветной)</t>
  </si>
  <si>
    <t>Т-BOX-16/8 бел (10м)</t>
  </si>
  <si>
    <t>Т-BOX-4/2 красн (10м)</t>
  </si>
  <si>
    <t>Т-BOX-8/4 красн (10м)</t>
  </si>
  <si>
    <t>Т-BOX-12/6 красн (10м)</t>
  </si>
  <si>
    <t>Т-BOX-4/2 желт (10м)</t>
  </si>
  <si>
    <t>Т-BOX-8/4 желт (10м)</t>
  </si>
  <si>
    <t>Т-BOX-16/8 желт (10м)</t>
  </si>
  <si>
    <t>Т-BOX-20/10 желт (10м)</t>
  </si>
  <si>
    <t>Т-BOX-8/4 син (10м)</t>
  </si>
  <si>
    <t>Т-BOX-10/5 син (10м)</t>
  </si>
  <si>
    <t>Т-BOX-16/8 син (10м)</t>
  </si>
  <si>
    <t>Т-BOX-20/10 син (10м)</t>
  </si>
  <si>
    <t>Т-BOX-4/2 зел (10м)</t>
  </si>
  <si>
    <t>Т-BOX-6/3 зел (10м)</t>
  </si>
  <si>
    <t>Т-BOX-8/4 зел (10м)</t>
  </si>
  <si>
    <t>Т-BOX-12/6 зел (10м)</t>
  </si>
  <si>
    <t>Т-BOX-20/10 зел (10м)</t>
  </si>
  <si>
    <t>Т-BOX-6/3 ж/з (10м)</t>
  </si>
  <si>
    <t>Т-бокс (желто-зеленый)</t>
  </si>
  <si>
    <t>Т-BOX-8/4 ж/з (10м)</t>
  </si>
  <si>
    <t>Т-BOX-10/5 ж/з (10м)</t>
  </si>
  <si>
    <t>Т-BOX-20/10 ж/з (10м)</t>
  </si>
  <si>
    <t>Клеевые трубки</t>
  </si>
  <si>
    <t>Трубка термоусадочная клеевая</t>
  </si>
  <si>
    <t>ТТК(2:1)-3/1.5 черн</t>
  </si>
  <si>
    <t>ТТК (2:1) черная</t>
  </si>
  <si>
    <t>ТТК(2:1)-4.8/2.4 черн</t>
  </si>
  <si>
    <t>ТТК(2:1)-6/3 черн</t>
  </si>
  <si>
    <t>ТТК(2:1)-9/4.5 черн</t>
  </si>
  <si>
    <t>ТТК(2:1)-12/6 черн</t>
  </si>
  <si>
    <t>ТТК(2:1)-20/10 черн</t>
  </si>
  <si>
    <t>ТТК(2:1)-25/12.5 черн</t>
  </si>
  <si>
    <t>ТТК(2:1)-30/15 черн</t>
  </si>
  <si>
    <t>ТТК(2:1)-40/19 черн</t>
  </si>
  <si>
    <t>ТТК(2:1)-50/25 черн</t>
  </si>
  <si>
    <t>ТТК(2:1)-60/30 черн</t>
  </si>
  <si>
    <t>ТТК(3:1)-3/1 черн</t>
  </si>
  <si>
    <t>ТТК (3:1) черная</t>
  </si>
  <si>
    <t>ТТК(3:1)-4.8/1.6 черн</t>
  </si>
  <si>
    <t>ТТК(3:1)-6/2 черн</t>
  </si>
  <si>
    <t>ТТК(3:1)-9/3 черн</t>
  </si>
  <si>
    <t>ТТК(3:1)-12/4 черн</t>
  </si>
  <si>
    <t>ТТК(3:1)-15/5 черн</t>
  </si>
  <si>
    <t>ТТК(3:1)-20/6 черн</t>
  </si>
  <si>
    <t>ТТК(3:1)-25/8 черн</t>
  </si>
  <si>
    <t>ТТК(3:1)-30/10 черн</t>
  </si>
  <si>
    <t>ТТК(3:1)-40/13 черн</t>
  </si>
  <si>
    <t>ТТК(3:1)-50/17 черн</t>
  </si>
  <si>
    <t>ТТК(3:1)-60/20 черн</t>
  </si>
  <si>
    <t>ТТК(3:1)-70/23 черн</t>
  </si>
  <si>
    <t>ТТК(3:1)-90/30 черн</t>
  </si>
  <si>
    <t>ТТК(3:1)-120/40 черн</t>
  </si>
  <si>
    <t>ТТК-(3:1)-3/1 черная (в бухте)</t>
  </si>
  <si>
    <t>ТТК (3:1) черная (в бухте)</t>
  </si>
  <si>
    <t>ТТК-(3:1)-4.8/1.6 черная (в бухте)</t>
  </si>
  <si>
    <t>ТТК-(3:1)-6/2 черная (в бухте)</t>
  </si>
  <si>
    <t>ТТК-(3:1)-9/3 черная (в бухте)</t>
  </si>
  <si>
    <t>ТТК-(3:1)-12/4 черная (в бухте)</t>
  </si>
  <si>
    <t>ТТК-(3:1)-20/6 черная (в бухте)</t>
  </si>
  <si>
    <t>ТТК-(3:1)-25/8 черная (в бухте)</t>
  </si>
  <si>
    <t>ТТК-(3:1)-30/10 черная (в бухте)</t>
  </si>
  <si>
    <t>ТТК-(3:1)-40/13 черная (в бухте)</t>
  </si>
  <si>
    <t>ТТК-(3:1)-50/17 черная (в бухте)</t>
  </si>
  <si>
    <t>ТТК "Flex" (3:1)-4.8/1.6 черн</t>
  </si>
  <si>
    <t>ТТК «Flex» (3:1) черная</t>
  </si>
  <si>
    <t>ТТК "Flex" (3:1)-6/2 черн</t>
  </si>
  <si>
    <t>ТТК "Flex" (3:1)-9/3 черн</t>
  </si>
  <si>
    <t>ТТК "Flex" (3:1)-12/4 черн</t>
  </si>
  <si>
    <t>ТТК "Flex" (3:1)-15/5 черн</t>
  </si>
  <si>
    <t>ТТК "Flex" (3:1)-20/6 черн</t>
  </si>
  <si>
    <t>ТТК "Flex" (3:1)-25/8 черн</t>
  </si>
  <si>
    <t>ТТК "Flex" (3:1)-30/10 черн</t>
  </si>
  <si>
    <t>ТТК "Flex" (3:1)-40/13 черн</t>
  </si>
  <si>
    <t>ТТК "Flex" (3:1)-50/17 черн</t>
  </si>
  <si>
    <t>ТТК2(3:1)-4,8/1,6</t>
  </si>
  <si>
    <t>ТТК2(3:1) черная</t>
  </si>
  <si>
    <t>ТТК2(3:1)-6/2</t>
  </si>
  <si>
    <t>ТТК2(3:1)-9/3</t>
  </si>
  <si>
    <t>ТТК2(3:1)-12/4</t>
  </si>
  <si>
    <t>ТТК2(3:1)-20/6</t>
  </si>
  <si>
    <t>ТТК2(3:1)-25/8</t>
  </si>
  <si>
    <t>ТТК2(3:1)-30/10</t>
  </si>
  <si>
    <t>ТТК2(3:1)-40/13</t>
  </si>
  <si>
    <t>ТТК2(3:1)-50/17</t>
  </si>
  <si>
    <t>ТТК(3:1)-3/1 прозр</t>
  </si>
  <si>
    <t>ТТК (3:1) прозрачная</t>
  </si>
  <si>
    <t>ТТК(3:1)-4.8/1.6 прозр</t>
  </si>
  <si>
    <t>ТТК(3:1)-6/2 прозр</t>
  </si>
  <si>
    <t>ТТК(3:1)-9/3 прозр</t>
  </si>
  <si>
    <t>ТТК(3:1)-12/4 прозр</t>
  </si>
  <si>
    <t>ТТК(3:1)-20/6 прозр</t>
  </si>
  <si>
    <t>ТТК(3:1)-25/8 прозр</t>
  </si>
  <si>
    <t>ТТК(3:1)-30/10 прозр</t>
  </si>
  <si>
    <t>ТТК(3:1)-40/13 прозр</t>
  </si>
  <si>
    <t>ТТК(3:1)-50/17 прозр</t>
  </si>
  <si>
    <t>ТТК(3:1)-3/1 красн</t>
  </si>
  <si>
    <t>ТТК (3:1) красная</t>
  </si>
  <si>
    <t>ТТК(3:1)-4.8/1.6 красн</t>
  </si>
  <si>
    <t>ТТК(3:1)-6/2 красн</t>
  </si>
  <si>
    <t>ТТК(3:1)-9/3 красн</t>
  </si>
  <si>
    <t>ТТК(3:1)-12/4 красн</t>
  </si>
  <si>
    <t>ТТК(3:1)-20/6 красн</t>
  </si>
  <si>
    <t>ТТК(3:1)-25/8 красн</t>
  </si>
  <si>
    <t>ТТК(3:1)-30/10 красн</t>
  </si>
  <si>
    <t>ТТК(3:1)-40/13 красн</t>
  </si>
  <si>
    <t>ТТК(3:1)-50/17 красн</t>
  </si>
  <si>
    <t>ТТК(3:1)-3/1 бел</t>
  </si>
  <si>
    <t>ТТК (3:1) белая</t>
  </si>
  <si>
    <t>ТТК(3:1)-4.8/1.6 бел</t>
  </si>
  <si>
    <t>ТТК(3:1)-6/2 бел</t>
  </si>
  <si>
    <t>ТТК(3:1)-9/3 бел</t>
  </si>
  <si>
    <t>ТТК(3:1)-12/4 бел</t>
  </si>
  <si>
    <t>ТТК(3:1)-20/6 бел</t>
  </si>
  <si>
    <t>ТТК(3:1)-25/8 бел</t>
  </si>
  <si>
    <t>ТТК(3:1)-30/10 бел</t>
  </si>
  <si>
    <t>ТТК(3:1)-40/13 бел</t>
  </si>
  <si>
    <t>ТТК(3:1)-50/17 бел</t>
  </si>
  <si>
    <t>ТТК(3:1)-3/1 зел</t>
  </si>
  <si>
    <t>ТТК (3:1) зеленая</t>
  </si>
  <si>
    <t>ТТК(3:1)-4.8/1.6 зел</t>
  </si>
  <si>
    <t>ТТК(3:1)-6/2 зел</t>
  </si>
  <si>
    <t>ТТК(3:1)-9/3 зел</t>
  </si>
  <si>
    <t>ТТК(3:1)-12/4 зел</t>
  </si>
  <si>
    <t>ТТК(3:1)-20/6 зел</t>
  </si>
  <si>
    <t>ТТК(3:1)-25/8 зел</t>
  </si>
  <si>
    <t>ТТК(3:1)-30/10 зел</t>
  </si>
  <si>
    <t>ТТК(3:1)-40/13 зел</t>
  </si>
  <si>
    <t>ТТК(3:1)-50/17 зел</t>
  </si>
  <si>
    <t>ТТК(3:1)-3/1 желт</t>
  </si>
  <si>
    <t>ТТК (3:1) желтая</t>
  </si>
  <si>
    <t>ТТК(3:1)-4.8/1.6 желт</t>
  </si>
  <si>
    <t>ТТК(3:1)-6/2 желт</t>
  </si>
  <si>
    <t>ТТК(3:1)-9/3 желт</t>
  </si>
  <si>
    <t>ТТК(3:1)-12/4 желт</t>
  </si>
  <si>
    <t>ТТК(3:1)-20/6 желт</t>
  </si>
  <si>
    <t>ТТК(3:1)-25/8 желт</t>
  </si>
  <si>
    <t>ТТК(3:1)-30/10 желт</t>
  </si>
  <si>
    <t>ТТК(3:1)-40/13 желт</t>
  </si>
  <si>
    <t>ТТК(3:1)-50/17 желт</t>
  </si>
  <si>
    <t>ТТК(3:1)-3/1 син</t>
  </si>
  <si>
    <t>ТТК (3:1) синяя</t>
  </si>
  <si>
    <t>ТТК(3:1)-4.8/1.6 син</t>
  </si>
  <si>
    <t>ТТК(3:1)-6/2 син</t>
  </si>
  <si>
    <t>ТТК(3:1)-9/3 син</t>
  </si>
  <si>
    <t>ТТК(3:1)-12/4 син</t>
  </si>
  <si>
    <t>ТТК(3:1)-20/6 син</t>
  </si>
  <si>
    <t>ТТК(3:1)-25/8 син</t>
  </si>
  <si>
    <t>ТТК(3:1)-30/10 син</t>
  </si>
  <si>
    <t>ТТК(3:1)-40/13 син</t>
  </si>
  <si>
    <t>ТТК(3:1)-50/17 син</t>
  </si>
  <si>
    <t>ТТК-135 (3:1)-3/1 черн</t>
  </si>
  <si>
    <t>ТТК-135 (3:1) черная</t>
  </si>
  <si>
    <t>ТТК-135 (3:1)-6/2 черн</t>
  </si>
  <si>
    <t>ТТК-135 (3:1)-9/3 черн</t>
  </si>
  <si>
    <t>ТТК-135 (3:1)-12/4 черн</t>
  </si>
  <si>
    <t>ТТК-135 (3:1)-20/6 черн</t>
  </si>
  <si>
    <t>ТТК (4:1)-4/1 черн</t>
  </si>
  <si>
    <t>ТТК (4:1)</t>
  </si>
  <si>
    <t>ТТК (4:1)-6/1.5 черн</t>
  </si>
  <si>
    <t>ТТК (4:1)-8/2 черн</t>
  </si>
  <si>
    <t>ТТК (4:1)-12/3 черн</t>
  </si>
  <si>
    <t>ТТК (4:1)-16/4 черн</t>
  </si>
  <si>
    <t>ТТК (4:1)-20/5 черн</t>
  </si>
  <si>
    <t>ТТК (4:1)-24/6 черн</t>
  </si>
  <si>
    <t>ТТК (4:1)-32/8 черн</t>
  </si>
  <si>
    <t>ТТК (4:1)-40/10 черн</t>
  </si>
  <si>
    <t>ТТК (4:1)-52/13 черн</t>
  </si>
  <si>
    <t>ТТК (4:1)-60/15 черн</t>
  </si>
  <si>
    <t>ТТК (4:1)-80/20 черн</t>
  </si>
  <si>
    <t>ТТК(4:1)-4/1 черн (в бухте)</t>
  </si>
  <si>
    <t>ТТК (4:1) черная (в бухте)</t>
  </si>
  <si>
    <t>ТТК(4:1)-6/1.5 черн (в бухте)</t>
  </si>
  <si>
    <t>ТТК(4:1)-8/2 черн (в бухте)</t>
  </si>
  <si>
    <t>ТТК(4:1)-12/3 черн (в бухте)</t>
  </si>
  <si>
    <t>ТТК(4:1)-16/4 черн (в бухте)</t>
  </si>
  <si>
    <t>ТТК(4:1)-24/6 черн (в бухте)</t>
  </si>
  <si>
    <t>ТТК(4:1)-32/8 черн (в бухте)</t>
  </si>
  <si>
    <t>ТТК(4:1)-40/10 черн (в бухте)</t>
  </si>
  <si>
    <t>ТТК(4:1)-52/13 черн (в бухте)</t>
  </si>
  <si>
    <t>Кожух термоусадочный толстостенный</t>
  </si>
  <si>
    <t>ТТВ(4:1)-75/22-600</t>
  </si>
  <si>
    <t>ТТВ</t>
  </si>
  <si>
    <t>ТТВ(4:1)-75/22-1200</t>
  </si>
  <si>
    <t>ТТВ(4:1)-90/22-600</t>
  </si>
  <si>
    <t>ТТВ(4:1)-90/22-1200</t>
  </si>
  <si>
    <t>ТТВ(4:1)-120/28-600</t>
  </si>
  <si>
    <t>ТТВ(4:1)-120/28-1200</t>
  </si>
  <si>
    <t>ТТВ(4:1)-130/36-600</t>
  </si>
  <si>
    <t>ТТВ(4:1)-130/36-1200</t>
  </si>
  <si>
    <t>СТТК-8/2</t>
  </si>
  <si>
    <t>СТТК</t>
  </si>
  <si>
    <t>СТТК-12/3</t>
  </si>
  <si>
    <t>СТТК-19/5</t>
  </si>
  <si>
    <t>СТТК-22/6</t>
  </si>
  <si>
    <t>СТТК-28/7</t>
  </si>
  <si>
    <t>СТТК-33/8</t>
  </si>
  <si>
    <t>СТТК-40/12</t>
  </si>
  <si>
    <t>СТТК-55/16</t>
  </si>
  <si>
    <t>СТТК-75/20</t>
  </si>
  <si>
    <t>СТТК-95/25</t>
  </si>
  <si>
    <t>СТТК-115/34</t>
  </si>
  <si>
    <t>СТТК-140/40</t>
  </si>
  <si>
    <t>СТТК-160/50</t>
  </si>
  <si>
    <t>СТТК-175/50</t>
  </si>
  <si>
    <t>СТТК-180/55</t>
  </si>
  <si>
    <t>СТТК-200/55</t>
  </si>
  <si>
    <t>СТТК-225/60</t>
  </si>
  <si>
    <t>НТТК-40/12</t>
  </si>
  <si>
    <t>НТТК</t>
  </si>
  <si>
    <t>НТТК-55/16</t>
  </si>
  <si>
    <t>НТТК-75/22</t>
  </si>
  <si>
    <t>НТТК-95/25</t>
  </si>
  <si>
    <t>НТТК-105/29</t>
  </si>
  <si>
    <t>НТТК-115/34</t>
  </si>
  <si>
    <t>НТТК-130/36</t>
  </si>
  <si>
    <t>ТТ-(6Х)-19/3.2</t>
  </si>
  <si>
    <t>ТТ-(6Х)</t>
  </si>
  <si>
    <t>ТТ-(6Х)-33/5.5</t>
  </si>
  <si>
    <t>ТТ-(6х)-44/7.4</t>
  </si>
  <si>
    <t>ТТ-(6Х)-50.8/8.3</t>
  </si>
  <si>
    <t>ТТ-(6Х)-69.8/11.7</t>
  </si>
  <si>
    <t>ТТ-(6Х)-87.5/17.1</t>
  </si>
  <si>
    <t>ТТ-(6Х)-119.4/22.9</t>
  </si>
  <si>
    <t>ТТ-(6х)-160/29</t>
  </si>
  <si>
    <t>ТТ-(6х)-235/40</t>
  </si>
  <si>
    <t>Наборы термоусадочных трубок</t>
  </si>
  <si>
    <t>Набор термоусадочных трубок</t>
  </si>
  <si>
    <t>Колорит 4/2</t>
  </si>
  <si>
    <t>Колорит</t>
  </si>
  <si>
    <t>Колорит 6/3</t>
  </si>
  <si>
    <t>Колорит 8/4</t>
  </si>
  <si>
    <t>Колорит 10/5</t>
  </si>
  <si>
    <t>Колорит 12/6</t>
  </si>
  <si>
    <t>Колорит 16/8</t>
  </si>
  <si>
    <t>Колорит 20/10</t>
  </si>
  <si>
    <t>Колорит Мульти</t>
  </si>
  <si>
    <t>Гермокомплект 3/1</t>
  </si>
  <si>
    <t>Гермокомплект</t>
  </si>
  <si>
    <t>Гермокомплект 4.8/1.6</t>
  </si>
  <si>
    <t>Гермокомплект 6/2</t>
  </si>
  <si>
    <t>Гермокомплект 9/3</t>
  </si>
  <si>
    <t>Гермокомплект 12/4</t>
  </si>
  <si>
    <t>Гермокомплект 20/6</t>
  </si>
  <si>
    <t>Гермокомплект Мульти</t>
  </si>
  <si>
    <t>Гермокомплект Мульти Макс</t>
  </si>
  <si>
    <t>Квадро 4/1</t>
  </si>
  <si>
    <t>Квадро</t>
  </si>
  <si>
    <t>Квадро 6/1,5</t>
  </si>
  <si>
    <t>Квадро 8/2</t>
  </si>
  <si>
    <t>Квадро 12/3</t>
  </si>
  <si>
    <t>Квадро 16/4</t>
  </si>
  <si>
    <t>Квадро 20/5</t>
  </si>
  <si>
    <t>Квадро Мульти</t>
  </si>
  <si>
    <t>Монохром 2/1</t>
  </si>
  <si>
    <t>Монохром</t>
  </si>
  <si>
    <t>Монохром 3/1.5</t>
  </si>
  <si>
    <t>Монохром 4/2</t>
  </si>
  <si>
    <t>Монохром 5/2.5</t>
  </si>
  <si>
    <t>Монохром 6/3</t>
  </si>
  <si>
    <t>Монохром 8/4</t>
  </si>
  <si>
    <t>Монохром 10/5</t>
  </si>
  <si>
    <t>Монохром 12/6</t>
  </si>
  <si>
    <t>Монохром 16/8</t>
  </si>
  <si>
    <t>Монохром 20/10</t>
  </si>
  <si>
    <t>Монохром Мульти</t>
  </si>
  <si>
    <t>Электрик ЖКХ Мульти</t>
  </si>
  <si>
    <t>Триколор Мульти</t>
  </si>
  <si>
    <t>Ультра Сил Мульти</t>
  </si>
  <si>
    <t>5 цветов 4/2</t>
  </si>
  <si>
    <t>5 цветов</t>
  </si>
  <si>
    <t>5 цветов 6/3</t>
  </si>
  <si>
    <t>5 цветов 8/4</t>
  </si>
  <si>
    <t>5 цветов 10/5</t>
  </si>
  <si>
    <t>5 цветов 12/6</t>
  </si>
  <si>
    <t>5 цветов 16/8</t>
  </si>
  <si>
    <t>5 цветов 20/10</t>
  </si>
  <si>
    <t>5 цветов 25/12,5</t>
  </si>
  <si>
    <t>5 цветов 30/15</t>
  </si>
  <si>
    <t>5 цветов 40/20</t>
  </si>
  <si>
    <t>5 цветов 50/25</t>
  </si>
  <si>
    <t>№14</t>
  </si>
  <si>
    <t>Набор №14</t>
  </si>
  <si>
    <t>№15</t>
  </si>
  <si>
    <t>Набор №15</t>
  </si>
  <si>
    <t>№16</t>
  </si>
  <si>
    <t>Набор №16</t>
  </si>
  <si>
    <t>№10</t>
  </si>
  <si>
    <t>Набор №10</t>
  </si>
  <si>
    <t>№11</t>
  </si>
  <si>
    <t>Набор №11</t>
  </si>
  <si>
    <t>№12</t>
  </si>
  <si>
    <t>Набор №12</t>
  </si>
  <si>
    <t>№13</t>
  </si>
  <si>
    <t>Набор №13</t>
  </si>
  <si>
    <t>№20</t>
  </si>
  <si>
    <t>Набор №20</t>
  </si>
  <si>
    <t>№21</t>
  </si>
  <si>
    <t>Набор №21</t>
  </si>
  <si>
    <t>№22</t>
  </si>
  <si>
    <t>Набор №22</t>
  </si>
  <si>
    <t>№23</t>
  </si>
  <si>
    <t>Набор №23</t>
  </si>
  <si>
    <t>Высоковольтные трубки</t>
  </si>
  <si>
    <t>ТТШ-10-30/12 красн</t>
  </si>
  <si>
    <t>ТТШ-10</t>
  </si>
  <si>
    <t>ТТШ-10-50/20 красн</t>
  </si>
  <si>
    <t>ТТШ-10-75/30 красн</t>
  </si>
  <si>
    <t>ТТШ-10-100/40 красн</t>
  </si>
  <si>
    <t>ТТШ-10-120/50 красн</t>
  </si>
  <si>
    <t>ТТШ-10-150/60 красн</t>
  </si>
  <si>
    <t>ТТШ-10-30/12 зел</t>
  </si>
  <si>
    <t>ТТШ-10-50/20 зел</t>
  </si>
  <si>
    <t>ТТШ-10-75/30 зел</t>
  </si>
  <si>
    <t>ТТШ-10-100/40 зел</t>
  </si>
  <si>
    <t>ТТШ-10-120/50 зел</t>
  </si>
  <si>
    <t>ТТШ-10-150/60 зел</t>
  </si>
  <si>
    <t>ТТШ-10-30/12 желт</t>
  </si>
  <si>
    <t>ТТШ-10-50/20 желт</t>
  </si>
  <si>
    <t>ТТШ-10-75/30 желт</t>
  </si>
  <si>
    <t>ТТШ-10-100/40 желт</t>
  </si>
  <si>
    <t>ТТШ-10-120/50 желт</t>
  </si>
  <si>
    <t>ТТШ-10-150/60 желт</t>
  </si>
  <si>
    <t>ТТШ-35-25/10 кирп-красн</t>
  </si>
  <si>
    <t>ТТШ-35</t>
  </si>
  <si>
    <t>ТТШ-35-40/16 кирп-красн</t>
  </si>
  <si>
    <t>ТТШ-35-65/25 кирп-красн</t>
  </si>
  <si>
    <t>ТТШ-35-100/40 кирп-красн</t>
  </si>
  <si>
    <t>ТТШ-35-150/60 кирп-красн</t>
  </si>
  <si>
    <t>ТСТ-24/8-1000 черн</t>
  </si>
  <si>
    <t>ТСТ</t>
  </si>
  <si>
    <t>ТСТ-27/10-1000 черн</t>
  </si>
  <si>
    <t>ТСТ-35/14-1000 черн</t>
  </si>
  <si>
    <t>ТСТ-42/18-1000 черн</t>
  </si>
  <si>
    <t>ТСТ-А-24/8-1000 кирп-красн</t>
  </si>
  <si>
    <t>ТСТ-А</t>
  </si>
  <si>
    <t>ТСТ-А-27/10-1000 кирп-красн</t>
  </si>
  <si>
    <t>ТСТ-А-35/14-1000 кирп-красн</t>
  </si>
  <si>
    <t>ТСТ-А-42/18-1000 кирп-красн</t>
  </si>
  <si>
    <t>Термоусадочные трубки специального назначения</t>
  </si>
  <si>
    <t>ТТ-AUTO(4:1)-6/1,3</t>
  </si>
  <si>
    <t>ТТ-AUTO(4:1)</t>
  </si>
  <si>
    <t>ТТ-AUTO(4:1)-8/1,7</t>
  </si>
  <si>
    <t>ТТ-AUTO(4:1)-12/2,4</t>
  </si>
  <si>
    <t>ТТ-С нг-LS (3:1)-9/3 черн</t>
  </si>
  <si>
    <t>ТТ-С нг-LS (3:1)</t>
  </si>
  <si>
    <t>ТТ-С нг-LS (3:1)-12/4 черн</t>
  </si>
  <si>
    <t>ТТ-С нг-LS (2:1) - 4/2 черн</t>
  </si>
  <si>
    <t>ТТ-С нг-LS (2:1)</t>
  </si>
  <si>
    <t>ТТ-С нг-LS (2:1) - 6/3 черн</t>
  </si>
  <si>
    <t>ТТ-С нг-LS (2:1) - 8/4 черн</t>
  </si>
  <si>
    <t>ТТ-С нг-LS (2:1) - 40/20 черн</t>
  </si>
  <si>
    <t>ТТ-С нг-LS (2:1) - 60/30 черн</t>
  </si>
  <si>
    <t>ТТ-С нг-LS (2:1) - 80/40 черн</t>
  </si>
  <si>
    <t>ТТ-С нг-LS (2:1) - 100/50 черн</t>
  </si>
  <si>
    <t>ТТ-ГСМ-3.2/1.6 черн</t>
  </si>
  <si>
    <t>ТТ-ГСМ</t>
  </si>
  <si>
    <t>ТТ-ГСМ-4.8/2.4 черн</t>
  </si>
  <si>
    <t>ТТ-ГСМ-6.4/3.2 черн</t>
  </si>
  <si>
    <t>ТТ-ГСМ-9.5/4.8 черн</t>
  </si>
  <si>
    <t>ТТ-ГСМ-12.7/6.4 черн</t>
  </si>
  <si>
    <t>ТТ-ГСМ-19.1/9.5 черн</t>
  </si>
  <si>
    <t>ТТ-ГСМ-25.4/12.7 черн</t>
  </si>
  <si>
    <t>ТТ-ГСМ-38.1/19.1 черн</t>
  </si>
  <si>
    <t>ТТ-ГСМ-50.8/25.4 черн</t>
  </si>
  <si>
    <t>ТТ-150-2/1 черн</t>
  </si>
  <si>
    <t>ТТ-150</t>
  </si>
  <si>
    <t>ТТ-150-4/2 черн</t>
  </si>
  <si>
    <t>ТТ-150-6/3 черн</t>
  </si>
  <si>
    <t>ТТ-150-10/5 черн</t>
  </si>
  <si>
    <t>ТТ-150-12.7/6.4 черн</t>
  </si>
  <si>
    <t>ТТ-150-20/10 черн</t>
  </si>
  <si>
    <t>ТТ-150-30/15 черн</t>
  </si>
  <si>
    <t>ТТ-150-40/20 черн</t>
  </si>
  <si>
    <t>ТТ-175-2.4/1.2 прозр</t>
  </si>
  <si>
    <t>ТТ-175</t>
  </si>
  <si>
    <t>ТТ-175-4.8/2.4 прозр</t>
  </si>
  <si>
    <t>ТТ-175-6.4/3.2 прозр</t>
  </si>
  <si>
    <t>ТТ-175-9.6/4.8 прозр</t>
  </si>
  <si>
    <t>ТТ-175-12.7/6.5 прозр</t>
  </si>
  <si>
    <t>ТТ-175-19.1/9.5 прозр</t>
  </si>
  <si>
    <t>ТТ-175-25.4/12.7 прозр</t>
  </si>
  <si>
    <t>ТТ-200-3.2/1.6 черн</t>
  </si>
  <si>
    <t>ТТ-200</t>
  </si>
  <si>
    <t>ТТ-200-4.8/2.4 черн</t>
  </si>
  <si>
    <t>ТТ-200-6.4/3.2 черн</t>
  </si>
  <si>
    <t>ТТ-200-9.5/4.8 черн</t>
  </si>
  <si>
    <t>ТТ-200-12.7/6.4 черн</t>
  </si>
  <si>
    <t>ТТ-200-19.1/9.5 черн</t>
  </si>
  <si>
    <t>ТТ-200-25.4/12.7 черн</t>
  </si>
  <si>
    <t>ТТ-200-3.2/1.6 (в бухте)</t>
  </si>
  <si>
    <t>ТТ-200 (в бухте)</t>
  </si>
  <si>
    <t>ТТ-200-4.8/2.4 (в бухте)</t>
  </si>
  <si>
    <t>ТТ-200-6.4/3.2 (в бухте)</t>
  </si>
  <si>
    <t>ТТ-200-9.5/4.8 (в бухте)</t>
  </si>
  <si>
    <t>ТТ-200-12.7/6.4 (в бухте)</t>
  </si>
  <si>
    <t>ТТ-М-4/2 желт</t>
  </si>
  <si>
    <t>ТТ-М</t>
  </si>
  <si>
    <t>ТТ-М-6/3 желт</t>
  </si>
  <si>
    <t>ТТ-М-8/4 желт</t>
  </si>
  <si>
    <t>Изоляция и защита проводов</t>
  </si>
  <si>
    <t>Изолента</t>
  </si>
  <si>
    <t>ПВХ 15x0.13х20 (бел)</t>
  </si>
  <si>
    <t>ПВХ-15х0.13</t>
  </si>
  <si>
    <t>ПВХ 15x0.13х20 (желт)</t>
  </si>
  <si>
    <t>ПВХ 15x0.13х20 (зел)</t>
  </si>
  <si>
    <t>ПВХ 15x0.13х20 (красн)</t>
  </si>
  <si>
    <t>ПВХ 15x0.13х20 (син)</t>
  </si>
  <si>
    <t>ПВХ 15x0.13х20 (черн)</t>
  </si>
  <si>
    <t>ПВХ 15x0.13х20 (ж/з)</t>
  </si>
  <si>
    <t>ПВХ 19х0.13x20 (бел)</t>
  </si>
  <si>
    <t>ПВХ-19х0.13</t>
  </si>
  <si>
    <t>ПВХ 19х0.13x20 (желт)</t>
  </si>
  <si>
    <t>ПВХ 19х0.13x20 (зел)</t>
  </si>
  <si>
    <t>ПВХ 19х0.13x20 (красн)</t>
  </si>
  <si>
    <t>ПВХ 19х0.13x20 (син)</t>
  </si>
  <si>
    <t>ПВХ 19х0.13x20 (черн)</t>
  </si>
  <si>
    <t>ПВХ 19х0.13x20 (ж/з)</t>
  </si>
  <si>
    <t>ПВХ 19х0.15х20 (бел)</t>
  </si>
  <si>
    <t>ПВХ-19х0.15</t>
  </si>
  <si>
    <t>ПВХ 19х0.15х20 (желт)</t>
  </si>
  <si>
    <t>ПВХ 19х0.15х20 (зел)</t>
  </si>
  <si>
    <t>ПВХ 19х0.15х20 (красн)</t>
  </si>
  <si>
    <t>ПВХ 19х0.15х20 (син)</t>
  </si>
  <si>
    <t>ПВХ 19х0.15х20 (черн)</t>
  </si>
  <si>
    <t>ПВХ 19х0.15x20 (сер)</t>
  </si>
  <si>
    <t>ПВХ 19х0.15х20 (ж/з)</t>
  </si>
  <si>
    <t>ПВХ Heavy Duty 19х0.18х20 (черн)</t>
  </si>
  <si>
    <t>ПВХ-19 «HEAVY DUTY»</t>
  </si>
  <si>
    <t>ПВХ Heavy Duty 19х0.18х20 (син)</t>
  </si>
  <si>
    <t>ПВХ Heavy Duty 19х0.18х20 (бел)</t>
  </si>
  <si>
    <t>ПВХ Heavy Duty 19х0.18х20 (желт)</t>
  </si>
  <si>
    <t>ПВХ Heavy Duty 19х0.18х20 (зел)</t>
  </si>
  <si>
    <t>ПВХ Heavy Duty 19х0.18х20 (красн)</t>
  </si>
  <si>
    <t>ПВХ Heavy Duty 19х0.18х20 (сер)</t>
  </si>
  <si>
    <t>ПВХ Heavy Duty 19х0.18х20 (ж/з)</t>
  </si>
  <si>
    <t>ХБ 18х0.4х11 (черн)</t>
  </si>
  <si>
    <t>ХБ</t>
  </si>
  <si>
    <t>Изолента самослипающаяся</t>
  </si>
  <si>
    <t>СЛП 19х0.8х5 (черн)</t>
  </si>
  <si>
    <t>СЛП</t>
  </si>
  <si>
    <t>СЛП 25х0.8х5 (черн)</t>
  </si>
  <si>
    <t xml:space="preserve">Лента самоспекающаяся изолирующая </t>
  </si>
  <si>
    <t>СИЛ-20, черн</t>
  </si>
  <si>
    <t>СИЛ</t>
  </si>
  <si>
    <t>Лента оградительная</t>
  </si>
  <si>
    <t>ЛО 35-50 (к/б) (200м)</t>
  </si>
  <si>
    <t>ЛО</t>
  </si>
  <si>
    <t>ЛО 35-75 (к/б) (200м)</t>
  </si>
  <si>
    <t>ЛО 50-75 (к/б) (200м)</t>
  </si>
  <si>
    <t>Лента сигнальная</t>
  </si>
  <si>
    <t>ЛСЭ-150 (100м) "Осторожно кабель"</t>
  </si>
  <si>
    <t>ЛСЭ</t>
  </si>
  <si>
    <t>ЛСЭ-250 (100м) "Осторожно кабель"</t>
  </si>
  <si>
    <t>ЛСЭ-300 (100м) "Осторожно кабель"</t>
  </si>
  <si>
    <t>ЛСЭ-450 (100м) "Осторожно кабель"</t>
  </si>
  <si>
    <t>ЛСЭ-600 (100м) "Осторожно кабель"</t>
  </si>
  <si>
    <t>ЛСЭ-750 (100м) "Осторожно кабель"</t>
  </si>
  <si>
    <t>ЛСЭ-900 (100м) "Осторожно кабель"</t>
  </si>
  <si>
    <t>Лента клейкая</t>
  </si>
  <si>
    <t>ЛКР-50 (ж/чер) (33м) разметочная</t>
  </si>
  <si>
    <t>ЛКР</t>
  </si>
  <si>
    <t>Бандаж спиральный</t>
  </si>
  <si>
    <t>БСП-6 (10м)</t>
  </si>
  <si>
    <t>БСП</t>
  </si>
  <si>
    <t>БСП-8 (10м)</t>
  </si>
  <si>
    <t>БСП-10 (10м)</t>
  </si>
  <si>
    <t>БСП-12 (10м)</t>
  </si>
  <si>
    <t>БСП-15 (10м)</t>
  </si>
  <si>
    <t>БСП-19 (10м)</t>
  </si>
  <si>
    <t>БСП-30 (10м)</t>
  </si>
  <si>
    <t>Бандаж самозаворачивающийся</t>
  </si>
  <si>
    <t>БСК-15 (2м)</t>
  </si>
  <si>
    <t>БСК</t>
  </si>
  <si>
    <t>БСК 25 (2м)</t>
  </si>
  <si>
    <t>Оплетка защитная</t>
  </si>
  <si>
    <t>XA-10</t>
  </si>
  <si>
    <t>XA</t>
  </si>
  <si>
    <t>XA-16</t>
  </si>
  <si>
    <t>XA-20</t>
  </si>
  <si>
    <t>XH600-4</t>
  </si>
  <si>
    <t>XH</t>
  </si>
  <si>
    <t>XH600-6</t>
  </si>
  <si>
    <t>XH600-8</t>
  </si>
  <si>
    <t>XH600-10</t>
  </si>
  <si>
    <t>Оплетка кабельная</t>
  </si>
  <si>
    <t>XN-3 (1-6 мм)</t>
  </si>
  <si>
    <t>XN</t>
  </si>
  <si>
    <t>XN-6 (3-9 мм)</t>
  </si>
  <si>
    <t>XN-8 (5-12 мм)</t>
  </si>
  <si>
    <t>XN-10 (7-17 мм)</t>
  </si>
  <si>
    <t>XN-12 (8-20 мм)</t>
  </si>
  <si>
    <t>XN-16 (10-27 мм)</t>
  </si>
  <si>
    <t>XN-20 (14-30 мм)</t>
  </si>
  <si>
    <t>XN-25 (18-33 мм)</t>
  </si>
  <si>
    <t>XN-32 (20-50 мм)</t>
  </si>
  <si>
    <t>XN-38 (30-60 мм)</t>
  </si>
  <si>
    <t>XN-50 (40-80 мм)</t>
  </si>
  <si>
    <t>XP-6 (5м)</t>
  </si>
  <si>
    <t>XP в мини-упаковке</t>
  </si>
  <si>
    <t>XP-8 (5м)</t>
  </si>
  <si>
    <t>XP-10 (5м)</t>
  </si>
  <si>
    <t>XP-12 (5м)</t>
  </si>
  <si>
    <t>XP-16 (5м)</t>
  </si>
  <si>
    <t>XP-20 (5м)</t>
  </si>
  <si>
    <t>XP-25 (5м)</t>
  </si>
  <si>
    <t>XP-3</t>
  </si>
  <si>
    <t>XP</t>
  </si>
  <si>
    <t>XP-6</t>
  </si>
  <si>
    <t>XP-8</t>
  </si>
  <si>
    <t>XP-10</t>
  </si>
  <si>
    <t>XP-12</t>
  </si>
  <si>
    <t>XP-16</t>
  </si>
  <si>
    <t>XP-20</t>
  </si>
  <si>
    <t>XP-25</t>
  </si>
  <si>
    <t>XP-32</t>
  </si>
  <si>
    <t>XP-38</t>
  </si>
  <si>
    <t>XP-50</t>
  </si>
  <si>
    <t>XP-3 (черн-бел)</t>
  </si>
  <si>
    <t>XP-6 (черн-бел)</t>
  </si>
  <si>
    <t>XP-8 (черн-бел)</t>
  </si>
  <si>
    <t>XP-10 (черн-бел)</t>
  </si>
  <si>
    <t>XP-12 (черн-бел)</t>
  </si>
  <si>
    <t>XP-16 (черн-бел)</t>
  </si>
  <si>
    <t>XP-20 (черн-бел)</t>
  </si>
  <si>
    <t>XP-25 (черн-бел)</t>
  </si>
  <si>
    <t>XP-32 (черн-бел)</t>
  </si>
  <si>
    <t>XP-38 (черн-бел)</t>
  </si>
  <si>
    <t>XP-50 (черн-бел)</t>
  </si>
  <si>
    <t>XS-8 (2м)</t>
  </si>
  <si>
    <t>XS в мини-упаковке</t>
  </si>
  <si>
    <t>XS-10 (2м)</t>
  </si>
  <si>
    <t>XS-13 (2м)</t>
  </si>
  <si>
    <t>XS-16 (2м)</t>
  </si>
  <si>
    <t>XS-19 (2м)</t>
  </si>
  <si>
    <t>XS-25 (2м)</t>
  </si>
  <si>
    <t>XS-3</t>
  </si>
  <si>
    <t>XS</t>
  </si>
  <si>
    <t>XS-5</t>
  </si>
  <si>
    <t>XS-8</t>
  </si>
  <si>
    <t>XS-10</t>
  </si>
  <si>
    <t>XS-13</t>
  </si>
  <si>
    <t>XS-16</t>
  </si>
  <si>
    <t>XS-19</t>
  </si>
  <si>
    <t>XS-25</t>
  </si>
  <si>
    <t>XS-32</t>
  </si>
  <si>
    <t>XS-38</t>
  </si>
  <si>
    <t>XV-19 (2м.)</t>
  </si>
  <si>
    <t>XV в мини-упаковке</t>
  </si>
  <si>
    <t>XV-32 (2м.)</t>
  </si>
  <si>
    <t>XV-51 (2м.)</t>
  </si>
  <si>
    <t>XV-19</t>
  </si>
  <si>
    <t>XV</t>
  </si>
  <si>
    <t>XV-32</t>
  </si>
  <si>
    <t>XV-51</t>
  </si>
  <si>
    <t>XT-12/6</t>
  </si>
  <si>
    <t>XT</t>
  </si>
  <si>
    <t>XT-20/10</t>
  </si>
  <si>
    <t>XT-25/12</t>
  </si>
  <si>
    <t>XT-30/15</t>
  </si>
  <si>
    <t>XT-40/20</t>
  </si>
  <si>
    <t>XT-50/25</t>
  </si>
  <si>
    <t>XT- 60/30</t>
  </si>
  <si>
    <t>XT- 80/40</t>
  </si>
  <si>
    <t xml:space="preserve">Электромонтажный инструмент </t>
  </si>
  <si>
    <t>Пресс-клещи и кримперы</t>
  </si>
  <si>
    <t>Пресс-клещи со сменными матрицами для опрессовки наконечников, гильз и разъемов</t>
  </si>
  <si>
    <t xml:space="preserve">Пресс-клещи </t>
  </si>
  <si>
    <t>CTK-01 серия ПРОФИ</t>
  </si>
  <si>
    <t>CTK</t>
  </si>
  <si>
    <t>CTK-02 серия ПРОФИ</t>
  </si>
  <si>
    <t>CTK-03 серия ПРОФИ</t>
  </si>
  <si>
    <t>CTK-04 серия ПРОФИ</t>
  </si>
  <si>
    <t>CTK-05 серия ПРОФИ</t>
  </si>
  <si>
    <t>CTK-06 серия ПРОФИ</t>
  </si>
  <si>
    <t>CTK-08 серия ПРОФИ</t>
  </si>
  <si>
    <t>CTK-09 серия ПРОФИ</t>
  </si>
  <si>
    <t>CTK-10 серия ПРОФИ</t>
  </si>
  <si>
    <t>CTK-11 серия ПРОФИ</t>
  </si>
  <si>
    <t>CTK-12 серия ПРОФИ</t>
  </si>
  <si>
    <t>CTK-13 серия ПРОФИ</t>
  </si>
  <si>
    <t>CTK-14 серия ПРОФИ</t>
  </si>
  <si>
    <t>CTK-15 серия ПРОФИ</t>
  </si>
  <si>
    <t>Пресс-клещи</t>
  </si>
  <si>
    <t>CTК-16 серия ПРОФИ</t>
  </si>
  <si>
    <t>CTK-18 серия ПРОФИ</t>
  </si>
  <si>
    <t>СТО-01 серия ПРОФИ</t>
  </si>
  <si>
    <t>СТО</t>
  </si>
  <si>
    <t>СТО-02 серия ПРОФИ</t>
  </si>
  <si>
    <t>СТО-03 серия ПРОФИ</t>
  </si>
  <si>
    <t>СТО-04 серия ПРОФИ</t>
  </si>
  <si>
    <t>СТО-05 серия ПРОФИ</t>
  </si>
  <si>
    <t>СТО-06 серия ПРОФИ</t>
  </si>
  <si>
    <t>СТО-07 серия ПРОФИ</t>
  </si>
  <si>
    <t>СТО-08 серия ПРОФИ</t>
  </si>
  <si>
    <t>СТО-09 серия ПРОФИ</t>
  </si>
  <si>
    <t>СТО-10 серия ПРОФИ</t>
  </si>
  <si>
    <t>СТО-11 серия ПРОФИ</t>
  </si>
  <si>
    <t>СТО-12 серия ПРОФИ</t>
  </si>
  <si>
    <t>СТО-13 серия ПРОФИ</t>
  </si>
  <si>
    <t>СТО-14 серия ПРОФИ</t>
  </si>
  <si>
    <t>СТО-15 серия ПРОФИ</t>
  </si>
  <si>
    <t>СТО-16 серия ПРОФИ</t>
  </si>
  <si>
    <t>СТО-18 серия ПРОФИ</t>
  </si>
  <si>
    <t>CTB-01 серия ПРОФИ</t>
  </si>
  <si>
    <t>CTB</t>
  </si>
  <si>
    <t>CTB-02 серия ПРОФИ</t>
  </si>
  <si>
    <t>CTB-03 серия ПРОФИ</t>
  </si>
  <si>
    <t>CTB-04 серия ПРОФИ</t>
  </si>
  <si>
    <t>CTB-05 серия ПРОФИ</t>
  </si>
  <si>
    <t>CTB-06 серия ПРОФИ</t>
  </si>
  <si>
    <t>CTB-07 серия ПРОФИ</t>
  </si>
  <si>
    <t>CTВ-08 серия ПРОФИ</t>
  </si>
  <si>
    <t>CTB-09 серия ПРОФИ</t>
  </si>
  <si>
    <t>CTB-10 серия ПРОФИ</t>
  </si>
  <si>
    <t>CTB-11 серия ПРОФИ</t>
  </si>
  <si>
    <t>CTB-12 серия ПРОФИ</t>
  </si>
  <si>
    <t>CTB-13 серия ПРОФИ</t>
  </si>
  <si>
    <t>CTB-14 серия ПРОФИ</t>
  </si>
  <si>
    <t>CTB-15 серия ПРОФИ</t>
  </si>
  <si>
    <t>CTВ-16 серия ПРОФИ</t>
  </si>
  <si>
    <t>CTB-18 серия ПРОФИ</t>
  </si>
  <si>
    <t xml:space="preserve">Пресс-клещи с набором матриц </t>
  </si>
  <si>
    <t>СТС-А серия ПРОФИ</t>
  </si>
  <si>
    <t>набор СТС-А</t>
  </si>
  <si>
    <t>СТС-В серия ПРОФИ</t>
  </si>
  <si>
    <t>набор СТС-B</t>
  </si>
  <si>
    <t>СТС-Д серия ПРОФИ</t>
  </si>
  <si>
    <t>набор СТС-Д</t>
  </si>
  <si>
    <t>Набор</t>
  </si>
  <si>
    <t>СТС+5 серия ПРОФИ</t>
  </si>
  <si>
    <t>набор СТС+5</t>
  </si>
  <si>
    <t>СТС+8 серия ПРОФИ</t>
  </si>
  <si>
    <t>набор СТС+8</t>
  </si>
  <si>
    <t>Набор в сумке</t>
  </si>
  <si>
    <t>СТК+5 серия ПРОФИ</t>
  </si>
  <si>
    <t>набор СТК+5</t>
  </si>
  <si>
    <t>СТК+9 серия ПРОФИ</t>
  </si>
  <si>
    <t>набор CTК+9</t>
  </si>
  <si>
    <t>СТО+5 серия QUICK PRO</t>
  </si>
  <si>
    <t>набор СТО+5</t>
  </si>
  <si>
    <t>СТО+9 серия QUICK PRO</t>
  </si>
  <si>
    <t>набор СТО+9</t>
  </si>
  <si>
    <t>СТВ+5 серия QUICK PRO</t>
  </si>
  <si>
    <t>набор СТВ+5</t>
  </si>
  <si>
    <t>CTB+9 серия QUICK PRO</t>
  </si>
  <si>
    <t>набор СТВ+9</t>
  </si>
  <si>
    <t>Пресс-клещи с набором матриц</t>
  </si>
  <si>
    <t>CTD+5 серия QUICK PRO</t>
  </si>
  <si>
    <t>CTD+5</t>
  </si>
  <si>
    <t>CTN серия ПРОФИ</t>
  </si>
  <si>
    <t>набор CTN</t>
  </si>
  <si>
    <t>CTM серия ПРОФИ</t>
  </si>
  <si>
    <t>набор CTM</t>
  </si>
  <si>
    <t>СКМ-1 серия ПРОФИ</t>
  </si>
  <si>
    <t>набор СКМ-1</t>
  </si>
  <si>
    <t>СКМ-2 серия ПРОФИ</t>
  </si>
  <si>
    <t>СКМ-2</t>
  </si>
  <si>
    <t>СКМ-3 серия ПРОФИ</t>
  </si>
  <si>
    <t>СКМ-3</t>
  </si>
  <si>
    <t xml:space="preserve">Набор универсальный </t>
  </si>
  <si>
    <t>UNI серия ПРОФИ</t>
  </si>
  <si>
    <t>набор UNI</t>
  </si>
  <si>
    <t>CTF серия ПРОФИ</t>
  </si>
  <si>
    <t>набор CTF</t>
  </si>
  <si>
    <t>Набор для работ с коаксиальным кабелем</t>
  </si>
  <si>
    <t>HT-330 серия ПРОФИ</t>
  </si>
  <si>
    <t>HT-330</t>
  </si>
  <si>
    <t xml:space="preserve">Пресс-клещи пневматические </t>
  </si>
  <si>
    <t>ПКП-01 серия ПРОФИ</t>
  </si>
  <si>
    <t>ПКП-01</t>
  </si>
  <si>
    <t xml:space="preserve">Пресс-клещи электрические </t>
  </si>
  <si>
    <t>ПКЭ-01 серия ПРОФИ</t>
  </si>
  <si>
    <t>ПКЭ-01</t>
  </si>
  <si>
    <t>Пресс-клещи электрические</t>
  </si>
  <si>
    <t>ПКЭ-02 серия ПРОФИ</t>
  </si>
  <si>
    <t>ПКЭ-02</t>
  </si>
  <si>
    <t>ПКЭ-03 серия ПРОФИ</t>
  </si>
  <si>
    <t>ПКЭ-03</t>
  </si>
  <si>
    <t>=ЕСЛИ($E$1&gt;=$Q$1%;138807.66-(138807.66*$Q$1%);138807.66-(138807.66*$E$1))</t>
  </si>
  <si>
    <t>=ЕСЛИ($E$1&gt;=$Q$1%;113776.77-(113776.77*$Q$1%);113776.77-(113776.77*$E$1))</t>
  </si>
  <si>
    <t xml:space="preserve">Матрица </t>
  </si>
  <si>
    <t>МПК-01 серия ПРОФИ</t>
  </si>
  <si>
    <t>МПК-01</t>
  </si>
  <si>
    <t>МПК-02 серия ПРОФИ</t>
  </si>
  <si>
    <t>МПК-02</t>
  </si>
  <si>
    <t>МПК-03 серия ПРОФИ</t>
  </si>
  <si>
    <t>МПК-03</t>
  </si>
  <si>
    <t>МПК-04 серия ПРОФИ</t>
  </si>
  <si>
    <t>МПК-04</t>
  </si>
  <si>
    <t>МПК-05 серия ПРОФИ</t>
  </si>
  <si>
    <t>МПК-05</t>
  </si>
  <si>
    <t>МПК-06 серия ПРОФИ</t>
  </si>
  <si>
    <t>МПК-06</t>
  </si>
  <si>
    <t>МПК-07 серия ПРОФИ</t>
  </si>
  <si>
    <t>МПК-07</t>
  </si>
  <si>
    <t>МПК-08 серия ПРОФИ</t>
  </si>
  <si>
    <t>МПК-08</t>
  </si>
  <si>
    <t>МПК-09 серия ПРОФИ</t>
  </si>
  <si>
    <t>МПК-09</t>
  </si>
  <si>
    <t>МПК-10 серия ПРОФИ</t>
  </si>
  <si>
    <t>МПК-10</t>
  </si>
  <si>
    <t>МПК-11 серия ПРОФИ</t>
  </si>
  <si>
    <t>МПК-11</t>
  </si>
  <si>
    <t>МПК-12 серия ПРОФИ</t>
  </si>
  <si>
    <t>МПК-12</t>
  </si>
  <si>
    <t>МПК-13 серия ПРОФИ</t>
  </si>
  <si>
    <t>МПК-13</t>
  </si>
  <si>
    <t>МПК-14 серия ПРОФИ</t>
  </si>
  <si>
    <t>МПК-14</t>
  </si>
  <si>
    <t>МПК-15 серия ПРОФИ</t>
  </si>
  <si>
    <t>МПК-15</t>
  </si>
  <si>
    <t>Матрица</t>
  </si>
  <si>
    <t>МПК-16 серия ПРОФИ</t>
  </si>
  <si>
    <t>МПК-16</t>
  </si>
  <si>
    <t>МПК-18 серия ПРОФИ</t>
  </si>
  <si>
    <t>МПК-18</t>
  </si>
  <si>
    <t>Пресс-клещи механические для опрессовки силовых наконечников и гильз</t>
  </si>
  <si>
    <t>ПК-6м серия ПРОФИ</t>
  </si>
  <si>
    <t>ПК-6м</t>
  </si>
  <si>
    <t>ПК-16м серия ПРОФИ</t>
  </si>
  <si>
    <t>ПК-16м</t>
  </si>
  <si>
    <t>ПК-16у серия ПРОФИ</t>
  </si>
  <si>
    <t>ПК-16у</t>
  </si>
  <si>
    <t>Пресс-клещи усиленные</t>
  </si>
  <si>
    <t>ПК-25у серия ПРОФИ</t>
  </si>
  <si>
    <t>ПК-25у</t>
  </si>
  <si>
    <t>ПК-35м серия ПРОФИ</t>
  </si>
  <si>
    <t>ПК-35м</t>
  </si>
  <si>
    <t>ПКГ-50 серия ПРОФИ</t>
  </si>
  <si>
    <t>ПКГ-50</t>
  </si>
  <si>
    <t>ПКГ-50с серия ПРОФИ</t>
  </si>
  <si>
    <t>ПКГ-50с</t>
  </si>
  <si>
    <t>ПКГ-120 серия ПРОФИ</t>
  </si>
  <si>
    <t>ПКГ-120</t>
  </si>
  <si>
    <t xml:space="preserve">Пресс механический универсальный </t>
  </si>
  <si>
    <t>ПМУ-120 серия ПРОФИ</t>
  </si>
  <si>
    <t>ПМУ-120</t>
  </si>
  <si>
    <t>ПМУ-240 серия ПРОФИ</t>
  </si>
  <si>
    <t>ПМУ-240</t>
  </si>
  <si>
    <t>Пресс-клещи для опрессовки тросов</t>
  </si>
  <si>
    <t>ПК-5-600Т серия ПРОФИ</t>
  </si>
  <si>
    <t>ПК-5-600Т</t>
  </si>
  <si>
    <t>=ЕСЛИ($E$1&gt;=$Q$1%;6231.56-(6231.56*$Q$1%);6231.56-(6231.56*$E$1))</t>
  </si>
  <si>
    <t>=ЕСЛИ($E$1&gt;=$Q$1%;5107.84-(5107.84*$Q$1%);5107.84-(5107.84*$E$1))</t>
  </si>
  <si>
    <t>Пресс-клещи для опрессовки втулочных наконечников</t>
  </si>
  <si>
    <t>ПКВк-6 мини серия ПРОФИ</t>
  </si>
  <si>
    <t>ПКВк-6 мини</t>
  </si>
  <si>
    <t>ПКВш-6 мини серия ПРОФИ</t>
  </si>
  <si>
    <t>ПКВш-6 мини</t>
  </si>
  <si>
    <t>ПКВк-6м серия ПРАКТИК</t>
  </si>
  <si>
    <t>ПКВк-6м</t>
  </si>
  <si>
    <t>ПКВк-10 серия ПРОФИ</t>
  </si>
  <si>
    <t>ПКВк-10</t>
  </si>
  <si>
    <t>ПКВк-10А серия ПРОФИ</t>
  </si>
  <si>
    <t>ПКВк-10А</t>
  </si>
  <si>
    <t>ПКВк-10у серия ПРОФИ</t>
  </si>
  <si>
    <t>ПКВк-10у</t>
  </si>
  <si>
    <t>ПКВк-10м серия ПРОФИ</t>
  </si>
  <si>
    <t>ПКВк-10м</t>
  </si>
  <si>
    <t>ПКВш-10 серия ПРОФИ</t>
  </si>
  <si>
    <t>ПКВш-10</t>
  </si>
  <si>
    <t>ПКВш-10А серия ПРОФИ</t>
  </si>
  <si>
    <t>ПКВш-10А</t>
  </si>
  <si>
    <t>ПКВш-10у серия ПРОФИ</t>
  </si>
  <si>
    <t>ПКВш-10у</t>
  </si>
  <si>
    <t>ПКВк-16у серия ПРОФИ</t>
  </si>
  <si>
    <t>ПКВк-16у</t>
  </si>
  <si>
    <t>ПКВк-16м серия ПРОФИ</t>
  </si>
  <si>
    <t>ПКВк-16м</t>
  </si>
  <si>
    <t>ПКВш-16м серия ПРОФИ</t>
  </si>
  <si>
    <t>ПКВш-16м</t>
  </si>
  <si>
    <t>ПКВк-16 серия ПРАКТИК</t>
  </si>
  <si>
    <t>ПКВк-16</t>
  </si>
  <si>
    <t>ПКВк-6т серия ПРОФИ</t>
  </si>
  <si>
    <t>ПКВк-6т</t>
  </si>
  <si>
    <t>ПКВк-16т серия ПРОФИ</t>
  </si>
  <si>
    <t>ПКВк-16т</t>
  </si>
  <si>
    <t>ПКВ-6 серия МАСТЕР</t>
  </si>
  <si>
    <t>ПКВ-6</t>
  </si>
  <si>
    <t>ПКВ-50 серия ПРОФИ</t>
  </si>
  <si>
    <t>ПКВ-50</t>
  </si>
  <si>
    <t>ПКВ-95 серия ПРОФИ</t>
  </si>
  <si>
    <t>ПКВ-95</t>
  </si>
  <si>
    <t>ПКП-10к серия ПРОФИ</t>
  </si>
  <si>
    <t>ПКП-10к</t>
  </si>
  <si>
    <t>Прессы гидравлические</t>
  </si>
  <si>
    <t>Пресс гидравлический ручной</t>
  </si>
  <si>
    <t>ПГР-70М серия ERGOLINE</t>
  </si>
  <si>
    <t>ПГР-70М</t>
  </si>
  <si>
    <t xml:space="preserve">Пресс гидравлический ручной </t>
  </si>
  <si>
    <t>ПГР-70 серия МАСТЕР</t>
  </si>
  <si>
    <t>ПГР-70</t>
  </si>
  <si>
    <t>ПГР-70БР серия МАСТЕР</t>
  </si>
  <si>
    <t>ПГР-70БР</t>
  </si>
  <si>
    <t>ПГР-70ТР серия МАСТЕР</t>
  </si>
  <si>
    <t>ПГР-70ТР</t>
  </si>
  <si>
    <t>Набор инструментов</t>
  </si>
  <si>
    <t>ПГР-70 + НКи серия МАСТЕР</t>
  </si>
  <si>
    <t>ПГР-70 + НКи</t>
  </si>
  <si>
    <t>ПГРс-70М серия ERGOLINE</t>
  </si>
  <si>
    <t>ПГРс-70М</t>
  </si>
  <si>
    <t>ПГРс-70 серия ПРОФИ</t>
  </si>
  <si>
    <t>ПГРс-70</t>
  </si>
  <si>
    <t>ПГР-95 серия МАСТЕР</t>
  </si>
  <si>
    <t>ПГР-95</t>
  </si>
  <si>
    <t>ПГР-120 серия МАСТЕР</t>
  </si>
  <si>
    <t>ПГР-120</t>
  </si>
  <si>
    <t>ПГРс-120 серия ПРОФИ</t>
  </si>
  <si>
    <t>ПГРс-120</t>
  </si>
  <si>
    <t>ПГРс-120у серия ПРОФИ</t>
  </si>
  <si>
    <t>ПГРс-120у</t>
  </si>
  <si>
    <t>ПГРс-240 серия ПРОФИ</t>
  </si>
  <si>
    <t>ПГРс-240</t>
  </si>
  <si>
    <t>ПГРс-240у серия ПРОФИ</t>
  </si>
  <si>
    <t>ПГРс-240у</t>
  </si>
  <si>
    <t>ПГРс-240А серия ПРОФИ</t>
  </si>
  <si>
    <t>ПГРс-240А</t>
  </si>
  <si>
    <t>ПГРс-240БМА серия ПРОФИ</t>
  </si>
  <si>
    <t>ПГРс-240БМА</t>
  </si>
  <si>
    <t>ПГР-300 серия МАСТЕР</t>
  </si>
  <si>
    <t>ПГР-300</t>
  </si>
  <si>
    <t>ПГРс-300 серия ПРОФИ</t>
  </si>
  <si>
    <t>ПГРс-300</t>
  </si>
  <si>
    <t>ПГРс-300у серия ПРОФИ</t>
  </si>
  <si>
    <t>ПГРс-300у</t>
  </si>
  <si>
    <t>ПГРс-300АМ серия ПРОФИ</t>
  </si>
  <si>
    <t>ПГРс-300АМ</t>
  </si>
  <si>
    <t>ПГРс-400у серия ПРОФИ</t>
  </si>
  <si>
    <t>ПГРс-400у</t>
  </si>
  <si>
    <t>ПГР-150 СИП серия ПРОФИ</t>
  </si>
  <si>
    <t>ПГР-150 СИП</t>
  </si>
  <si>
    <t>ПГР- 6т серия МАСТЕР</t>
  </si>
  <si>
    <t>ПГР- 6т МАСТЕР</t>
  </si>
  <si>
    <t>ПГР-6т + ТРК серия МАСТЕР</t>
  </si>
  <si>
    <t>ПГР-6т + ТРК</t>
  </si>
  <si>
    <t>ПГР-10т серия МАСТЕР</t>
  </si>
  <si>
    <t>ПГР-10т МАСТЕР</t>
  </si>
  <si>
    <t>Пресс гидравлический аккумуляторный</t>
  </si>
  <si>
    <t>ПГРА-16 серия ПРОФИ</t>
  </si>
  <si>
    <t>ПГРА-16</t>
  </si>
  <si>
    <t>ПГРА-25 серия ПРОФИ</t>
  </si>
  <si>
    <t>ПГРА-25</t>
  </si>
  <si>
    <t>ПГРА-70 серия ПРОФИ</t>
  </si>
  <si>
    <t>ПГРА-70</t>
  </si>
  <si>
    <t xml:space="preserve">Пресс гидравлический аккумуляторный </t>
  </si>
  <si>
    <t>ПГРА-240 серия ПРОФИ</t>
  </si>
  <si>
    <t>ПГРА-240</t>
  </si>
  <si>
    <t>Пресс гидравлический аккумуляторный безматричный</t>
  </si>
  <si>
    <t>ПГРА-240БМ серия ПРОФИ</t>
  </si>
  <si>
    <t>ПГРА-240БМ</t>
  </si>
  <si>
    <t>ПГРА-300 серия ПРОФИ</t>
  </si>
  <si>
    <t>ПГРА-300</t>
  </si>
  <si>
    <t>ПГРА-400 серия ПРОФИ</t>
  </si>
  <si>
    <t>ПГРА-400</t>
  </si>
  <si>
    <t xml:space="preserve">Пресс гидравлический </t>
  </si>
  <si>
    <t>ПГП-300 серия МАСТЕР</t>
  </si>
  <si>
    <t>ПГП-300</t>
  </si>
  <si>
    <t>Пресс гидравлический</t>
  </si>
  <si>
    <t>ПГ-240БМА серия ПРОФИ</t>
  </si>
  <si>
    <t>ПГ-240БМА</t>
  </si>
  <si>
    <t>ПГ-300 серия ПРОФИ</t>
  </si>
  <si>
    <t>ПГ-300</t>
  </si>
  <si>
    <t>ПГ-630 серия ПРОФИ</t>
  </si>
  <si>
    <t>ПГ-630</t>
  </si>
  <si>
    <t>ПГ-1000 серия ПРОФИ</t>
  </si>
  <si>
    <t>ПГ-1000</t>
  </si>
  <si>
    <t xml:space="preserve">Набор матриц для опрессовки </t>
  </si>
  <si>
    <t>НМ-300-ТМ серия ПРОФИ</t>
  </si>
  <si>
    <t>матрицы НМ-300 ТМ</t>
  </si>
  <si>
    <t>НМ-300-ТМЛс серия ПРОФИ</t>
  </si>
  <si>
    <t>матрицы НМ-300 ТМЛс</t>
  </si>
  <si>
    <t>НМ-300-ТА серия ПРОФИ</t>
  </si>
  <si>
    <t>матрицы НМ-300 ТА</t>
  </si>
  <si>
    <t>НМ-300-DIN серия ПРОФИ</t>
  </si>
  <si>
    <t>матрицы НМ-300 DIN</t>
  </si>
  <si>
    <t>НМ-300-ПМ серия ПРОФИ</t>
  </si>
  <si>
    <t>матрицы НМ-300 ПМ</t>
  </si>
  <si>
    <t>НМ-300-НШВИ серия ПРОФИ</t>
  </si>
  <si>
    <t>матрицы НМ-300 НШВИ</t>
  </si>
  <si>
    <t xml:space="preserve">Набор матриц для скругления </t>
  </si>
  <si>
    <t>НМ-300-С серия ПРОФИ</t>
  </si>
  <si>
    <t>матрицы НМ-300 С</t>
  </si>
  <si>
    <t>НМ-300 СИП серия ПРОФИ</t>
  </si>
  <si>
    <t>матрицы НМ-300 СИП</t>
  </si>
  <si>
    <t>Прессы и матрицы 60 тонн и 100 тонн для монтажа контактной арматуры высоковольтных линий</t>
  </si>
  <si>
    <t>ПГ-60 тонн серия ПРОФИ</t>
  </si>
  <si>
    <t>ПГ-60 тонн</t>
  </si>
  <si>
    <t xml:space="preserve">Матрица для алюминиевого зажима круглая </t>
  </si>
  <si>
    <t>А-26/60т</t>
  </si>
  <si>
    <t>матрицы для пресса ПГ-60 тонн</t>
  </si>
  <si>
    <t>под заказ</t>
  </si>
  <si>
    <t>А-28/60т</t>
  </si>
  <si>
    <t>А-29/60т</t>
  </si>
  <si>
    <t>А-31,5/60т</t>
  </si>
  <si>
    <t>А-36/60т</t>
  </si>
  <si>
    <t>А-39,5/60т</t>
  </si>
  <si>
    <t>А-40/60т</t>
  </si>
  <si>
    <t>А-40,5/60т</t>
  </si>
  <si>
    <t>А-44/60т</t>
  </si>
  <si>
    <t>А-45/60т</t>
  </si>
  <si>
    <t>А-46/60т</t>
  </si>
  <si>
    <t>А-50/60т</t>
  </si>
  <si>
    <t>А-51/60т</t>
  </si>
  <si>
    <t>А-56/60т</t>
  </si>
  <si>
    <t>А-57/60т</t>
  </si>
  <si>
    <t xml:space="preserve">Матрица для стального зажима круглая </t>
  </si>
  <si>
    <t>С-19/60т</t>
  </si>
  <si>
    <t>С-20/60т</t>
  </si>
  <si>
    <t>С-21/60т</t>
  </si>
  <si>
    <t>С-22/60т</t>
  </si>
  <si>
    <t>С-23/60т</t>
  </si>
  <si>
    <t>С-24/60т</t>
  </si>
  <si>
    <t>С-26/60т</t>
  </si>
  <si>
    <t>С-27/60т</t>
  </si>
  <si>
    <t>С-28/60т</t>
  </si>
  <si>
    <t>С-29/60т</t>
  </si>
  <si>
    <t>С-30/60т</t>
  </si>
  <si>
    <t>С-31,5/60т</t>
  </si>
  <si>
    <t>С-33/60т</t>
  </si>
  <si>
    <t xml:space="preserve">Матрица для алюминиевого зажима шестигранная </t>
  </si>
  <si>
    <t>МШ-16,5-А/60т</t>
  </si>
  <si>
    <t>МШ-18,2-А/60т</t>
  </si>
  <si>
    <t>МШ-20,8-А/60т</t>
  </si>
  <si>
    <t>МШ-23,4-А/60т</t>
  </si>
  <si>
    <t>МШ-25,0-А/60т</t>
  </si>
  <si>
    <t>МШ-26,0-А/60т</t>
  </si>
  <si>
    <t>МШ-30,3-А/60т</t>
  </si>
  <si>
    <t>МШ-31,2-А/60т</t>
  </si>
  <si>
    <t>Матрица для алюминиевого зажима шестигранная</t>
  </si>
  <si>
    <t>МШ-33,8-А/60т</t>
  </si>
  <si>
    <t>МШ-34,6-А/60т</t>
  </si>
  <si>
    <t>МШ-39,8-А/60т</t>
  </si>
  <si>
    <t>МШ-40,5-А/60т</t>
  </si>
  <si>
    <t>МШ-43,3-А/60т</t>
  </si>
  <si>
    <t>МШ-44,2-А/60т</t>
  </si>
  <si>
    <t>МШ-45,0-А/60т</t>
  </si>
  <si>
    <t>МШ-47,6-А/60т</t>
  </si>
  <si>
    <t>МШ-50,2-А/60т</t>
  </si>
  <si>
    <t xml:space="preserve">Матрица для стального зажима шестигранная </t>
  </si>
  <si>
    <t>МШ-14,5-С/60т</t>
  </si>
  <si>
    <t>МШ-16,5-С/60т</t>
  </si>
  <si>
    <t>МШ-18,5-С/60т</t>
  </si>
  <si>
    <t>МШ-20,8-С/60т</t>
  </si>
  <si>
    <t>МШ-22,5-С/60т</t>
  </si>
  <si>
    <t>МШ-24,2-С/60т</t>
  </si>
  <si>
    <t>МШ-25,0-С/60т</t>
  </si>
  <si>
    <t>МШ-26,0-С/60т</t>
  </si>
  <si>
    <t>МШ-27,0-С/60т</t>
  </si>
  <si>
    <t>МШ-28,6-С/60т</t>
  </si>
  <si>
    <t>Матрица для алюминиевого зажима круглая</t>
  </si>
  <si>
    <t>А-26,0/100т</t>
  </si>
  <si>
    <t>матрицы для пресса ПГ-100 тонн</t>
  </si>
  <si>
    <t>А-28,0/100т</t>
  </si>
  <si>
    <t>А-29,0/100т</t>
  </si>
  <si>
    <t>А-31,5/100т</t>
  </si>
  <si>
    <t>А-36,0/100т</t>
  </si>
  <si>
    <t>А-39,5/100т</t>
  </si>
  <si>
    <t>А-40,0/100т</t>
  </si>
  <si>
    <t>А-40,5/100т</t>
  </si>
  <si>
    <t>А-44,0/100т</t>
  </si>
  <si>
    <t>А-45,0/100т</t>
  </si>
  <si>
    <t>А-46,0/100т</t>
  </si>
  <si>
    <t>А-50,0/100т</t>
  </si>
  <si>
    <t>А-51,0/100т</t>
  </si>
  <si>
    <t>А-56,0/100т</t>
  </si>
  <si>
    <t>А-57,0/100т</t>
  </si>
  <si>
    <t>С-19,0/100т</t>
  </si>
  <si>
    <t>С-20,0/100т</t>
  </si>
  <si>
    <t>С-21,0/100т</t>
  </si>
  <si>
    <t>С-22,0/100т</t>
  </si>
  <si>
    <t>С-23,0/100т</t>
  </si>
  <si>
    <t>С-24,0/100т</t>
  </si>
  <si>
    <t>С-26,0/100т</t>
  </si>
  <si>
    <t>С-27,0/100т</t>
  </si>
  <si>
    <t>С-29,0/100т</t>
  </si>
  <si>
    <t>С-30,0/100т</t>
  </si>
  <si>
    <t>С-33,0/100т</t>
  </si>
  <si>
    <t>МШ-16,5-А/100т</t>
  </si>
  <si>
    <t>МШ-20,8-А/100т</t>
  </si>
  <si>
    <t>МШ-23,4-А/100т</t>
  </si>
  <si>
    <t>МШ-25,0-А/100т</t>
  </si>
  <si>
    <t>МШ-26,0-А/100т</t>
  </si>
  <si>
    <t>МШ-30,3-А/100т</t>
  </si>
  <si>
    <t>МШ-31,2-А/100т</t>
  </si>
  <si>
    <t>МШ-34,6-А/100т</t>
  </si>
  <si>
    <t>МШ-33,8-А/100т</t>
  </si>
  <si>
    <t>МШ-39,8-А/100т</t>
  </si>
  <si>
    <t>МШ-40,5-А/100т</t>
  </si>
  <si>
    <t>МШ-43,3-А/100т</t>
  </si>
  <si>
    <t>МШ-44,2-А/100т</t>
  </si>
  <si>
    <t>МШ-45,0-А/100т</t>
  </si>
  <si>
    <t>МШ-47,6-А/100т</t>
  </si>
  <si>
    <t>МШ-50,2-А/100т</t>
  </si>
  <si>
    <t>МШ-16,5-С/100т</t>
  </si>
  <si>
    <t>МШ-22,0-С/100т</t>
  </si>
  <si>
    <t>МШ-22,5-С/100т</t>
  </si>
  <si>
    <t>МШ-26,0-С/100т</t>
  </si>
  <si>
    <t>МШ-28,6-С/100т</t>
  </si>
  <si>
    <t>Ножницы для резки кабелей</t>
  </si>
  <si>
    <t>Ножницы кабельные (кабелерезы)</t>
  </si>
  <si>
    <t>Бокорезы-стриппер</t>
  </si>
  <si>
    <t>МС-02 серия ПРОФИ</t>
  </si>
  <si>
    <t>MC-02</t>
  </si>
  <si>
    <t xml:space="preserve">Ножницы кабельные </t>
  </si>
  <si>
    <t>МС-03 серия ПРОФИ</t>
  </si>
  <si>
    <t>MC-03</t>
  </si>
  <si>
    <t>МС-04 серия ПРОФИ</t>
  </si>
  <si>
    <t>MC-04</t>
  </si>
  <si>
    <t>МС-05 серия ПРОФИ</t>
  </si>
  <si>
    <t>MC-05</t>
  </si>
  <si>
    <t>МС-06 серия ПРОФИ</t>
  </si>
  <si>
    <t>MC-06</t>
  </si>
  <si>
    <t>МС-07 серия ПРОФИ</t>
  </si>
  <si>
    <t>MC-07</t>
  </si>
  <si>
    <t>Ножницы кабельные</t>
  </si>
  <si>
    <t>МС-10 серия ПРОФИ</t>
  </si>
  <si>
    <t>МС-10</t>
  </si>
  <si>
    <t>Кабелерез 170 мм серия МАСТЕР</t>
  </si>
  <si>
    <t>Кабелерез 170 мм</t>
  </si>
  <si>
    <t>Кабелерез 220 мм серия МАСТЕР</t>
  </si>
  <si>
    <t>Кабелерез 220 мм</t>
  </si>
  <si>
    <t>Кабелерез 240 мм серия МАСТЕР</t>
  </si>
  <si>
    <t>Кабелерез 240 мм</t>
  </si>
  <si>
    <t>НК-25 серия ПРОФИ</t>
  </si>
  <si>
    <t>НК-25</t>
  </si>
  <si>
    <t>НК-35 серия ПРОФИ</t>
  </si>
  <si>
    <t>НК-35</t>
  </si>
  <si>
    <t>НК-50 серия ПРОФИ</t>
  </si>
  <si>
    <t>НКм-30 серия МАСТЕР</t>
  </si>
  <si>
    <t>НКМ-30</t>
  </si>
  <si>
    <t>НКм-40 серия МАСТЕР</t>
  </si>
  <si>
    <t>НКМ-40</t>
  </si>
  <si>
    <t>НКТ-30 серия ПРОФИ</t>
  </si>
  <si>
    <t>НКТ-30</t>
  </si>
  <si>
    <t>Ножницы универсальные</t>
  </si>
  <si>
    <t>ES-01 серия ПРОФИ</t>
  </si>
  <si>
    <t>ES-01</t>
  </si>
  <si>
    <t>ES-02 серия ПРОФИ</t>
  </si>
  <si>
    <t>ES-02</t>
  </si>
  <si>
    <t>ES-03 серия ПРОФИ</t>
  </si>
  <si>
    <t>ES-03</t>
  </si>
  <si>
    <t>Ножницы секторные (ножницы НС)</t>
  </si>
  <si>
    <t xml:space="preserve">Ножницы секторные </t>
  </si>
  <si>
    <t>НС-32 серия МАСТЕР</t>
  </si>
  <si>
    <t>НС-32</t>
  </si>
  <si>
    <t>НСТ-32 серия ПРОФИ</t>
  </si>
  <si>
    <t>НСТ-32</t>
  </si>
  <si>
    <t>НСТ-38 серия ПРОФИ</t>
  </si>
  <si>
    <t>НСТ-38</t>
  </si>
  <si>
    <t>НСТ-40 серия ПРОФИ</t>
  </si>
  <si>
    <t>НСТ-40</t>
  </si>
  <si>
    <t xml:space="preserve">Ножницы секторные диэлектрические </t>
  </si>
  <si>
    <t>НСТи-40 серия ПРОФИ</t>
  </si>
  <si>
    <t>НСТи-40</t>
  </si>
  <si>
    <t>НС-45 серия ПРОФИ</t>
  </si>
  <si>
    <t>НС-45</t>
  </si>
  <si>
    <t>НС-53 серия ПРОФИ</t>
  </si>
  <si>
    <t>НС-53</t>
  </si>
  <si>
    <t>НСТ-55 серия ПРОФИ</t>
  </si>
  <si>
    <t>НСТ-55</t>
  </si>
  <si>
    <t>НС-70 серия ПРОФИ</t>
  </si>
  <si>
    <t>НС-70</t>
  </si>
  <si>
    <t>НС-70м серия МАСТЕР</t>
  </si>
  <si>
    <t>НС-70м</t>
  </si>
  <si>
    <t>Ножницы секторные диэлектрические</t>
  </si>
  <si>
    <t>НСи-70 серия ПРОФИ</t>
  </si>
  <si>
    <t>НСи-70</t>
  </si>
  <si>
    <t>НС-90 серия МАСТЕР</t>
  </si>
  <si>
    <t>НС-90</t>
  </si>
  <si>
    <t>НСи-90 серия ПРОФИ</t>
  </si>
  <si>
    <t>НСи-90</t>
  </si>
  <si>
    <t>НС-100 серия ПРОФИ</t>
  </si>
  <si>
    <t>НС-100</t>
  </si>
  <si>
    <t>Ножницы секторные</t>
  </si>
  <si>
    <t>НС-120 серия ПРОФИ</t>
  </si>
  <si>
    <t>НС-120</t>
  </si>
  <si>
    <t>Ножницы секторные аккумуляторные</t>
  </si>
  <si>
    <t>НСА-50 серия ПРОФИ</t>
  </si>
  <si>
    <t>НСА-50</t>
  </si>
  <si>
    <t>НСА-70 серия ПРОФИ</t>
  </si>
  <si>
    <t>НСА-70</t>
  </si>
  <si>
    <t xml:space="preserve">Набор лезвий </t>
  </si>
  <si>
    <t>НЛ-40</t>
  </si>
  <si>
    <t>НЛ-55</t>
  </si>
  <si>
    <t>Ножницы кабельные гидравлические</t>
  </si>
  <si>
    <t xml:space="preserve">Ножницы гидравлические ручные </t>
  </si>
  <si>
    <t>НГР-20 серия ПРОФИ</t>
  </si>
  <si>
    <t>НГР-20</t>
  </si>
  <si>
    <t>НГР-24A серия ПРОФИ</t>
  </si>
  <si>
    <t>НГР-24A</t>
  </si>
  <si>
    <t>НГР-40 серия ПРОФИ</t>
  </si>
  <si>
    <t>НГР-40</t>
  </si>
  <si>
    <t>НГР-53 серия ПРОФИ</t>
  </si>
  <si>
    <t>НГР-53</t>
  </si>
  <si>
    <t>НГР-65 серия ПРОФИ</t>
  </si>
  <si>
    <t>НГР-65</t>
  </si>
  <si>
    <t>НГР-85 серия ПРОФИ</t>
  </si>
  <si>
    <t>НГР-85</t>
  </si>
  <si>
    <t xml:space="preserve">Ножницы гидравлические </t>
  </si>
  <si>
    <t>НГ-65 серия ПРОФИ</t>
  </si>
  <si>
    <t>НГ-65</t>
  </si>
  <si>
    <t>НГ-85 серия ПРОФИ</t>
  </si>
  <si>
    <t>НГ-85</t>
  </si>
  <si>
    <t>НГО-85 серия ПРОФИ</t>
  </si>
  <si>
    <t>НГО-85</t>
  </si>
  <si>
    <t>НГО-105 серия ПРОФИ</t>
  </si>
  <si>
    <t>НГО-105</t>
  </si>
  <si>
    <t>НГО-120 серия ПРОФИ</t>
  </si>
  <si>
    <t>НГО-120</t>
  </si>
  <si>
    <t>Ножницы гидравлические аккумуляторные</t>
  </si>
  <si>
    <t>НГРА-36 серия ПРОФИ</t>
  </si>
  <si>
    <t>НГРА-36</t>
  </si>
  <si>
    <t xml:space="preserve">Ножницы гидравлические аккумуляторные </t>
  </si>
  <si>
    <t>НГРА-65 серия ПРОФИ</t>
  </si>
  <si>
    <t>НГРА-65</t>
  </si>
  <si>
    <t xml:space="preserve">Комплект для резки кабеля под напряжением </t>
  </si>
  <si>
    <t>НГПИ-85 серия ПРОФИ</t>
  </si>
  <si>
    <t>НГПИ-85</t>
  </si>
  <si>
    <t>НГПИ-105 серия ПРОФИ</t>
  </si>
  <si>
    <t>НГПИ-105</t>
  </si>
  <si>
    <t>Ножницы для резки кабельных каналов</t>
  </si>
  <si>
    <t xml:space="preserve">Ножницы для резки коробов и кабель-каналов </t>
  </si>
  <si>
    <t>НККУ-60 серия ПРОФИ</t>
  </si>
  <si>
    <t>НККУ-60</t>
  </si>
  <si>
    <t>НКК-110 «Пеликан» серия ПРОФИ</t>
  </si>
  <si>
    <t>НКК-110 «Пеликан»</t>
  </si>
  <si>
    <t>Бокорезы для резки проводов</t>
  </si>
  <si>
    <t xml:space="preserve">Бокорезы </t>
  </si>
  <si>
    <t>МС-01 серия ПРОФИ</t>
  </si>
  <si>
    <t>MC-01</t>
  </si>
  <si>
    <t xml:space="preserve">Бокорезы с держателем </t>
  </si>
  <si>
    <t>МС-01А серия ПРОФИ</t>
  </si>
  <si>
    <t>МС-01А</t>
  </si>
  <si>
    <t>МС-01В серия ПРОФИ</t>
  </si>
  <si>
    <t>МС-01B</t>
  </si>
  <si>
    <t>МС-01С серия ПРОФИ</t>
  </si>
  <si>
    <t>МС-01C</t>
  </si>
  <si>
    <t>МС-01D серия ПРОФИ</t>
  </si>
  <si>
    <t>МС-01D</t>
  </si>
  <si>
    <t>Бокорезы</t>
  </si>
  <si>
    <t>МС-01ESD серия ПРОФИ</t>
  </si>
  <si>
    <t>MC-01ESD</t>
  </si>
  <si>
    <t>Инструмент для резки тросов, болтов, DIN-реек</t>
  </si>
  <si>
    <t>Тросорезы ручные и гидравлические</t>
  </si>
  <si>
    <t>Тросорез</t>
  </si>
  <si>
    <t>ТРК-5 серия ПРОФИ</t>
  </si>
  <si>
    <t>ТРК-5</t>
  </si>
  <si>
    <t>=ЕСЛИ($E$1&gt;=$Q$1%;824.9-(824.9*$Q$1%);824.9-(824.9*$E$1))</t>
  </si>
  <si>
    <t>=ЕСЛИ($E$1&gt;=$Q$1%;676.15-(676.15*$Q$1%);676.15-(676.15*$E$1))</t>
  </si>
  <si>
    <t>ТРК-5К серия ПРОФИ</t>
  </si>
  <si>
    <t>ТРК-5К</t>
  </si>
  <si>
    <t>=ЕСЛИ($E$1&gt;=$Q$1%;843.86-(843.86*$Q$1%);843.86-(843.86*$E$1))</t>
  </si>
  <si>
    <t>=ЕСЛИ($E$1&gt;=$Q$1%;691.69-(691.69*$Q$1%);691.69-(691.69*$E$1))</t>
  </si>
  <si>
    <t xml:space="preserve">Тросорез </t>
  </si>
  <si>
    <t>ТР-6 серия МАСТЕР</t>
  </si>
  <si>
    <t>ТР-6</t>
  </si>
  <si>
    <t>ТР-10 серия МАСТЕР</t>
  </si>
  <si>
    <t>ТР-10</t>
  </si>
  <si>
    <t>ТР-14 серия МАСТЕР</t>
  </si>
  <si>
    <t>ТР-14</t>
  </si>
  <si>
    <t>ТР-10м серия ПРОФИ</t>
  </si>
  <si>
    <t>ТР-10м</t>
  </si>
  <si>
    <t>=ЕСЛИ($E$1&gt;=$Q$1%;2864.62-(2864.62*$Q$1%);2864.62-(2864.62*$E$1))</t>
  </si>
  <si>
    <t>=ЕСЛИ($E$1&gt;=$Q$1%;2348.05-(2348.05*$Q$1%);2348.05-(2348.05*$E$1))</t>
  </si>
  <si>
    <t>ТР-14м серия ПРОФИ</t>
  </si>
  <si>
    <t>ТР-14м</t>
  </si>
  <si>
    <t>=ЕСЛИ($E$1&gt;=$Q$1%;4639.78-(4639.78*$Q$1%);4639.78-(4639.78*$E$1))</t>
  </si>
  <si>
    <t>=ЕСЛИ($E$1&gt;=$Q$1%;3803.10-(3803.10*$Q$1%);3803.10-(3803.10*$E$1))</t>
  </si>
  <si>
    <t>ТР-8т серия ПРОФИ</t>
  </si>
  <si>
    <t>ТР-8т</t>
  </si>
  <si>
    <t>ТР-12т серия ПРОФИ</t>
  </si>
  <si>
    <t>ТР-12т</t>
  </si>
  <si>
    <t>Тросорез гидравлический</t>
  </si>
  <si>
    <t>ТРГ-32 серия ПРОФИ</t>
  </si>
  <si>
    <t>ТРГ-32</t>
  </si>
  <si>
    <t>Тросорез гидравлический аккумуляторный</t>
  </si>
  <si>
    <t>ТРГА-25 серия ПРОФИ</t>
  </si>
  <si>
    <t>ТРГА-25</t>
  </si>
  <si>
    <t>Тросорез гидравлический стационарный</t>
  </si>
  <si>
    <t>ТГС-30 серия ПРОФИ</t>
  </si>
  <si>
    <t>ТГС-30</t>
  </si>
  <si>
    <t>ТГС-48 серия ПРОФИ</t>
  </si>
  <si>
    <t>ТГС-48</t>
  </si>
  <si>
    <t>Болторезы ручные и гидравлические</t>
  </si>
  <si>
    <t xml:space="preserve">Болторез </t>
  </si>
  <si>
    <t>БРК-200 серия ПРОФИ</t>
  </si>
  <si>
    <t>БРК-200</t>
  </si>
  <si>
    <t>=ЕСЛИ($E$1&gt;=$Q$1%;881.15-(881.15*$Q$1%);881.15-(881.15*$E$1))</t>
  </si>
  <si>
    <t>=ЕСЛИ($E$1&gt;=$Q$1%;722.25-(722.25*$Q$1%);722.25-(722.25*$E$1))</t>
  </si>
  <si>
    <t>Болторез</t>
  </si>
  <si>
    <t>БРК-200М «GRIZZLY» серия ПРОФИ</t>
  </si>
  <si>
    <t>БРК-200М «GRIZZLY»</t>
  </si>
  <si>
    <t>=ЕСЛИ($E$1&gt;=$Q$1%;1135.48-(1135.48*$Q$1%);1135.48-(1135.48*$E$1))</t>
  </si>
  <si>
    <t>=ЕСЛИ($E$1&gt;=$Q$1%;930.72-(930.72*$Q$1%);930.72-(930.72*$E$1))</t>
  </si>
  <si>
    <t>БРК-220 серия ПРОФИ</t>
  </si>
  <si>
    <t>БРК-220</t>
  </si>
  <si>
    <t>=ЕСЛИ($E$1&gt;=$Q$1%;863.75-(863.75*$Q$1%);863.75-(863.75*$E$1))</t>
  </si>
  <si>
    <t>=ЕСЛИ($E$1&gt;=$Q$1%;707.99-(707.99*$Q$1%);707.99-(707.99*$E$1))</t>
  </si>
  <si>
    <t>БРК-250М серия ПРОФИ</t>
  </si>
  <si>
    <t>БРК-250М</t>
  </si>
  <si>
    <t>=ЕСЛИ($E$1&gt;=$Q$1%;1343.88-(1343.88*$Q$1%);1343.88-(1343.88*$E$1))</t>
  </si>
  <si>
    <t>=ЕСЛИ($E$1&gt;=$Q$1%;1101.54-(1101.54*$Q$1%);1101.54-(1101.54*$E$1))</t>
  </si>
  <si>
    <t xml:space="preserve">Болторез угловой </t>
  </si>
  <si>
    <t>БРКу-210 серия ПРОФИ</t>
  </si>
  <si>
    <t>БРКу-210</t>
  </si>
  <si>
    <t>=ЕСЛИ($E$1&gt;=$Q$1%;1871.04-(1871.04*$Q$1%);1871.04-(1871.04*$E$1))</t>
  </si>
  <si>
    <t>=ЕСЛИ($E$1&gt;=$Q$1%;1533.64-(1533.64*$Q$1%);1533.64-(1533.64*$E$1))</t>
  </si>
  <si>
    <t>БР-350 серия ПРОФИ</t>
  </si>
  <si>
    <t>БР-350</t>
  </si>
  <si>
    <t>БР-450 серия ПРОФИ</t>
  </si>
  <si>
    <t>БР-450</t>
  </si>
  <si>
    <t>БР-600 серия ПРОФИ</t>
  </si>
  <si>
    <t>БР-600</t>
  </si>
  <si>
    <t>БР-750 серия ПРОФИ</t>
  </si>
  <si>
    <t>БР-750</t>
  </si>
  <si>
    <t>БР-900 серия ПРОФИ</t>
  </si>
  <si>
    <t>БР-900</t>
  </si>
  <si>
    <t>БР-1050 серия ПРОФИ</t>
  </si>
  <si>
    <t>БР-1050</t>
  </si>
  <si>
    <t>БР-1200 серия ПРОФИ</t>
  </si>
  <si>
    <t>БР-1200</t>
  </si>
  <si>
    <t>БРМ-450 серия ПРОФИ</t>
  </si>
  <si>
    <t>БРМ-450</t>
  </si>
  <si>
    <t>=ЕСЛИ($E$1&gt;=$Q$1%;1191.9-(1191.9*$Q$1%);1191.9-(1191.9*$E$1))</t>
  </si>
  <si>
    <t>=ЕСЛИ($E$1&gt;=$Q$1%;976.97-(976.97*$Q$1%);976.97-(976.97*$E$1))</t>
  </si>
  <si>
    <t>БРМ-600 серия ПРОФИ</t>
  </si>
  <si>
    <t>БРМ-600</t>
  </si>
  <si>
    <t>=ЕСЛИ($E$1&gt;=$Q$1%;1704.38-(1704.38*$Q$1%);1704.38-(1704.38*$E$1))</t>
  </si>
  <si>
    <t>=ЕСЛИ($E$1&gt;=$Q$1%;1397.03-(1397.03*$Q$1%);1397.03-(1397.03*$E$1))</t>
  </si>
  <si>
    <t>БРМ-750 серия ПРОФИ</t>
  </si>
  <si>
    <t>БРМ-750</t>
  </si>
  <si>
    <t>=ЕСЛИ($E$1&gt;=$Q$1%;2505.7-(2505.7*$Q$1%);2505.7-(2505.7*$E$1))</t>
  </si>
  <si>
    <t>=ЕСЛИ($E$1&gt;=$Q$1%;2053.85-(2053.85*$Q$1%);2053.85-(2053.85*$E$1))</t>
  </si>
  <si>
    <t>БРМ-900 серия ПРОФИ</t>
  </si>
  <si>
    <t>БРМ-900</t>
  </si>
  <si>
    <t>=ЕСЛИ($E$1&gt;=$Q$1%;3176.21-(3176.21*$Q$1%);3176.21-(3176.21*$E$1))</t>
  </si>
  <si>
    <t>=ЕСЛИ($E$1&gt;=$Q$1%;2603.45-(2603.45*$Q$1%);2603.45-(2603.45*$E$1))</t>
  </si>
  <si>
    <t>БРМ-1050 серия ПРОФИ</t>
  </si>
  <si>
    <t>БРМ-1050</t>
  </si>
  <si>
    <t>=ЕСЛИ($E$1&gt;=$Q$1%;4672.71-(4672.71*$Q$1%);4672.71-(4672.71*$E$1))</t>
  </si>
  <si>
    <t>=ЕСЛИ($E$1&gt;=$Q$1%;3830.09-(3830.09*$Q$1%);3830.09-(3830.09*$E$1))</t>
  </si>
  <si>
    <t xml:space="preserve">Болторез гидравлический </t>
  </si>
  <si>
    <t>БРГ-12 серия ПРОФИ</t>
  </si>
  <si>
    <t>БРГ-12</t>
  </si>
  <si>
    <t>БРГ-16 серия ПРОФИ</t>
  </si>
  <si>
    <t>БРГ-16</t>
  </si>
  <si>
    <t>БРГ-22 серия ПРОФИ</t>
  </si>
  <si>
    <t>БРГ-22</t>
  </si>
  <si>
    <t>Инструмент для резки DIN-реек</t>
  </si>
  <si>
    <t xml:space="preserve">Инструмент для резки DIN-реек </t>
  </si>
  <si>
    <t>ДР-01 серия NEO</t>
  </si>
  <si>
    <t>ДР-01</t>
  </si>
  <si>
    <t>ДР-04 серия NEO</t>
  </si>
  <si>
    <t>ДР-04</t>
  </si>
  <si>
    <t>Инструмент для снятия изоляции</t>
  </si>
  <si>
    <t>Стрипперы для проводов</t>
  </si>
  <si>
    <t xml:space="preserve">Инструмент для снятия изоляции </t>
  </si>
  <si>
    <t>WS-05 серия ПРОФИ</t>
  </si>
  <si>
    <t>WS-05</t>
  </si>
  <si>
    <t>WS-09 серия ПРОФИ</t>
  </si>
  <si>
    <t>WS-09</t>
  </si>
  <si>
    <t>WS-20 «Вольтмастер» серия ПРОФИ</t>
  </si>
  <si>
    <t>WS-20 «Вольтмастер»</t>
  </si>
  <si>
    <t>WS-21 серия ПРОФИ</t>
  </si>
  <si>
    <t>WS-21</t>
  </si>
  <si>
    <t>WS-30 серия ПРОФИ</t>
  </si>
  <si>
    <t>WS-30</t>
  </si>
  <si>
    <t>WS-01A серия ПРОФИ</t>
  </si>
  <si>
    <t>WS-01A</t>
  </si>
  <si>
    <t>WS-01C серия ПРОФИ</t>
  </si>
  <si>
    <t>WS-01C</t>
  </si>
  <si>
    <t>WS-01D серия ПРОФИ</t>
  </si>
  <si>
    <t>WS-01D</t>
  </si>
  <si>
    <t>WS-01F серия ПРОФИ</t>
  </si>
  <si>
    <t>WS-01F</t>
  </si>
  <si>
    <t>WSS-01 серия ПРОФИ</t>
  </si>
  <si>
    <t>WSS-01</t>
  </si>
  <si>
    <t>WSS-02 серия ПРОФИ</t>
  </si>
  <si>
    <t>WSS-02</t>
  </si>
  <si>
    <t>WSS-03 серия ПРОФИ</t>
  </si>
  <si>
    <t>WSS-03</t>
  </si>
  <si>
    <t>WS-03 серия ПРОФИ</t>
  </si>
  <si>
    <t>WS-03</t>
  </si>
  <si>
    <t>WS-04A серия ПРОФИ</t>
  </si>
  <si>
    <t>WS-04A</t>
  </si>
  <si>
    <t>WS-07 серия ПРОФИ</t>
  </si>
  <si>
    <t>WS-07</t>
  </si>
  <si>
    <t>WS-11 серия ПРОФИ</t>
  </si>
  <si>
    <t>WS-11</t>
  </si>
  <si>
    <t>WS-12 «Ягуар» серия ПРОФИ</t>
  </si>
  <si>
    <t>WS-12 «Ягуар»</t>
  </si>
  <si>
    <t>WS-17 серия ПРОФИ</t>
  </si>
  <si>
    <t>WS-17</t>
  </si>
  <si>
    <t>WS-18 серия ПРОФИ</t>
  </si>
  <si>
    <t>WS-18</t>
  </si>
  <si>
    <t>WS-19 серия ПРОФИ</t>
  </si>
  <si>
    <t>WS-25 серия ПРОФИ</t>
  </si>
  <si>
    <t>WS-25</t>
  </si>
  <si>
    <t>WS-14 «Вольтмастер» серия ПРОФИ</t>
  </si>
  <si>
    <t>WS-14 «Вольтмастер»</t>
  </si>
  <si>
    <t>WS-15 «Вольтмастер» серия ПРОФИ</t>
  </si>
  <si>
    <t>WS-15 «Вольтмастер»</t>
  </si>
  <si>
    <t>WS-06 серия ПРОФИ</t>
  </si>
  <si>
    <t>WS-06</t>
  </si>
  <si>
    <t>Инструмент для снятия изоляции диэлектрический</t>
  </si>
  <si>
    <t>WS-06VDE серия ПРОФИ</t>
  </si>
  <si>
    <t>WS-06VDE</t>
  </si>
  <si>
    <t>WS-16 серия ПРОФИ</t>
  </si>
  <si>
    <t>WS-16</t>
  </si>
  <si>
    <t>WS-22т серия ПРОФИ</t>
  </si>
  <si>
    <t>WS-22т</t>
  </si>
  <si>
    <t>Стрипперы для силового кабеля</t>
  </si>
  <si>
    <t>КСО серия ПРОФИ</t>
  </si>
  <si>
    <t>КСО</t>
  </si>
  <si>
    <t>КС-25 серия ПРОФИ</t>
  </si>
  <si>
    <t>КС-25</t>
  </si>
  <si>
    <t>КС-28 серия ПРОФИ</t>
  </si>
  <si>
    <t>КС-28</t>
  </si>
  <si>
    <t>КС-28у серия ПРОФИ</t>
  </si>
  <si>
    <t>КС-28у</t>
  </si>
  <si>
    <t>КС-35у серия ПРОФИ</t>
  </si>
  <si>
    <t>КС-35у</t>
  </si>
  <si>
    <t>Стрипперы для кабеля из сшитого полиэтилена</t>
  </si>
  <si>
    <t>Инструмент для разделки кабеля из сшитого полиэтилена</t>
  </si>
  <si>
    <t>FBS 16-52 серия ПРОФИ</t>
  </si>
  <si>
    <t>FBS 16-52</t>
  </si>
  <si>
    <t>IMS 10-52 серия ПРОФИ</t>
  </si>
  <si>
    <t>IMS 10-52</t>
  </si>
  <si>
    <t>Инструмент для снятия фаски с изоляции на кабелях из сшитого полиэтилена</t>
  </si>
  <si>
    <t>UFS 16-52 серия ПРОФИ</t>
  </si>
  <si>
    <t>UFS 16-52</t>
  </si>
  <si>
    <t>Комплект для разделки кабеля из сшитого полиэтилена</t>
  </si>
  <si>
    <t>FBS + IMS серия ПРОФИ</t>
  </si>
  <si>
    <t>FBS + IMS</t>
  </si>
  <si>
    <t>Комплект инструментов для разделки кабеля из сшитого полиэтилена</t>
  </si>
  <si>
    <t>FBS + IMS + UFS серия ПРОФИ</t>
  </si>
  <si>
    <t>FBS + IMS + UFS</t>
  </si>
  <si>
    <t xml:space="preserve">Инструмент для разделки кабеля из сшитого полиэтилена </t>
  </si>
  <si>
    <t>КСП-40 серия ПРОФИ</t>
  </si>
  <si>
    <t>КСП-40</t>
  </si>
  <si>
    <t>КСП-50 серия ПРОФИ</t>
  </si>
  <si>
    <t>КСП-50</t>
  </si>
  <si>
    <t>КСП-65 серия ПРОФИ</t>
  </si>
  <si>
    <t>КСП-65</t>
  </si>
  <si>
    <t>КСП-70 серия ПРОФИ</t>
  </si>
  <si>
    <t>КСП-70</t>
  </si>
  <si>
    <t>КСП-90 серия ПРОФИ</t>
  </si>
  <si>
    <t>КСП-90</t>
  </si>
  <si>
    <t>КСП-150 серия ПРОФИ</t>
  </si>
  <si>
    <t>КСП-150</t>
  </si>
  <si>
    <t>КСП-30 серия ПРОФИ</t>
  </si>
  <si>
    <t>КСП-30</t>
  </si>
  <si>
    <t>Ножи электрика монтерские</t>
  </si>
  <si>
    <t xml:space="preserve">Нож монтерский </t>
  </si>
  <si>
    <t>НМ-01 серия ПРОФИ</t>
  </si>
  <si>
    <t>НМ-01</t>
  </si>
  <si>
    <t>НМ-02 серия ПРОФИ</t>
  </si>
  <si>
    <t>НМ-02</t>
  </si>
  <si>
    <t>НМ-03 серия ПРОФИ</t>
  </si>
  <si>
    <t>НМ-03</t>
  </si>
  <si>
    <t>НМ-05 серия ПРОФИ</t>
  </si>
  <si>
    <t>НМ-05</t>
  </si>
  <si>
    <t>НМ-06 серия ПРОФИ</t>
  </si>
  <si>
    <t>НМ-06</t>
  </si>
  <si>
    <t>НМ-09 серия ПРОФИ</t>
  </si>
  <si>
    <t>НМ-09</t>
  </si>
  <si>
    <t>НМ-10 серия ПРОФИ</t>
  </si>
  <si>
    <t>НМ-10</t>
  </si>
  <si>
    <t>Нож монтерский</t>
  </si>
  <si>
    <t>НМ-11 серия ПРОФИ</t>
  </si>
  <si>
    <t>НМ-11</t>
  </si>
  <si>
    <t>Нож универсальный</t>
  </si>
  <si>
    <t>KF-01 серия ПРАКТИК</t>
  </si>
  <si>
    <t>KF-01</t>
  </si>
  <si>
    <t>KF-02 серия ПРАКТИК</t>
  </si>
  <si>
    <t>KF-02</t>
  </si>
  <si>
    <t>Мультитулы электрика</t>
  </si>
  <si>
    <t>Мультитул-длинногубцы</t>
  </si>
  <si>
    <t>MT-02т серия ERGOLINE</t>
  </si>
  <si>
    <t>МТ-02т</t>
  </si>
  <si>
    <t>MT-03 серия ПРОФИ</t>
  </si>
  <si>
    <t>MT-03</t>
  </si>
  <si>
    <t>MT-03т серия ПРОФИ</t>
  </si>
  <si>
    <t>MT-03т</t>
  </si>
  <si>
    <t>Мультитул-пассатижи 215 мм серия ПРОФИ</t>
  </si>
  <si>
    <t>Мультитул-пассатижи 215 мм cерия ПРОФИ</t>
  </si>
  <si>
    <t>Мультитул-длинногубцы 205 мм серия ПРОФИ</t>
  </si>
  <si>
    <t>Мультитул-длинногубцы 205 мм cерия ПРОФИ</t>
  </si>
  <si>
    <t>Инструмент для пробивки отверстий</t>
  </si>
  <si>
    <t xml:space="preserve">Пресс гидравлический для пробивки отверстий </t>
  </si>
  <si>
    <t>ППО-60 серия ПРОФИ</t>
  </si>
  <si>
    <t>ППО-60</t>
  </si>
  <si>
    <t>Пресс гидравлический для пробивки отверстий</t>
  </si>
  <si>
    <t>ПГПО-60 серия МАСТЕР</t>
  </si>
  <si>
    <t>ПГПО-60</t>
  </si>
  <si>
    <t>ППО-115 серия ПРОФИ</t>
  </si>
  <si>
    <t>ППО-115</t>
  </si>
  <si>
    <t>ПГПО-115 серия МАСТЕР</t>
  </si>
  <si>
    <t>ПГПО-115</t>
  </si>
  <si>
    <t>ПГПО-60А серия ПРОФИ</t>
  </si>
  <si>
    <t>ПГПО-60А</t>
  </si>
  <si>
    <t xml:space="preserve">Пресс гидравлический ручной для пробивки отверстий </t>
  </si>
  <si>
    <t>ПГРО-60А серия ПРОФИ</t>
  </si>
  <si>
    <t>ПГРО-60А</t>
  </si>
  <si>
    <t>ПГРОу-60А серия ПРОФИ</t>
  </si>
  <si>
    <t>ПГРОу-60А</t>
  </si>
  <si>
    <t>ПГРОп-60А серия ПРОФИ</t>
  </si>
  <si>
    <t>ПГРОп-60А</t>
  </si>
  <si>
    <t xml:space="preserve">Пресс гидравлический аккумуляторный для пробивки отверстий </t>
  </si>
  <si>
    <t>ПГАПО-60А серия ПРОФИ</t>
  </si>
  <si>
    <t>ПГАПО-60А</t>
  </si>
  <si>
    <t>ПРПО-60 серия МАСТЕР</t>
  </si>
  <si>
    <t>ПРПО-60</t>
  </si>
  <si>
    <t xml:space="preserve">Набор матриц для пробивки отверстий </t>
  </si>
  <si>
    <t>НМПО-PG серия ПРОФИ</t>
  </si>
  <si>
    <t>НМПО-PG</t>
  </si>
  <si>
    <t>НМПО-MG серия ПРОФИ</t>
  </si>
  <si>
    <t>НМПО-MG</t>
  </si>
  <si>
    <t>НМПО-116 серия ПРОФИ</t>
  </si>
  <si>
    <t>НМПО-116</t>
  </si>
  <si>
    <t>НМПО-Т серия ПРОФИ</t>
  </si>
  <si>
    <t>НМПО-Т</t>
  </si>
  <si>
    <t>Матрица для пробивки отверстий</t>
  </si>
  <si>
    <t>МПО-16.2 серия ПРОФИ</t>
  </si>
  <si>
    <t>матрицы МПО (круглые)</t>
  </si>
  <si>
    <t>МПО-18,6 серия ПРОФИ</t>
  </si>
  <si>
    <t>МПО-20,5 серия ПРОФИ</t>
  </si>
  <si>
    <t>МПО-22,5 серия ПРОФИ</t>
  </si>
  <si>
    <t>МПО-24,5 серия ПРОФИ</t>
  </si>
  <si>
    <t>МПО-25,4 серия ПРОФИ</t>
  </si>
  <si>
    <t>МПО-28,3 серия ПРОФИ</t>
  </si>
  <si>
    <t>МПО-30,5 серия ПРОФИ</t>
  </si>
  <si>
    <t>МПО-32,5 серия ПРОФИ</t>
  </si>
  <si>
    <t>МПО-37,0 серия ПРОФИ</t>
  </si>
  <si>
    <t>МПО-40,5 серия ПРОФИ</t>
  </si>
  <si>
    <t>МПО-43,0 серия ПРОФИ</t>
  </si>
  <si>
    <t>МПО-47,0 серия ПРОФИ</t>
  </si>
  <si>
    <t>МПО-50,5 серия ПРОФИ</t>
  </si>
  <si>
    <t>МПО-54,2 серия ПРОФИ</t>
  </si>
  <si>
    <t>МПО-60,0 серия ПРОФИ</t>
  </si>
  <si>
    <t>МПО-64,0 серия ПРОФИ</t>
  </si>
  <si>
    <t>МПО-69,0 серия ПРОФИ</t>
  </si>
  <si>
    <t>МПО-72,5 серия ПРОФИ</t>
  </si>
  <si>
    <t>МПО-76,0 серия ПРОФИ</t>
  </si>
  <si>
    <t>МПО-80,0 серия ПРОФИ</t>
  </si>
  <si>
    <t>МПО-89,0 серия ПРОФИ</t>
  </si>
  <si>
    <t>МПО-101,0 серия ПРОФИ</t>
  </si>
  <si>
    <t>МПО-115,0 серия ПРОФИ</t>
  </si>
  <si>
    <t xml:space="preserve">Матрица для пробивки отверстий </t>
  </si>
  <si>
    <t>МПО-22х22 серия ПРОФИ</t>
  </si>
  <si>
    <t>матрицы МПО (квадрат)</t>
  </si>
  <si>
    <t>МПО-25х25 серия ПРОФИ</t>
  </si>
  <si>
    <t>МПО-32х32 серия ПРОФИ</t>
  </si>
  <si>
    <t>МПО-46х46 серия ПРОФИ</t>
  </si>
  <si>
    <t>МПО-50х50 серия ПРОФИ</t>
  </si>
  <si>
    <t>МПО-68х68 серия ПРОФИ</t>
  </si>
  <si>
    <t>МПО-72х72 серия ПРОФИ</t>
  </si>
  <si>
    <t>МПО-90х90 серия ПРОФИ</t>
  </si>
  <si>
    <t>МПО-92х92 серия ПРОФИ</t>
  </si>
  <si>
    <t>МПО-113х113 серия ПРОФИ</t>
  </si>
  <si>
    <t>МПО-125х125 серия ПРОФИ</t>
  </si>
  <si>
    <t>МПО-22х30 серия ПРОФИ</t>
  </si>
  <si>
    <t>матрицы МПО (прямоугольник)</t>
  </si>
  <si>
    <t>МПО-30х71 серия ПРОФИ</t>
  </si>
  <si>
    <t>МПО-46х55 серия ПРОФИ</t>
  </si>
  <si>
    <t>МПО-46х72 серия ПРОФИ</t>
  </si>
  <si>
    <t>МПО-46х90 серия ПРОФИ</t>
  </si>
  <si>
    <t>Крейцмейсель</t>
  </si>
  <si>
    <t>КПО-26х12 серия ПРОФИ</t>
  </si>
  <si>
    <t>КПО-26х12</t>
  </si>
  <si>
    <t xml:space="preserve">Шпилька резьбовая </t>
  </si>
  <si>
    <t>Ш-10/20</t>
  </si>
  <si>
    <t>Ш</t>
  </si>
  <si>
    <t>Ш-20/20</t>
  </si>
  <si>
    <t>Шиногибы, шинорезы, шинодыры</t>
  </si>
  <si>
    <t xml:space="preserve">Пресс гидравлический для резки шин </t>
  </si>
  <si>
    <t>ШР-150 серия NEO</t>
  </si>
  <si>
    <t>Пресс ШР-150 NEO</t>
  </si>
  <si>
    <t>ШР-150V серия NEO</t>
  </si>
  <si>
    <t>Пресс ШР-150V NEO</t>
  </si>
  <si>
    <t>Пресс гидравлический для резки шин автономный</t>
  </si>
  <si>
    <t>ШРА-150V серия NEO</t>
  </si>
  <si>
    <t>ШРА-150V</t>
  </si>
  <si>
    <t>ШР-200 серия NEO</t>
  </si>
  <si>
    <t>Пресс ШР-200 NEO</t>
  </si>
  <si>
    <t>ШР-200V серия NEO</t>
  </si>
  <si>
    <t>Пресс ШР-200V NEO</t>
  </si>
  <si>
    <t xml:space="preserve">Пресс гидравлический для гибки шин </t>
  </si>
  <si>
    <t>ШГ-150 серия NEO</t>
  </si>
  <si>
    <t>Пресс ШГ-150 NEO</t>
  </si>
  <si>
    <t>ШГ-150К серия NEO</t>
  </si>
  <si>
    <t>Пресс ШГ-150К NEO</t>
  </si>
  <si>
    <t>Пресс гидравлический для гибки шин автономный</t>
  </si>
  <si>
    <t>ШГА-150 серия NEO</t>
  </si>
  <si>
    <t>ШГА-150</t>
  </si>
  <si>
    <t>ШГ-200 серия NEO</t>
  </si>
  <si>
    <t>Пресс ШГ-200 NEO</t>
  </si>
  <si>
    <t>ШГР-125 серия NEO</t>
  </si>
  <si>
    <t>Пресс ШГР-125 NEO</t>
  </si>
  <si>
    <t xml:space="preserve">Пресс гидравлический для перфорации шин </t>
  </si>
  <si>
    <t>ШД-95 серия NEO</t>
  </si>
  <si>
    <t>Пресс ШД-95 NEO</t>
  </si>
  <si>
    <t>Пресс гидравлический для перфорации шин автономный</t>
  </si>
  <si>
    <t>ШДА-95 серия NEO</t>
  </si>
  <si>
    <t>ШДА-95</t>
  </si>
  <si>
    <t>ШД-110 серия NEO</t>
  </si>
  <si>
    <t>Пресс ШД-110 NEO</t>
  </si>
  <si>
    <t xml:space="preserve">Матрица для перфорации шин </t>
  </si>
  <si>
    <t>МПШО-6 серия NEO</t>
  </si>
  <si>
    <t>Матрицы МПШО-95 (круглые)</t>
  </si>
  <si>
    <t>МПШО-8 серия NEO</t>
  </si>
  <si>
    <t>МПШО-10 серия NEO</t>
  </si>
  <si>
    <t>МПШО-12 серия NEO</t>
  </si>
  <si>
    <t>МПШО-16 серия NEO</t>
  </si>
  <si>
    <t>МПШО-20 серия NEO</t>
  </si>
  <si>
    <t>МПШО-6х10 серия NEO</t>
  </si>
  <si>
    <t>Матрицы МПШО-95 (овальные)</t>
  </si>
  <si>
    <t>МПШО-8x13 серия NEO</t>
  </si>
  <si>
    <t>МПШО-10x17 серия NEO</t>
  </si>
  <si>
    <t>МПШО-12x20 серия NEO</t>
  </si>
  <si>
    <t>МПШО-16х22 серия NEO</t>
  </si>
  <si>
    <t>МПШО-6/110 серия NEO</t>
  </si>
  <si>
    <t>Матрицы МПШО-110 (круглые)</t>
  </si>
  <si>
    <t>МПШО-8/110 серия NEO</t>
  </si>
  <si>
    <t>МПШО-10/110 серия NEO</t>
  </si>
  <si>
    <t>МПШО-12/110 серия NEO</t>
  </si>
  <si>
    <t>МПШО-16/110 серия NEO</t>
  </si>
  <si>
    <t>МПШО-20/110 серия NEO</t>
  </si>
  <si>
    <t>МПШО-6*10/110 серия NEO</t>
  </si>
  <si>
    <t>Матрицы МПШО-110 (овальные)</t>
  </si>
  <si>
    <t>МПШО-8*13/110 серия NEO</t>
  </si>
  <si>
    <t>МПШО-10*17/110 серия NEO</t>
  </si>
  <si>
    <t>МПШО-12*20/110 серия NEO</t>
  </si>
  <si>
    <t>МПШО-16*22/110 серия NEO</t>
  </si>
  <si>
    <t xml:space="preserve">Стол универсальный с комплектом шинообрабатывающего оборудования </t>
  </si>
  <si>
    <t>СШО-150 серия NEO</t>
  </si>
  <si>
    <t>Универсальный стол СШО-150 NEO</t>
  </si>
  <si>
    <t>=ЕСЛИ($E$1&gt;=$Q$1%;407294.55-(407294.55*$Q$1%);407294.55-(407294.55*$E$1))</t>
  </si>
  <si>
    <t>=ЕСЛИ($E$1&gt;=$Q$1%;333847.99-(333847.99*$Q$1%);333847.99-(333847.99*$E$1))</t>
  </si>
  <si>
    <t>СШО-200 серия NEO</t>
  </si>
  <si>
    <t>Универсальный стол СШО-200 NEO</t>
  </si>
  <si>
    <t>=ЕСЛИ($E$1&gt;=$Q$1%;424307.19-(424307.19*$Q$1%);424307.19-(424307.19*$E$1))</t>
  </si>
  <si>
    <t>=ЕСЛИ($E$1&gt;=$Q$1%;347792.78-(347792.78*$Q$1%);347792.78-(347792.78*$E$1))</t>
  </si>
  <si>
    <t>Насосы гидравлические</t>
  </si>
  <si>
    <t xml:space="preserve">Помпа гидравлическая ручная </t>
  </si>
  <si>
    <t>ПМР-7003 серия МАСТЕР</t>
  </si>
  <si>
    <t>ПМР-7003</t>
  </si>
  <si>
    <t>Помпа гидравлическая ручная</t>
  </si>
  <si>
    <t>ПМР-7004 серия ПРОФИ</t>
  </si>
  <si>
    <t>ПМР-7004</t>
  </si>
  <si>
    <t>ПМР-7009А серия ПРОФИ</t>
  </si>
  <si>
    <t>ПМР-7009А</t>
  </si>
  <si>
    <t>ПМР-7010 серия ПРОФИ</t>
  </si>
  <si>
    <t>ПМР-7010</t>
  </si>
  <si>
    <t>ПМР-7020 серия ПРОФИ</t>
  </si>
  <si>
    <t>ПМР-7020</t>
  </si>
  <si>
    <t>ПМР-7020-К2 серия ПРОФИ</t>
  </si>
  <si>
    <t>ПМР-7020-К2</t>
  </si>
  <si>
    <t>ПМР-7035 серия ПРОФИ</t>
  </si>
  <si>
    <t>ПМР-7035</t>
  </si>
  <si>
    <t>ПМР-7080 серия ПРОФИ</t>
  </si>
  <si>
    <t>ПМР-7080</t>
  </si>
  <si>
    <t xml:space="preserve">Помпа гидравлическая ножная </t>
  </si>
  <si>
    <t>ПМН-7008 серия ПРОФИ</t>
  </si>
  <si>
    <t>ПМН-7008</t>
  </si>
  <si>
    <t>ПМН-7012 серия ПРОФИ</t>
  </si>
  <si>
    <t>ПМН-7012</t>
  </si>
  <si>
    <t>ПМН-7012А серия ПРОФИ</t>
  </si>
  <si>
    <t>ПМН-7012А</t>
  </si>
  <si>
    <t>ПМН-7012УА серия ПРОФИ</t>
  </si>
  <si>
    <t>ПМН-7012УА</t>
  </si>
  <si>
    <t xml:space="preserve">Помпа электрогидравлическая </t>
  </si>
  <si>
    <t>ПМЭ-7020 серия ПРОФИ</t>
  </si>
  <si>
    <t>ПМЭ-7020</t>
  </si>
  <si>
    <t>ПМЭ-7020У серия ПРОФИ</t>
  </si>
  <si>
    <t>ПМЭ-7020у</t>
  </si>
  <si>
    <t>ПМЭ-7050 серия ПРОФИ</t>
  </si>
  <si>
    <t>ПМЭ-7050</t>
  </si>
  <si>
    <t>ПМЭ-7050У серия ПРОФИ</t>
  </si>
  <si>
    <t>ПМЭ-7050У</t>
  </si>
  <si>
    <t>ПМЭ-7050/380 серия ПРОФИ</t>
  </si>
  <si>
    <t>ПМЭ-7050/380</t>
  </si>
  <si>
    <t>ПМЭ-7050-К2 серия ПРОФИ</t>
  </si>
  <si>
    <t>ПМЭ-7050-К2</t>
  </si>
  <si>
    <t>ПМЭ-7050У-К2 серия ПРОФИ</t>
  </si>
  <si>
    <t>ПМЭ-7050У-К2</t>
  </si>
  <si>
    <t>Помпа электрогидравлическая</t>
  </si>
  <si>
    <t>ПМЭ-7100 серия ПРОФИ</t>
  </si>
  <si>
    <t>ПМЭ-7100</t>
  </si>
  <si>
    <t>ПМЭ-7100У серия ПРОФИ</t>
  </si>
  <si>
    <t>ПМЭ-7100У</t>
  </si>
  <si>
    <t>ПМЭ-7100-К2 серия ПРОФИ</t>
  </si>
  <si>
    <t>ПМЭ-7100-К2</t>
  </si>
  <si>
    <t xml:space="preserve">Помпа бензогидравлическая </t>
  </si>
  <si>
    <t>ПМБ-7190-К2 серия ПРОФИ</t>
  </si>
  <si>
    <t>ПМБ-7190-К2</t>
  </si>
  <si>
    <t>Аксессуары для гидравлического оборудования</t>
  </si>
  <si>
    <t xml:space="preserve">Кран распределительный </t>
  </si>
  <si>
    <t>КГР-2</t>
  </si>
  <si>
    <t>КГР-3</t>
  </si>
  <si>
    <t>КГР-4</t>
  </si>
  <si>
    <t>Рукав высокого давления</t>
  </si>
  <si>
    <t>РВД-2</t>
  </si>
  <si>
    <t>РВД-3</t>
  </si>
  <si>
    <t>РВД-5</t>
  </si>
  <si>
    <t>РВД-10</t>
  </si>
  <si>
    <t xml:space="preserve">Быстроразъемное соединение </t>
  </si>
  <si>
    <t>БРС-3/8’’</t>
  </si>
  <si>
    <t xml:space="preserve">Адаптер для установки манометра </t>
  </si>
  <si>
    <t>МА-1/4"-3/8"</t>
  </si>
  <si>
    <t xml:space="preserve">Манометр для гидравлического оборудования </t>
  </si>
  <si>
    <t>МНГ-100/63</t>
  </si>
  <si>
    <t xml:space="preserve">Кран предохранительный </t>
  </si>
  <si>
    <t>КП-3/8"</t>
  </si>
  <si>
    <t>Инструмент для прокладки кабеля</t>
  </si>
  <si>
    <t>Размотка и прокладка кабеля</t>
  </si>
  <si>
    <t>Домкрат кабельный гидравлический</t>
  </si>
  <si>
    <t>ДК-2ГМП</t>
  </si>
  <si>
    <t>=ЕСЛИ($E$1&gt;=$Q$1%;64664.28-(64664.28*$Q$1%);64664.28-(64664.28*$E$1))</t>
  </si>
  <si>
    <t>=ЕСЛИ($E$1&gt;=$Q$1%;53003.51-(53003.51*$Q$1%);53003.51-(53003.51*$E$1))</t>
  </si>
  <si>
    <t xml:space="preserve">Домкрат кабельный </t>
  </si>
  <si>
    <t>ДК-3ГП</t>
  </si>
  <si>
    <t>ДК-5ГМП</t>
  </si>
  <si>
    <t>Домкрат кабельный гидравлический разборный</t>
  </si>
  <si>
    <t>ДК-5ГМП-Р</t>
  </si>
  <si>
    <t>ДК-10ГП</t>
  </si>
  <si>
    <t>ДК-10ГМП</t>
  </si>
  <si>
    <t>Домкрат кабельный винтовой</t>
  </si>
  <si>
    <t>ДК-5В</t>
  </si>
  <si>
    <t>=ЕСЛИ($E$1&gt;=$Q$1%;75257.68-(75257.68*$Q$1%);75257.68-(75257.68*$E$1))</t>
  </si>
  <si>
    <t>=ЕСЛИ($E$1&gt;=$Q$1%;61686.62-(61686.62*$Q$1%);61686.62-(61686.62*$E$1))</t>
  </si>
  <si>
    <t>Домкрат кабельный винтовой разборный</t>
  </si>
  <si>
    <t>ДК-5ВР</t>
  </si>
  <si>
    <t xml:space="preserve">Домкрат кабельный винтовой </t>
  </si>
  <si>
    <t>ДКВ-6С</t>
  </si>
  <si>
    <t>Устройство размотки провода</t>
  </si>
  <si>
    <t>DR-40 серия ПРОФИ</t>
  </si>
  <si>
    <t>DR-40</t>
  </si>
  <si>
    <t>DR-50 серия ПРОФИ</t>
  </si>
  <si>
    <t>DR-50</t>
  </si>
  <si>
    <t>МРБ-70 серия ПРОФИ</t>
  </si>
  <si>
    <t>МРБ-70</t>
  </si>
  <si>
    <t xml:space="preserve">Вертлюг </t>
  </si>
  <si>
    <t>ВМ-5 серия ПРОФИ</t>
  </si>
  <si>
    <t>ВМ-5</t>
  </si>
  <si>
    <t>ВМ-15 серия ПРОФИ</t>
  </si>
  <si>
    <t>ВМ-15</t>
  </si>
  <si>
    <t>ВМ-20 серия ПРОФИ</t>
  </si>
  <si>
    <t>ВМ-20</t>
  </si>
  <si>
    <t>ВМ-30 серия ПРОФИ</t>
  </si>
  <si>
    <t>ВМ-30</t>
  </si>
  <si>
    <t>ВМ-50 серия ПРОФИ</t>
  </si>
  <si>
    <t>ВМ-50</t>
  </si>
  <si>
    <t>ВМ-80 серия ПРОФИ</t>
  </si>
  <si>
    <t>ВМ-80</t>
  </si>
  <si>
    <t xml:space="preserve">Чулок монтажный </t>
  </si>
  <si>
    <t>ЧМ-10/20 серия ПРОФИ</t>
  </si>
  <si>
    <t>ЧМ</t>
  </si>
  <si>
    <t>ЧМ-20/30 серия ПРОФИ</t>
  </si>
  <si>
    <t>ЧМ-30/40 серия ПРОФИ</t>
  </si>
  <si>
    <t>ЧМ-40/50 серия ПРОФИ</t>
  </si>
  <si>
    <t>ЧМ-50/65 серия ПРОФИ</t>
  </si>
  <si>
    <t>ЧМ-65/80 серия ПРОФИ</t>
  </si>
  <si>
    <t>ЧМ-80/95 серия ПРОФИ</t>
  </si>
  <si>
    <t>ЧМ-95/110 серия ПРОФИ</t>
  </si>
  <si>
    <t>Чулок монтажный</t>
  </si>
  <si>
    <t>ЧМ-110/130 серия ПРОФИ</t>
  </si>
  <si>
    <t>ЧМ-130/150 серия ПРОФИ</t>
  </si>
  <si>
    <t>ЧМ-150/180 серия ПРОФИ</t>
  </si>
  <si>
    <t>ЧМ-10/20С серия ПРОФИ</t>
  </si>
  <si>
    <t>ЧМ-С</t>
  </si>
  <si>
    <t>ЧМ-20/30С серия ПРОФИ</t>
  </si>
  <si>
    <t>ЧМ-30/40С серия ПРОФИ</t>
  </si>
  <si>
    <t>ЧМ-40/50С серия ПРОФИ</t>
  </si>
  <si>
    <t>ЧМ-50/65С серия ПРОФИ</t>
  </si>
  <si>
    <t>ЧМ-65/80С серия ПРОФИ</t>
  </si>
  <si>
    <t>ЧМ-80/95С серия ПРОФИ</t>
  </si>
  <si>
    <t>ЧМ-95/110С серия ПРОФИ</t>
  </si>
  <si>
    <t>ЧМ-110/130С серия ПРОФИ</t>
  </si>
  <si>
    <t>ЧМ-130/150С серия ПРОФИ</t>
  </si>
  <si>
    <t>ЧМ-150/180С серия ПРОФИ</t>
  </si>
  <si>
    <t>ЧМ(3)-20/30 серия ПРОФИ</t>
  </si>
  <si>
    <t>ЧМ(3)</t>
  </si>
  <si>
    <t>ЧМ(3)-30/40 серия ПРОФИ</t>
  </si>
  <si>
    <t>ЧМ(3)-40/50 серия ПРОФИ</t>
  </si>
  <si>
    <t>ЧМ(3)-50/65 серия ПРОФИ</t>
  </si>
  <si>
    <t>ЧМ(2)-10/20С серия ПРОФИ</t>
  </si>
  <si>
    <t>ЧМ(2)-С</t>
  </si>
  <si>
    <t>ЧМ(2)-20/30С серия ПРОФИ</t>
  </si>
  <si>
    <t>ЧМ(2)-30/40С серия ПРОФИ</t>
  </si>
  <si>
    <t>ЧМ(2)-40/50С серия ПРОФИ</t>
  </si>
  <si>
    <t>ЧМ(2)-50/65С серия ПРОФИ</t>
  </si>
  <si>
    <t>ЧМ(2)-65/80С серия ПРОФИ</t>
  </si>
  <si>
    <t>ЧМ(2)-80/95С серия ПРОФИ</t>
  </si>
  <si>
    <t>ЧМ(2)-95/110С серия ПРОФИ</t>
  </si>
  <si>
    <t>ЧМ(2)-110/130С серия ПРОФИ</t>
  </si>
  <si>
    <t>ЧМ(2)-130/150С серия ПРОФИ</t>
  </si>
  <si>
    <t>ЧМ(2)-150/180С серия ПРОФИ</t>
  </si>
  <si>
    <t>ЧМп-10/20 серия ПРОФИ</t>
  </si>
  <si>
    <t>ЧМп</t>
  </si>
  <si>
    <t>ЧМп-20/30 серия ПРОФИ</t>
  </si>
  <si>
    <t xml:space="preserve">Чулок монтажный проходной </t>
  </si>
  <si>
    <t>ЧМп-30/40 серия ПРОФИ</t>
  </si>
  <si>
    <t>ЧМп-40/50 серия ПРОФИ</t>
  </si>
  <si>
    <t>ЧМп-50/65 серия ПРОФИ</t>
  </si>
  <si>
    <t>ЧМп-65/80 серия ПРОФИ</t>
  </si>
  <si>
    <t>ЧМп-80/95 серия ПРОФИ</t>
  </si>
  <si>
    <t>ЧМп-95/110 серия ПРОФИ</t>
  </si>
  <si>
    <t>ЧМп-110/130 серия ПРОФИ</t>
  </si>
  <si>
    <t>ЧМп-130/150 серия ПРОФИ</t>
  </si>
  <si>
    <t>ЧМп-150/180 серия ПРОФИ</t>
  </si>
  <si>
    <t>ЧМт-10/20 серия ПРОФИ</t>
  </si>
  <si>
    <t>ЧМт</t>
  </si>
  <si>
    <t>ЧМт-20/30 серия ПРОФИ</t>
  </si>
  <si>
    <t>ЧМт-30/40 серия ПРОФИ</t>
  </si>
  <si>
    <t>ЧМт-40/50 серия ПРОФИ</t>
  </si>
  <si>
    <t>ЧМт-50/65 серия ПРОФИ</t>
  </si>
  <si>
    <t>ЧМт-65/80 серия ПРОФИ</t>
  </si>
  <si>
    <t>ЧМт-80/95 серия ПРОФИ</t>
  </si>
  <si>
    <t>Лебедки ручные и тяговые</t>
  </si>
  <si>
    <t>Лебедка тяговая автономная</t>
  </si>
  <si>
    <t>ЛТА-1 серия ПРОФИ</t>
  </si>
  <si>
    <t>ЛТА-1</t>
  </si>
  <si>
    <t>ЛТА-1М серия ПРОФИ</t>
  </si>
  <si>
    <t>ЛТА-1М</t>
  </si>
  <si>
    <t xml:space="preserve">Лебедка тяговая автономная </t>
  </si>
  <si>
    <t>ЛТА-3 серия ПРОФИ</t>
  </si>
  <si>
    <t>ЛТА-3</t>
  </si>
  <si>
    <t>ЛТА-5 серия ПРОФИ</t>
  </si>
  <si>
    <t>ЛТА-5</t>
  </si>
  <si>
    <t>ЛТА-8 серия ПРОФИ</t>
  </si>
  <si>
    <t>ЛТА-8</t>
  </si>
  <si>
    <t>Кабельная протяжка (УЗК)</t>
  </si>
  <si>
    <t>Протяжка стальная</t>
  </si>
  <si>
    <t>STP-4.0/10</t>
  </si>
  <si>
    <t>STP-4.0</t>
  </si>
  <si>
    <t>STP-4.0/15</t>
  </si>
  <si>
    <t>STP-4.0/20</t>
  </si>
  <si>
    <t>STP-4.0/30</t>
  </si>
  <si>
    <t>STP-4.0/10K в кассете</t>
  </si>
  <si>
    <t>STP-4.0-K</t>
  </si>
  <si>
    <t>STP-4.0/20K в кассете</t>
  </si>
  <si>
    <t>STP-4.0/30K в кассете</t>
  </si>
  <si>
    <t>Протяжка из полиэстера</t>
  </si>
  <si>
    <t>PET-1-3.0/10</t>
  </si>
  <si>
    <t>PET-1-3.0</t>
  </si>
  <si>
    <t>PET-1-3.0/15</t>
  </si>
  <si>
    <t>PET-1-3.0/20</t>
  </si>
  <si>
    <t>PET-1-4.0/10</t>
  </si>
  <si>
    <t>PET-1-4.0</t>
  </si>
  <si>
    <t>PET-1-4.0/15</t>
  </si>
  <si>
    <t>PET-1-4.0/20</t>
  </si>
  <si>
    <t>PET-1-4.0/30</t>
  </si>
  <si>
    <t>PET-1-4.0/15K в кассете</t>
  </si>
  <si>
    <t>PET-1-4.0-K</t>
  </si>
  <si>
    <t>PET-1-4.0/20K в кассете</t>
  </si>
  <si>
    <t>PET-1-4.0/30K в кассете</t>
  </si>
  <si>
    <t>PET-3-6.0/20</t>
  </si>
  <si>
    <t>PET-3-6.0</t>
  </si>
  <si>
    <t>PET-3-6.0/30</t>
  </si>
  <si>
    <t>PET-3-6.0/50</t>
  </si>
  <si>
    <t>PET-3-6.0/20MK на металлической катушке</t>
  </si>
  <si>
    <t>PET-3-6.0-MK</t>
  </si>
  <si>
    <t>PET-3-6.0/30MK на металлической катушке</t>
  </si>
  <si>
    <t>PET-3-6.0/50MK на металлической катушке</t>
  </si>
  <si>
    <t>Протяжка-стеклопруток</t>
  </si>
  <si>
    <t>FGP-3.5/03</t>
  </si>
  <si>
    <t>FGP-3.5</t>
  </si>
  <si>
    <t>FGP-3.5/05</t>
  </si>
  <si>
    <t>FGP-3.5/10</t>
  </si>
  <si>
    <t>FGP-3.5/15</t>
  </si>
  <si>
    <t>FGP-3.5/20</t>
  </si>
  <si>
    <t>FGP-3.5/30</t>
  </si>
  <si>
    <t>FGP-3.5/50</t>
  </si>
  <si>
    <t xml:space="preserve">Протяжка-стеклопруток </t>
  </si>
  <si>
    <t>FGP-4.5/10</t>
  </si>
  <si>
    <t>FGP-4.5</t>
  </si>
  <si>
    <t>FGP-4.5/15</t>
  </si>
  <si>
    <t>FGP-4.5/20</t>
  </si>
  <si>
    <t>FGP-4.5/30</t>
  </si>
  <si>
    <t>FGP-4.5/50</t>
  </si>
  <si>
    <t>FGP-4.5/20MK на металлической катушке</t>
  </si>
  <si>
    <t>FGP-4.5-MK</t>
  </si>
  <si>
    <t>FGP-4.5/30MK на металлической катушке</t>
  </si>
  <si>
    <t>FGP-4.5/50MK на металлической катушке</t>
  </si>
  <si>
    <t>FGP-3.5/20MK на металлической катушке</t>
  </si>
  <si>
    <t>FGP-3.5-MK</t>
  </si>
  <si>
    <t>FGP-3.5/30MK на металлической катушке</t>
  </si>
  <si>
    <t>FGP-3.5/50MK на металлической катушке</t>
  </si>
  <si>
    <t>FGP-3.5/10K в кассете</t>
  </si>
  <si>
    <t>FGP-3.5K</t>
  </si>
  <si>
    <t>FGP-3.5/15K в кассете</t>
  </si>
  <si>
    <t>FGP-3.5/20K в кассете</t>
  </si>
  <si>
    <t>FGP-3.5/30K в кассете</t>
  </si>
  <si>
    <t>FGP-6/30</t>
  </si>
  <si>
    <t>FGP-6</t>
  </si>
  <si>
    <t>FGP-6/50</t>
  </si>
  <si>
    <t>FGP-6/70</t>
  </si>
  <si>
    <t>FGP-6/30MK на металлической катушке</t>
  </si>
  <si>
    <t>FGP-6-MK</t>
  </si>
  <si>
    <t>FGP-6/50MK на металлической катушке</t>
  </si>
  <si>
    <t>FGP-6/70MK на металлической катушке</t>
  </si>
  <si>
    <t>FGP-11/100</t>
  </si>
  <si>
    <t>FGP-11</t>
  </si>
  <si>
    <t>FGP-11/150</t>
  </si>
  <si>
    <t>FGP-11/100MK на металлической катушке</t>
  </si>
  <si>
    <t>FGP-11-MK</t>
  </si>
  <si>
    <t>FGP-11/150MK на металлической катушке</t>
  </si>
  <si>
    <t>FGP-11/200MK на металлической катушке</t>
  </si>
  <si>
    <t>FGP-11/250MK на металлической катушке</t>
  </si>
  <si>
    <t>FGP-11/300MK на металлической катушке</t>
  </si>
  <si>
    <t>Газовые горелки и фены</t>
  </si>
  <si>
    <t>Фен технический</t>
  </si>
  <si>
    <t>ТТ-2000-1 серия ПРОФИ</t>
  </si>
  <si>
    <t>ТТ-2000-1</t>
  </si>
  <si>
    <t>ТТ-2000-2 LED серия ПРОФИ</t>
  </si>
  <si>
    <t>ТТ-2000-2 LED</t>
  </si>
  <si>
    <t>TT-2000-3 LCD серия ПРОФИ</t>
  </si>
  <si>
    <t>TT-2000-3 LCD</t>
  </si>
  <si>
    <t xml:space="preserve">Горелка пропановая </t>
  </si>
  <si>
    <t>ПГ серия ПРОФИ</t>
  </si>
  <si>
    <t>ПГ</t>
  </si>
  <si>
    <t>Шланг газовый армированный</t>
  </si>
  <si>
    <t>ШГ-5</t>
  </si>
  <si>
    <t xml:space="preserve">Горелка бутановая </t>
  </si>
  <si>
    <t>X-190 серия ПРОФИ</t>
  </si>
  <si>
    <t>X-190</t>
  </si>
  <si>
    <t>X-220 серия ПРОФИ</t>
  </si>
  <si>
    <t>X-220</t>
  </si>
  <si>
    <t xml:space="preserve">Паяльник бутановый </t>
  </si>
  <si>
    <t>XZ-1 серия ПРОФИ</t>
  </si>
  <si>
    <t>ХZ-1</t>
  </si>
  <si>
    <t xml:space="preserve">Горелка-насадка газовая с пьезоподжигом </t>
  </si>
  <si>
    <t>GT-10 серия ПРОФИ</t>
  </si>
  <si>
    <t>GT-10</t>
  </si>
  <si>
    <t>GT-11 серия ПРОФИ</t>
  </si>
  <si>
    <t>GT-11</t>
  </si>
  <si>
    <t>GT-12 серия ПРОФИ</t>
  </si>
  <si>
    <t>GT-12</t>
  </si>
  <si>
    <t>GT-13 серия ПРОФИ</t>
  </si>
  <si>
    <t>GT-13</t>
  </si>
  <si>
    <t>GT-14 серия ПРОФИ</t>
  </si>
  <si>
    <t>GT-14</t>
  </si>
  <si>
    <t>GT-15 серия ПРОФИ</t>
  </si>
  <si>
    <t>GT-15</t>
  </si>
  <si>
    <t>GT-16 серия ПРОФИ</t>
  </si>
  <si>
    <t>GT-16</t>
  </si>
  <si>
    <t xml:space="preserve">Горелка-насадка газовая </t>
  </si>
  <si>
    <t>GT-17 серия ПРОФИ</t>
  </si>
  <si>
    <t>GT-17</t>
  </si>
  <si>
    <t>GT-18 серия ПРОФИ</t>
  </si>
  <si>
    <t>GT-18</t>
  </si>
  <si>
    <t>Горелка-насадка газовая с пьезоподжигом</t>
  </si>
  <si>
    <t>GT-19 серия ПРОФИ</t>
  </si>
  <si>
    <t>GT-19</t>
  </si>
  <si>
    <t>Инструмент для монтажа кабельных стяжек и лент</t>
  </si>
  <si>
    <t xml:space="preserve">Инструмент для монтажа нейлоновых стяжек </t>
  </si>
  <si>
    <t>TG-01 серия ПРОФИ</t>
  </si>
  <si>
    <t>TG-01</t>
  </si>
  <si>
    <t xml:space="preserve">Инструмент для монтажа стальных стяжек </t>
  </si>
  <si>
    <t>TG-02 серия ПРОФИ</t>
  </si>
  <si>
    <t>TG-02</t>
  </si>
  <si>
    <t>TG-03 серия ПРОФИ</t>
  </si>
  <si>
    <t>TG-03</t>
  </si>
  <si>
    <t>TG-05 серия ПРОФИ</t>
  </si>
  <si>
    <t>TG-05</t>
  </si>
  <si>
    <t xml:space="preserve">Инструмент для натяжения стальной ленты </t>
  </si>
  <si>
    <t>ИН-20 серия ПРОФИ</t>
  </si>
  <si>
    <t>ИН-20</t>
  </si>
  <si>
    <t>ИНТу-20 серия ПРОФИ</t>
  </si>
  <si>
    <t>ИНТу-20</t>
  </si>
  <si>
    <t>ИНТ-20 мини серия ПРОФИ</t>
  </si>
  <si>
    <t>ИНТ-20 мини</t>
  </si>
  <si>
    <t xml:space="preserve">Ножницы для резки стальных лент </t>
  </si>
  <si>
    <t>НМ-20 серия ПРОФИ</t>
  </si>
  <si>
    <t>НМ-20</t>
  </si>
  <si>
    <t>Ключи для электрошкафов</t>
  </si>
  <si>
    <t xml:space="preserve">Ключ для электрошкафов </t>
  </si>
  <si>
    <t>КЭШ-5 серия МАСТЕР</t>
  </si>
  <si>
    <t>КЭШ-5</t>
  </si>
  <si>
    <t>КЭШ-5М серия МАСТЕР</t>
  </si>
  <si>
    <t>КЭШ-5М</t>
  </si>
  <si>
    <t>КЭШ-10 серия МАСТЕР</t>
  </si>
  <si>
    <t>КЭШ-10</t>
  </si>
  <si>
    <t>Наборы инструмента</t>
  </si>
  <si>
    <t>Набор инструментов для монтажа муфт</t>
  </si>
  <si>
    <t>НИМ-1</t>
  </si>
  <si>
    <t>НИМ-2 «Бумага + Винил»</t>
  </si>
  <si>
    <t>НИМ-2</t>
  </si>
  <si>
    <t>НИМ-3 «Сшитик»</t>
  </si>
  <si>
    <t>НИМ-3</t>
  </si>
  <si>
    <t>НИМ-70</t>
  </si>
  <si>
    <t>Набор инструментов электрика</t>
  </si>
  <si>
    <t>НИЭ-01</t>
  </si>
  <si>
    <t>НИЭ-02</t>
  </si>
  <si>
    <t>Набор инструментов "Щитовик"</t>
  </si>
  <si>
    <t>НИЭ-03</t>
  </si>
  <si>
    <t>Набор монтажника 1000 В</t>
  </si>
  <si>
    <t>НИЭ-04</t>
  </si>
  <si>
    <t>Набор инструментов "Домашний мастер"</t>
  </si>
  <si>
    <t>НИЭ-05</t>
  </si>
  <si>
    <t>НИЭ-05 «Домашний мастер»</t>
  </si>
  <si>
    <t>Набор инструментов «Эксплуатационщик»</t>
  </si>
  <si>
    <t>НИЭ-07</t>
  </si>
  <si>
    <t>НИЭ-12</t>
  </si>
  <si>
    <t>Диэлектрический инструмент</t>
  </si>
  <si>
    <t>Диэлектрический шарнирно-губцевый инструмент</t>
  </si>
  <si>
    <t>Пассатижи диэлектрические 180 мм серия ERGOLINE</t>
  </si>
  <si>
    <t>Пассатижи диэлектрические 180 мм ERGOLINE</t>
  </si>
  <si>
    <t>Пассатижи диэлектрические 200 мм серия ERGOLINE</t>
  </si>
  <si>
    <t>Пассатижи диэлектрические 200 мм ERGOLINE</t>
  </si>
  <si>
    <t>Пассатижи многофункциональные диэлектрические 200 мм серия ERGOLINE</t>
  </si>
  <si>
    <t>Пассатижи многофункциональные диэлектрические 200 мм ERGOLINE</t>
  </si>
  <si>
    <t>Длинногубцы диэлектрические 160 мм серия ERGOLINE</t>
  </si>
  <si>
    <t>Длинногубцы диэлектрические 160 мм ERGOLINE</t>
  </si>
  <si>
    <t>Длинногубцы диэлектрические 200 мм серия ERGOLINE</t>
  </si>
  <si>
    <t>Длинногубцы диэлектрические 200 мм ERGOLINE</t>
  </si>
  <si>
    <t>Длинногубцы многофункциональные диэлектрические 200 мм серия ERGOLINE</t>
  </si>
  <si>
    <t>Длинногубцы многофункциональные диэлектрические 200 мм ERGOLINE</t>
  </si>
  <si>
    <t>Бокорезы диэлектрические 160 мм серия ERGOLINE</t>
  </si>
  <si>
    <t>Бокорезы диэлектрические 160 мм ERGOLINE</t>
  </si>
  <si>
    <t>Бокорезы диэлектрические 200 мм серия ERGOLINE</t>
  </si>
  <si>
    <t>Бокорезы диэлектрические 200 мм ERGOLINE</t>
  </si>
  <si>
    <t>Бокорезы многофункциональные диэлектрические 200 мм серия ERGOLINE</t>
  </si>
  <si>
    <t>Бокорезы многофункциональные диэлектрические 200 мм ERGOLINE</t>
  </si>
  <si>
    <t>Пассатижи диэлектрические 160 мм серия ПРОФИ</t>
  </si>
  <si>
    <t>Пассатижи диэлектрические 160 мм серии ПРОФИ</t>
  </si>
  <si>
    <t>Пассатижи диэлектрические 180 мм серия ПРОФИ</t>
  </si>
  <si>
    <t>Пассатижи диэлектрические 180 мм серии ПРОФИ</t>
  </si>
  <si>
    <t>Длинногубцы диэлектрические 160 мм серия ПРОФИ</t>
  </si>
  <si>
    <t>Длинногубцы диэлектрические 160 мм серии ПРОФИ</t>
  </si>
  <si>
    <t>Длинногубцы изогнутые диэлектрические 160 мм серия ПРОФИ</t>
  </si>
  <si>
    <t>Длинногубцы изогнутые диэлектрические 160 мм серии ПРОФИ</t>
  </si>
  <si>
    <t>Бокорезы диэлектрические 160 мм серия ПРОФИ</t>
  </si>
  <si>
    <t>Бокорезы диэлектрические 160 мм серии ПРОФИ</t>
  </si>
  <si>
    <t>Бокорезы диэлектрические 180 мм серия ПРОФИ</t>
  </si>
  <si>
    <t>Бокорезы усиленные диэлектрические 180 мм серии ПРОФИ</t>
  </si>
  <si>
    <t>Пассатижи диэлектрические 160 мм серия СТАНДАРТ</t>
  </si>
  <si>
    <t>Пассатижи диэлектрические 160 мм серии СТАНДАРТ</t>
  </si>
  <si>
    <t>Пассатижи диэлектрические 180 мм серия СТАНДАРТ</t>
  </si>
  <si>
    <t>Пассатижи диэлектрические 180 мм серии СТАНДАРТ</t>
  </si>
  <si>
    <t>Пассатижи диэлектрические 200 мм серия СТАНДАРТ</t>
  </si>
  <si>
    <t>Пассатижи диэлектрические 200 мм серии СТАНДАРТ</t>
  </si>
  <si>
    <t>Пассатижи многофунциональные диэлектрические 200 мм серия СТАНДАРТ</t>
  </si>
  <si>
    <t>Пассатижи многофункциональные диэлектрические 200 мм серии СТАНДАРТ</t>
  </si>
  <si>
    <t>Пассатижи диэлектрические со сдвоенным шарниром 225 мм серия СТАНДАРТ</t>
  </si>
  <si>
    <t>Пассатижи диэлектрические со сдвоенным шарниром 225 мм СТАНДАРТ</t>
  </si>
  <si>
    <t>Длинногубцы диэлектрические 160 мм серия СТАНДАРТ</t>
  </si>
  <si>
    <t>Длинногубцы диэлектрические 160 мм серии СТАНДАРТ</t>
  </si>
  <si>
    <t>Длинногубцы диэлектрические 200 мм серия СТАНДАРТ</t>
  </si>
  <si>
    <t>Длинногубцы диэлектрические 200 мм серии СТАНДАРТ</t>
  </si>
  <si>
    <t>Длинногубцы изогнутые диэлектрические 200 мм серия СТАНДАРТ</t>
  </si>
  <si>
    <t>Длинногубцы изогнутые диэлектрические 200 мм серии СТАНДАРТ</t>
  </si>
  <si>
    <t>Длинногубцы многофунциональные диэлектрические 200 мм серия СТАНДАРТ</t>
  </si>
  <si>
    <t>Длинногубцы многофункциональные диэлектрические 200 мм серии СТАНДАРТ</t>
  </si>
  <si>
    <t>Круглогубцы диэлектрические 160 мм серия СТАНДАРТ</t>
  </si>
  <si>
    <t>Круглогубцы диэлектрические 160 мм серии СТАНДАРТ</t>
  </si>
  <si>
    <t>Бокорезы диэлектрические 160 мм серия СТАНДАРТ</t>
  </si>
  <si>
    <t>Бокорезы диэлектрические 160 мм серии СТАНДАРТ</t>
  </si>
  <si>
    <t>Бокорезы диэлектрические 180 мм серия СТАНДАРТ</t>
  </si>
  <si>
    <t>Бокорезы усиленные диэлектрические 180 мм серии СТАНДАРТ</t>
  </si>
  <si>
    <t>Бокорезы диэлектрические со сдвоенным шарниром 210 мм серия СТАНДАРТ</t>
  </si>
  <si>
    <t>Бокорезы диэлектрические со сдвоенным шарниром 210 мм СТАНДАРТ</t>
  </si>
  <si>
    <t>Стриппер диэлектрический 160 мм серия СТАНДАРТ</t>
  </si>
  <si>
    <t>Стриппер диэлектрический 160 мм серии СТАНДАРТ</t>
  </si>
  <si>
    <t>Клещи переставные диэлектрические 250 мм серия СТАНДАРТ</t>
  </si>
  <si>
    <t>Клещи переставные диэлектрические 250 мм серии СТАНДАРТ</t>
  </si>
  <si>
    <t>Пассатижи диэлектрические 160 мм серия ЭКСПЕРТ</t>
  </si>
  <si>
    <t>Пассатижи диэлектрические 160 мм серии ЭКСПЕРТ</t>
  </si>
  <si>
    <t>Пассатижи диэлектрические 180 мм серия ЭКСПЕРТ</t>
  </si>
  <si>
    <t>Пассатижи диэлектрические 180 мм серии ЭКСПЕРТ</t>
  </si>
  <si>
    <t>Пассатижи диэлектрические 200 мм серия ЭКСПЕРТ</t>
  </si>
  <si>
    <t>Пассатижи диэлектрические 200 мм серии ЭКСПЕРТ</t>
  </si>
  <si>
    <t>Длинногубцы диэлектрические 160 мм серия ЭКСПЕРТ</t>
  </si>
  <si>
    <t>Длинногубцы диэлектрические 160 мм серии ЭКСПЕРТ</t>
  </si>
  <si>
    <t>Длинногубцы изогнутые диэлектрические 160 мм серия ЭКСПЕРТ</t>
  </si>
  <si>
    <t>Длинногубцы изогнутые диэлектрические 160 мм серии ЭКСПЕРТ</t>
  </si>
  <si>
    <t>Длинногубцы диэлектрические 200 мм серия ЭКСПЕРТ</t>
  </si>
  <si>
    <t>Длинногубцы диэлектрические 200 мм серии ЭКСПЕРТ</t>
  </si>
  <si>
    <t>Длинногубцы изогнутые диэлектрические 200 мм серия ЭКСПЕРТ</t>
  </si>
  <si>
    <t>Длинногубцы изогнутые диэлектрические 200 мм серии ЭКСПЕРТ</t>
  </si>
  <si>
    <t>Бокорезы диэлектрические 160 мм серия ЭКСПЕРТ</t>
  </si>
  <si>
    <t>Бокорезы диэлектрические 160 мм серии ЭКСПЕРТ</t>
  </si>
  <si>
    <t>Бокорезы диэлектрические 180 мм серия ЭКСПЕРТ</t>
  </si>
  <si>
    <t>Бокорезы усиленные диэлектрические 180 мм серии ЭКСПЕРТ</t>
  </si>
  <si>
    <t>Диэлектрические отвертки</t>
  </si>
  <si>
    <t>Отвертка диэлектрическая</t>
  </si>
  <si>
    <t>SL2.5х75 серия ПРОФИ</t>
  </si>
  <si>
    <t>Диэлектрические отвертки VDE поштучно серия «ПРОФИ»</t>
  </si>
  <si>
    <t>SL3.0x100 серия ПРОФИ</t>
  </si>
  <si>
    <t>SL4.0x100 серия ПРОФИ</t>
  </si>
  <si>
    <t>SL5.5x125 серия ПРОФИ</t>
  </si>
  <si>
    <t>SL6.5х150 серия ПРОФИ</t>
  </si>
  <si>
    <t>PH0x60 серия ПРОФИ</t>
  </si>
  <si>
    <t>PH1x80 серия ПРОФИ</t>
  </si>
  <si>
    <t>PH2x100 серия ПРОФИ</t>
  </si>
  <si>
    <t>PZ1x80 серия ПРОФИ</t>
  </si>
  <si>
    <t>PZ2x100 серия ПРОФИ</t>
  </si>
  <si>
    <t>PH/FL1x80 серия ПРОФИ</t>
  </si>
  <si>
    <t>PH/FL2x100 серия ПРОФИ</t>
  </si>
  <si>
    <t>PZ/FL1x80 серия ПРОФИ</t>
  </si>
  <si>
    <t>PZ/FL2x100 серия ПРОФИ</t>
  </si>
  <si>
    <t xml:space="preserve">Набор диэлектрических отверток </t>
  </si>
  <si>
    <t>НИО-06 серия ПРОФИ</t>
  </si>
  <si>
    <t>НИО-06 ПРОФИ</t>
  </si>
  <si>
    <t>НИО-06-S серия ПРОФИ</t>
  </si>
  <si>
    <t>НИО-06-S ПРОФИ</t>
  </si>
  <si>
    <t>НИО-07 серия ПРОФИ</t>
  </si>
  <si>
    <t>НИО-07 ПРОФИ</t>
  </si>
  <si>
    <t>НИО-08 серия ПРОФИ</t>
  </si>
  <si>
    <t>НИО-08 ПРОФИ</t>
  </si>
  <si>
    <t>НИО-08-S серия ПРОФИ</t>
  </si>
  <si>
    <t>НИО-08-S ПРОФИ</t>
  </si>
  <si>
    <t>НИО-09 серия ПРОФИ</t>
  </si>
  <si>
    <t>НИО-09 ПРОФИ</t>
  </si>
  <si>
    <t>Набор диэлектрических отверток</t>
  </si>
  <si>
    <t>НИО-12 серия ПРОФИ</t>
  </si>
  <si>
    <t>НИО-12</t>
  </si>
  <si>
    <t>НИО-15 серия ПРОФИ</t>
  </si>
  <si>
    <t>НИО-15</t>
  </si>
  <si>
    <t>SL2.5х75 серия СЛИМ</t>
  </si>
  <si>
    <t>Диэлектрические отвертки VDE поштучно серия «СЛИМ»</t>
  </si>
  <si>
    <t>SL3.0x100 серия СЛИМ</t>
  </si>
  <si>
    <t>SL4.0x100 серия СЛИМ</t>
  </si>
  <si>
    <t>SL5.5x125 серия СЛИМ</t>
  </si>
  <si>
    <t>SL6.5х150 серия СЛИМ</t>
  </si>
  <si>
    <t>PH0x60 серия СЛИМ</t>
  </si>
  <si>
    <t>PH1x80 серия СЛИМ</t>
  </si>
  <si>
    <t>PH2x100 серия СЛИМ</t>
  </si>
  <si>
    <t>PZ1x80 серия СЛИМ</t>
  </si>
  <si>
    <t>PZ2x100 серия СЛИМ</t>
  </si>
  <si>
    <t>PH/FL1x80 серия СЛИМ</t>
  </si>
  <si>
    <t>PH/FL2x100 серия СЛИМ</t>
  </si>
  <si>
    <t>PZ/FL1x80 серия СЛИМ</t>
  </si>
  <si>
    <t>PZ/FL2x100 серия СЛИМ</t>
  </si>
  <si>
    <t>Отвертка диэлектрическая PZ2x100 серия СЛИМ</t>
  </si>
  <si>
    <t>НИО-2202 серия СЛИМ</t>
  </si>
  <si>
    <t>НИО-2202</t>
  </si>
  <si>
    <t>НИО-2202 PZ-FL серия СЛИМ</t>
  </si>
  <si>
    <t>НИО-2202 PZ-FL</t>
  </si>
  <si>
    <t>НИО-2204 серия СЛИМ</t>
  </si>
  <si>
    <t>НИО-2204</t>
  </si>
  <si>
    <t>Набор торцевых диэлектрических отверток</t>
  </si>
  <si>
    <t>НИО-2205-Т серия ПРОФИ</t>
  </si>
  <si>
    <t>НИО-2205-Т</t>
  </si>
  <si>
    <t>НИО-2206 серия СЛИМ</t>
  </si>
  <si>
    <t>НИО-2206</t>
  </si>
  <si>
    <t>НИО-2206-S серия ПРОФИ</t>
  </si>
  <si>
    <t>НИО-2206-S</t>
  </si>
  <si>
    <t>НИО-2207 серия СЛИМ</t>
  </si>
  <si>
    <t>НИО-2207</t>
  </si>
  <si>
    <t>НИО-2207 PZ/FL серия СЛИМ</t>
  </si>
  <si>
    <t>НИО-2207 PZ/FL</t>
  </si>
  <si>
    <t>НИО-2208 серия СЛИМ</t>
  </si>
  <si>
    <t>НИО-2208</t>
  </si>
  <si>
    <t>НИО-2208-S серия ПРОФИ</t>
  </si>
  <si>
    <t>НИО-2208-S</t>
  </si>
  <si>
    <t>НИО-2209 серия СЛИМ</t>
  </si>
  <si>
    <t>НИО-2209</t>
  </si>
  <si>
    <t>НИО-2210к серия СЛИМ</t>
  </si>
  <si>
    <t>НИО-2210к</t>
  </si>
  <si>
    <t>Диэлектрическая отвертка с набором бит</t>
  </si>
  <si>
    <t>НИО-2210 серия ПРОФИ</t>
  </si>
  <si>
    <t>НИО-2210</t>
  </si>
  <si>
    <t>Отвертка диэлектрическая динамометрическая со сменными битами</t>
  </si>
  <si>
    <t>НИО-3306 серия СЛИМ</t>
  </si>
  <si>
    <t>НИО-3306</t>
  </si>
  <si>
    <t>НИО-3309 серия СЛИМ</t>
  </si>
  <si>
    <t>НИО-3309</t>
  </si>
  <si>
    <t>Отвертка диэлектрическая со сменными битами</t>
  </si>
  <si>
    <t>НИО-1107 серия СЛИМ</t>
  </si>
  <si>
    <t>НИО-1107</t>
  </si>
  <si>
    <t>НИО-1111 серия СЛИМ</t>
  </si>
  <si>
    <t>НИО-1111</t>
  </si>
  <si>
    <t>НИО-1113 серия ПРОФИ</t>
  </si>
  <si>
    <t>НИО-1113</t>
  </si>
  <si>
    <t>НИО-1118 серия СЛИМ</t>
  </si>
  <si>
    <t>НИО-1118</t>
  </si>
  <si>
    <t>НИО-06 мини серия ПРОФИ</t>
  </si>
  <si>
    <t>НИО-06 мини</t>
  </si>
  <si>
    <t>НИО-07 мини серия ПРОФИ</t>
  </si>
  <si>
    <t>НИО-07 мини</t>
  </si>
  <si>
    <t>НИО-4405+ серия ПРОФИ</t>
  </si>
  <si>
    <t>НИО-4405+</t>
  </si>
  <si>
    <t>НИО-4408 серия ПРОФИ</t>
  </si>
  <si>
    <t>НИО-4408</t>
  </si>
  <si>
    <t>НИО-4412 серия ПРОФИ</t>
  </si>
  <si>
    <t>НИО-4412</t>
  </si>
  <si>
    <t>НИО-4412-Т серия ПРОФИ</t>
  </si>
  <si>
    <t>НИО-4412-Т</t>
  </si>
  <si>
    <t>Рукоятка</t>
  </si>
  <si>
    <t>РБ-44 серия ПРОФИ</t>
  </si>
  <si>
    <t>РБ-44</t>
  </si>
  <si>
    <t xml:space="preserve">Отвертка индикаторная </t>
  </si>
  <si>
    <t>ОТ-1 серия ПРОФИ</t>
  </si>
  <si>
    <t>ОТ-1</t>
  </si>
  <si>
    <t>ОТ-2 серия ПРОФИ</t>
  </si>
  <si>
    <t>ОТ-2</t>
  </si>
  <si>
    <t xml:space="preserve">Набор индикаторных отверток </t>
  </si>
  <si>
    <t>НИО-02Т серия ПРОФИ</t>
  </si>
  <si>
    <t>НИО-02Т</t>
  </si>
  <si>
    <t>Диэлектрические ножи и ножницы</t>
  </si>
  <si>
    <t xml:space="preserve">Нож диэлектрический </t>
  </si>
  <si>
    <t>НМИ-01 серия ПРОФИ</t>
  </si>
  <si>
    <t>НМИ-01</t>
  </si>
  <si>
    <t>НМИ-02 серия ПРОФИ</t>
  </si>
  <si>
    <t>НМИ-02</t>
  </si>
  <si>
    <t>НМИ-03 серия ПРОФИ</t>
  </si>
  <si>
    <t>НМИ-03</t>
  </si>
  <si>
    <t xml:space="preserve">Нож диэлектрический с дополнительным лезвием </t>
  </si>
  <si>
    <t>НМИ-04 серия ПРОФИ</t>
  </si>
  <si>
    <t>НМИ-04</t>
  </si>
  <si>
    <t>НМИ-05 серия ПРОФИ</t>
  </si>
  <si>
    <t>НМИ-05</t>
  </si>
  <si>
    <t>НМИ-11 серия ПРАКТИК</t>
  </si>
  <si>
    <t>НМИ-11</t>
  </si>
  <si>
    <t>Нож диэлектрический</t>
  </si>
  <si>
    <t>НМИ-12 серия ПРАКТИК</t>
  </si>
  <si>
    <t>НМИ-12</t>
  </si>
  <si>
    <t>НМИ-15 серия ПРАКТИК</t>
  </si>
  <si>
    <t>НМИ-15</t>
  </si>
  <si>
    <t xml:space="preserve">Ножницы диэлектрические </t>
  </si>
  <si>
    <t>НИУ-02 серия ПРОФИ</t>
  </si>
  <si>
    <t>НИУ-02</t>
  </si>
  <si>
    <t>Ножницы универсальные диэлектрические 215 мм серия ERGOLINE</t>
  </si>
  <si>
    <t>Ножницы универсальные диэлектрические 215 мм ERGOLINE</t>
  </si>
  <si>
    <t>Ножницы усиленные диэлектрические 240 мм серия ПРОФИ</t>
  </si>
  <si>
    <t>Ножницы усиленные диэлектрические 240 мм серии ПРОФИ</t>
  </si>
  <si>
    <t xml:space="preserve">Ножницы кабельные диэлектрические </t>
  </si>
  <si>
    <t>НКи-12у серия СТАНДАРТ</t>
  </si>
  <si>
    <t>НКи-12у</t>
  </si>
  <si>
    <t>НКи-16у серия СТАНДАРТ</t>
  </si>
  <si>
    <t>НКи-16у</t>
  </si>
  <si>
    <t>Ножницы кабельные диэлектрические</t>
  </si>
  <si>
    <t>НКи-12 серия ЭКСПЕРТ</t>
  </si>
  <si>
    <t>НКи-12</t>
  </si>
  <si>
    <t>НКи-16 серия ЭКСПЕРТ</t>
  </si>
  <si>
    <t>НКи-16</t>
  </si>
  <si>
    <t>НКи-25 серия ПРОФИ</t>
  </si>
  <si>
    <t>НКи-25</t>
  </si>
  <si>
    <t>НКи-35 серия ПРОФИ</t>
  </si>
  <si>
    <t>НКи-35</t>
  </si>
  <si>
    <t>НКи-50 серия ПРОФИ</t>
  </si>
  <si>
    <t>НКи-50</t>
  </si>
  <si>
    <t>Наборы диэлектрического инструмента</t>
  </si>
  <si>
    <t xml:space="preserve">Набор диэлектрического инструмента </t>
  </si>
  <si>
    <t>НИИ-01 серия СТАНДАРТ</t>
  </si>
  <si>
    <t>НИИ-01</t>
  </si>
  <si>
    <t>Набор диэлектрического инструмента</t>
  </si>
  <si>
    <t>НИИ-02 серия ПРОФИ</t>
  </si>
  <si>
    <t>НИИ-02</t>
  </si>
  <si>
    <t>НИИ-03 серия ЭКСПЕРТ</t>
  </si>
  <si>
    <t>НИИ-03</t>
  </si>
  <si>
    <t>НИИ-09 серия ЭКСПЕРТ</t>
  </si>
  <si>
    <t>НИИ-09</t>
  </si>
  <si>
    <t>НИИ-12 серия СТАНДАРТ</t>
  </si>
  <si>
    <t>НИИ-12</t>
  </si>
  <si>
    <t>НИИ-18 серия ПРОФИ</t>
  </si>
  <si>
    <t>НИИ-18</t>
  </si>
  <si>
    <t>НИИ-19 серия ЭКСПЕРТ</t>
  </si>
  <si>
    <t>НИИ-19</t>
  </si>
  <si>
    <t>НИИ-22 серия СТАНДАРТ</t>
  </si>
  <si>
    <t>НИИ-22</t>
  </si>
  <si>
    <t>НИИ-26 серия ЭКСПЕРТ</t>
  </si>
  <si>
    <t>НИИ-26</t>
  </si>
  <si>
    <t>НИИ-27 серия СТАНДАРТ</t>
  </si>
  <si>
    <t>НИИ-27</t>
  </si>
  <si>
    <t>Наборы диэлектрических ключей</t>
  </si>
  <si>
    <t>НИИ-15 серия ПРОФИ</t>
  </si>
  <si>
    <t>НИИ-15</t>
  </si>
  <si>
    <t>Набор диэлектрического инструмента 3/8"</t>
  </si>
  <si>
    <t>НИИ-16 серия ПРОФИ</t>
  </si>
  <si>
    <t>НИИ-16</t>
  </si>
  <si>
    <t>Набор диэлектрического инструмента 1/2"</t>
  </si>
  <si>
    <t>НИИ-05 серия ПРОФИ</t>
  </si>
  <si>
    <t>НИИ-05</t>
  </si>
  <si>
    <t>НИИ-14 серия ПРОФИ</t>
  </si>
  <si>
    <t>НИИ-14</t>
  </si>
  <si>
    <t>НИИ-11 серия ПРОФИ</t>
  </si>
  <si>
    <t>НИИ-11</t>
  </si>
  <si>
    <t>НИИ-04 серия ПРОФИ</t>
  </si>
  <si>
    <t>НИИ-04</t>
  </si>
  <si>
    <t>Трещотка диэлектрическая динамометрическая</t>
  </si>
  <si>
    <t>ТДИ-3/8 серия ПРОФИ</t>
  </si>
  <si>
    <t>ТДИ-3/8</t>
  </si>
  <si>
    <t>Набор диэлектрических ключей</t>
  </si>
  <si>
    <t>НИK-Ш-05Т серия СЛИМ</t>
  </si>
  <si>
    <t>НИK-Ш-05Т</t>
  </si>
  <si>
    <t>Набор диэлектрических однорожковых ключей</t>
  </si>
  <si>
    <t>НИК-Р-05 серия ПРОФИ</t>
  </si>
  <si>
    <t>НИК-Р-05</t>
  </si>
  <si>
    <t>НИК-Р-10 серия ПРОФИ</t>
  </si>
  <si>
    <t>НИК-Р-10</t>
  </si>
  <si>
    <t>НИК-Р-14 серия ПРОФИ</t>
  </si>
  <si>
    <t>НИК-Р-14</t>
  </si>
  <si>
    <t xml:space="preserve">Набор диэлектрических однорожковых ключей </t>
  </si>
  <si>
    <t>НИИ-20 серия ЭКСПЕРТ</t>
  </si>
  <si>
    <t>НИИ-20</t>
  </si>
  <si>
    <t>НИИ-21 серия ЭКСПЕРТ</t>
  </si>
  <si>
    <t>НИИ-21</t>
  </si>
  <si>
    <t>НИИ-24 серия ЭКСПЕРТ (КВТ)</t>
  </si>
  <si>
    <t>НИИ-24</t>
  </si>
  <si>
    <t>Набор диэлектрических накидных ключей</t>
  </si>
  <si>
    <t>НИК-Н-05 серия ПРОФИ</t>
  </si>
  <si>
    <t>НИК-Н-05</t>
  </si>
  <si>
    <t>НИК-Н-10 серия ПРОФИ</t>
  </si>
  <si>
    <t>НИК-Н-10</t>
  </si>
  <si>
    <t>НИИ-23 серия ЭКСПЕРТ (КВТ)</t>
  </si>
  <si>
    <t>НИИ-23</t>
  </si>
  <si>
    <t>НИИ-25 серия ЭКСПЕРТ (КВТ)</t>
  </si>
  <si>
    <t>НИИ-25</t>
  </si>
  <si>
    <t>НИИ-28 серия ЭКСПЕРТ</t>
  </si>
  <si>
    <t>НИИ-28</t>
  </si>
  <si>
    <t>Набор диэлектрических накидных трещоточных ключей</t>
  </si>
  <si>
    <t>НИИ-29 серия ЭКСПЕРТ</t>
  </si>
  <si>
    <t>НИИ-29</t>
  </si>
  <si>
    <t>Ключ разводной диэлектрический 20 мм серия ЭКСПЕРТ</t>
  </si>
  <si>
    <t>Ключ разводной диэлектрический 30 мм серия ЭКСПЕРТ</t>
  </si>
  <si>
    <t>ключ разводной диэлектрический 30мм серии ЭКСПЕРТ</t>
  </si>
  <si>
    <t>Электрический инструмент</t>
  </si>
  <si>
    <t>Шуруповерты</t>
  </si>
  <si>
    <t>Отвертка аккумуляторная</t>
  </si>
  <si>
    <t>SD-4-5 серия ПРОФИ</t>
  </si>
  <si>
    <t>SD-4-5</t>
  </si>
  <si>
    <t>Дрель-шуруповерт</t>
  </si>
  <si>
    <t>DBR-16-13 серия ERGOLINE</t>
  </si>
  <si>
    <t>DBR-16-13</t>
  </si>
  <si>
    <t>DBR-20-13 серия ERGOLINE</t>
  </si>
  <si>
    <t>DBR-20-13</t>
  </si>
  <si>
    <t>DB-16-10 серия ПРОФИ</t>
  </si>
  <si>
    <t>DB-16-10</t>
  </si>
  <si>
    <t>DB-20-13 серия ПРОФИ</t>
  </si>
  <si>
    <t>DB-20-13</t>
  </si>
  <si>
    <t>DB-20-13 без  АКБ и ЗУ серия ПРОФИ</t>
  </si>
  <si>
    <t>DB-20-13 без  АКБ и ЗУ</t>
  </si>
  <si>
    <t>Дрель-шуруповерт ударная</t>
  </si>
  <si>
    <t>DB-20-160 серия ПРОФИ</t>
  </si>
  <si>
    <t>DB-20-160</t>
  </si>
  <si>
    <t>DB-20-160 без АКБ и ЗУ серия ПРОФИ</t>
  </si>
  <si>
    <t>DB-20-160 без АКБ и ЗУ</t>
  </si>
  <si>
    <t>Перфораторы</t>
  </si>
  <si>
    <t>Перфоратор</t>
  </si>
  <si>
    <t>HBR-20-30 серия ERGOLINE</t>
  </si>
  <si>
    <t>HBR-20-30</t>
  </si>
  <si>
    <t>HB-20-24 серия ПРОФИ</t>
  </si>
  <si>
    <t>HB-20-24</t>
  </si>
  <si>
    <t>HB-20-24 без АКБ и ЗУ серия ПРОФИ</t>
  </si>
  <si>
    <t>HB-20-24 без АКБ и ЗУ</t>
  </si>
  <si>
    <t>HB-20-30 серия ПРОФИ</t>
  </si>
  <si>
    <t>HB-20-30</t>
  </si>
  <si>
    <t>HB-20-30 без АКБ и ЗУ серия ПРОФИ</t>
  </si>
  <si>
    <t>HB-20-30 без АКБ и ЗУ</t>
  </si>
  <si>
    <t>Болгарки (УШМ)</t>
  </si>
  <si>
    <t>Угловая шлифовальная машина</t>
  </si>
  <si>
    <t>GBR-20-125 серия ERGOLINE</t>
  </si>
  <si>
    <t>GBR-20-125</t>
  </si>
  <si>
    <t>GB-20-125 серия ПРОФИ</t>
  </si>
  <si>
    <t>GB-20-125</t>
  </si>
  <si>
    <t>GB-20-125 без АКБ и  ЗУ серия ПРОФИ</t>
  </si>
  <si>
    <t>GB-20-125 без АКБ и  ЗУ</t>
  </si>
  <si>
    <t>GB-20-125R серия ПРОФИ</t>
  </si>
  <si>
    <t>GB-20-125R</t>
  </si>
  <si>
    <t>GB-20-125R без АКБ и ЗУ серия ПРОФИ</t>
  </si>
  <si>
    <t>GB-20-125R без АКБ и ЗУ</t>
  </si>
  <si>
    <t>Гайковерты и винтоверты</t>
  </si>
  <si>
    <t>Винтоверт</t>
  </si>
  <si>
    <t>SBR-20-230 серия ERGOLINE</t>
  </si>
  <si>
    <t>SBR-20-230</t>
  </si>
  <si>
    <t>SB-16-150 серия ПРОФИ</t>
  </si>
  <si>
    <t>SB-16-150</t>
  </si>
  <si>
    <t>SB-20-230 серия ПРОФИ</t>
  </si>
  <si>
    <t>SB-20-230</t>
  </si>
  <si>
    <t>SB-20-230 без АКБ и ЗУ серия ПРОФИ</t>
  </si>
  <si>
    <t>SB-20-230 без АКБ и ЗУ</t>
  </si>
  <si>
    <t>Гайковерт</t>
  </si>
  <si>
    <t>WBR-20-500 серия ERGOLINE</t>
  </si>
  <si>
    <t>WBR-20-500</t>
  </si>
  <si>
    <t>WB-16-280 серия ПРОФИ</t>
  </si>
  <si>
    <t>WB-16-280</t>
  </si>
  <si>
    <t>WB-20-350 серия ПРОФИ</t>
  </si>
  <si>
    <t>WB-20-350</t>
  </si>
  <si>
    <t>WB-20-350 без АКБ и ЗУ серия ПРОФИ</t>
  </si>
  <si>
    <t>WB-20-350 без АКБ и ЗУ</t>
  </si>
  <si>
    <t>WB-20-500 серия ПРОФИ</t>
  </si>
  <si>
    <t>WB-20-500</t>
  </si>
  <si>
    <t>WB-20-500 без АКБ и ЗУ серия ПРОФИ</t>
  </si>
  <si>
    <t>WB-20-500 без АКБ и ЗУ</t>
  </si>
  <si>
    <t>WB-20-1000 серия ПРОФИ</t>
  </si>
  <si>
    <t>WB-20-1000</t>
  </si>
  <si>
    <t>WB-20-1000 без АКБ и ЗУ серия ПРОФИ</t>
  </si>
  <si>
    <t>WB-20-1000 без АКБ и ЗУ</t>
  </si>
  <si>
    <t>WB-20-2000 серия ПРОФИ</t>
  </si>
  <si>
    <t>WB-20-2000</t>
  </si>
  <si>
    <t>WB-20-2000 без АКБ и ЗУ серия ПРОФИ</t>
  </si>
  <si>
    <t>WB-20-2000 без АКБ и ЗУ</t>
  </si>
  <si>
    <t>Пилы и штроборезы</t>
  </si>
  <si>
    <t>Пила циркулярная аккумуляторная</t>
  </si>
  <si>
    <t>CB-20-140 серия ПРОФИ</t>
  </si>
  <si>
    <t>CB-20-140</t>
  </si>
  <si>
    <t>CB-20-140 без АКБ и ЗУ серия ПРОФИ</t>
  </si>
  <si>
    <t>CB-20-140 без АКБ и ЗУ</t>
  </si>
  <si>
    <t>Пила циркулярная погружная</t>
  </si>
  <si>
    <t>ПП-60н серия ПРОФИ</t>
  </si>
  <si>
    <t>ПП-60н</t>
  </si>
  <si>
    <t>ППр-60н серия ПРОФИ</t>
  </si>
  <si>
    <t>ППр-60н</t>
  </si>
  <si>
    <t>ПП-60 серия ПРОФИ</t>
  </si>
  <si>
    <t>ПП-60</t>
  </si>
  <si>
    <t>ППр-60 серия ПРОФИ</t>
  </si>
  <si>
    <t>ППр-60</t>
  </si>
  <si>
    <t>Шина направляющая</t>
  </si>
  <si>
    <t>ШН-140 серия ПРОФИ</t>
  </si>
  <si>
    <t>ШН-140</t>
  </si>
  <si>
    <t>Комплект соединителей</t>
  </si>
  <si>
    <t>СШН серия ПРОФИ</t>
  </si>
  <si>
    <t>СШН</t>
  </si>
  <si>
    <t>Пила торцовочная с протяжкой</t>
  </si>
  <si>
    <t>MS-216-1600 серия ПРОФИ</t>
  </si>
  <si>
    <t>MS-216-1600</t>
  </si>
  <si>
    <t>MS-255-1800 серия ПРОФИ</t>
  </si>
  <si>
    <t>MS-255-1800</t>
  </si>
  <si>
    <t>Штроборез электрический</t>
  </si>
  <si>
    <t>SC-125-1500 серия ПРОФИ</t>
  </si>
  <si>
    <t>SC-125-1500</t>
  </si>
  <si>
    <t>=ЕСЛИ($E$1&gt;=$Q$1%;13571.94-(13571.94*$Q$1%);13571.94-(13571.94*$E$1))</t>
  </si>
  <si>
    <t>=ЕСЛИ($E$1&gt;=$Q$1%;11124.54-(11124.54*$Q$1%);11124.54-(11124.54*$E$1))</t>
  </si>
  <si>
    <t>SC 01-150-1700 серия ПРОФИ</t>
  </si>
  <si>
    <t>SC 01-150-1700</t>
  </si>
  <si>
    <t>Пила цепная аккумуляторная</t>
  </si>
  <si>
    <t>CBS-20-04 серия ПРОФИ</t>
  </si>
  <si>
    <t>CBS-20-04</t>
  </si>
  <si>
    <t>CBS-20-04 без АКБ и ЗУ серия ПРОФИ</t>
  </si>
  <si>
    <t>CBS-20-04 без АКБ и ЗУ</t>
  </si>
  <si>
    <t>CBS-20-06 серия ПРОФИ</t>
  </si>
  <si>
    <t>CBS-20-06</t>
  </si>
  <si>
    <t>CBS-20-06 без АКБ и ЗУ серия ПРОФИ</t>
  </si>
  <si>
    <t>CBS-20-06 без АКБ и ЗУ</t>
  </si>
  <si>
    <t>CBS-20-12 серия ПРОФИ</t>
  </si>
  <si>
    <t>CBS-20-12</t>
  </si>
  <si>
    <t>Аккумуляторы и зарядные устройства</t>
  </si>
  <si>
    <t>Аккумуляторная батарея</t>
  </si>
  <si>
    <t>B16-Li20A серия ПРОФИ</t>
  </si>
  <si>
    <t>B16-Li20A</t>
  </si>
  <si>
    <t>B20-Li20A серия ПРОФИ</t>
  </si>
  <si>
    <t>B20-Li20A</t>
  </si>
  <si>
    <t>B20-Li40A серия ПРОФИ</t>
  </si>
  <si>
    <t>B20-Li40A</t>
  </si>
  <si>
    <t>B20-Li60A серия ПРОФИ</t>
  </si>
  <si>
    <t>B20-Li60A</t>
  </si>
  <si>
    <t>Зарядное устройство</t>
  </si>
  <si>
    <t>B16-CH13A серия ПРОФИ</t>
  </si>
  <si>
    <t>B16-CH13A</t>
  </si>
  <si>
    <t>B20-CH20A серия ПРОФИ</t>
  </si>
  <si>
    <t>B20-CH20A</t>
  </si>
  <si>
    <t xml:space="preserve">Расходка и аксессуары </t>
  </si>
  <si>
    <t>Коронки для подрозетников</t>
  </si>
  <si>
    <t>Коронка</t>
  </si>
  <si>
    <t>ECO-68/65 4T серия МАСТЕР</t>
  </si>
  <si>
    <t>ECO-4T</t>
  </si>
  <si>
    <t>ECO-72/65 4T серия МАСТЕР</t>
  </si>
  <si>
    <t>SF-68/65 5T серия ПРОФИ</t>
  </si>
  <si>
    <t>SF-5T</t>
  </si>
  <si>
    <t>SF-72/65 5T серия ПРОФИ</t>
  </si>
  <si>
    <t>SF-68/65 5T с адаптером SDS-Plus серия ПРОФИ</t>
  </si>
  <si>
    <t>SF-5T с адаптером SDS-Plus</t>
  </si>
  <si>
    <t>SF-72/65 5T с адаптером SDS-Plus серия ПРОФИ</t>
  </si>
  <si>
    <t>SF-68/65 6T серия ПРОФИ</t>
  </si>
  <si>
    <t>SF-6T</t>
  </si>
  <si>
    <t>SF-72/65 6T серия ПРОФИ</t>
  </si>
  <si>
    <t xml:space="preserve">Сверло алмазное для подрозетников </t>
  </si>
  <si>
    <t>SF-82/65 серия ПРОФИ</t>
  </si>
  <si>
    <t>SF-D70 M16</t>
  </si>
  <si>
    <t>Адаптер</t>
  </si>
  <si>
    <t>SDS+ / M16_drift key</t>
  </si>
  <si>
    <t>SDS+/M16_drift key</t>
  </si>
  <si>
    <t>=ЕСЛИ($E$1&gt;=$Q$1%;377.75-(377.75*$Q$1%);377.75-(377.75*$E$1))</t>
  </si>
  <si>
    <t>=ЕСЛИ($E$1&gt;=$Q$1%;309.63-(309.63*$Q$1%);309.63-(309.63*$E$1))</t>
  </si>
  <si>
    <t>M16/шестигранник_drift key</t>
  </si>
  <si>
    <t>Сверло центровочное 10 мм</t>
  </si>
  <si>
    <t>Сверло центровочное для подрозетника</t>
  </si>
  <si>
    <t>=ЕСЛИ($E$1&gt;=$Q$1%;126.48-(126.48*$Q$1%);126.48-(126.48*$E$1))</t>
  </si>
  <si>
    <t>=ЕСЛИ($E$1&gt;=$Q$1%;103.67-(103.67*$Q$1%);103.67-(103.67*$E$1))</t>
  </si>
  <si>
    <t>Система пылеудаления для алмазных коронок</t>
  </si>
  <si>
    <t>M16-M16</t>
  </si>
  <si>
    <t>Устройства для отведения пыли с резьбой М16, М18, М22</t>
  </si>
  <si>
    <t>M16-M18</t>
  </si>
  <si>
    <t>M16-M22</t>
  </si>
  <si>
    <t>Сверла</t>
  </si>
  <si>
    <t>Набор сверл по металлу</t>
  </si>
  <si>
    <t>НСС-19К серия ПРОФИ</t>
  </si>
  <si>
    <t>НСС-19К</t>
  </si>
  <si>
    <t>НСС-25К серия ПРОФИ</t>
  </si>
  <si>
    <t>НСС-25К</t>
  </si>
  <si>
    <t>Гвозди для монтажных пистолетов</t>
  </si>
  <si>
    <t>Гвозди кованые по  бетону</t>
  </si>
  <si>
    <t>GGN-3017MG серия ПРОФИ</t>
  </si>
  <si>
    <t>GGN-MG</t>
  </si>
  <si>
    <t>GGN-3019MG серия ПРОФИ</t>
  </si>
  <si>
    <t>GGN-3022MG серия ПРОФИ</t>
  </si>
  <si>
    <t>GGN-3025MG серия ПРОФИ</t>
  </si>
  <si>
    <t>Гвозди кованые по бетону</t>
  </si>
  <si>
    <t>GGN-3032MG серия ПРОФИ</t>
  </si>
  <si>
    <t>Гвозди усиленные по бетону</t>
  </si>
  <si>
    <t>GGN-2917 серия МАСТЕР</t>
  </si>
  <si>
    <t>GGN</t>
  </si>
  <si>
    <t>GGN-2919 серия МАСТЕР</t>
  </si>
  <si>
    <t>GGN-2922 серия МАСТЕР</t>
  </si>
  <si>
    <t>GGN-2925 серия МАСТЕР</t>
  </si>
  <si>
    <t>GGN-2932 серия МАСТЕР</t>
  </si>
  <si>
    <t>Пильные диски</t>
  </si>
  <si>
    <t>Диск пильный по дереву</t>
  </si>
  <si>
    <t>SBL-165-48T 165х20 серия ПРОФИ</t>
  </si>
  <si>
    <t>SBL-165-48T 165х20</t>
  </si>
  <si>
    <t>Генераторы (электростанции)</t>
  </si>
  <si>
    <t>Инверторные</t>
  </si>
  <si>
    <t>Генератор инверторный 1.2 кВт</t>
  </si>
  <si>
    <t>GSI 1200 серия ПРОФИ</t>
  </si>
  <si>
    <t>GSI 1200</t>
  </si>
  <si>
    <t>Генератор инверторный 2.0 кВт</t>
  </si>
  <si>
    <t>GSI 2000 серия ПРОФИ</t>
  </si>
  <si>
    <t>GSI 2000</t>
  </si>
  <si>
    <t>Генератор инверторный 2.4 кВт</t>
  </si>
  <si>
    <t>GSI 2400 серия ПРОФИ</t>
  </si>
  <si>
    <t>GSI 2400</t>
  </si>
  <si>
    <t>Генератор инверторный 3.4 кВт</t>
  </si>
  <si>
    <t>GSI 3400 серия ПРОФИ</t>
  </si>
  <si>
    <t>GSI 3400</t>
  </si>
  <si>
    <t>Генератор инверторный 3.5 кВт</t>
  </si>
  <si>
    <t>GFI 3500 серия ПРОФИ</t>
  </si>
  <si>
    <t>GFI 3500</t>
  </si>
  <si>
    <t>Генератор инверторный 5.5 кВт</t>
  </si>
  <si>
    <t>GFI 5500 серия ПРОФИ</t>
  </si>
  <si>
    <t>GFI 5500</t>
  </si>
  <si>
    <t>Генератор инверторный 8.8 кВт</t>
  </si>
  <si>
    <t>GFI 8800AES серия ПРОФИ</t>
  </si>
  <si>
    <t>GFI 8800AES</t>
  </si>
  <si>
    <t>Слесарный инструмент</t>
  </si>
  <si>
    <t>Шарнирно-губцевый инструмент</t>
  </si>
  <si>
    <t>Пассатижи 160 мм серия МАСТЕР</t>
  </si>
  <si>
    <t>Пассатижи слесарно-монтажные 160 мм серии МАСТЕР</t>
  </si>
  <si>
    <t>Пассатижи 180 мм серия МАСТЕР</t>
  </si>
  <si>
    <t>Пассатижи слесарно-монтажные 180 мм серии МАСТЕР</t>
  </si>
  <si>
    <t>Пассатижи 200 мм серия МАСТЕР</t>
  </si>
  <si>
    <t>Пассатижи слесарно-монтажные 200 мм  серии МАСТЕР</t>
  </si>
  <si>
    <t>Длинногубцы 160 мм серия МАСТЕР</t>
  </si>
  <si>
    <t>Длинногубцы слесарно-монтажные 160 мм серии МАСТЕР</t>
  </si>
  <si>
    <t>Длинногубцы 200 мм серия МАСТЕР</t>
  </si>
  <si>
    <t>Длинногубцы слесарно-монтажные 200 мм серии МАСТЕР</t>
  </si>
  <si>
    <t>Длинногубцы изогнутые 160 мм серия МАСТЕР</t>
  </si>
  <si>
    <t>Длинногубцы изогнутые слесарно-монтажные 160 мм серии МАСТЕР</t>
  </si>
  <si>
    <t>Длинногубцы изогнутые 200 мм серия МАСТЕР</t>
  </si>
  <si>
    <t>Длинногубцы изогнутые слесарно-монтажные 200 мм серии МАСТЕР</t>
  </si>
  <si>
    <t>Круглогубцы 160 мм серия МАСТЕР</t>
  </si>
  <si>
    <t>Круглогубцы слесарно-монтажные 160 мм серии МАСТЕР</t>
  </si>
  <si>
    <t>Бокорезы 160 мм серия МАСТЕР</t>
  </si>
  <si>
    <t>Бокорезы слесарно-монтажные 160 мм серии МАСТЕР</t>
  </si>
  <si>
    <t>Бокорезы усиленные 180 мм серия МАСТЕР</t>
  </si>
  <si>
    <t>Бокорезы усиленные слесарно-монтажные 180 мм серии МАСТЕР</t>
  </si>
  <si>
    <t>Клещи вязальные 280 мм серия ПРОФИ</t>
  </si>
  <si>
    <t>Клещи вязальные арматурные 280мм серии ПРОФИ</t>
  </si>
  <si>
    <t>Пассатижи «Вампир» 200 мм серия ПРОФИ</t>
  </si>
  <si>
    <t>Пассатижи «ВАМПИР»</t>
  </si>
  <si>
    <t>Мини-пассатижи 120 мм серия МАСТЕР</t>
  </si>
  <si>
    <t>Мини-пассатижи слесарно-монтажные 120 мм серии МАСТЕР</t>
  </si>
  <si>
    <t>Мини-длинногубцы 125 мм серия МАСТЕР</t>
  </si>
  <si>
    <t>Мини-длинногубцы слесарно-монтажные 125 мм серии МАСТЕР</t>
  </si>
  <si>
    <t>Мини-длинногубцы изогнутые 125 мм серия МАСТЕР</t>
  </si>
  <si>
    <t>Мини-длинногубцы изогнутые слесарно-монтажные 125 мм серии МАСТЕР</t>
  </si>
  <si>
    <t>Мини-бокорезы 115 мм серия МАСТЕР</t>
  </si>
  <si>
    <t>Мини-бокорезы слесарно-монтажные 115 мм серии МАСТЕР</t>
  </si>
  <si>
    <t>Мини-тонкогубцы 150 мм серия МАСТЕР</t>
  </si>
  <si>
    <t>Мини-тонкогубцы слесарно-монтажные 150 мм  серии МАСТЕР</t>
  </si>
  <si>
    <t>Мини-плоскогубцы 125 мм серия МАСТЕР</t>
  </si>
  <si>
    <t>Мини-плоскогубцы слесарно-монтажные 125 мм серии МАСТЕР</t>
  </si>
  <si>
    <t>Мини-пассатижи 115 мм серия ПРОФИ</t>
  </si>
  <si>
    <t>Мини-пассатижи слесарно-монтажные 115 мм серии ПРОФИ</t>
  </si>
  <si>
    <t>Мини-длинногубцы 115 мм серия ПРОФИ</t>
  </si>
  <si>
    <t>Мини-длинногубцы слесарно-монтажные 115 мм серии ПРОФИ</t>
  </si>
  <si>
    <t>Мини-длинногубцы изогнутые 115 мм серия ПРОФИ</t>
  </si>
  <si>
    <t>Мини-длинногубцы слесарно-монтажные изогнутые 115 мм серии ПРОФИ</t>
  </si>
  <si>
    <t>Мини-бокорезы 105 мм серия ПРОФИ</t>
  </si>
  <si>
    <t>Мини-бокорезы слесарно-монтажные 105 мм серии ПРОФИ</t>
  </si>
  <si>
    <t>Наборы слесарного инструмента</t>
  </si>
  <si>
    <t>Набор слесарного инструмента</t>
  </si>
  <si>
    <t>НИС-04 серия МАСТЕР</t>
  </si>
  <si>
    <t>НИС-04</t>
  </si>
  <si>
    <t>=ЕСЛИ($E$1&gt;=$Q$1%;1752.86-(1752.86*$Q$1%);1752.86-(1752.86*$E$1))</t>
  </si>
  <si>
    <t>=ЕСЛИ($E$1&gt;=$Q$1%;1436.77-(1436.77*$Q$1%);1436.77-(1436.77*$E$1))</t>
  </si>
  <si>
    <t>НИС-05 серия МАСТЕР</t>
  </si>
  <si>
    <t>НИС-05</t>
  </si>
  <si>
    <t>=ЕСЛИ($E$1&gt;=$Q$1%;1707.37-(1707.37*$Q$1%);1707.37-(1707.37*$E$1))</t>
  </si>
  <si>
    <t>=ЕСЛИ($E$1&gt;=$Q$1%;1399.48-(1399.48*$Q$1%);1399.48-(1399.48*$E$1))</t>
  </si>
  <si>
    <t>НИС-06 серия МАСТЕР</t>
  </si>
  <si>
    <t>НИС-06</t>
  </si>
  <si>
    <t>=ЕСЛИ($E$1&gt;=$Q$1%;3532.23-(3532.23*$Q$1%);3532.23-(3532.23*$E$1))</t>
  </si>
  <si>
    <t>=ЕСЛИ($E$1&gt;=$Q$1%;2895.27-(2895.27*$Q$1%);2895.27-(2895.27*$E$1))</t>
  </si>
  <si>
    <t>Набор мини-инструментов</t>
  </si>
  <si>
    <t>НМП-5 серия ПРОФИ</t>
  </si>
  <si>
    <t>НМП-5</t>
  </si>
  <si>
    <t>НМП-6 серия МАСТЕР</t>
  </si>
  <si>
    <t>НМП-6</t>
  </si>
  <si>
    <t>Отвертка</t>
  </si>
  <si>
    <t>SL3.0x75 серия МАСТЕР</t>
  </si>
  <si>
    <t>Слесарные отвертки поштучно серия МАСТЕР</t>
  </si>
  <si>
    <t>SL4.0x100 серия МАСТЕР</t>
  </si>
  <si>
    <t>SL5.5x125 серия МАСТЕР</t>
  </si>
  <si>
    <t>SL6.5x150 серия МАСТЕР</t>
  </si>
  <si>
    <t>PH0x75 серия МАСТЕР</t>
  </si>
  <si>
    <t>PH1x100 серия МАСТЕР</t>
  </si>
  <si>
    <t>PH2x125 серия МАСТЕР</t>
  </si>
  <si>
    <t>PZ1x100 серия МАСТЕР</t>
  </si>
  <si>
    <t>PZ2x125 серия МАСТЕР</t>
  </si>
  <si>
    <t xml:space="preserve">Набор отверток </t>
  </si>
  <si>
    <t>НО-05 серия МАСТЕР</t>
  </si>
  <si>
    <t>НО-05</t>
  </si>
  <si>
    <t>НО-08 серия МАСТЕР</t>
  </si>
  <si>
    <t>НО-08</t>
  </si>
  <si>
    <t xml:space="preserve">Набор отверток из стали S2 </t>
  </si>
  <si>
    <t>НО-08-S серия МАСТЕР</t>
  </si>
  <si>
    <t>НО-08-S</t>
  </si>
  <si>
    <t>Набор отверток</t>
  </si>
  <si>
    <t>НО-02-38 серия МАСТЕР</t>
  </si>
  <si>
    <t>НО-02-38</t>
  </si>
  <si>
    <t>НО-06-38 серия МАСТЕР</t>
  </si>
  <si>
    <t>НО-06-38</t>
  </si>
  <si>
    <t>НО-04-S серия МАСТЕР</t>
  </si>
  <si>
    <t>НО-04-S</t>
  </si>
  <si>
    <t>НО-06-S серия МАСТЕР</t>
  </si>
  <si>
    <t>НО-06-S</t>
  </si>
  <si>
    <t>НО-07 мини серия МАСТЕР</t>
  </si>
  <si>
    <t>НО-07 мини</t>
  </si>
  <si>
    <t xml:space="preserve">Набор отверток со сменными стержнями </t>
  </si>
  <si>
    <t>НО-9 серия МАСТЕР</t>
  </si>
  <si>
    <t>НО-09</t>
  </si>
  <si>
    <t>НО-37 серия МАСТЕР</t>
  </si>
  <si>
    <t>НО-37</t>
  </si>
  <si>
    <t xml:space="preserve">Набор отвертка с битами </t>
  </si>
  <si>
    <t>НБ-4 серия МАСТЕР</t>
  </si>
  <si>
    <t>НБ-4</t>
  </si>
  <si>
    <t>НБ-13 серия МАСТЕР</t>
  </si>
  <si>
    <t>НБ-13</t>
  </si>
  <si>
    <t>НБ-38 серия МАСТЕР</t>
  </si>
  <si>
    <t>НБ-38</t>
  </si>
  <si>
    <t>НБ-39 серия МАСТЕР</t>
  </si>
  <si>
    <t>НБ-39</t>
  </si>
  <si>
    <t>НБ-46 серия МАСТЕР</t>
  </si>
  <si>
    <t>НБ-46</t>
  </si>
  <si>
    <t xml:space="preserve">Набор отверток с битами </t>
  </si>
  <si>
    <t>НБ-63 серия МАСТЕР</t>
  </si>
  <si>
    <t>НБ-63</t>
  </si>
  <si>
    <t>НБ-79 серия МАСТЕР</t>
  </si>
  <si>
    <t>НБ-79</t>
  </si>
  <si>
    <t>Переставные клещи, разводные и трубные ключи</t>
  </si>
  <si>
    <t>Клещи переставные 125 мм серия ПРОФИ</t>
  </si>
  <si>
    <t>клещи переставные с кнопочной самофиксацией 125 мм серии ПРОФИ</t>
  </si>
  <si>
    <t>Клещи переставные 150 мм серия ПРОФИ</t>
  </si>
  <si>
    <t>клещи переставные с кнопочной самофиксацией 150 мм серии ПРОФИ</t>
  </si>
  <si>
    <t>Клещи переставные 180 мм серия ПРОФИ</t>
  </si>
  <si>
    <t>клещи переставные с кнопочной самофиксацией 180 мм серии ПРОФИ</t>
  </si>
  <si>
    <t>Клещи переставные 250 мм серия ПРОФИ</t>
  </si>
  <si>
    <t>клещи переставные с кнопочной самофиксацией 250 мм серии ПРОФИ</t>
  </si>
  <si>
    <t>Клещи переставные 300 мм серия ПРОФИ</t>
  </si>
  <si>
    <t>клещи переставные с кнопочной самофиксацией 300 мм серии ПРОФИ</t>
  </si>
  <si>
    <t>Клещи переставные 180 мм серия ПРАКТИК</t>
  </si>
  <si>
    <t>клещи переставные с кнопочной самофиксацией 180 мм серии ПРАКТИК</t>
  </si>
  <si>
    <t>Клещи переставные 250 мм серия ПРАКТИК</t>
  </si>
  <si>
    <t>клещи переставные с кнопочной самофиксацией 250 мм серии ПРАКТИК</t>
  </si>
  <si>
    <t>Клещи переставные 300 мм серия ПРАКТИК</t>
  </si>
  <si>
    <t>клещи переставные с кнопочной самофиксацией 300 мм серии ПРАКТИК</t>
  </si>
  <si>
    <t>Клещи переставные 400 мм серия ПРАКТИК</t>
  </si>
  <si>
    <t>Клещи переставные с кнопочной самофиксацией 400 мм серия ПРАКТИК</t>
  </si>
  <si>
    <t>Набор переставных клещей</t>
  </si>
  <si>
    <t>НПК-02 серия ПРАКТИК</t>
  </si>
  <si>
    <t>НПК-02</t>
  </si>
  <si>
    <t>НПК-03 серия ПРАКТИК</t>
  </si>
  <si>
    <t>НПК-03</t>
  </si>
  <si>
    <t>НПК-02к серия ПРОФИ</t>
  </si>
  <si>
    <t>НПК-02к</t>
  </si>
  <si>
    <t>НПК-02у серия ПРОФИ</t>
  </si>
  <si>
    <t>НПК-02у</t>
  </si>
  <si>
    <t>НПК-03у серия ПРОФИ</t>
  </si>
  <si>
    <t>НПК-03у</t>
  </si>
  <si>
    <t>Клещи переставные саморегулирующиеся 180 мм серия ПРОФИ</t>
  </si>
  <si>
    <t>Клещи переставные саморегулирующиеся 180 мм</t>
  </si>
  <si>
    <t>Клещи переставные саморегулирующиеся 250 мм серия ПРОФИ</t>
  </si>
  <si>
    <t>Клещи переставные саморегулирующиеся 250 мм</t>
  </si>
  <si>
    <t>Клещи переставные саморегулирующиеся 300 мм серия ПРОФИ</t>
  </si>
  <si>
    <t>Клещи переставные саморегулирующиеся 300 мм</t>
  </si>
  <si>
    <t>Ключ переставной гаечный 250 мм серия ПРАКТИК</t>
  </si>
  <si>
    <t>Ключ переставной гаечный 250 мм</t>
  </si>
  <si>
    <t>Клещи переставные - гаечный ключ 180 мм серия ПРОФИ</t>
  </si>
  <si>
    <t>клещи переставные - гаечный ключ 180 мм, серия ПРОФИ</t>
  </si>
  <si>
    <t>Клещи переставные - гаечный ключ 260 мм серия ПРОФИ</t>
  </si>
  <si>
    <t>клещи переставные - гаечный ключ 260 мм, серия ПРОФИ</t>
  </si>
  <si>
    <t xml:space="preserve">Ключ разводной </t>
  </si>
  <si>
    <t>РК-28 серия KBT-PROFESSIONAL</t>
  </si>
  <si>
    <t>РК-28</t>
  </si>
  <si>
    <t>=ЕСЛИ($E$1&gt;=$Q$1%;625.77-(625.77*$Q$1%);625.77-(625.77*$E$1))</t>
  </si>
  <si>
    <t>=ЕСЛИ($E$1&gt;=$Q$1%;512.93-(512.93*$Q$1%);512.93-(512.93*$E$1))</t>
  </si>
  <si>
    <t>Ключ разводной</t>
  </si>
  <si>
    <t>РКП-150 серия KBT-PROFESSIONAL</t>
  </si>
  <si>
    <t>РКП-150</t>
  </si>
  <si>
    <t>РКП-200 серия KBT-PROFESSIONAL</t>
  </si>
  <si>
    <t>РКП-200</t>
  </si>
  <si>
    <t xml:space="preserve">Набор мультиразмерных гаечных ключей </t>
  </si>
  <si>
    <t>НМК 10–24 серия KBT-PROFESSIONAL</t>
  </si>
  <si>
    <t>НМК 10–24</t>
  </si>
  <si>
    <t>Гаечные и шестигранные ключи</t>
  </si>
  <si>
    <t xml:space="preserve">Набор гаечных рожковых ключей </t>
  </si>
  <si>
    <t>НКР-8 (8-27) серия KBT-PROFESSIONAL</t>
  </si>
  <si>
    <t>НКР-8 (8-27)</t>
  </si>
  <si>
    <t>=ЕСЛИ($E$1&gt;=$Q$1%;1562.93-(1562.93*$Q$1%);1562.93-(1562.93*$E$1))</t>
  </si>
  <si>
    <t>=ЕСЛИ($E$1&gt;=$Q$1%;1281.09-(1281.09*$Q$1%);1281.09-(1281.09*$E$1))</t>
  </si>
  <si>
    <t xml:space="preserve">Набор гаечных комбинированных ключей </t>
  </si>
  <si>
    <t>НКК-8 (8-19) серия KBT-PROFESSIONAL</t>
  </si>
  <si>
    <t>НКК-8 (8-19)</t>
  </si>
  <si>
    <t>НКК-12 (6-22) серия KBT-PROFESSIONAL</t>
  </si>
  <si>
    <t>НКК-12 (6-22)</t>
  </si>
  <si>
    <t>=ЕСЛИ($E$1&gt;=$Q$1%;2167.51-(2167.51*$Q$1%);2167.51-(2167.51*$E$1))</t>
  </si>
  <si>
    <t>=ЕСЛИ($E$1&gt;=$Q$1%;1776.65-(1776.65*$Q$1%);1776.65-(1776.65*$E$1))</t>
  </si>
  <si>
    <t>Набор гаечных комбинированных трещоточных ключей с переключателем реверса</t>
  </si>
  <si>
    <t>НТКП-6 (8-17) серия КВТ-PROFESSIONAL</t>
  </si>
  <si>
    <t>НТКП-6 (8-17)</t>
  </si>
  <si>
    <t>Набор гаечных комбинированных трещоточных ключей</t>
  </si>
  <si>
    <t>НТК-6 (8-17) серия КВТ-PROFESSIONAL</t>
  </si>
  <si>
    <t>НТК-6 (8-17)</t>
  </si>
  <si>
    <t>НТК-8 (8-19) серия КВТ-PROFESSIONAL</t>
  </si>
  <si>
    <t>НТК-8 (8-19)</t>
  </si>
  <si>
    <t>=ЕСЛИ($E$1&gt;=$Q$1%;2745.95-(2745.95*$Q$1%);2745.95-(2745.95*$E$1))</t>
  </si>
  <si>
    <t>=ЕСЛИ($E$1&gt;=$Q$1%;2250.78-(2250.78*$Q$1%);2250.78-(2250.78*$E$1))</t>
  </si>
  <si>
    <t>Набор гаечных комбинированных трещоточных ключей с шарниром</t>
  </si>
  <si>
    <t>НТКШ-6 (8-17) серия КВТ-PROFESSIONAL</t>
  </si>
  <si>
    <t>НТКШ-6 (8-17)</t>
  </si>
  <si>
    <t>НТКШ-8 (8-19) серия KBT-PROFESSIONAL</t>
  </si>
  <si>
    <t>НТКШ-8 (8-19)</t>
  </si>
  <si>
    <t>=ЕСЛИ($E$1&gt;=$Q$1%;3326.42-(3326.42*$Q$1%);3326.42-(3326.42*$E$1))</t>
  </si>
  <si>
    <t>=ЕСЛИ($E$1&gt;=$Q$1%;2726.57-(2726.57*$Q$1%);2726.57-(2726.57*$E$1))</t>
  </si>
  <si>
    <t>Ключ гаечный комбинированный 6 мм серия KBT-PROFESSIONAL</t>
  </si>
  <si>
    <t>Ключи гаечные поштучно</t>
  </si>
  <si>
    <t>Ключ гаечный комбинированный 9 мм серия KBT-PROFESSIONAL</t>
  </si>
  <si>
    <t>Ключ гаечный комбинированный 11 мм серия KBT-PROFESSIONAL</t>
  </si>
  <si>
    <t>Ключ гаечный комбинированный 13 мм серия KBT-PROFESSIONAL</t>
  </si>
  <si>
    <t>Ключ гаечный комбинированный 16 мм серия KBT-PROFESSIONAL</t>
  </si>
  <si>
    <t>Ключ гаечный комбинированный 22 мм серия KBT-PROFESSIONAL</t>
  </si>
  <si>
    <t>Ключ гаечный комбинированный трещоточный 8 мм серия KBT-PROFESSIONAL</t>
  </si>
  <si>
    <t>Ключи гаечные трещоточные поштучно</t>
  </si>
  <si>
    <t>Ключ гаечный комбинированный трещоточный 12 мм серия KBT-PROFESSIONAL</t>
  </si>
  <si>
    <t>Ключ гаечный комбинированный трещоточный 14 мм серия KBT-PROFESSIONAL</t>
  </si>
  <si>
    <t>Ключ гаечный комбинированный трещоточный 15 мм серия KBT-PROFESSIONAL</t>
  </si>
  <si>
    <t>Ключ гаечный комбинированный трещоточный 19 мм серия KBT-PROFESSIONAL</t>
  </si>
  <si>
    <t>Ключ гаечный комбинированный трещоточный с шарниром 8 мм серия KBT-PROFESSIONAL</t>
  </si>
  <si>
    <t>Ключи гаечные трещоточные с шарниром поштучно</t>
  </si>
  <si>
    <t>Ключ гаечный комбинированный трещоточный с шарниром 12 мм серия KBT-PROFESSIONAL</t>
  </si>
  <si>
    <t>Ключ гаечный комбинированный трещоточный с шарниром 14 мм серия KBT-PROFESSIONAL</t>
  </si>
  <si>
    <t>Ключ гаечный комбинированный трещоточный с шарниром 15 мм серия KBT-PROFESSIONAL</t>
  </si>
  <si>
    <t>Ключ гаечный комбинированный трещоточный с шарниром 17 мм серия KBT-PROFESSIONAL</t>
  </si>
  <si>
    <t>Ключ гаечный комбинированный трещоточный с шарниром 19 мм серия KBT-PROFESSIONAL</t>
  </si>
  <si>
    <t xml:space="preserve">Набор шестигранных ключей с шаром </t>
  </si>
  <si>
    <t>КШ-9 серия KBT-PROFESSIONAL</t>
  </si>
  <si>
    <t>КШ-9</t>
  </si>
  <si>
    <t>КШ-9-S2 серия KBT-PROFESSIONAL</t>
  </si>
  <si>
    <t>КШ-9-S2</t>
  </si>
  <si>
    <t xml:space="preserve">Набор ключей TORX </t>
  </si>
  <si>
    <t>KT-9 (Т10-Т50) серия KBT-PROFESSIONAL</t>
  </si>
  <si>
    <t>КТ-9</t>
  </si>
  <si>
    <t>KT-9-S2 (Т10-Т50) серия KBT-PROFESSIONAL</t>
  </si>
  <si>
    <t>КТ-9-S2</t>
  </si>
  <si>
    <t>НТК-Т-08 серия KBT-PROFESSIONAL</t>
  </si>
  <si>
    <t>НТК-Т-08</t>
  </si>
  <si>
    <t>Наборы торцевых головок</t>
  </si>
  <si>
    <t xml:space="preserve">Набор для монтажа болтовых наконечников и соединителей </t>
  </si>
  <si>
    <t>НМБ-6 серия ПРОФИ</t>
  </si>
  <si>
    <t>НМБ-6</t>
  </si>
  <si>
    <t xml:space="preserve">Набор инструментов </t>
  </si>
  <si>
    <t>НАИ-02/12 серия KBT-PROFESSIONAL</t>
  </si>
  <si>
    <t>НАИ-02/12</t>
  </si>
  <si>
    <t>НАИ-04/22 серия KBT-PROFESSIONAL</t>
  </si>
  <si>
    <t>НАИ-04/22</t>
  </si>
  <si>
    <t>НАИ-06/82 серия KBT-PROFESSIONAL</t>
  </si>
  <si>
    <t>НАИ-06/82</t>
  </si>
  <si>
    <t>НАИ-07/94 серия KBT-PROFESSIONAL</t>
  </si>
  <si>
    <t>НАИ-07/94</t>
  </si>
  <si>
    <t>НАИ-08/110 серия KBT-PROFESSIONAL</t>
  </si>
  <si>
    <t>НАИ-08/110</t>
  </si>
  <si>
    <t>НАИ-09/150 серия KBT-PROFESSIONAL</t>
  </si>
  <si>
    <t>НАИ-09/150</t>
  </si>
  <si>
    <t>НАИ-10/216 серия KBT-PROFESSIONAL</t>
  </si>
  <si>
    <t>НАИ-10/216</t>
  </si>
  <si>
    <t>Ударный инструмент</t>
  </si>
  <si>
    <t xml:space="preserve">Молоток электромонтажника </t>
  </si>
  <si>
    <t>ММ-300 серия ПРОФИ</t>
  </si>
  <si>
    <t>ММ-300</t>
  </si>
  <si>
    <t xml:space="preserve">Молоток слесарный кованый </t>
  </si>
  <si>
    <t>МСК-500 серия ПРОФИ</t>
  </si>
  <si>
    <t>МСК-500</t>
  </si>
  <si>
    <t>=ЕСЛИ($E$1&gt;=$Q$1%;1229.14-(1229.14*$Q$1%);1229.14-(1229.14*$E$1))</t>
  </si>
  <si>
    <t>=ЕСЛИ($E$1&gt;=$Q$1%;1007.49-(1007.49*$Q$1%);1007.49-(1007.49*$E$1))</t>
  </si>
  <si>
    <t xml:space="preserve">Молоток слесарный </t>
  </si>
  <si>
    <t>МС-300 серия ПРОФИ</t>
  </si>
  <si>
    <t>МС-300</t>
  </si>
  <si>
    <t>=ЕСЛИ($E$1&gt;=$Q$1%;556.27-(556.27*$Q$1%);556.27-(556.27*$E$1))</t>
  </si>
  <si>
    <t>=ЕСЛИ($E$1&gt;=$Q$1%;455.96-(455.96*$Q$1%);455.96-(455.96*$E$1))</t>
  </si>
  <si>
    <t>МС-400 серия ПРОФИ</t>
  </si>
  <si>
    <t>МС-400</t>
  </si>
  <si>
    <t>=ЕСЛИ($E$1&gt;=$Q$1%;624.48-(624.48*$Q$1%);624.48-(624.48*$E$1))</t>
  </si>
  <si>
    <t>=ЕСЛИ($E$1&gt;=$Q$1%;511.87-(511.87*$Q$1%);511.87-(511.87*$E$1))</t>
  </si>
  <si>
    <t>МС-500 серия ПРОФИ</t>
  </si>
  <si>
    <t>МС-500</t>
  </si>
  <si>
    <t>=ЕСЛИ($E$1&gt;=$Q$1%;679.55-(679.55*$Q$1%);679.55-(679.55*$E$1))</t>
  </si>
  <si>
    <t>=ЕСЛИ($E$1&gt;=$Q$1%;557.01-(557.01*$Q$1%);557.01-(557.01*$E$1))</t>
  </si>
  <si>
    <t>МС-600 серия ПРОФИ</t>
  </si>
  <si>
    <t>МС-600</t>
  </si>
  <si>
    <t>=ЕСЛИ($E$1&gt;=$Q$1%;732.73-(732.73*$Q$1%);732.73-(732.73*$E$1))</t>
  </si>
  <si>
    <t>=ЕСЛИ($E$1&gt;=$Q$1%;600.60-(600.60*$Q$1%);600.60-(600.60*$E$1))</t>
  </si>
  <si>
    <t xml:space="preserve">Молоток столярный с гвоздодером </t>
  </si>
  <si>
    <t>МГ-27 серия ПРОФИ</t>
  </si>
  <si>
    <t>МГ-27</t>
  </si>
  <si>
    <t>=ЕСЛИ($E$1&gt;=$Q$1%;702.23-(702.23*$Q$1%);702.23-(702.23*$E$1))</t>
  </si>
  <si>
    <t>=ЕСЛИ($E$1&gt;=$Q$1%;575.60-(575.60*$Q$1%);575.60-(575.60*$E$1))</t>
  </si>
  <si>
    <t xml:space="preserve">Молоток столярный кованый с гвоздодером </t>
  </si>
  <si>
    <t>МГК-36 серия ПРОФИ</t>
  </si>
  <si>
    <t>МГК-36</t>
  </si>
  <si>
    <t>=ЕСЛИ($E$1&gt;=$Q$1%;1547.62-(1547.62*$Q$1%);1547.62-(1547.62*$E$1))</t>
  </si>
  <si>
    <t>=ЕСЛИ($E$1&gt;=$Q$1%;1268.54-(1268.54*$Q$1%);1268.54-(1268.54*$E$1))</t>
  </si>
  <si>
    <t xml:space="preserve">Молоток плотника кованый </t>
  </si>
  <si>
    <t>МПК-450 серия ПРОФИ</t>
  </si>
  <si>
    <t>МПК-450</t>
  </si>
  <si>
    <t>=ЕСЛИ($E$1&gt;=$Q$1%;1578.47-(1578.47*$Q$1%);1578.47-(1578.47*$E$1))</t>
  </si>
  <si>
    <t>=ЕСЛИ($E$1&gt;=$Q$1%;1293.83-(1293.83*$Q$1%);1293.83-(1293.83*$E$1))</t>
  </si>
  <si>
    <t xml:space="preserve">Молоток кровельщика кованый </t>
  </si>
  <si>
    <t>МКК-600 серия ПРОФИ</t>
  </si>
  <si>
    <t>МКК-600</t>
  </si>
  <si>
    <t>=ЕСЛИ($E$1&gt;=$Q$1%;1634.14-(1634.14*$Q$1%);1634.14-(1634.14*$E$1))</t>
  </si>
  <si>
    <t>=ЕСЛИ($E$1&gt;=$Q$1%;1339.46-(1339.46*$Q$1%);1339.46-(1339.46*$E$1))</t>
  </si>
  <si>
    <t xml:space="preserve">Кувалда </t>
  </si>
  <si>
    <t>КВ-1000 серия ПРОФИ</t>
  </si>
  <si>
    <t>КВ-1000</t>
  </si>
  <si>
    <t>=ЕСЛИ($E$1&gt;=$Q$1%;865.52-(865.52*$Q$1%);865.52-(865.52*$E$1))</t>
  </si>
  <si>
    <t>=ЕСЛИ($E$1&gt;=$Q$1%;709.44-(709.44*$Q$1%);709.44-(709.44*$E$1))</t>
  </si>
  <si>
    <t>КВ-1500 серия ПРОФИ</t>
  </si>
  <si>
    <t>КВ-1500</t>
  </si>
  <si>
    <t>=ЕСЛИ($E$1&gt;=$Q$1%;1046.39-(1046.39*$Q$1%);1046.39-(1046.39*$E$1))</t>
  </si>
  <si>
    <t>=ЕСЛИ($E$1&gt;=$Q$1%;857.70-(857.70*$Q$1%);857.70-(857.70*$E$1))</t>
  </si>
  <si>
    <t xml:space="preserve">Молоток безынерционный </t>
  </si>
  <si>
    <t>МБ-30н серия ПРОФИ</t>
  </si>
  <si>
    <t>МБ-30н</t>
  </si>
  <si>
    <t>МБ-40н серия ПРОФИ</t>
  </si>
  <si>
    <t>МБ-40н</t>
  </si>
  <si>
    <t>МБ-50н серия ПРОФИ</t>
  </si>
  <si>
    <t>МБ-50н</t>
  </si>
  <si>
    <t>Молоток безынерционный</t>
  </si>
  <si>
    <t>МБ-60н серия ПРОФИ</t>
  </si>
  <si>
    <t>МБ-60н</t>
  </si>
  <si>
    <t>Съемники стопорных колец</t>
  </si>
  <si>
    <t>Набор съемников стопорных колец</t>
  </si>
  <si>
    <t>НКС-01 серия МАСТЕР</t>
  </si>
  <si>
    <t>НКС-01</t>
  </si>
  <si>
    <t>НКС-02 серия МАСТЕР</t>
  </si>
  <si>
    <t>НКС-02</t>
  </si>
  <si>
    <t>НКС-03 серия МАСТЕР</t>
  </si>
  <si>
    <t>НКС-03</t>
  </si>
  <si>
    <t>НКС-06 серия МАСТЕР</t>
  </si>
  <si>
    <t>НКС-06</t>
  </si>
  <si>
    <t>НКС-08 серия МАСТЕР</t>
  </si>
  <si>
    <t>НКС-08</t>
  </si>
  <si>
    <t>Строительно-монтажные ножи</t>
  </si>
  <si>
    <t xml:space="preserve">Нож строительный монтажный </t>
  </si>
  <si>
    <t>НСМ-01 серия ПРОФИ</t>
  </si>
  <si>
    <t>НСМ-01</t>
  </si>
  <si>
    <t>Нож строительный монтажный</t>
  </si>
  <si>
    <t>НСМ-02 серия ПРОФИ</t>
  </si>
  <si>
    <t>НСМ-02</t>
  </si>
  <si>
    <t>НСМ-03 серия ПРОФИ</t>
  </si>
  <si>
    <t>НСМ-03</t>
  </si>
  <si>
    <t>НСМ-10 серия ПРОФИ</t>
  </si>
  <si>
    <t>НСМ-10</t>
  </si>
  <si>
    <t>НСМ-11 серия ПРОФИ</t>
  </si>
  <si>
    <t>НСМ-11</t>
  </si>
  <si>
    <t>НСМ-12 серия ПРОФИ</t>
  </si>
  <si>
    <t>НСМ-12</t>
  </si>
  <si>
    <t>НСМ-13 серия ПРОФИ</t>
  </si>
  <si>
    <t>НСМ-13</t>
  </si>
  <si>
    <t>НСМ-14 серия ПРОФИ</t>
  </si>
  <si>
    <t>НСМ-14</t>
  </si>
  <si>
    <t>НСМ-20 серия ПРОФИ</t>
  </si>
  <si>
    <t>НСМ-20</t>
  </si>
  <si>
    <t>Набор сменных трапециевидных лезвий</t>
  </si>
  <si>
    <t>СЛ-Т-5</t>
  </si>
  <si>
    <t>Ножницы для листового металла</t>
  </si>
  <si>
    <t>Ножницы по металлу прямые</t>
  </si>
  <si>
    <t>НМА-250 S серия ПРОФИ</t>
  </si>
  <si>
    <t>НМА-250 S</t>
  </si>
  <si>
    <t>=ЕСЛИ($E$1&gt;=$Q$1%;844.64-(844.64*$Q$1%);844.64-(844.64*$E$1))</t>
  </si>
  <si>
    <t>=ЕСЛИ($E$1&gt;=$Q$1%;692.33-(692.33*$Q$1%);692.33-(692.33*$E$1))</t>
  </si>
  <si>
    <t>Ножницы по металлу левые</t>
  </si>
  <si>
    <t>НМА-250 L серия ПРОФИ</t>
  </si>
  <si>
    <t>НМА-250 L</t>
  </si>
  <si>
    <t>=ЕСЛИ($E$1&gt;=$Q$1%;843.18-(843.18*$Q$1%);843.18-(843.18*$E$1))</t>
  </si>
  <si>
    <t>=ЕСЛИ($E$1&gt;=$Q$1%;691.13-(691.13*$Q$1%);691.13-(691.13*$E$1))</t>
  </si>
  <si>
    <t>Ножницы по металлу правые</t>
  </si>
  <si>
    <t>НМА-250 R серия ПРОФИ</t>
  </si>
  <si>
    <t>НМА-250 R</t>
  </si>
  <si>
    <t>=ЕСЛИ($E$1&gt;=$Q$1%;844.04-(844.04*$Q$1%);844.04-(844.04*$E$1))</t>
  </si>
  <si>
    <t>=ЕСЛИ($E$1&gt;=$Q$1%;691.84-(691.84*$Q$1%);691.84-(691.84*$E$1))</t>
  </si>
  <si>
    <t>Набор ножниц по металлу</t>
  </si>
  <si>
    <t>НМА-250 LSR серия ПРОФИ</t>
  </si>
  <si>
    <t>НМА-250 LSR</t>
  </si>
  <si>
    <t>=ЕСЛИ($E$1&gt;=$Q$1%;2379.9-(2379.9*$Q$1%);2379.9-(2379.9*$E$1))</t>
  </si>
  <si>
    <t>=ЕСЛИ($E$1&gt;=$Q$1%;1950.74-(1950.74*$Q$1%);1950.74-(1950.74*$E$1))</t>
  </si>
  <si>
    <t>НМАп-250 L серия ПРОФИ</t>
  </si>
  <si>
    <t>НМАп-250 L</t>
  </si>
  <si>
    <t>=ЕСЛИ($E$1&gt;=$Q$1%;1382.41-(1382.41*$Q$1%);1382.41-(1382.41*$E$1))</t>
  </si>
  <si>
    <t>=ЕСЛИ($E$1&gt;=$Q$1%;1133.12-(1133.12*$Q$1%);1133.12-(1133.12*$E$1))</t>
  </si>
  <si>
    <t>НМАп-250 R серия ПРОФИ</t>
  </si>
  <si>
    <t>НМАп-250 R</t>
  </si>
  <si>
    <t>=ЕСЛИ($E$1&gt;=$Q$1%;1381.5-(1381.5*$Q$1%);1381.5-(1381.5*$E$1))</t>
  </si>
  <si>
    <t>=ЕСЛИ($E$1&gt;=$Q$1%;1132.38-(1132.38*$Q$1%);1132.38-(1132.38*$E$1))</t>
  </si>
  <si>
    <t>Ножницы по металлу левые проходные</t>
  </si>
  <si>
    <t>НМАп-270 LL серия ПРОФИ</t>
  </si>
  <si>
    <t>НМАп-270 LL</t>
  </si>
  <si>
    <t>=ЕСЛИ($E$1&gt;=$Q$1%;1613.93-(1613.93*$Q$1%);1613.93-(1613.93*$E$1))</t>
  </si>
  <si>
    <t>=ЕСЛИ($E$1&gt;=$Q$1%;1322.89-(1322.89*$Q$1%);1322.89-(1322.89*$E$1))</t>
  </si>
  <si>
    <t>Ножницы по металлу правые проходные</t>
  </si>
  <si>
    <t>НМАп-270 RL серия ПРОФИ</t>
  </si>
  <si>
    <t>НМАп-270 RL</t>
  </si>
  <si>
    <t>Ножницы по металлу прямые удлиненные</t>
  </si>
  <si>
    <t>НМА-300 SL серия ПРОФИ</t>
  </si>
  <si>
    <t>НМА-300 SL</t>
  </si>
  <si>
    <t>=ЕСЛИ($E$1&gt;=$Q$1%;944.29-(944.29*$Q$1%);944.29-(944.29*$E$1))</t>
  </si>
  <si>
    <t>=ЕСЛИ($E$1&gt;=$Q$1%;774.01-(774.01*$Q$1%);774.01-(774.01*$E$1))</t>
  </si>
  <si>
    <t>Строительная гидравлика</t>
  </si>
  <si>
    <t>Домкраты гидравлические</t>
  </si>
  <si>
    <t>Домкрат низкий</t>
  </si>
  <si>
    <t>ДН-10П11 серия ПРОФИ</t>
  </si>
  <si>
    <t>ДН-10-П</t>
  </si>
  <si>
    <t>ДН-20П12 серия ПРОФИ</t>
  </si>
  <si>
    <t>ДН-20-П</t>
  </si>
  <si>
    <t>ДН-30П14 серия ПРОФИ</t>
  </si>
  <si>
    <t>ДН-30-П</t>
  </si>
  <si>
    <t>ДН-50П16 серия ПРОФИ</t>
  </si>
  <si>
    <t>ДН-50-П</t>
  </si>
  <si>
    <t>ДН-100П16 серия ПРОФИ</t>
  </si>
  <si>
    <t>ДН-100-П</t>
  </si>
  <si>
    <t>ДН-150П16 серия ПРОФИ</t>
  </si>
  <si>
    <t>ДН-150-П</t>
  </si>
  <si>
    <t>Домкрат низкий телескопический</t>
  </si>
  <si>
    <t>ДН-10М25Т серия ПРОФИ</t>
  </si>
  <si>
    <t>ДН-10-МТ</t>
  </si>
  <si>
    <t>ДН-20М26Т серия ПРОФИ</t>
  </si>
  <si>
    <t>ДН-20-МТ</t>
  </si>
  <si>
    <t>ДН-30М53Т серия ПРОФИ</t>
  </si>
  <si>
    <t>ДН-30-МТ</t>
  </si>
  <si>
    <t>ДН-50М64Т серия ПРОФИ</t>
  </si>
  <si>
    <t>ДН-50-МТ</t>
  </si>
  <si>
    <t>ДН-100М68Т серия ПРОФИ</t>
  </si>
  <si>
    <t>ДН-100-МТ</t>
  </si>
  <si>
    <t>Домкрат грузовой односторонний</t>
  </si>
  <si>
    <t>ДГ-10П50 серия ПРОФИ</t>
  </si>
  <si>
    <t>ДГ-П</t>
  </si>
  <si>
    <t>ДГ-10П100 серия ПРОФИ</t>
  </si>
  <si>
    <t>ДГ-10П150 серия ПРОФИ</t>
  </si>
  <si>
    <t>ДГ-10П200 серия ПРОФИ</t>
  </si>
  <si>
    <t>ДГ-20П50 серия ПРОФИ</t>
  </si>
  <si>
    <t>ДГ-20П100 серия ПРОФИ</t>
  </si>
  <si>
    <t>ДГ-20П150 серия ПРОФИ</t>
  </si>
  <si>
    <t>ДГ-20П200 серия ПРОФИ</t>
  </si>
  <si>
    <t>ДГ-30П50 серия ПРОФИ</t>
  </si>
  <si>
    <t>ДГ-30П100 серия ПРОФИ</t>
  </si>
  <si>
    <t>ДГ-30П150 серия ПРОФИ</t>
  </si>
  <si>
    <t xml:space="preserve">Домкрат грузовой односторонний </t>
  </si>
  <si>
    <t>ДГ-30П200 серия ПРОФИ</t>
  </si>
  <si>
    <t>ДГ-50П50 серия ПРОФИ</t>
  </si>
  <si>
    <t>ДГ-50П100 серия ПРОФИ</t>
  </si>
  <si>
    <t>ДГ-50П150 серия ПРОФИ</t>
  </si>
  <si>
    <t>ДГ-50П200 серия ПРОФИ</t>
  </si>
  <si>
    <t>ДГ-100П50 серия ПРОФИ</t>
  </si>
  <si>
    <t>ДГ-100П100 серия ПРОФИ</t>
  </si>
  <si>
    <t>ДГ-100П150 серия ПРОФИ</t>
  </si>
  <si>
    <t>ДГ-100П200 серия ПРОФИ</t>
  </si>
  <si>
    <t>ДГ-200П50 серия ПРОФИ</t>
  </si>
  <si>
    <t>ДГ-200П150 серия ПРОФИ</t>
  </si>
  <si>
    <t>Домкрат с полым штоком</t>
  </si>
  <si>
    <t>ДП-20П50 серия ПРОФИ</t>
  </si>
  <si>
    <t>ДП-П</t>
  </si>
  <si>
    <t>ДП-20П100 серия ПРОФИ</t>
  </si>
  <si>
    <t>ДП-30П50 серия ПРОФИ</t>
  </si>
  <si>
    <t>ДП-30П100 серия ПРОФИ</t>
  </si>
  <si>
    <t>ДП-50П75 серия ПРОФИ</t>
  </si>
  <si>
    <t>ДП-100П75 серия ПРОФИ</t>
  </si>
  <si>
    <t xml:space="preserve">Домкрат универсальный односторонний </t>
  </si>
  <si>
    <t>ДУ-30П200 серия ПРОФИ</t>
  </si>
  <si>
    <t>ДУ-П</t>
  </si>
  <si>
    <t>ДУ-200П150 серия ПРОФИ</t>
  </si>
  <si>
    <t xml:space="preserve">Домкрат грузовой с фиксирующей гайкой </t>
  </si>
  <si>
    <t>ДГ-30П50Г серия ПРОФИ</t>
  </si>
  <si>
    <t>ДГ-ПГ</t>
  </si>
  <si>
    <t>ДГ-50П100Г серия ПРОФИ</t>
  </si>
  <si>
    <t>ДГ-50П150Г серия ПРОФИ</t>
  </si>
  <si>
    <t>ДГ-100П50Г серия ПРОФИ</t>
  </si>
  <si>
    <t>ДГ-100П100Г серия ПРОФИ</t>
  </si>
  <si>
    <t>ДГ-100П150Г серия ПРОФИ</t>
  </si>
  <si>
    <t xml:space="preserve">Домкрат автономный с низким подхватом </t>
  </si>
  <si>
    <t>ДА5П105Н серия ПРОФИ</t>
  </si>
  <si>
    <t>ДА-5П105Н</t>
  </si>
  <si>
    <t>ДА10П135Н серия ПРОФИ</t>
  </si>
  <si>
    <t>ДА-10П135Н</t>
  </si>
  <si>
    <t>ДА20П145Н серия ПРОФИ</t>
  </si>
  <si>
    <t>ДА-20П145Н</t>
  </si>
  <si>
    <t>ДА30П145Н серия ПРОФИ</t>
  </si>
  <si>
    <t>ДА-30П145Н</t>
  </si>
  <si>
    <t>Домкрат автономный с низким подхватом</t>
  </si>
  <si>
    <t>ДА50П145Н серия ПРОФИ</t>
  </si>
  <si>
    <t>ДА-50П145Н</t>
  </si>
  <si>
    <t>ДА5П120Н серия ПРОФИ</t>
  </si>
  <si>
    <t>ДА-5П120Н</t>
  </si>
  <si>
    <t>ДА10П150Н серия ПРОФИ</t>
  </si>
  <si>
    <t>ДА-10П150Н</t>
  </si>
  <si>
    <t>ДА20П160Н серия ПРОФИ</t>
  </si>
  <si>
    <t>ДА-20П160Н</t>
  </si>
  <si>
    <t>ДА30П160Н серия ПРОФИ</t>
  </si>
  <si>
    <t>ДА-30П160Н</t>
  </si>
  <si>
    <t>Съемники гидравлические</t>
  </si>
  <si>
    <t>Съемник гидравлический транспортируемый с выносным насосом</t>
  </si>
  <si>
    <t>СГНт-100У серия ПРОФИ</t>
  </si>
  <si>
    <t>СГНт-100У</t>
  </si>
  <si>
    <t>СГНт-150У серия ПРОФИ</t>
  </si>
  <si>
    <t>СГНт-150У</t>
  </si>
  <si>
    <t xml:space="preserve">Съемник гидравлический </t>
  </si>
  <si>
    <t>СГ-5 серия ПРОФИ</t>
  </si>
  <si>
    <t>СГ-5</t>
  </si>
  <si>
    <t>СГ-10 серия ПРОФИ</t>
  </si>
  <si>
    <t>СГ-10</t>
  </si>
  <si>
    <t>СГ-20 серия ПРОФИ</t>
  </si>
  <si>
    <t>СГ-20</t>
  </si>
  <si>
    <t>СГ-30 серия ПРОФИ</t>
  </si>
  <si>
    <t>СГ-30</t>
  </si>
  <si>
    <t>СГ-50 серия ПРОФИ</t>
  </si>
  <si>
    <t>СГ-50</t>
  </si>
  <si>
    <t>Съемник гидравлический</t>
  </si>
  <si>
    <t>СГ-100 серия ПРОФИ</t>
  </si>
  <si>
    <t>СГ-100</t>
  </si>
  <si>
    <t>Съемник гидравлический самоцентрирующийся</t>
  </si>
  <si>
    <t>СГС-10К серия ПРОФИ</t>
  </si>
  <si>
    <t>СГС-10К</t>
  </si>
  <si>
    <t>СГС-20К серия ПРОФИ</t>
  </si>
  <si>
    <t>СГС-20К</t>
  </si>
  <si>
    <t>СГС-30К серия ПРОФИ</t>
  </si>
  <si>
    <t>СГС-30К</t>
  </si>
  <si>
    <t xml:space="preserve">Съемник гидравлический автономный </t>
  </si>
  <si>
    <t>СГА-5 серия ПРОФИ</t>
  </si>
  <si>
    <t>СГА-5</t>
  </si>
  <si>
    <t>СГА-10 серия ПРОФИ</t>
  </si>
  <si>
    <t>СГА-10</t>
  </si>
  <si>
    <t>Съемник гидравлический автономный</t>
  </si>
  <si>
    <t>СГА-15 серия ПРОФИ</t>
  </si>
  <si>
    <t>СГА-15</t>
  </si>
  <si>
    <t>СГА-20 серия ПРОФИ</t>
  </si>
  <si>
    <t>СГА-20</t>
  </si>
  <si>
    <t>СГА-30 серия ПРОФИ</t>
  </si>
  <si>
    <t>СГА-30</t>
  </si>
  <si>
    <t>СГА-50 серия ПРОФИ</t>
  </si>
  <si>
    <t>СГА-50</t>
  </si>
  <si>
    <t>Съемник гидравлический самоцентрирующийся автономный</t>
  </si>
  <si>
    <t>СГСА-5К серия ПРОФИ</t>
  </si>
  <si>
    <t>СГСА-5К</t>
  </si>
  <si>
    <t>СГСА-10К серия ПРОФИ</t>
  </si>
  <si>
    <t>СГСА-10К</t>
  </si>
  <si>
    <t>СГСА-15К серия ПРОФИ</t>
  </si>
  <si>
    <t>СГСА-15К</t>
  </si>
  <si>
    <t xml:space="preserve">Съемник гидравлический с выносным насосом </t>
  </si>
  <si>
    <t>СГН-5 серия ПРОФИ</t>
  </si>
  <si>
    <t>СГН-5</t>
  </si>
  <si>
    <t>СГН-10 серия ПРОФИ</t>
  </si>
  <si>
    <t>СГН-10</t>
  </si>
  <si>
    <t>СГН-20 серия ПРОФИ</t>
  </si>
  <si>
    <t>СГН-20</t>
  </si>
  <si>
    <t>СГН-30 серия ПРОФИ</t>
  </si>
  <si>
    <t>СГН-30</t>
  </si>
  <si>
    <t>СГН-50 серия ПРОФИ</t>
  </si>
  <si>
    <t>СГН-50</t>
  </si>
  <si>
    <t>Съемник гидравлический с выносным насосом</t>
  </si>
  <si>
    <t>СГН-100 серия ПРОФИ</t>
  </si>
  <si>
    <t>СГН-100</t>
  </si>
  <si>
    <t>Съемник механический двухлапковый</t>
  </si>
  <si>
    <t>СМ-110Д серия ПРОФИ</t>
  </si>
  <si>
    <t>СМ-Д</t>
  </si>
  <si>
    <t>Трубогибы гидравлические</t>
  </si>
  <si>
    <t>Трубогиб</t>
  </si>
  <si>
    <t>ТГ-2 серия ПРОФИ</t>
  </si>
  <si>
    <t>ТГ-2</t>
  </si>
  <si>
    <t>ТГ-3 серия ПРОФИ</t>
  </si>
  <si>
    <t>ТГ-3</t>
  </si>
  <si>
    <t>ТГ-4 серия ПРОФИ</t>
  </si>
  <si>
    <t>ТГ-4</t>
  </si>
  <si>
    <t>ТГР-1 серия ПРОФИ</t>
  </si>
  <si>
    <t>ТГР-1</t>
  </si>
  <si>
    <t>ТГР-2 серия ПРОФИ</t>
  </si>
  <si>
    <t>ТГР-2</t>
  </si>
  <si>
    <t>ТГР-3 серия ПРОФИ</t>
  </si>
  <si>
    <t>ТГР-3</t>
  </si>
  <si>
    <t>Фланцевые расширители (разгонщики)</t>
  </si>
  <si>
    <t>Выравниватель фланцев гидравлический</t>
  </si>
  <si>
    <t>ВФГ-9 серия ПРОФИ</t>
  </si>
  <si>
    <t>ВФГ-9</t>
  </si>
  <si>
    <t xml:space="preserve">Расширитель гидравлический </t>
  </si>
  <si>
    <t>РГ-8 (11-55) серия ПРОФИ</t>
  </si>
  <si>
    <t>РГ-8 (11-55)</t>
  </si>
  <si>
    <t>РГ-12 (12-70) серия ПРОФИ</t>
  </si>
  <si>
    <t>РГ-12 (12-70)</t>
  </si>
  <si>
    <t xml:space="preserve">Разгонщик фланцев клиновой </t>
  </si>
  <si>
    <t>РФ-5-38 серия ПРОФИ</t>
  </si>
  <si>
    <t>РФ-5-38</t>
  </si>
  <si>
    <t>РФ-10-54 серия ПРОФИ</t>
  </si>
  <si>
    <t>РФ-10-54</t>
  </si>
  <si>
    <t xml:space="preserve">Разгонщик фланцев гидравлический </t>
  </si>
  <si>
    <t>РФГ-14 серия ПРОФИ</t>
  </si>
  <si>
    <t>РФГ-14 (6-61)</t>
  </si>
  <si>
    <t>Разгонщик фланцев гидравлический</t>
  </si>
  <si>
    <t>РФГ-25 (6-103) серия ПРОФИ</t>
  </si>
  <si>
    <t>РФГ-25 (6-103)</t>
  </si>
  <si>
    <t xml:space="preserve">Разгонщик фланцев автономный </t>
  </si>
  <si>
    <t>РФА-14 серия ПРОФИ</t>
  </si>
  <si>
    <t>РФА-14 (6-61)</t>
  </si>
  <si>
    <t>Разгонщик фланцев автономный</t>
  </si>
  <si>
    <t>РФА-25 (6-103) серия ПРОФИ</t>
  </si>
  <si>
    <t>РФА-25 (6-103)</t>
  </si>
  <si>
    <t>Комплект для разгонки фланцев</t>
  </si>
  <si>
    <t>РФН-5-38 «Стандарт» серия ПРОФИ</t>
  </si>
  <si>
    <t>РФН-5-38 «Стандарт»</t>
  </si>
  <si>
    <t>РФН-5-38 «Максимум» серия ПРОФИ</t>
  </si>
  <si>
    <t>РФН-5-38 «Максимум»</t>
  </si>
  <si>
    <t>РФН-10-54 «Стандарт» серия ПРОФИ</t>
  </si>
  <si>
    <t>РФН-10-54 «Стандарт»</t>
  </si>
  <si>
    <t>РФН-10-54 «Максимум» серия ПРОФИ</t>
  </si>
  <si>
    <t>РФН-10-54 «Максимум»</t>
  </si>
  <si>
    <t>РФГН-14 «Стандарт» серия ПРОФИ</t>
  </si>
  <si>
    <t>РФГН-14 «Стандарт»</t>
  </si>
  <si>
    <t>РФГН-14 «Максимум» серия ПРОФИ</t>
  </si>
  <si>
    <t>РФГН-14 «Максимум»</t>
  </si>
  <si>
    <t>Гайколомы и уголкорезы гидравлические</t>
  </si>
  <si>
    <t xml:space="preserve">Гайколом гидравлический </t>
  </si>
  <si>
    <t>ГЛГ-1924 серия ПРОФИ</t>
  </si>
  <si>
    <t>ГЛГ-1924</t>
  </si>
  <si>
    <t>ГЛГ-2432 серия ПРОФИ</t>
  </si>
  <si>
    <t>ГЛГ-2432</t>
  </si>
  <si>
    <t>ГЛГ-3241 серия ПРОФИ</t>
  </si>
  <si>
    <t>ГЛГ-3241</t>
  </si>
  <si>
    <t>ГЛГ-4150 серия ПРОФИ</t>
  </si>
  <si>
    <t>ГЛГ-4150</t>
  </si>
  <si>
    <t>ГЛГ-5060 серия ПРОФИ</t>
  </si>
  <si>
    <t>ГЛГ-5060</t>
  </si>
  <si>
    <t>ГЛГ-6075 серия ПРОФИ</t>
  </si>
  <si>
    <t>ГЛГ-6075</t>
  </si>
  <si>
    <t>Уголкорез гидравлический</t>
  </si>
  <si>
    <t>УР-75 серия ПРОФИ</t>
  </si>
  <si>
    <t>УР-75</t>
  </si>
  <si>
    <t>=ЕСЛИ($E$1&gt;=$Q$1%;35013.32-(35013.32*$Q$1%);35013.32-(35013.32*$E$1))</t>
  </si>
  <si>
    <t>=ЕСЛИ($E$1&gt;=$Q$1%;28699.44-(28699.44*$Q$1%);28699.44-(28699.44*$E$1))</t>
  </si>
  <si>
    <t>УР-110 серия ПРОФИ</t>
  </si>
  <si>
    <t>УР-110</t>
  </si>
  <si>
    <t>=ЕСЛИ($E$1&gt;=$Q$1%;40594.77-(40594.77*$Q$1%);40594.77-(40594.77*$E$1))</t>
  </si>
  <si>
    <t>=ЕСЛИ($E$1&gt;=$Q$1%;33274.40-(33274.40*$Q$1%);33274.40-(33274.40*$E$1))</t>
  </si>
  <si>
    <t>Сетевой инструмент</t>
  </si>
  <si>
    <t>Кримперы для обжима сетевого кабеля</t>
  </si>
  <si>
    <t xml:space="preserve">Пресс-клещи для RJ разъемов </t>
  </si>
  <si>
    <t>JT-01 серия ПРОФИ</t>
  </si>
  <si>
    <t>JT-01</t>
  </si>
  <si>
    <t>JT-01A серия ПРОФИ</t>
  </si>
  <si>
    <t>JT-01А</t>
  </si>
  <si>
    <t>JT-01B серия ПРОФИ</t>
  </si>
  <si>
    <t>JT-01B</t>
  </si>
  <si>
    <t>JT-02 серия МАСТЕР</t>
  </si>
  <si>
    <t>JT-02</t>
  </si>
  <si>
    <t>Пресс-клещи для RJ разъемов</t>
  </si>
  <si>
    <t>JT-02A серия МАСТЕР</t>
  </si>
  <si>
    <t>JT-02А</t>
  </si>
  <si>
    <t>JT-02T серия ПРОФИ</t>
  </si>
  <si>
    <t>JT-02T</t>
  </si>
  <si>
    <t>JT-02M серия ПРОФИ</t>
  </si>
  <si>
    <t>JT-02M</t>
  </si>
  <si>
    <t>JT-210 серия МАСТЕР</t>
  </si>
  <si>
    <t>JT-210</t>
  </si>
  <si>
    <t>JT-03 серия ПРОФИ</t>
  </si>
  <si>
    <t>JT-03</t>
  </si>
  <si>
    <t>JT-03А серия МАСТЕР</t>
  </si>
  <si>
    <t>JT-03А</t>
  </si>
  <si>
    <t>JT-03T серия ПРОФИ</t>
  </si>
  <si>
    <t>JT-03T</t>
  </si>
  <si>
    <t>HT-200R серия ПРОФИ</t>
  </si>
  <si>
    <t>HT-200R</t>
  </si>
  <si>
    <t>JT-04 серия ПРОФИ</t>
  </si>
  <si>
    <t>JT-04</t>
  </si>
  <si>
    <t>JT-04А серия ПРОФИ</t>
  </si>
  <si>
    <t>JT-04А</t>
  </si>
  <si>
    <t>JT-05 серия ПРОФИ</t>
  </si>
  <si>
    <t>JT-05</t>
  </si>
  <si>
    <t>Инструмент для заделки и зачистки сетевого кабеля</t>
  </si>
  <si>
    <t xml:space="preserve">Инструмент для заделки витой пары </t>
  </si>
  <si>
    <t>PD-01 серия ПРОФИ</t>
  </si>
  <si>
    <t>PD-01</t>
  </si>
  <si>
    <t>PD-03 серия ПРОФИ</t>
  </si>
  <si>
    <t>PD-03</t>
  </si>
  <si>
    <t xml:space="preserve">Инструмент для зачистки и заделки витой пары </t>
  </si>
  <si>
    <t>PD-04 серия МАСТЕР</t>
  </si>
  <si>
    <t>PD-04</t>
  </si>
  <si>
    <t xml:space="preserve">Набор для работ с сетевым кабелем </t>
  </si>
  <si>
    <t>LAN-4 серия ПРОФИ</t>
  </si>
  <si>
    <t>LAN-4</t>
  </si>
  <si>
    <t>Набор для работ с сетевым кабелем</t>
  </si>
  <si>
    <t>LAN-8 серия ПРОФИ</t>
  </si>
  <si>
    <t>LAN-8</t>
  </si>
  <si>
    <t xml:space="preserve">Инструмент для зачистки оптоволокна </t>
  </si>
  <si>
    <t>FOS-01 серия ПРОФИ</t>
  </si>
  <si>
    <t>FOS-01</t>
  </si>
  <si>
    <t xml:space="preserve">Ножницы для резки кевлара </t>
  </si>
  <si>
    <t>FOS-03A серия ПРОФИ</t>
  </si>
  <si>
    <t>FOS-03A</t>
  </si>
  <si>
    <t>КС-501 серия ПРОФИ</t>
  </si>
  <si>
    <t>КС-501</t>
  </si>
  <si>
    <t>КС-332 серия ПРОФИ</t>
  </si>
  <si>
    <t>КС-332</t>
  </si>
  <si>
    <t>Коаксиальный стриппер</t>
  </si>
  <si>
    <t>КС-352 серия ПРОФИ</t>
  </si>
  <si>
    <t>КС-352</t>
  </si>
  <si>
    <t>Крепежный инструмент</t>
  </si>
  <si>
    <t>Газовый монтажный пистолет</t>
  </si>
  <si>
    <t>GCN-40 серия ПРОФИ</t>
  </si>
  <si>
    <t>GCN-40</t>
  </si>
  <si>
    <t>GCN-40Y серия ПРОФИ</t>
  </si>
  <si>
    <t>GCN-40Y</t>
  </si>
  <si>
    <t>GCN-90 серия ПРОФИ</t>
  </si>
  <si>
    <t>GCN-90</t>
  </si>
  <si>
    <t xml:space="preserve">Степлер строительный </t>
  </si>
  <si>
    <t>СТС-1 серия ПРОФИ</t>
  </si>
  <si>
    <t>СТС-1</t>
  </si>
  <si>
    <t>СТС-3 серия ПРОФИ</t>
  </si>
  <si>
    <t>СТС-3</t>
  </si>
  <si>
    <t>СТС-4 серия ПРОФИ</t>
  </si>
  <si>
    <t>СТС-4</t>
  </si>
  <si>
    <t xml:space="preserve">Инструмент для удаления скоб </t>
  </si>
  <si>
    <t>АС-1 серия ПРОФИ</t>
  </si>
  <si>
    <t>АС-1</t>
  </si>
  <si>
    <t xml:space="preserve">Заклепочник ручной рычажный </t>
  </si>
  <si>
    <t>ЗР-04 серия ПРОФИ</t>
  </si>
  <si>
    <t>ЗР-04</t>
  </si>
  <si>
    <t>Заклепочник ручной «гармошка»</t>
  </si>
  <si>
    <t>ЗР-05 серия ПРОФИ</t>
  </si>
  <si>
    <t>ЗР-05</t>
  </si>
  <si>
    <t xml:space="preserve">Пистолет клеевой 20 Вт с диаметром стержня 7 мм </t>
  </si>
  <si>
    <t>КП-20-7 серия ПРОФИ</t>
  </si>
  <si>
    <t>КП-20-7</t>
  </si>
  <si>
    <t xml:space="preserve">Пистолет клеевой 40 Вт с диаметром стержня 7 мм </t>
  </si>
  <si>
    <t>КП-40-7 серия ПРОФИ</t>
  </si>
  <si>
    <t>КП-40-7</t>
  </si>
  <si>
    <t xml:space="preserve">Пистолет клеевой 60 Вт с диаметром стержня 11 мм </t>
  </si>
  <si>
    <t>КП-60-11 серия ПРОФИ</t>
  </si>
  <si>
    <t>КП-60-11</t>
  </si>
  <si>
    <t xml:space="preserve">Пистолет клеевой 100 Вт с диаметром стержня 11 мм </t>
  </si>
  <si>
    <t>КП-100-11 серия ПРОФИ</t>
  </si>
  <si>
    <t>КП-100-11</t>
  </si>
  <si>
    <t xml:space="preserve">Стержни клеевые прозрачные </t>
  </si>
  <si>
    <t>ТПК-7</t>
  </si>
  <si>
    <t>ТПК</t>
  </si>
  <si>
    <t>=ЕСЛИ($E$1&gt;=$Q$1%;109.68-(109.68*$Q$1%);109.68-(109.68*$E$1))</t>
  </si>
  <si>
    <t>=ЕСЛИ($E$1&gt;=$Q$1%;89.90-(89.90*$Q$1%);89.90-(89.90*$E$1))</t>
  </si>
  <si>
    <t>ТПК-11</t>
  </si>
  <si>
    <t>=ЕСЛИ($E$1&gt;=$Q$1%;279.95-(279.95*$Q$1%);279.95-(279.95*$E$1))</t>
  </si>
  <si>
    <t>=ЕСЛИ($E$1&gt;=$Q$1%;229.47-(229.47*$Q$1%);229.47-(229.47*$E$1))</t>
  </si>
  <si>
    <t>Экипировка, средства защиты и безопасности</t>
  </si>
  <si>
    <t>Сумки, рюкзаки и пояса</t>
  </si>
  <si>
    <t xml:space="preserve">Сумка монтажника </t>
  </si>
  <si>
    <t>С-01 серия ПРОФИ</t>
  </si>
  <si>
    <t>С-01</t>
  </si>
  <si>
    <t>С-03 серия ПРОФИ</t>
  </si>
  <si>
    <t>С-03</t>
  </si>
  <si>
    <t>С-04 серия ПРОФИ</t>
  </si>
  <si>
    <t>С-04</t>
  </si>
  <si>
    <t>С-05 серия ПРОФИ</t>
  </si>
  <si>
    <t>С-05</t>
  </si>
  <si>
    <t>Сумка монтажника</t>
  </si>
  <si>
    <t>С-06 серия ПРОФИ</t>
  </si>
  <si>
    <t>С-06</t>
  </si>
  <si>
    <t>С-10 серия ПРОФИ</t>
  </si>
  <si>
    <t>С-10</t>
  </si>
  <si>
    <t>С-11 серия ПРОФИ</t>
  </si>
  <si>
    <t>С-11</t>
  </si>
  <si>
    <t>С-13 серия ПРОФИ</t>
  </si>
  <si>
    <t>С-13</t>
  </si>
  <si>
    <t xml:space="preserve">Сумка монтажника поясная без ремня </t>
  </si>
  <si>
    <t>С-14 серия ПРОФИ</t>
  </si>
  <si>
    <t>С-14</t>
  </si>
  <si>
    <t>С-15 серия ПРОФИ</t>
  </si>
  <si>
    <t>С-15</t>
  </si>
  <si>
    <t xml:space="preserve">Сумка-пояс монтажника </t>
  </si>
  <si>
    <t>С-16 серия ПРОФИ</t>
  </si>
  <si>
    <t>С-16</t>
  </si>
  <si>
    <t xml:space="preserve">Рюкзак монтажника </t>
  </si>
  <si>
    <t>С-07 серия ПРОФИ</t>
  </si>
  <si>
    <t>С-07</t>
  </si>
  <si>
    <t>С-08 серия ПРОФИ</t>
  </si>
  <si>
    <t>С-08</t>
  </si>
  <si>
    <t>С-17 серия ПРОФИ</t>
  </si>
  <si>
    <t>С-17</t>
  </si>
  <si>
    <t>Рюкзак</t>
  </si>
  <si>
    <t>URBAN</t>
  </si>
  <si>
    <t>DISCOVERY</t>
  </si>
  <si>
    <t>CRUISE</t>
  </si>
  <si>
    <t>Жилет монтажника</t>
  </si>
  <si>
    <t>С-22 серия ПРОФИ</t>
  </si>
  <si>
    <t>С-22</t>
  </si>
  <si>
    <t xml:space="preserve">Ремень с защелкой </t>
  </si>
  <si>
    <t>С-50 серия ПРОФИ</t>
  </si>
  <si>
    <t>С-50</t>
  </si>
  <si>
    <t xml:space="preserve">Ремень с пряжкой </t>
  </si>
  <si>
    <t>С-51 серия ПРОФИ</t>
  </si>
  <si>
    <t>С-51</t>
  </si>
  <si>
    <t xml:space="preserve">Напульсник с магнитным держателем </t>
  </si>
  <si>
    <t>С-55 серия ПРОФИ</t>
  </si>
  <si>
    <t>С-55</t>
  </si>
  <si>
    <t>Кобура для шуруповерта</t>
  </si>
  <si>
    <t>С-53 серия ПРОФИ</t>
  </si>
  <si>
    <t>С-53</t>
  </si>
  <si>
    <t xml:space="preserve">Сумка </t>
  </si>
  <si>
    <t>ZP001 серия ПРОФИ</t>
  </si>
  <si>
    <t>ZP001</t>
  </si>
  <si>
    <t>Сумка</t>
  </si>
  <si>
    <t>ZP004 серия ПРОФИ</t>
  </si>
  <si>
    <t>ZP004</t>
  </si>
  <si>
    <t xml:space="preserve">Сумка поясная модульная на клипсе </t>
  </si>
  <si>
    <t>СМ-01 серия QUICK-LOCK</t>
  </si>
  <si>
    <t>СМ-01</t>
  </si>
  <si>
    <t>СМ-02 серия QUICK-LOCK</t>
  </si>
  <si>
    <t>СМ-02</t>
  </si>
  <si>
    <t>СМ-03 серия QUICK-LOCK</t>
  </si>
  <si>
    <t>СМ-03</t>
  </si>
  <si>
    <t>СМ-04 серия QUICK-LOCK</t>
  </si>
  <si>
    <t>СМ-04</t>
  </si>
  <si>
    <t xml:space="preserve">Сумка-кобура модульная на клипсе </t>
  </si>
  <si>
    <t>СМ-05 серия QUICK-LOCK</t>
  </si>
  <si>
    <t>СМ-05</t>
  </si>
  <si>
    <t xml:space="preserve">Пояс-кушак модульный </t>
  </si>
  <si>
    <t>СМ-06 серия QUICK-LOCK</t>
  </si>
  <si>
    <t>СМ-06</t>
  </si>
  <si>
    <t>Сумка поясная модульная на клипсе</t>
  </si>
  <si>
    <t>СМ-07 серия QUICK-LOCK</t>
  </si>
  <si>
    <t>СМ-07</t>
  </si>
  <si>
    <t>СМ-08 серия QUICK-LOCK</t>
  </si>
  <si>
    <t>СМ-08</t>
  </si>
  <si>
    <t>СМ-09 серия QUICK-LOCK</t>
  </si>
  <si>
    <t>СМ-09</t>
  </si>
  <si>
    <t>Разгрузочные лямки</t>
  </si>
  <si>
    <t>СМ-10 серия QUICK-LOCK</t>
  </si>
  <si>
    <t>СМ-10</t>
  </si>
  <si>
    <t>Комплект модульных сумок на поясе</t>
  </si>
  <si>
    <t>СМ-11 серия QUICK-LOCK</t>
  </si>
  <si>
    <t>СМ-11</t>
  </si>
  <si>
    <t>СМ-12 серия QUICK-LOCK</t>
  </si>
  <si>
    <t>СМ-12</t>
  </si>
  <si>
    <t>СМ-13 серия QUICK-LOCK</t>
  </si>
  <si>
    <t>СМ-13</t>
  </si>
  <si>
    <t>СМ-14 серия QUICK-LOCK</t>
  </si>
  <si>
    <t>СМ-14</t>
  </si>
  <si>
    <t xml:space="preserve">Набор клипс </t>
  </si>
  <si>
    <t>СМ серия QUICK-LOCK</t>
  </si>
  <si>
    <t>СМ</t>
  </si>
  <si>
    <t xml:space="preserve">Ремень кожаный для поясных сумок </t>
  </si>
  <si>
    <t>СК-1 серия DEAD BULL</t>
  </si>
  <si>
    <t>СК-1</t>
  </si>
  <si>
    <t xml:space="preserve">Сумка кожаная поясная без ремня </t>
  </si>
  <si>
    <t>СК-4 серия DEAD BULL</t>
  </si>
  <si>
    <t>СК-4</t>
  </si>
  <si>
    <t>СК-10 серия DEAD BULL</t>
  </si>
  <si>
    <t>СК-10</t>
  </si>
  <si>
    <t>СК-9 серия DEAD BULL</t>
  </si>
  <si>
    <t>СК-9</t>
  </si>
  <si>
    <t xml:space="preserve">Сумка-пояс монтажника кожаная </t>
  </si>
  <si>
    <t>СК-12 серия DEAD BULL</t>
  </si>
  <si>
    <t>СК-12</t>
  </si>
  <si>
    <t>Кейсы и органайзеры</t>
  </si>
  <si>
    <t xml:space="preserve">Кейс-органайзер </t>
  </si>
  <si>
    <t>К-01 серия ПРОФИ</t>
  </si>
  <si>
    <t>К-01</t>
  </si>
  <si>
    <t>К-02 серия ПРОФИ</t>
  </si>
  <si>
    <t>К-02</t>
  </si>
  <si>
    <t>К-03 серия ПРОФИ</t>
  </si>
  <si>
    <t>К-03</t>
  </si>
  <si>
    <t>К-04 серия ПРОФИ</t>
  </si>
  <si>
    <t>К-04</t>
  </si>
  <si>
    <t>К-06 серия ПРОФИ</t>
  </si>
  <si>
    <t>К-06</t>
  </si>
  <si>
    <t xml:space="preserve">Кейс-органайзер двухсторонний </t>
  </si>
  <si>
    <t>К-08 серия ПРОФИ</t>
  </si>
  <si>
    <t>К-08</t>
  </si>
  <si>
    <t>Средства индивидуальной защиты</t>
  </si>
  <si>
    <t xml:space="preserve">Перчатки монтажника </t>
  </si>
  <si>
    <t>С-31 (M) серия ПРОФИ</t>
  </si>
  <si>
    <t>С-31</t>
  </si>
  <si>
    <t>пар</t>
  </si>
  <si>
    <t>С-31 (L) серия ПРОФИ</t>
  </si>
  <si>
    <t>С-32 (M) серия ПРОФИ</t>
  </si>
  <si>
    <t>С-32</t>
  </si>
  <si>
    <t>С-32 (L) серия ПРОФИ</t>
  </si>
  <si>
    <t>С-33 (M) серия ПРОФИ</t>
  </si>
  <si>
    <t>С-33</t>
  </si>
  <si>
    <t>С-44 (L) серия ПРОФИ</t>
  </si>
  <si>
    <t>С-44</t>
  </si>
  <si>
    <t>С-46 (XXL) серия ПРОФИ</t>
  </si>
  <si>
    <t>С-46</t>
  </si>
  <si>
    <t xml:space="preserve">Наколенники </t>
  </si>
  <si>
    <t>С-60 серия ПРОФИ</t>
  </si>
  <si>
    <t>С-60</t>
  </si>
  <si>
    <t xml:space="preserve">Очки монтажника </t>
  </si>
  <si>
    <t>ОМ-01 серия ПРОФИ</t>
  </si>
  <si>
    <t>ОМ-01</t>
  </si>
  <si>
    <t>=ЕСЛИ($E$1&gt;=$Q$1%;418.81-(418.81*$Q$1%);418.81-(418.81*$E$1))</t>
  </si>
  <si>
    <t>=ЕСЛИ($E$1&gt;=$Q$1%;343.29-(343.29*$Q$1%);343.29-(343.29*$E$1))</t>
  </si>
  <si>
    <t>ОМ-03 серия ПРОФИ</t>
  </si>
  <si>
    <t>ОМ-03</t>
  </si>
  <si>
    <t>=ЕСЛИ($E$1&gt;=$Q$1%;389.97-(389.97*$Q$1%);389.97-(389.97*$E$1))</t>
  </si>
  <si>
    <t>=ЕСЛИ($E$1&gt;=$Q$1%;319.65-(319.65*$Q$1%);319.65-(319.65*$E$1))</t>
  </si>
  <si>
    <t>ОМ-04 серия ПРОФИ</t>
  </si>
  <si>
    <t>ОМ-04</t>
  </si>
  <si>
    <t>=ЕСЛИ($E$1&gt;=$Q$1%;739.77-(739.77*$Q$1%);739.77-(739.77*$E$1))</t>
  </si>
  <si>
    <t>=ЕСЛИ($E$1&gt;=$Q$1%;606.37-(606.37*$Q$1%);606.37-(606.37*$E$1))</t>
  </si>
  <si>
    <t>ОМ-06 серия ПРОФИ</t>
  </si>
  <si>
    <t>ОМ-06</t>
  </si>
  <si>
    <t>=ЕСЛИ($E$1&gt;=$Q$1%;539.79-(539.79*$Q$1%);539.79-(539.79*$E$1))</t>
  </si>
  <si>
    <t>=ЕСЛИ($E$1&gt;=$Q$1%;442.45-(442.45*$Q$1%);442.45-(442.45*$E$1))</t>
  </si>
  <si>
    <t xml:space="preserve">Наушники противошумные </t>
  </si>
  <si>
    <t>НП-25 серия МАСТЕР</t>
  </si>
  <si>
    <t>НП-25</t>
  </si>
  <si>
    <t>=ЕСЛИ($E$1&gt;=$Q$1%;665.14-(665.14*$Q$1%);665.14-(665.14*$E$1))</t>
  </si>
  <si>
    <t>=ЕСЛИ($E$1&gt;=$Q$1%;545.20-(545.20*$Q$1%);545.20-(545.20*$E$1))</t>
  </si>
  <si>
    <t xml:space="preserve">Наушники противошумные складные </t>
  </si>
  <si>
    <t>НП-29 серия ПРОФИ</t>
  </si>
  <si>
    <t>НП-29</t>
  </si>
  <si>
    <t>=ЕСЛИ($E$1&gt;=$Q$1%;979.25-(979.25*$Q$1%);979.25-(979.25*$E$1))</t>
  </si>
  <si>
    <t>=ЕСЛИ($E$1&gt;=$Q$1%;802.66-(802.66*$Q$1%);802.66-(802.66*$E$1))</t>
  </si>
  <si>
    <t>НП-35 серия ПРОФИ</t>
  </si>
  <si>
    <t>НП-35</t>
  </si>
  <si>
    <t>=ЕСЛИ($E$1&gt;=$Q$1%;1443.39-(1443.39*$Q$1%);1443.39-(1443.39*$E$1))</t>
  </si>
  <si>
    <t>=ЕСЛИ($E$1&gt;=$Q$1%;1183.11-(1183.11*$Q$1%);1183.11-(1183.11*$E$1))</t>
  </si>
  <si>
    <t>Средства безопасности при работе на высоте</t>
  </si>
  <si>
    <t xml:space="preserve">Пояс </t>
  </si>
  <si>
    <t>ППЛ-32</t>
  </si>
  <si>
    <t>ППЛ</t>
  </si>
  <si>
    <t xml:space="preserve">Пояс монтерский </t>
  </si>
  <si>
    <t>ПМ-20</t>
  </si>
  <si>
    <t xml:space="preserve">Строп </t>
  </si>
  <si>
    <t>СЛ-21</t>
  </si>
  <si>
    <t xml:space="preserve">Строп с амортизатором </t>
  </si>
  <si>
    <t>СЛ-21А</t>
  </si>
  <si>
    <t>СК-21</t>
  </si>
  <si>
    <t>СК-21А</t>
  </si>
  <si>
    <t xml:space="preserve">Канат </t>
  </si>
  <si>
    <t>КСЛ-10</t>
  </si>
  <si>
    <t>Канат</t>
  </si>
  <si>
    <t>КСЛ-10-2</t>
  </si>
  <si>
    <t xml:space="preserve">Когти </t>
  </si>
  <si>
    <t>КМ-1</t>
  </si>
  <si>
    <t>КМ</t>
  </si>
  <si>
    <t>=ЕСЛИ($E$1&gt;=$Q$1%;7986-(7986*$Q$1%);7986-(7986*$E$1))</t>
  </si>
  <si>
    <t>=ЕСЛИ($E$1&gt;=$Q$1%;6545.90-(6545.90*$Q$1%);6545.90-(6545.90*$E$1))</t>
  </si>
  <si>
    <t>КМ-2</t>
  </si>
  <si>
    <t>=ЕСЛИ($E$1&gt;=$Q$1%;8400.86-(8400.86*$Q$1%);8400.86-(8400.86*$E$1))</t>
  </si>
  <si>
    <t>=ЕСЛИ($E$1&gt;=$Q$1%;6885.95-(6885.95*$Q$1%);6885.95-(6885.95*$E$1))</t>
  </si>
  <si>
    <t xml:space="preserve">Лазы </t>
  </si>
  <si>
    <t>ЛУ (с шипами)</t>
  </si>
  <si>
    <t>ЛУ</t>
  </si>
  <si>
    <t>=ЕСЛИ($E$1&gt;=$Q$1%;10998.43-(10998.43*$Q$1%);10998.43-(10998.43*$E$1))</t>
  </si>
  <si>
    <t>=ЕСЛИ($E$1&gt;=$Q$1%;9015.11-(9015.11*$Q$1%);9015.11-(9015.11*$E$1))</t>
  </si>
  <si>
    <t>Комплект крепежный ремней для когтей и лазов</t>
  </si>
  <si>
    <t>Крепежные ремни для когтей монтерских и лазов универсальных</t>
  </si>
  <si>
    <t>=ЕСЛИ($E$1&gt;=$Q$1%;2489.14-(2489.14*$Q$1%);2489.14-(2489.14*$E$1))</t>
  </si>
  <si>
    <t>=ЕСЛИ($E$1&gt;=$Q$1%;2040.28-(2040.28*$Q$1%);2040.28-(2040.28*$E$1))</t>
  </si>
  <si>
    <t>Шипы к лазам</t>
  </si>
  <si>
    <t>=ЕСЛИ($E$1&gt;=$Q$1%;2178.01-(2178.01*$Q$1%);2178.01-(2178.01*$E$1))</t>
  </si>
  <si>
    <t>=ЕСЛИ($E$1&gt;=$Q$1%;1785.25-(1785.25*$Q$1%);1785.25-(1785.25*$E$1))</t>
  </si>
  <si>
    <t>Фонарики светодиодные</t>
  </si>
  <si>
    <t xml:space="preserve">Фонарик налобный </t>
  </si>
  <si>
    <t>HL-6565 серия EXPLORER</t>
  </si>
  <si>
    <t>HL-6565</t>
  </si>
  <si>
    <t>HL-6566 серия EXPLORER</t>
  </si>
  <si>
    <t>HL-6566</t>
  </si>
  <si>
    <t>HL-6567 серия EXPLORER</t>
  </si>
  <si>
    <t>HL-6567</t>
  </si>
  <si>
    <t>HL-6570 серия EXPLORER</t>
  </si>
  <si>
    <t>HL-6570</t>
  </si>
  <si>
    <t>HL-6578 серия EXPLORER</t>
  </si>
  <si>
    <t>HL-6578</t>
  </si>
  <si>
    <t>HL-6597 серия EXPLORER</t>
  </si>
  <si>
    <t>HL-6597</t>
  </si>
  <si>
    <t>Фонарик налобный</t>
  </si>
  <si>
    <t>HL-6707 серия EXPLORER</t>
  </si>
  <si>
    <t>HL-6707</t>
  </si>
  <si>
    <t>HL-57 серия EXPLORER</t>
  </si>
  <si>
    <t>HL-57</t>
  </si>
  <si>
    <t xml:space="preserve">Фонарик переносной </t>
  </si>
  <si>
    <t>FL-7007 серия ПРОФИ</t>
  </si>
  <si>
    <t>FL-7007</t>
  </si>
  <si>
    <t xml:space="preserve">Фонарик ручной </t>
  </si>
  <si>
    <t>FL-8012 серия ПРОФИ</t>
  </si>
  <si>
    <t>FL-8012</t>
  </si>
  <si>
    <t>FL-8030 серия ПРОФИ</t>
  </si>
  <si>
    <t>FL-8030</t>
  </si>
  <si>
    <t>FL-8033 серия ПРОФИ</t>
  </si>
  <si>
    <t>FL-8033</t>
  </si>
  <si>
    <t>Фонарик ручной</t>
  </si>
  <si>
    <t>FL-8052 серия ПРОФИ</t>
  </si>
  <si>
    <t>FL-8052</t>
  </si>
  <si>
    <t>Сантехнический инструмент</t>
  </si>
  <si>
    <t>Аккумуляторный инструмент для монтажа труб</t>
  </si>
  <si>
    <t>ПГРА-СЗР-32 серия ПРОФИ</t>
  </si>
  <si>
    <t>ПГРА-СЗР-32</t>
  </si>
  <si>
    <t>ПГРА-СР-32 серия ПРОФИ</t>
  </si>
  <si>
    <t>ПГРА-СР-32</t>
  </si>
  <si>
    <t>ПГРА-СЗ-32 серия ПРОФИ</t>
  </si>
  <si>
    <t>ПГРА-СЗ-32</t>
  </si>
  <si>
    <t>ПГРА-СО-32 серия ПРОФИ</t>
  </si>
  <si>
    <t>ПГРА-СО-32</t>
  </si>
  <si>
    <t>Набор расширителей</t>
  </si>
  <si>
    <t>НР-32 PEX серия ПРОФИ</t>
  </si>
  <si>
    <t>НР-32 PEX</t>
  </si>
  <si>
    <t>НР-32 MLCP серия ПРОФИ</t>
  </si>
  <si>
    <t>НР-32 MLCP</t>
  </si>
  <si>
    <t>Набор матриц для опрессовки фитингов</t>
  </si>
  <si>
    <t>B (16-32) серия ПРОФИ</t>
  </si>
  <si>
    <t>В (16-32)</t>
  </si>
  <si>
    <t>U (16-32) серия ПРОФИ</t>
  </si>
  <si>
    <t>U (16-32)</t>
  </si>
  <si>
    <t>TH (16-32) серия ПРОФИ</t>
  </si>
  <si>
    <t>TH (16-32)</t>
  </si>
  <si>
    <t>V (15-28) серия ПРОФИ</t>
  </si>
  <si>
    <t>V (15-28)</t>
  </si>
  <si>
    <t>Труборезы</t>
  </si>
  <si>
    <t>Ножницы-труборез</t>
  </si>
  <si>
    <t>НТП-32у серия ПРОФИ</t>
  </si>
  <si>
    <t>НТП-32у</t>
  </si>
  <si>
    <t xml:space="preserve">Ножницы-труборез </t>
  </si>
  <si>
    <t>НТП-42у серия ПРОФИ</t>
  </si>
  <si>
    <t>НТП-42у</t>
  </si>
  <si>
    <t>НТП-32м серия ПРОФИ</t>
  </si>
  <si>
    <t>НТП-32м</t>
  </si>
  <si>
    <t>НТП-42м серия ПРОФИ</t>
  </si>
  <si>
    <t>НТП-42м</t>
  </si>
  <si>
    <t>НТП-64м серия ПРОФИ</t>
  </si>
  <si>
    <t>НТП-64м</t>
  </si>
  <si>
    <t>Арматура и инструмент для СИП и ВЛ</t>
  </si>
  <si>
    <t>Прокалывающие зажимы</t>
  </si>
  <si>
    <t>Зажим прокалывающий ответвительный</t>
  </si>
  <si>
    <t>ЗПО 16-150/4-50</t>
  </si>
  <si>
    <t>ЗПО 16-150/4-50 (30шт)</t>
  </si>
  <si>
    <t>ЗПО 16-95/16-95</t>
  </si>
  <si>
    <t>ЗПО 16-95/16-95 (20шт)</t>
  </si>
  <si>
    <t>ЗПО 16-95/1,5-16</t>
  </si>
  <si>
    <t>ЗПО 16-95/1,5-16 (20шт)</t>
  </si>
  <si>
    <t>ЗПО 6-95/1,5-10</t>
  </si>
  <si>
    <t>ЗПО 6-95/1,5-10 (20шт)</t>
  </si>
  <si>
    <t>ЗПО 4-35/4-35</t>
  </si>
  <si>
    <t>ЗПО 4-35/4-35 (20шт)</t>
  </si>
  <si>
    <t xml:space="preserve">Зажим прокалывающий ответвительный </t>
  </si>
  <si>
    <t>ЗПОн 16-95/1,5-16</t>
  </si>
  <si>
    <t>ЗПОн 16-95/1,5-16 (20шт)</t>
  </si>
  <si>
    <t>ЗПОн 25-150/25-150</t>
  </si>
  <si>
    <t>ЗПОн 25-150/25-150 (20шт)</t>
  </si>
  <si>
    <t>ЗПОн 16-150/4-50</t>
  </si>
  <si>
    <t>ЗПОн 16-150/4-50 (30шт)</t>
  </si>
  <si>
    <t>ЗПО 16-95/1,5-10</t>
  </si>
  <si>
    <t>ЗПО 16-95/1,5-10 (20шт)</t>
  </si>
  <si>
    <t>ЗПО 16-95/4-35(50)</t>
  </si>
  <si>
    <t>ЗПО 16-95/4-35(50) (24шт)</t>
  </si>
  <si>
    <t>ЗПО 50-150/6-35(50)</t>
  </si>
  <si>
    <t>ЗПО 50-150/6-35(50) (24шт)</t>
  </si>
  <si>
    <t>ЗПО 25-95/25-95</t>
  </si>
  <si>
    <t>ЗПО 25-95/25-95 (20шт)</t>
  </si>
  <si>
    <t>ЗПО 50-150/50-150</t>
  </si>
  <si>
    <t>ЗПО 50-150/50-150 (20шт)</t>
  </si>
  <si>
    <t>ЗПК 35–95/4–54</t>
  </si>
  <si>
    <t>ЗПК</t>
  </si>
  <si>
    <t>ЗПК 35–95/4–54 (10шт)</t>
  </si>
  <si>
    <t xml:space="preserve">Зажим соединительный плашечный </t>
  </si>
  <si>
    <t>ПЗА 16-70</t>
  </si>
  <si>
    <t>Зажим соединительный плашечный</t>
  </si>
  <si>
    <t>ПЗА 16-70 (12шт)</t>
  </si>
  <si>
    <t>ПЗА 16-150</t>
  </si>
  <si>
    <t>ПЗА 16-150 (10шт)</t>
  </si>
  <si>
    <t>ПЗА 25-240</t>
  </si>
  <si>
    <t>ПЗА 25-240 (8шт)</t>
  </si>
  <si>
    <t xml:space="preserve">Адаптер для закороток и заземления </t>
  </si>
  <si>
    <t>АДЗ-25</t>
  </si>
  <si>
    <t>АДЗ</t>
  </si>
  <si>
    <t>Скоба изолированная</t>
  </si>
  <si>
    <t>ИС-25</t>
  </si>
  <si>
    <t xml:space="preserve">Колпачок изолирующий </t>
  </si>
  <si>
    <t>КИ 6-35</t>
  </si>
  <si>
    <t>КИ</t>
  </si>
  <si>
    <t>КИ 16-150</t>
  </si>
  <si>
    <t>Анкерные зажимы, кронштейны и крепеж</t>
  </si>
  <si>
    <t xml:space="preserve">Зажим анкерный </t>
  </si>
  <si>
    <t>ЗАН-1500</t>
  </si>
  <si>
    <t>ЗАН</t>
  </si>
  <si>
    <t>ЗАН-4</t>
  </si>
  <si>
    <t xml:space="preserve">Кронштейн абонентский </t>
  </si>
  <si>
    <t>КА-1500</t>
  </si>
  <si>
    <t>КА</t>
  </si>
  <si>
    <t xml:space="preserve">Крюк монтажный </t>
  </si>
  <si>
    <t>КП-1500</t>
  </si>
  <si>
    <t>КП</t>
  </si>
  <si>
    <t xml:space="preserve">Кронштейн </t>
  </si>
  <si>
    <t>КАБ-25</t>
  </si>
  <si>
    <t>КАБ</t>
  </si>
  <si>
    <t xml:space="preserve">Комплект промежуточной подвески </t>
  </si>
  <si>
    <t>КПП-1500</t>
  </si>
  <si>
    <t xml:space="preserve">Зажим поддерживающий промежуточный </t>
  </si>
  <si>
    <t>ППЗ-60</t>
  </si>
  <si>
    <t>ППЗ-90</t>
  </si>
  <si>
    <t>ППЗ-4</t>
  </si>
  <si>
    <t>КМ-120</t>
  </si>
  <si>
    <t>КМ-200</t>
  </si>
  <si>
    <t xml:space="preserve">Крепеж фасадный </t>
  </si>
  <si>
    <t>КФ-60</t>
  </si>
  <si>
    <t>КФ</t>
  </si>
  <si>
    <t>Герметичные изолированные наконечники и гильзы</t>
  </si>
  <si>
    <t>Гильза изолированная герметичная</t>
  </si>
  <si>
    <t>ГИА (MJPB) 10-16</t>
  </si>
  <si>
    <t>Гильза изолированная герметичная для ответвлений абонентов сечением 10(16) мм²</t>
  </si>
  <si>
    <t>ГИА (MJPB) 10-16 (10шт)</t>
  </si>
  <si>
    <t>ГИА (MJPB) 16</t>
  </si>
  <si>
    <t>Гильза изолированная герметичная для ответвлений абонентов сечением 16 мм²</t>
  </si>
  <si>
    <t>ГИА (MJPB) 16 (10шт)</t>
  </si>
  <si>
    <t>ГИА (MJPB) 16-25</t>
  </si>
  <si>
    <t>Гильза изолированная герметичная для ответвлений абонентов сечением 16(25) мм²</t>
  </si>
  <si>
    <t>ГИА (MJPB) 16-25 (10шт)</t>
  </si>
  <si>
    <t>ГИА (MJPB) 25</t>
  </si>
  <si>
    <t>Гильза изолированная герметичная для ответвлений абонентов сечением 25 мм²</t>
  </si>
  <si>
    <t>ГИА (MJPB) 25 (10шт)</t>
  </si>
  <si>
    <t>ГИФ (MJPT) 16</t>
  </si>
  <si>
    <t>Гильза изолированная герметичная для фазных магистральных проводов сечением 16 мм²</t>
  </si>
  <si>
    <t>ГИФ (MJPT) 16 (10шт)</t>
  </si>
  <si>
    <t>ГИФ (MJPT) 25</t>
  </si>
  <si>
    <t>Гильза изолированная герметичная для фазных магистральных проводов сечением 25 мм²</t>
  </si>
  <si>
    <t>ГИФ (MJPT) 25 (10шт)</t>
  </si>
  <si>
    <t>ГИФ (MJPT) 35</t>
  </si>
  <si>
    <t>Гильза изолированная герметичная для фазных магистральных проводов сечением 35 мм²</t>
  </si>
  <si>
    <t>ГИФ (MJPT) 35 (10шт)</t>
  </si>
  <si>
    <t>ГИФ (MJPT) 50</t>
  </si>
  <si>
    <t>Гильза изолированная герметичная для фазных магистральных проводов сечением 50 мм²</t>
  </si>
  <si>
    <t>ГИФ (MJPT) 50 (10шт)</t>
  </si>
  <si>
    <t>ГИФ (MJPT) 70</t>
  </si>
  <si>
    <t>Гильза изолированная герметичная для фазных магистральных проводов сечением 70 мм²</t>
  </si>
  <si>
    <t>ГИФ (MJPT) 70 (10шт)</t>
  </si>
  <si>
    <t>ГИФ (MJPT) 95</t>
  </si>
  <si>
    <t>Гильза изолированная герметичная для фазных магистральных проводов сечением 95 мм²</t>
  </si>
  <si>
    <t>ГИФ (MJPT) 95 (10шт)</t>
  </si>
  <si>
    <t>ГИФ (MJPT) 120</t>
  </si>
  <si>
    <t>Гильза изолированная герметичная для фазных магистральных проводов сечением 120 мм²</t>
  </si>
  <si>
    <t>ГИФ (MJPT) 120 (10шт)</t>
  </si>
  <si>
    <t>ГИН (MJPT) 50N</t>
  </si>
  <si>
    <t>Гильза изолированная герметичная для несущей нейтрали сечением 50N мм²</t>
  </si>
  <si>
    <t>ГИН (MJPT) 50N (10шт)</t>
  </si>
  <si>
    <t>ГИН (MJPT) 54N</t>
  </si>
  <si>
    <t>Гильза изолированная герметичная для несущей нейтрали сечением 54N мм²</t>
  </si>
  <si>
    <t>ГИН (MJPT) 54N (10шт)</t>
  </si>
  <si>
    <t>ГИН (MJPT) 70N</t>
  </si>
  <si>
    <t>Гильза изолированная герметичная для несущей нейтрали сечением 70N мм²</t>
  </si>
  <si>
    <t>ГИН (MJPT) 70N (10шт)</t>
  </si>
  <si>
    <t>ГИН (MJPT) 95N</t>
  </si>
  <si>
    <t>Гильза изолированная герметичная для несущей нейтрали сечением 95N мм²</t>
  </si>
  <si>
    <t>ГИН (MJPT) 95N (10шт)</t>
  </si>
  <si>
    <t>Наконечник изолированный герметичный</t>
  </si>
  <si>
    <t>НИМ (CPTAU) 16</t>
  </si>
  <si>
    <t>Наконечник изолированный герметичный сечением 16 мм²</t>
  </si>
  <si>
    <t>НИМ (CPTAU) 16 (10шт)</t>
  </si>
  <si>
    <t>НИМ (CPTAU) 25</t>
  </si>
  <si>
    <t>Наконечник изолированный герметичный сечением 25 мм²</t>
  </si>
  <si>
    <t>НИМ (CPTAU) 25 (10шт)</t>
  </si>
  <si>
    <t>НИМ (CPTAU) 35</t>
  </si>
  <si>
    <t>Наконечник изолированный герметичный сечением 35 мм²</t>
  </si>
  <si>
    <t>НИМ (CPTAU) 35 (10шт)</t>
  </si>
  <si>
    <t>НИМ (CPTAU) 50</t>
  </si>
  <si>
    <t>Наконечник изолированный герметичный сечением 50 мм²</t>
  </si>
  <si>
    <t>НИМ (CPTAU) 50 (10шт)</t>
  </si>
  <si>
    <t>НИМ (CPTAU) 70</t>
  </si>
  <si>
    <t>Наконечник изолированный герметичный сечением 70 мм²</t>
  </si>
  <si>
    <t>НИМ (CPTAU) 70 (10шт)</t>
  </si>
  <si>
    <t>НИМ (CPTAU) 95</t>
  </si>
  <si>
    <t>Наконечник изолированный герметичный сечением 95 мм²</t>
  </si>
  <si>
    <t>НИМ (CPTAU) 95 (10шт)</t>
  </si>
  <si>
    <t>НИМ (CPTAU) 120</t>
  </si>
  <si>
    <t>Наконечник изолированный герметичный сечением 120 мм²</t>
  </si>
  <si>
    <t>НИМ (CPTAU) 120 (10шт)</t>
  </si>
  <si>
    <t>Инструмент для СИП и ВЛ</t>
  </si>
  <si>
    <t>Набор для монтажа СИП</t>
  </si>
  <si>
    <t>НИС-1</t>
  </si>
  <si>
    <t>НИС-2</t>
  </si>
  <si>
    <t>НИС-3</t>
  </si>
  <si>
    <t xml:space="preserve">Динамометр </t>
  </si>
  <si>
    <t>ЭД-20/2-2РМ</t>
  </si>
  <si>
    <t>ЭД</t>
  </si>
  <si>
    <t xml:space="preserve">Клинья отделительные </t>
  </si>
  <si>
    <t>КО серия ПРОФИ</t>
  </si>
  <si>
    <t>КО</t>
  </si>
  <si>
    <t xml:space="preserve">Зажим монтажный (лягушка) </t>
  </si>
  <si>
    <t>МЗ-16 серия ПРОФИ</t>
  </si>
  <si>
    <t>МЗ-16</t>
  </si>
  <si>
    <t>МЗ-22 серия ПРОФИ</t>
  </si>
  <si>
    <t>МЗ-22</t>
  </si>
  <si>
    <t>МЗ-32 серия ПРОФИ</t>
  </si>
  <si>
    <t>МЗ-32</t>
  </si>
  <si>
    <t>МЗ-19/29 (СИП4) серия ПРОФИ</t>
  </si>
  <si>
    <t>МЗ-СИП-4 (19/29)</t>
  </si>
  <si>
    <t>МЗ-29/41 (СИП4) серия ПРОФИ</t>
  </si>
  <si>
    <t>МЗ-СИП-4 (29/41)</t>
  </si>
  <si>
    <t xml:space="preserve">Зажим монтажный клиновой </t>
  </si>
  <si>
    <t>МКЗ-1 серия ПРОФИ</t>
  </si>
  <si>
    <t>МКЗ</t>
  </si>
  <si>
    <t>МКЗ-2 серия ПРОФИ</t>
  </si>
  <si>
    <t>МКЗ-3 серия ПРОФИ</t>
  </si>
  <si>
    <t>МКЗ-4 серия ПРОФИ</t>
  </si>
  <si>
    <t>Ролик монтажный раздвижной</t>
  </si>
  <si>
    <t>РМ-1 серия ПРОФИ</t>
  </si>
  <si>
    <t>РМ-1</t>
  </si>
  <si>
    <t>Ролик монтажный</t>
  </si>
  <si>
    <t>РМ-1А серия ПРОФИ</t>
  </si>
  <si>
    <t>РМ-1А</t>
  </si>
  <si>
    <t>Ролик монтажный на крюке</t>
  </si>
  <si>
    <t>РМ-2 серия ПРОФИ</t>
  </si>
  <si>
    <t>РМ-2</t>
  </si>
  <si>
    <t>РМ-3 серия ПРОФИ</t>
  </si>
  <si>
    <t>РМ-3</t>
  </si>
  <si>
    <t>РМ-6К серия ПРОФИ</t>
  </si>
  <si>
    <t>РМ-6К</t>
  </si>
  <si>
    <t>РМ-7К серия ПРОФИ</t>
  </si>
  <si>
    <t>РМ-7К</t>
  </si>
  <si>
    <t xml:space="preserve">Ролик монтажный </t>
  </si>
  <si>
    <t>РМ-5-0</t>
  </si>
  <si>
    <t>РМ-6-0</t>
  </si>
  <si>
    <t>РМ-7-0</t>
  </si>
  <si>
    <t xml:space="preserve">Ролик кабельный </t>
  </si>
  <si>
    <t>РКУ-140</t>
  </si>
  <si>
    <t>РКН-140</t>
  </si>
  <si>
    <t>Ролик кабельный</t>
  </si>
  <si>
    <t>РКК-140 серия ПРОФИ</t>
  </si>
  <si>
    <t>РКК-140</t>
  </si>
  <si>
    <t xml:space="preserve">Инструмент для скручивания проводов </t>
  </si>
  <si>
    <t>МИ-230У серия ПРОФИ</t>
  </si>
  <si>
    <t>МИ-230У</t>
  </si>
  <si>
    <t xml:space="preserve">Комплект для замены дефектных изоляторов </t>
  </si>
  <si>
    <t>ПС-120У</t>
  </si>
  <si>
    <t xml:space="preserve">Лебедка ручная </t>
  </si>
  <si>
    <t>ЛР-15 серия ПРОФИ</t>
  </si>
  <si>
    <t>ЛР-15</t>
  </si>
  <si>
    <t>ЛР-20 серия ПРОФИ</t>
  </si>
  <si>
    <t>ЛР-20</t>
  </si>
  <si>
    <t>Лебедка ручная</t>
  </si>
  <si>
    <t>ЛР-30 серия ПРОФИ</t>
  </si>
  <si>
    <t>ЛР-30</t>
  </si>
  <si>
    <t>Измерительные приборы</t>
  </si>
  <si>
    <t>Мультиметры и токовые клещи</t>
  </si>
  <si>
    <t>Мультиметр цифровой</t>
  </si>
  <si>
    <t>KT 93 серия PROLINE</t>
  </si>
  <si>
    <t>KT 93</t>
  </si>
  <si>
    <t xml:space="preserve">Мультиметр цифровой </t>
  </si>
  <si>
    <t>KT 108 серия PROLINE</t>
  </si>
  <si>
    <t>KT 108 PROLINE (КВТ)</t>
  </si>
  <si>
    <t>KT 112В серия PROLINE</t>
  </si>
  <si>
    <t>KT 112В PROLINE (КВТ)</t>
  </si>
  <si>
    <t>KT 113B серия PROLINE</t>
  </si>
  <si>
    <t>KT 113B PROLINE (КВТ)</t>
  </si>
  <si>
    <t>KT 113С серия PROLINE</t>
  </si>
  <si>
    <t>KT 113С</t>
  </si>
  <si>
    <t>KT 116 серия PROLINE</t>
  </si>
  <si>
    <t>KT 116</t>
  </si>
  <si>
    <t>KT 118A серия PROLINE</t>
  </si>
  <si>
    <t>KT 118A PROLINE (КВТ)</t>
  </si>
  <si>
    <t>KT 118E серия PROLINE</t>
  </si>
  <si>
    <t>KT 118E</t>
  </si>
  <si>
    <t>KT 121 серия PROLINE</t>
  </si>
  <si>
    <t>KT 121</t>
  </si>
  <si>
    <t>KT 122 серия PROLINE</t>
  </si>
  <si>
    <t>KT 122</t>
  </si>
  <si>
    <t>KT 123 серия PROLINE</t>
  </si>
  <si>
    <t>KT 123</t>
  </si>
  <si>
    <t>KT 125В серия PROLINE</t>
  </si>
  <si>
    <t>KT 125В PROLINE (КВТ)</t>
  </si>
  <si>
    <t>KT 126В серия PROLINE</t>
  </si>
  <si>
    <t>KT 126В PROLINE (КВТ)</t>
  </si>
  <si>
    <t>KT 130A серия PROLINE</t>
  </si>
  <si>
    <t>KT 130A</t>
  </si>
  <si>
    <t>KT 132А серия PROLINE</t>
  </si>
  <si>
    <t>KT 132А</t>
  </si>
  <si>
    <t>KT 135А серия PROLINE</t>
  </si>
  <si>
    <t>KT 135А</t>
  </si>
  <si>
    <t>KT 830L серия PROLINE</t>
  </si>
  <si>
    <t>KT 830L PROLINE (КВТ)</t>
  </si>
  <si>
    <t>KT 838 серия PROLINE</t>
  </si>
  <si>
    <t>KT 838 PROLINE (КВТ)</t>
  </si>
  <si>
    <t xml:space="preserve">Токовые клещи цифровые </t>
  </si>
  <si>
    <t>КТ 200А серия PROLINE</t>
  </si>
  <si>
    <t>КТ 200А PROLINE (КВТ)</t>
  </si>
  <si>
    <t>Токовые клещи цифровые</t>
  </si>
  <si>
    <t>КТ 200D серия PROLINE</t>
  </si>
  <si>
    <t>КТ 200D</t>
  </si>
  <si>
    <t>КТ 205А серия PROLINE</t>
  </si>
  <si>
    <t>KT 205А PROLINE</t>
  </si>
  <si>
    <t>КТ 205D серия PROLINE</t>
  </si>
  <si>
    <t>KT 205D PROLINE</t>
  </si>
  <si>
    <t>KT 206B серия PROLINE</t>
  </si>
  <si>
    <t>KT 206B PROLINE (КВТ)</t>
  </si>
  <si>
    <t>KT 206D серия PROLINE</t>
  </si>
  <si>
    <t>KT 206D PROLINE (КВТ)</t>
  </si>
  <si>
    <t>KT 207A серия PROLINE</t>
  </si>
  <si>
    <t>KT 207A</t>
  </si>
  <si>
    <t>KT 207D серия PROLINE</t>
  </si>
  <si>
    <t>KT 207D</t>
  </si>
  <si>
    <t>КТ 208А серия PROLINE</t>
  </si>
  <si>
    <t>КТ 208А PROLINE (КВТ)</t>
  </si>
  <si>
    <t>KT 266C серия PROLINE</t>
  </si>
  <si>
    <t>KT 266C PROLINE (КВТ)</t>
  </si>
  <si>
    <t>KT 266F серия PROLINE</t>
  </si>
  <si>
    <t>KT 266F PROLINE (КВТ)</t>
  </si>
  <si>
    <t xml:space="preserve">Детекторы, тестеры и дальномеры цифровые </t>
  </si>
  <si>
    <t xml:space="preserve">Измеритель сопротивления заземления цифровой </t>
  </si>
  <si>
    <t>KT 2302 серия PROLINE</t>
  </si>
  <si>
    <t>KT 2302</t>
  </si>
  <si>
    <t>Мегаомметр цифровой</t>
  </si>
  <si>
    <t>KT 5203 серия PROLINE</t>
  </si>
  <si>
    <t>KT 5203</t>
  </si>
  <si>
    <t>KT 5205 серия PROLINE</t>
  </si>
  <si>
    <t>KT 5205</t>
  </si>
  <si>
    <t xml:space="preserve">Тестер сопротивления изоляции цифровой </t>
  </si>
  <si>
    <t>KT 5910 серия PROLINE</t>
  </si>
  <si>
    <t>KT 5910</t>
  </si>
  <si>
    <t>Тестер розеток и УЗО</t>
  </si>
  <si>
    <t>КТ 97D серия PROLINE</t>
  </si>
  <si>
    <t>КТ 97D</t>
  </si>
  <si>
    <t xml:space="preserve">Тестер розеток и УЗО </t>
  </si>
  <si>
    <t>KT 105D серия PROLINE</t>
  </si>
  <si>
    <t>KT 105D PROLINE (КВТ)</t>
  </si>
  <si>
    <t>KT 106D серия PROLINE</t>
  </si>
  <si>
    <t>KT 106D PROLINE (КВТ)</t>
  </si>
  <si>
    <t>КТ 107D серия PROLINE</t>
  </si>
  <si>
    <t>КТ 107D PROLINE (КВТ)</t>
  </si>
  <si>
    <t>Тестер напряжения</t>
  </si>
  <si>
    <t>КТ 86А серия PROLINE</t>
  </si>
  <si>
    <t>КТ 86А</t>
  </si>
  <si>
    <t xml:space="preserve">Детектор напряжения бесконтактный </t>
  </si>
  <si>
    <t>КТ 90 серия PROLINE</t>
  </si>
  <si>
    <t>КТ 90</t>
  </si>
  <si>
    <t>Детектор напряжения бесконтактный</t>
  </si>
  <si>
    <t>КТ 91 серия PROLINE</t>
  </si>
  <si>
    <t>КТ 91</t>
  </si>
  <si>
    <t>KT 100 серия PROLINE</t>
  </si>
  <si>
    <t>KT 100 PROLINE (КВТ)</t>
  </si>
  <si>
    <t>КТ 100P серия PROLINE</t>
  </si>
  <si>
    <t>КТ 100P PROLINE (КВТ)</t>
  </si>
  <si>
    <t>KT 103 серия PROLINE</t>
  </si>
  <si>
    <t>KT 103 PROLINE</t>
  </si>
  <si>
    <t>Тестер тормозной жидкости</t>
  </si>
  <si>
    <t>КТ 662 серия PROLINE</t>
  </si>
  <si>
    <t>КТ 662</t>
  </si>
  <si>
    <t xml:space="preserve">Дальномер лазерный </t>
  </si>
  <si>
    <t>KT 271 серия PROLINE</t>
  </si>
  <si>
    <t>KT 271 PROLINE (КВТ)</t>
  </si>
  <si>
    <t xml:space="preserve">Детектор скрытой проводки </t>
  </si>
  <si>
    <t>KT 6818 серия PROLINE</t>
  </si>
  <si>
    <t>KT 6818 PROLINE (КВТ)</t>
  </si>
  <si>
    <t>Бесконтактные пирометры</t>
  </si>
  <si>
    <t xml:space="preserve">Пирометр бесконтактный цифровой </t>
  </si>
  <si>
    <t>KT 641A серия PROLINE</t>
  </si>
  <si>
    <t>KT 641A</t>
  </si>
  <si>
    <t>KT 641B серия PROLINE</t>
  </si>
  <si>
    <t>KT 641B</t>
  </si>
  <si>
    <t>KT 650A серия PROLINE</t>
  </si>
  <si>
    <t>KT 650A PROLINE (КВТ)</t>
  </si>
  <si>
    <t>KT 650B серия PROLINE</t>
  </si>
  <si>
    <t>KT 650B PROLINE (КВТ)</t>
  </si>
  <si>
    <t>KT 650C серия PROLINE</t>
  </si>
  <si>
    <t>KT 650C</t>
  </si>
  <si>
    <t>KT 653 серия PROLINE</t>
  </si>
  <si>
    <t>KT 653</t>
  </si>
  <si>
    <t>KT 655 серия PROLINE</t>
  </si>
  <si>
    <t>KT 655</t>
  </si>
  <si>
    <t>LAN-тестеры цифровые</t>
  </si>
  <si>
    <t xml:space="preserve">LAN-тестер витой пары с РоЕ </t>
  </si>
  <si>
    <t>KT 8209 серия PROLINE</t>
  </si>
  <si>
    <t>KT 8209 PROLINE (КВТ)</t>
  </si>
  <si>
    <t xml:space="preserve">LAN-тестер кабельный </t>
  </si>
  <si>
    <t>KT 468С серия PROLINE</t>
  </si>
  <si>
    <t>KT 468С</t>
  </si>
  <si>
    <t xml:space="preserve">LAN-тестер кабельный с PoE </t>
  </si>
  <si>
    <t>КТ 858C серия PROLINE</t>
  </si>
  <si>
    <t>KT 858C PROLINE (КВТ)</t>
  </si>
  <si>
    <t xml:space="preserve">LAN-тестер кабельный с тон-генератором </t>
  </si>
  <si>
    <t>KT 801 серия PROLINE</t>
  </si>
  <si>
    <t>KT 801 PROLINE (КВТ)</t>
  </si>
  <si>
    <t>Эко-тестеры цифровые</t>
  </si>
  <si>
    <t xml:space="preserve">Анализатор воздуха </t>
  </si>
  <si>
    <t>ECO-4 серия ECOLINE</t>
  </si>
  <si>
    <t>ECO-4 ECOLINE (КВТ)</t>
  </si>
  <si>
    <t>ECO-5 серия ECOLINE</t>
  </si>
  <si>
    <t>ECO-5 ECOLINE (КВТ)</t>
  </si>
  <si>
    <t>ECO-6 серия ECOLINE</t>
  </si>
  <si>
    <t>ECO-6 ECOLINE (КВТ)</t>
  </si>
  <si>
    <t>Газоанализатор</t>
  </si>
  <si>
    <t>КТ 58 серия ECOLINE</t>
  </si>
  <si>
    <t>КТ 58</t>
  </si>
  <si>
    <t xml:space="preserve">Газоанализатор </t>
  </si>
  <si>
    <t>КТ 61 серия ECOLINE</t>
  </si>
  <si>
    <t>КТ 61 ECOLINE (КВТ)</t>
  </si>
  <si>
    <t>КТ 601 серия ECOLINE</t>
  </si>
  <si>
    <t>КТ 601 ECOLINE (КВТ)</t>
  </si>
  <si>
    <t>Детектор угарного газа</t>
  </si>
  <si>
    <t>КТ 621 серия ECOLINE</t>
  </si>
  <si>
    <t>КТ 621</t>
  </si>
  <si>
    <t>Анемометр</t>
  </si>
  <si>
    <t>КТ 605 серия ECOLINE</t>
  </si>
  <si>
    <t>КТ 605</t>
  </si>
  <si>
    <t xml:space="preserve">Термогигрометр </t>
  </si>
  <si>
    <t>КТ 618 серия ECOLINE</t>
  </si>
  <si>
    <t>КТ 618 ECOLINE (КВТ)</t>
  </si>
  <si>
    <t xml:space="preserve">Люксметр </t>
  </si>
  <si>
    <t>КТ 620L серия ECOLINE</t>
  </si>
  <si>
    <t>КТ 620L ECOLINE (КВТ)</t>
  </si>
  <si>
    <t xml:space="preserve">Шумомер </t>
  </si>
  <si>
    <t>КТ 622A серия ECOLINE</t>
  </si>
  <si>
    <t>КТ 622A ECOLINE (КВТ)</t>
  </si>
  <si>
    <t>Измеритель электромагнитного поля и радиочастотного излучения</t>
  </si>
  <si>
    <t>КТ 627 серия ECOLINE</t>
  </si>
  <si>
    <t>КТ 627 ECOLINE</t>
  </si>
  <si>
    <t>Дозиметр радиационного излучения</t>
  </si>
  <si>
    <t>КТ 629 серия ECOLINE</t>
  </si>
  <si>
    <t>КТ 629</t>
  </si>
  <si>
    <t xml:space="preserve">Влагомер </t>
  </si>
  <si>
    <t>КТ 65 серия ECOLINE</t>
  </si>
  <si>
    <t>КТ 65</t>
  </si>
  <si>
    <t>КТ 632 серия ECOLINE</t>
  </si>
  <si>
    <t>КТ 632</t>
  </si>
  <si>
    <t>Тепловизор для смартфона</t>
  </si>
  <si>
    <t>KT 820 серия PROLINE</t>
  </si>
  <si>
    <t>KT 820</t>
  </si>
  <si>
    <t>Видеоэндоскоп</t>
  </si>
  <si>
    <t>KT 669В серия PROLINE</t>
  </si>
  <si>
    <t>KT 669В</t>
  </si>
  <si>
    <t>Измерительные щупы</t>
  </si>
  <si>
    <t>Комплект щупов</t>
  </si>
  <si>
    <t>КТ 3001 серия PROLINE</t>
  </si>
  <si>
    <t>КТ 3001</t>
  </si>
  <si>
    <t>КТ 3001S серия PROLINE</t>
  </si>
  <si>
    <t>КТ 3001S</t>
  </si>
  <si>
    <t>КТ 3001М4 серия PROLINE</t>
  </si>
  <si>
    <t>КТ 3001М4</t>
  </si>
  <si>
    <t xml:space="preserve">Комплект щупов </t>
  </si>
  <si>
    <t>КТ 3002 серия PROLINE</t>
  </si>
  <si>
    <t>КТ 3002 PROLINE (КВТ)</t>
  </si>
  <si>
    <t>KT 3006 серия PROLINE</t>
  </si>
  <si>
    <t>КТ 3006 PROLINE (КВТ)</t>
  </si>
  <si>
    <t xml:space="preserve">Комплект зажимов «крокодил» </t>
  </si>
  <si>
    <t>KT 3101 серия PROLINE</t>
  </si>
  <si>
    <t>КТ 3101 PROLINE (КВТ)</t>
  </si>
  <si>
    <t>Комплект зажимов "крокодил"</t>
  </si>
  <si>
    <t>КТ 3102М4 серия PROLINE</t>
  </si>
  <si>
    <t>КТ 3102М4</t>
  </si>
  <si>
    <t>Рулетки и уровни строительные</t>
  </si>
  <si>
    <t>Уровень строительный магнитный</t>
  </si>
  <si>
    <t>УСМ-1-600 серия ПРОФИ</t>
  </si>
  <si>
    <t>УСМ-1-600</t>
  </si>
  <si>
    <t>Нейлоновые стяжки и аксессуары</t>
  </si>
  <si>
    <t>Нейлоновые стяжки</t>
  </si>
  <si>
    <t>Стяжка нейлоновая</t>
  </si>
  <si>
    <t>КСС 3х100 (бел) (100шт)</t>
  </si>
  <si>
    <t>стяжки КСС</t>
  </si>
  <si>
    <t>КСС 3х120 (бел) (100шт)</t>
  </si>
  <si>
    <t>КСС 3х150 (бел) (100шт)</t>
  </si>
  <si>
    <t>КСС 3х200 (бел) (100шт)</t>
  </si>
  <si>
    <t>КСС 3x250 (бел) (100шт)</t>
  </si>
  <si>
    <t>КСС 4x100 (бел) (100шт)</t>
  </si>
  <si>
    <t>КСС 4х150 (бел) (100шт)</t>
  </si>
  <si>
    <t>КСС 4х200 (бел) (100шт)</t>
  </si>
  <si>
    <t>КСС 4х250 (бел) (100шт)</t>
  </si>
  <si>
    <t>КСС 4х300 (бел) (100шт)</t>
  </si>
  <si>
    <t>КСС 4х370 (бел) (100шт)</t>
  </si>
  <si>
    <t>КСС 5x160 (бел) (100шт)</t>
  </si>
  <si>
    <t>КСС 5х200 (бел) (100шт)</t>
  </si>
  <si>
    <t>КСС 5х250 (бел) (100шт)</t>
  </si>
  <si>
    <t>КСС 5х300 (бел) (100шт)</t>
  </si>
  <si>
    <t>КСС 5х350 (бел) (100шт)</t>
  </si>
  <si>
    <t>КСС 5х400 (бел) (100шт)</t>
  </si>
  <si>
    <t>КСС 5х450 (бел) (100шт)</t>
  </si>
  <si>
    <t>КСС 5х500 (бел) (100шт)</t>
  </si>
  <si>
    <t>КСС 8х200 (бел) (100шт)</t>
  </si>
  <si>
    <t>КСС 8х250 (бел) (100шт)</t>
  </si>
  <si>
    <t>КСС 8х300 (бел) (100шт)</t>
  </si>
  <si>
    <t>КСС 8х350 (бел) (100шт)</t>
  </si>
  <si>
    <t>КСС 8х400 (бел) (100шт)</t>
  </si>
  <si>
    <t>КСС 8х450 (бел) (100шт)</t>
  </si>
  <si>
    <t>КСС 8х500 (бел) (100шт)</t>
  </si>
  <si>
    <t>КСС 8x610 (бел) (100шт)</t>
  </si>
  <si>
    <t>КСС 8x750 (бел) (100шт)</t>
  </si>
  <si>
    <t>КСС 9x400 (бел) (100шт)</t>
  </si>
  <si>
    <t>КСС 9x500 (бел) (100шт)</t>
  </si>
  <si>
    <t>КСС 9х650 (бел) (100шт)</t>
  </si>
  <si>
    <t>КСС 9х760 (бел) (100шт)</t>
  </si>
  <si>
    <t>КСС 9х920 (бел) (100шт)</t>
  </si>
  <si>
    <t>КСС 9х1020 (бел) (100шт)</t>
  </si>
  <si>
    <t>КСС 9x1220 (бел) (100шт)</t>
  </si>
  <si>
    <t>КСС 12x500 (бел) (100шт)</t>
  </si>
  <si>
    <t>КСС 12х650 (бел) (100шт)</t>
  </si>
  <si>
    <t>КСС 12х750 (бел) (100шт)</t>
  </si>
  <si>
    <t>КСС 12x1000 (бел) (100шт)</t>
  </si>
  <si>
    <t>КСС «MULTILOCK» 4х150 (бел) (100шт)</t>
  </si>
  <si>
    <t>стяжки КСС «MULTILOCK»</t>
  </si>
  <si>
    <t>КСС «MULTILOCK» 4х200 (бел) (100шт)</t>
  </si>
  <si>
    <t>КСС «MULTILOCK» 4х250 (бел) (100шт)</t>
  </si>
  <si>
    <t>КСС «MULTILOCK» 4х300 (бел) (100шт)</t>
  </si>
  <si>
    <t>КСС «MULTILOCK» 5х200 (бел) (100шт)</t>
  </si>
  <si>
    <t>КСС «MULTILOCK» 5х250 (бел) (100шт)</t>
  </si>
  <si>
    <t>КСС «MULTILOCK» 5х300 (бел) (100шт)</t>
  </si>
  <si>
    <t>КСС «MULTILOCK» 5х350 (бел) (100шт)</t>
  </si>
  <si>
    <t>КСС «MULTILOCK» 5х400 (бел) (100шт)</t>
  </si>
  <si>
    <t>КСС «MULTILOCK» 5х500 (бел) (100шт)</t>
  </si>
  <si>
    <t>КСС «MULTILOCK» 8х200 (бел) (100шт)</t>
  </si>
  <si>
    <t>КСС «MULTILOCK» 8х300 (бел) (100шт)</t>
  </si>
  <si>
    <t>КСС «MULTILOCK» 8х400 (бел) (100шт)</t>
  </si>
  <si>
    <t>КСС «MULTILOCK» 8х500 (бел) (100шт)</t>
  </si>
  <si>
    <t>КСС «OutLock» 5x150 (бел) (100шт)</t>
  </si>
  <si>
    <t>КСС «OutLock» (бел)</t>
  </si>
  <si>
    <t>100шт</t>
  </si>
  <si>
    <t>КСС «OutLock» 5x200 (бел) (100шт)</t>
  </si>
  <si>
    <t>КСС «OutLock» 5x250 (бел) (100шт)</t>
  </si>
  <si>
    <t>НСС «EasyFix» 3х100 (бел) (100шт)</t>
  </si>
  <si>
    <t>стяжки НСС</t>
  </si>
  <si>
    <t>НСС «EasyFix» 3х150 (бел) (100шт)</t>
  </si>
  <si>
    <t>НСС «EasyFix» 3х200 (бел) (100шт)</t>
  </si>
  <si>
    <t>НСС «EasyFix» 3х250 (бел) (100шт)</t>
  </si>
  <si>
    <t>НСС «EasyFix» 4х100 (бел) (100шт)</t>
  </si>
  <si>
    <t>НСС «EasyFix» 4х150 (бел) (100шт)</t>
  </si>
  <si>
    <t>НСС «EasyFix» 4х200 (бел) (100шт)</t>
  </si>
  <si>
    <t>НСС «EasyFix» 4х250 (бел) (100шт)</t>
  </si>
  <si>
    <t>НСС «EasyFix» 4х300 (бел) (100шт)</t>
  </si>
  <si>
    <t>НСС «EasyFix» 4х370 (бел) (100шт)</t>
  </si>
  <si>
    <t>НСС «EasyFix» 5х160 (бел) (100шт)</t>
  </si>
  <si>
    <t>НСС «EasyFix» 5х200 (бел) (100шт)</t>
  </si>
  <si>
    <t>НСС «EasyFix» 5х250 (бел) (100шт)</t>
  </si>
  <si>
    <t>НСС «EasyFix» 5х300 (бел) (100шт)</t>
  </si>
  <si>
    <t>НСС «EasyFix» 5х350 (бел) (100шт)</t>
  </si>
  <si>
    <t>НСС «EasyFix» 5х400 (бел) (100шт)</t>
  </si>
  <si>
    <t>НСС «EasyFix» 5х450 (бел) (100шт)</t>
  </si>
  <si>
    <t>НСС «EasyFix» 5х500 (бел) (100шт)</t>
  </si>
  <si>
    <t>НСС «EasyFix» 8х300 (бел) (100шт)</t>
  </si>
  <si>
    <t>НСС «EasyFix»8х350 (бел) (100шт)</t>
  </si>
  <si>
    <t>НСС «EasyFix» 8х400 (бел) (100шт)</t>
  </si>
  <si>
    <t>НСС «EasyFix» 8х450 (бел) (100шт)</t>
  </si>
  <si>
    <t>НСС «EasyFix» 8х500 (бел) (100шт)</t>
  </si>
  <si>
    <t>НСС «EasyFix» 8х750 (бел) (100шт)</t>
  </si>
  <si>
    <t>НСС «EasyFix» 9х500 (бел) (100шт)</t>
  </si>
  <si>
    <t>НСС «EasyFix» 9х760 (бел) (100шт)</t>
  </si>
  <si>
    <t>НСС «EasyFix» 9х1020 (бел) (100шт)</t>
  </si>
  <si>
    <t>КСС 3x80 (черн) (100шт)</t>
  </si>
  <si>
    <t>стяжки КСС (ч)</t>
  </si>
  <si>
    <t>КСС 3x100 (черн) (100шт)</t>
  </si>
  <si>
    <t>КСС 3x120 (черн) (100шт)</t>
  </si>
  <si>
    <t>КСС 3x150 (черн) (100шт)</t>
  </si>
  <si>
    <t>КСС 3x200 (черн) (100шт)</t>
  </si>
  <si>
    <t>КСС 3x250 (черн) (100шт)</t>
  </si>
  <si>
    <t>КСС 4x100 (черн) (100шт)</t>
  </si>
  <si>
    <t>КСС 4x150 (черн) (100шт)</t>
  </si>
  <si>
    <t>КСС 4x200 (черн) (100шт)</t>
  </si>
  <si>
    <t>КСС 4x250 (черн) (100шт)</t>
  </si>
  <si>
    <t>КСС 4x300 (черн) (100шт)</t>
  </si>
  <si>
    <t>КСС 4x370 (черн) (100шт)</t>
  </si>
  <si>
    <t>КСС 5x160 (черн) (100шт)</t>
  </si>
  <si>
    <t>КСС 5x200 (черн) (100шт)</t>
  </si>
  <si>
    <t>КСС 5x250 (черн) (100шт)</t>
  </si>
  <si>
    <t>КСС 5x300 (черн) (100шт)</t>
  </si>
  <si>
    <t>КСС 5x350 (черн) (100шт)</t>
  </si>
  <si>
    <t>КСС 5x400 (черн) (100шт)</t>
  </si>
  <si>
    <t>КСС 5x450 (черн) (100шт)</t>
  </si>
  <si>
    <t>КСС 5x500 (черн) (100шт)</t>
  </si>
  <si>
    <t>КСС 8x200 (черн) (100шт)</t>
  </si>
  <si>
    <t>КСС 8x250 (черн) (100шт)</t>
  </si>
  <si>
    <t>КСС 8x300 (черн) (100шт)</t>
  </si>
  <si>
    <t>КСС 8x350 (черн) (100шт)</t>
  </si>
  <si>
    <t>КСС 8x400 (черн) (100шт)</t>
  </si>
  <si>
    <t>КСС 8x450 (черн) (100шт)</t>
  </si>
  <si>
    <t>КСС 8x500 (черн) (100шт)</t>
  </si>
  <si>
    <t>КСС 8x610 (черн) (100шт)</t>
  </si>
  <si>
    <t>КСС 8x750 (черн) (100шт)</t>
  </si>
  <si>
    <t>КСС 9x400 (черн) (100шт)</t>
  </si>
  <si>
    <t>КСС 9x500 (черн) (100шт)</t>
  </si>
  <si>
    <t>КСС 9х550 (черн) (100шт)</t>
  </si>
  <si>
    <t>КСС 9х650 (черн) (100шт)</t>
  </si>
  <si>
    <t>КСС 9x760 (черн) (100шт)</t>
  </si>
  <si>
    <t>КСС 9x920 (черн) (100шт)</t>
  </si>
  <si>
    <t>КСС 9x1020 (черн) (100шт)</t>
  </si>
  <si>
    <t>КСС 9x1220(черн) (100шт)</t>
  </si>
  <si>
    <t>КСС 12x500 (черн) (100шт)</t>
  </si>
  <si>
    <t>КСС 12х650 (черн) (100шт)</t>
  </si>
  <si>
    <t>КСС 12х750 (черн) (100шт)</t>
  </si>
  <si>
    <t>КСС 12x1000 (черн) (100шт)</t>
  </si>
  <si>
    <t>КСС «MULTILOCK» 4х150 (черн) (100шт)</t>
  </si>
  <si>
    <t>КСС «MULTILOCK» 4х200 (черн) (100шт)</t>
  </si>
  <si>
    <t>КСС «MULTILOCK» 4х250 (черн) (100шт)</t>
  </si>
  <si>
    <t>КСС «MULTILOCK» 4х300 (черн) (100шт)</t>
  </si>
  <si>
    <t>КСС «MULTILOCK» 5х200 (черн) (100шт)</t>
  </si>
  <si>
    <t>КСС «MULTILOCK» 5х250 (черн) (100шт)</t>
  </si>
  <si>
    <t>КСС «MULTILOCK» 5х300 (черн) (100шт)</t>
  </si>
  <si>
    <t>КСС «MULTILOCK» 5х350 (черн) (100шт)</t>
  </si>
  <si>
    <t>КСС «MULTILOCK» 5х400 (черн) (100шт)</t>
  </si>
  <si>
    <t>КСС «MULTILOCK» 5х500 (черн) (100шт)</t>
  </si>
  <si>
    <t>КСС «MULTILOCK» 8х200 (черн) (100шт)</t>
  </si>
  <si>
    <t>КСС «MULTILOCK» 8х300 (черн) (100шт)</t>
  </si>
  <si>
    <t>КСС «MULTILOCK» 8х400 (черн) (100шт)</t>
  </si>
  <si>
    <t>КСС «MULTILOCK» 8х500 (черн) (100шт)</t>
  </si>
  <si>
    <t>КСС «OutLock» 5x150 (черн) (100шт)</t>
  </si>
  <si>
    <t>КСС «OutLock» (черн)</t>
  </si>
  <si>
    <t>КСС «OutLock» 5x200 (черн) (100шт)</t>
  </si>
  <si>
    <t>КСС «OutLock» 5x250 (черн) (100шт)</t>
  </si>
  <si>
    <t>НСС «EasyFix» 3х100 (черн) (100шт)</t>
  </si>
  <si>
    <t>стяжки НСС (ч)</t>
  </si>
  <si>
    <t>НСС «EasyFix» 3х150 (черн) (100шт)</t>
  </si>
  <si>
    <t>НСС «EasyFix» 3х200 (черн) (100шт)</t>
  </si>
  <si>
    <t>НСС «EasyFix» 3х250 (черн) (100шт)</t>
  </si>
  <si>
    <t>НСС «EasyFix» 4х100 (черн) (100шт)</t>
  </si>
  <si>
    <t>НСС «EasyFix» 4х150 (черн) (100шт)</t>
  </si>
  <si>
    <t>НСС «EasyFix» 4х200 (черн) (100шт)</t>
  </si>
  <si>
    <t>НСС «EasyFix» 4х250 (черн) (100шт)</t>
  </si>
  <si>
    <t>НСС «EasyFix» 4х300 (черн) (100шт)</t>
  </si>
  <si>
    <t>НСС «EasyFix» 4х370 (черн) (100шт)</t>
  </si>
  <si>
    <t>НСС «EasyFix» 5х160 (черн) (100шт)</t>
  </si>
  <si>
    <t>НСС «EasyFix» 5х250 (черн) (100шт)</t>
  </si>
  <si>
    <t>НСС «EasyFix» 5х200 (черн) (100шт)</t>
  </si>
  <si>
    <t>НСС «EasyFix» 5х300 (черн) (100шт)</t>
  </si>
  <si>
    <t>НСС «EasyFix» 5х350 (черн) (100шт)</t>
  </si>
  <si>
    <t>НСС «EasyFix» 5х400 (черн) (100шт)</t>
  </si>
  <si>
    <t>НСС «EasyFix» 5х450 (черн) (100шт)</t>
  </si>
  <si>
    <t>НСС «EasyFix» 5х500 (черн) (100шт)</t>
  </si>
  <si>
    <t>НСС «EasyFix» 8х300 (черн) (100шт)</t>
  </si>
  <si>
    <t>НСС «EasyFix»8х350 (черн) (100шт)</t>
  </si>
  <si>
    <t>НСС «EasyFix» 8х400 (черн) (100шт)</t>
  </si>
  <si>
    <t>НСС «EasyFix» 8х450 (черн) (100шт)</t>
  </si>
  <si>
    <t>НСС «EasyFix» 8х500 (черн) (100шт)</t>
  </si>
  <si>
    <t>НСС «EasyFix» 8х750 (черн) (100шт)</t>
  </si>
  <si>
    <t>НСС «EasyFix» 9х500 (черн) (100шт)</t>
  </si>
  <si>
    <t>НСС «EasyFix» 9х760 (черн) (100шт)</t>
  </si>
  <si>
    <t>НСС «EasyFix» 9х1020 (черн) (100шт)</t>
  </si>
  <si>
    <t>КСС «NORD» 3х100 (бел) (100шт)</t>
  </si>
  <si>
    <t>стяжки КСС «NORD» (б)</t>
  </si>
  <si>
    <t>КСС «NORD» 3х150 (бел) (100шт)</t>
  </si>
  <si>
    <t>КСС «NORD» 3х200 (бел) (100шт)</t>
  </si>
  <si>
    <t>КСС «NORD» 3х250 (бел) (100шт)</t>
  </si>
  <si>
    <t>КСС «NORD» 4х100 (бел) (100шт)</t>
  </si>
  <si>
    <t>КСС «NORD» 4х150 (бел) (100шт)</t>
  </si>
  <si>
    <t>КСС «NORD» 4х200 (бел) (100шт)</t>
  </si>
  <si>
    <t>КСС «NORD» 4х250 (бел) (100шт)</t>
  </si>
  <si>
    <t>КСС «NORD» 4х300 (бел) (100шт)</t>
  </si>
  <si>
    <t>КСС «NORD» 4х370 (бел) (100шт)</t>
  </si>
  <si>
    <t>КСС «NORD» 5х160 (бел) (100шт)</t>
  </si>
  <si>
    <t>КСС «NORD» 5х200 (бел) (100шт)</t>
  </si>
  <si>
    <t>КСС «NORD» 5х250 (бел) (100шт)</t>
  </si>
  <si>
    <t>КСС «NORD» 5х300 (бел) (100шт)</t>
  </si>
  <si>
    <t>КСС «NORD» 5х350 (бел) (100шт)</t>
  </si>
  <si>
    <t>КСС «NORD» 5х400 (бел) (100шт)</t>
  </si>
  <si>
    <t>КСС «NORD» 5х450 (бел) (100шт)</t>
  </si>
  <si>
    <t>КСС «NORD» 5х500 (бел) (100шт)</t>
  </si>
  <si>
    <t>КСС «NORD» 8х300 (бел) (100шт)</t>
  </si>
  <si>
    <t>КСС «NORD» 8х350 (бел) (100шт)</t>
  </si>
  <si>
    <t>КСС «NORD» 8х400 (бел) (100шт)</t>
  </si>
  <si>
    <t>КСС «NORD» 8х450 (бел) (100шт)</t>
  </si>
  <si>
    <t>КСС «NORD» 8х500 (бел) (100шт)</t>
  </si>
  <si>
    <t>КСС «NORD» 8х750 (бел) (100шт)</t>
  </si>
  <si>
    <t>КСС «NORD» 9х500 (бел) (100шт)</t>
  </si>
  <si>
    <t>КСС «NORD» 9х760 (бел) (100шт)</t>
  </si>
  <si>
    <t>КСС «NORD» 9х1020 (бел) (100шт)</t>
  </si>
  <si>
    <t>КСС «NORD» 3х100 (черн) (100шт)</t>
  </si>
  <si>
    <t>стяжки КСС «NORD» (ч)</t>
  </si>
  <si>
    <t>КСС «NORD» 3х150 (черн) (100шт)</t>
  </si>
  <si>
    <t>КСС «NORD» 3х200 (черн) (100шт)</t>
  </si>
  <si>
    <t>КСС «NORD» 3х250 (черн) (100шт)</t>
  </si>
  <si>
    <t>КСС «NORD» 4х100 (черн) (100шт)</t>
  </si>
  <si>
    <t>КСС «NORD» 4х150 (черн) (100шт)</t>
  </si>
  <si>
    <t>КСС «NORD» 4х200 (черн) (100шт)</t>
  </si>
  <si>
    <t>КСС «NORD» 4х250 (черн) (100шт)</t>
  </si>
  <si>
    <t>КСС «NORD» 4х300 (черн) (100шт)</t>
  </si>
  <si>
    <t>КСС «NORD» 4х370 (черн) (100шт)</t>
  </si>
  <si>
    <t>КСС «NORD» 5х160 (черн) (100шт)</t>
  </si>
  <si>
    <t>КСС «NORD» 5х200 (черн) (100шт)</t>
  </si>
  <si>
    <t>КСС «NORD» 5х250 (черн) (100шт)</t>
  </si>
  <si>
    <t>КСС «NORD» 5х300 (черн) (100шт)</t>
  </si>
  <si>
    <t>КСС «NORD» 5х350 (черн) (100шт)</t>
  </si>
  <si>
    <t>КСС «NORD» 5х400 (черн) (100шт)</t>
  </si>
  <si>
    <t>КСС «NORD» 5х450 (черн) (100шт)</t>
  </si>
  <si>
    <t>КСС «NORD» 5х500 (черн) (100шт)</t>
  </si>
  <si>
    <t>КСС «NORD» 8х300 (черн) (100шт)</t>
  </si>
  <si>
    <t>КСС «NORD» 8х350 (черн) (100шт)</t>
  </si>
  <si>
    <t>КСС «NORD» 8х400 (черн) (100шт)</t>
  </si>
  <si>
    <t>КСС «NORD» 8х450 (черн) (100шт)</t>
  </si>
  <si>
    <t>КСС «NORD» 8х500 (черн) (100шт)</t>
  </si>
  <si>
    <t>КСС «NORD» 8х750 (черн) (100шт)</t>
  </si>
  <si>
    <t>КСС «NORD» 9х500 (черн) (100шт)</t>
  </si>
  <si>
    <t>КСС «NORD» 9х760 (черн) (100шт)</t>
  </si>
  <si>
    <t>КСС «NORD» 9х1020 (черн) (100шт)</t>
  </si>
  <si>
    <t>КСС 4х200 (красн) (100шт)</t>
  </si>
  <si>
    <t>стяжки КСС (цвет)</t>
  </si>
  <si>
    <t>КСС 5х300 (красн) (100шт)</t>
  </si>
  <si>
    <t>КСС 5х400 (красн) (100шт)</t>
  </si>
  <si>
    <t>КСС 4х200 (желт) (100шт)</t>
  </si>
  <si>
    <t>КСС 5х300 (желт) (100шт)</t>
  </si>
  <si>
    <t>КСС 5х400 (желт) (100шт)</t>
  </si>
  <si>
    <t>КСС 3х100 (син) (100шт)</t>
  </si>
  <si>
    <t xml:space="preserve">Стяжка нейлоновая </t>
  </si>
  <si>
    <t>КСС 4х200 (син) (100шт)</t>
  </si>
  <si>
    <t>КСС 5х300 (син) (100шт)</t>
  </si>
  <si>
    <t>КСС 5х400 (син) (100шт)</t>
  </si>
  <si>
    <t>КСС 4х200 (зел) (100шт)</t>
  </si>
  <si>
    <t>КСС 5х300 (зел) (100шт)</t>
  </si>
  <si>
    <t>КСС 5х400 (зел) (100шт)</t>
  </si>
  <si>
    <t>КСТ 3x100 (100шт)</t>
  </si>
  <si>
    <t>стяжки КСТ</t>
  </si>
  <si>
    <t>КСТ 4x150 (100шт)</t>
  </si>
  <si>
    <t>КСТ 5x200 (100шт)</t>
  </si>
  <si>
    <t>КСТ 5x300 (100шт)</t>
  </si>
  <si>
    <t>КСТ 5x400 (100шт)</t>
  </si>
  <si>
    <t>КСС «Magnetic» 3х100 (син) (100шт)</t>
  </si>
  <si>
    <t>стяжки КСС "Magnetic"</t>
  </si>
  <si>
    <t>КСС «Magnetic» 4х150 (син) (100шт)</t>
  </si>
  <si>
    <t>КСС «Magnetic» 4х200 (син) (100шт)</t>
  </si>
  <si>
    <t>КСС «Magnetic» 5х200 (син) (100шт)</t>
  </si>
  <si>
    <t>КСС «Magnetic» 5х300 (син) (100шт)</t>
  </si>
  <si>
    <t>КСЗ 3x100 (бел) (100шт)</t>
  </si>
  <si>
    <t>стяжки КСЗ</t>
  </si>
  <si>
    <t>КСЗ 4x200 (бел) (100шт)</t>
  </si>
  <si>
    <t>КСЗ 5х250 (бел) (100шт)</t>
  </si>
  <si>
    <t>КСЗ 5x300 (бел) (100шт)</t>
  </si>
  <si>
    <t>КСЗ 8x200 (бел) (100шт)</t>
  </si>
  <si>
    <t>КСЗ 8x300 (бел) (100шт)</t>
  </si>
  <si>
    <t>КСЗ 8x400 (бел) (100шт)</t>
  </si>
  <si>
    <t>КСЗ 10x600 (бел) (100шт)</t>
  </si>
  <si>
    <t>КСЗ 3x100 (черн) (100шт)</t>
  </si>
  <si>
    <t>стяжки КСЗ (ч)</t>
  </si>
  <si>
    <t>КСЗ 4x200 (черн) (100шт)</t>
  </si>
  <si>
    <t>КСЗ 5х250 (черн) (100шт)</t>
  </si>
  <si>
    <t>КСЗ 5x300 (черн) (100шт)</t>
  </si>
  <si>
    <t>КСЗ 8x300 (черн) (100шт)</t>
  </si>
  <si>
    <t>КСЗ 8x400 (черн) (100шт)</t>
  </si>
  <si>
    <t>КСЗ 10x600 (черн) (100шт)</t>
  </si>
  <si>
    <t>КСУ 6х180 (черн) (100шт)</t>
  </si>
  <si>
    <t>стяжки КСУ</t>
  </si>
  <si>
    <t>КСУ 9х180 (черн) (100шт)</t>
  </si>
  <si>
    <t>КСУ 9х260 (черн) (100шт)</t>
  </si>
  <si>
    <t>КСУ 9х350 (черн) (100шт)</t>
  </si>
  <si>
    <t>КСУ 9х510 (черн) (100шт)</t>
  </si>
  <si>
    <t>КСУ 9х610 (черн) (100шт)</t>
  </si>
  <si>
    <t>КСУ 9х760(черн) (100шт)</t>
  </si>
  <si>
    <t>КСМ 3x100 (бел) (100шт)</t>
  </si>
  <si>
    <t>стяжки КСМ</t>
  </si>
  <si>
    <t>КСМ 3x200 (бел) (100шт)</t>
  </si>
  <si>
    <t>КСМ 4x205 (бел) (100шт)</t>
  </si>
  <si>
    <t>Подвес</t>
  </si>
  <si>
    <t xml:space="preserve">ПКТ 160 (черн) (100шт) </t>
  </si>
  <si>
    <t>подвес ПКТ</t>
  </si>
  <si>
    <t>КСО 4х110 (бел) (100шт)</t>
  </si>
  <si>
    <t>стяжки КСО</t>
  </si>
  <si>
    <t>КСО 4х150 (бел) (100шт)</t>
  </si>
  <si>
    <t>КСО 5х220 (бел) (100шт)</t>
  </si>
  <si>
    <t>КСО 5х300 (бел) (100шт)</t>
  </si>
  <si>
    <t>КСО 4х110 (черн) (100шт)</t>
  </si>
  <si>
    <t>стяжки КСО (ч)</t>
  </si>
  <si>
    <t>КСО 4х150 (черн) (100шт)</t>
  </si>
  <si>
    <t>КСО 5х220 (черн) (100шт)</t>
  </si>
  <si>
    <t>КСО 5х300 (черн) (100шт)</t>
  </si>
  <si>
    <t>КСГ 8х400 (красн) (100шт)</t>
  </si>
  <si>
    <t>стяжки КСГ</t>
  </si>
  <si>
    <t>КСГ 8х400 (желт) (100шт)</t>
  </si>
  <si>
    <t>КСГ 8х400 (зел) (100шт)</t>
  </si>
  <si>
    <t>T-flex 300 (бел) (20шт)</t>
  </si>
  <si>
    <t>T-flex 300</t>
  </si>
  <si>
    <t>T-flex 300 (зел) (20шт)</t>
  </si>
  <si>
    <t>КСР 7.5x200 (бел) (100шт)</t>
  </si>
  <si>
    <t>стяжки КСР</t>
  </si>
  <si>
    <t>КСР 7.5x250 (бел) (100шт)</t>
  </si>
  <si>
    <t>КСР 7.5x300 (бел) (100шт)</t>
  </si>
  <si>
    <t>КСР 7.5x200 (черн) (100шт)</t>
  </si>
  <si>
    <t>стяжки КСР (ч)</t>
  </si>
  <si>
    <t>КСР 7.5x250 (черн) (100шт)</t>
  </si>
  <si>
    <t>КСР 7.5x300 (черн) (100шт)</t>
  </si>
  <si>
    <t>КСК 8х280 (черн) (100шт)</t>
  </si>
  <si>
    <t>стяжки КСК</t>
  </si>
  <si>
    <t>КСК 8х380 (черн) (100шт)</t>
  </si>
  <si>
    <t>КСШ 120 (бел) (100шт)</t>
  </si>
  <si>
    <t>стяжки КСШ</t>
  </si>
  <si>
    <t>КСШ 150 (бел) (100шт)</t>
  </si>
  <si>
    <t>КСШ 180 (бел) (100шт)</t>
  </si>
  <si>
    <t>КСДп 2.5x100 (бел) (100шт)</t>
  </si>
  <si>
    <t>стяжки КСДп</t>
  </si>
  <si>
    <t>КСДп 4.8x190 (бел) (100шт)</t>
  </si>
  <si>
    <t>КСДп 8.0x175 (бел) (100шт)</t>
  </si>
  <si>
    <t>Стяжка-велькро</t>
  </si>
  <si>
    <t>КСВ 12х135 (черн)</t>
  </si>
  <si>
    <t>стяжки КСВ</t>
  </si>
  <si>
    <t>КСВ 16х210 (черн)</t>
  </si>
  <si>
    <t>КСВ 16х310 (черн)</t>
  </si>
  <si>
    <t>КСВ 16х210 (красн)</t>
  </si>
  <si>
    <t>КСВ 16х310 (красн)</t>
  </si>
  <si>
    <t>КСВ 12х135 (зел)</t>
  </si>
  <si>
    <t>КСВ 16х210 (зел)</t>
  </si>
  <si>
    <t>КСВ 16х310 (зел)</t>
  </si>
  <si>
    <t>КСВ-П 20х300 (черн)</t>
  </si>
  <si>
    <t>стяжки КСВ-П</t>
  </si>
  <si>
    <t>КСВ-П 20х450 (черн)</t>
  </si>
  <si>
    <t>Лента-велькро</t>
  </si>
  <si>
    <t>ЛВУ 165 (черн) (5м)</t>
  </si>
  <si>
    <t>лента ЛВУ</t>
  </si>
  <si>
    <t>ЛВУ 205 (черн) (5м)</t>
  </si>
  <si>
    <t>Лента монтажная текстильная</t>
  </si>
  <si>
    <t>ЛМТ 20 (50м)</t>
  </si>
  <si>
    <t>лента ЛМТ</t>
  </si>
  <si>
    <t>Дюбель-хомуты</t>
  </si>
  <si>
    <t>Дюбель-хомут</t>
  </si>
  <si>
    <t>ДХ 5–10 (бел) (100шт)</t>
  </si>
  <si>
    <t>ДХ 5–10 (бел)</t>
  </si>
  <si>
    <t>ДХ 11–18 (бел) (100шт)</t>
  </si>
  <si>
    <t>ДХ 11–18 (бел)</t>
  </si>
  <si>
    <t>ДХ 19–25 (бел) (100шт)</t>
  </si>
  <si>
    <t>ДХ 19–25 (бел)</t>
  </si>
  <si>
    <t>ДХ 5–10 (черн) (100шт)</t>
  </si>
  <si>
    <t>ДХ 5–10 (черн)</t>
  </si>
  <si>
    <t>ДХ 11–18 (черн) (100шт)</t>
  </si>
  <si>
    <t>ДХ 11–18 (черн)</t>
  </si>
  <si>
    <t>ДХ 19–25 (черн) (100шт)</t>
  </si>
  <si>
    <t>ДХ 19–25 (черн)</t>
  </si>
  <si>
    <t>ДХП 8–5 (бел) (100шт)</t>
  </si>
  <si>
    <t>ДХП 8–5 (бел)</t>
  </si>
  <si>
    <t>ДХП 10–5 (бел) (100шт)</t>
  </si>
  <si>
    <t>ДХП 10–5 (бел)</t>
  </si>
  <si>
    <t>ДХП 12–6 (бел) (100шт)</t>
  </si>
  <si>
    <t>ДХП 12–6 (бел)</t>
  </si>
  <si>
    <t>ДХП 14–6 (бел) (100шт)</t>
  </si>
  <si>
    <t>ДХП 14–6 (бел)</t>
  </si>
  <si>
    <t>ДХП 8-5 (черн) (100шт)</t>
  </si>
  <si>
    <t>ДХП 8-5 (черн)</t>
  </si>
  <si>
    <t>ДХП 10-5 (черн) (100шт)</t>
  </si>
  <si>
    <t>ДХП 10-5 (черн)</t>
  </si>
  <si>
    <t>ДХП 12-6 (черн) (100шт)</t>
  </si>
  <si>
    <t>ДХП 12-6 (черн)</t>
  </si>
  <si>
    <t>ДХП 14-6 (черн) (100шт)</t>
  </si>
  <si>
    <t>ДХП 14-6 (черн)</t>
  </si>
  <si>
    <t>База дюбельного типа</t>
  </si>
  <si>
    <t>БД 6х35 (черн) (500шт)</t>
  </si>
  <si>
    <t>БД</t>
  </si>
  <si>
    <t>БД 8х45 (черн) (500шт)</t>
  </si>
  <si>
    <t>Монтажные площадки</t>
  </si>
  <si>
    <t>Площадка монтажная</t>
  </si>
  <si>
    <t>ПМО 15х10 (бел) (100шт)</t>
  </si>
  <si>
    <t>ПМО 15х10 (бел)</t>
  </si>
  <si>
    <t>ПМО 15х10 (черн) (100шт)</t>
  </si>
  <si>
    <t>ПМО 15х10 (черн)</t>
  </si>
  <si>
    <t>ПМО 22х16 (бел) (100шт)</t>
  </si>
  <si>
    <t>ПМО 22х16 (бел)</t>
  </si>
  <si>
    <t>ПМО 22х16 (черн) (100шт)</t>
  </si>
  <si>
    <t>ПМО 22х16 (черн)</t>
  </si>
  <si>
    <t>Площадка под монтажный пистолет</t>
  </si>
  <si>
    <t>ПМОп 29х20 (сер) (100шт.)</t>
  </si>
  <si>
    <t>ПМОп 29х20 (сер)</t>
  </si>
  <si>
    <t>ПМОп 29х20 (черн) (100шт.)</t>
  </si>
  <si>
    <t>ПМОп 29х20 (черн)</t>
  </si>
  <si>
    <t>ПМОп 29х20 (бел) (100шт.)</t>
  </si>
  <si>
    <t>ПМОп 29х20 (бел)</t>
  </si>
  <si>
    <t>Площадка самоклеящаяся</t>
  </si>
  <si>
    <t>ПМС 20х20 (бел) (100шт)</t>
  </si>
  <si>
    <t>ПМС 20х20 (бел)</t>
  </si>
  <si>
    <t>ПМС 20х20 (черн) (100шт)</t>
  </si>
  <si>
    <t>ПМС 20х20 (черн)</t>
  </si>
  <si>
    <t>ПМС 25х25 (бел) (100шт)</t>
  </si>
  <si>
    <t>ПМС 25х25 (бел)</t>
  </si>
  <si>
    <t>ПМС 25х25 (черн) (100шт)</t>
  </si>
  <si>
    <t>ПМС 25х25 (черн)</t>
  </si>
  <si>
    <t>ПМС 30х30 (бел) (100шт)</t>
  </si>
  <si>
    <t>ПМС 30х30 (бел)</t>
  </si>
  <si>
    <t>ПМС 40х40 (бел) (100шт)</t>
  </si>
  <si>
    <t>ПМС 40х40 (бел)</t>
  </si>
  <si>
    <t>ПСК 1 (черн) (100шт)</t>
  </si>
  <si>
    <t>ПСК 1 (черн)</t>
  </si>
  <si>
    <t>ПСК 2 (черн) (100шт)</t>
  </si>
  <si>
    <t>ПСК 2 (черн)</t>
  </si>
  <si>
    <t>Насадка-демпфер для монтажного пистолета</t>
  </si>
  <si>
    <t>НДП 16x16 (500 шт)</t>
  </si>
  <si>
    <t>НДП 16x16</t>
  </si>
  <si>
    <t>Маркировочные бирки</t>
  </si>
  <si>
    <t>Бирка кабельная</t>
  </si>
  <si>
    <t>У-134 (100шт)</t>
  </si>
  <si>
    <t>У-134</t>
  </si>
  <si>
    <t>У-135 (100шт)</t>
  </si>
  <si>
    <t>У-135</t>
  </si>
  <si>
    <t>У-136 (100шт)</t>
  </si>
  <si>
    <t>У-136</t>
  </si>
  <si>
    <t>У-153 (250шт)</t>
  </si>
  <si>
    <t>У-153</t>
  </si>
  <si>
    <t>МБ 50х25 (100шт)</t>
  </si>
  <si>
    <t>МБ</t>
  </si>
  <si>
    <t>У-212М (100шт)</t>
  </si>
  <si>
    <t>У-212М</t>
  </si>
  <si>
    <t>У-Домик 150х100х50</t>
  </si>
  <si>
    <t>У-Домик-150x100</t>
  </si>
  <si>
    <t>У-Домик 71х32 (100шт)</t>
  </si>
  <si>
    <t>У-Домик-71х32</t>
  </si>
  <si>
    <t>У-134М</t>
  </si>
  <si>
    <t>Бирка кабельная маркировочная</t>
  </si>
  <si>
    <t>У-135 M</t>
  </si>
  <si>
    <t>У-135М</t>
  </si>
  <si>
    <t>У-135МГ (100шт)</t>
  </si>
  <si>
    <t>У-135МГ</t>
  </si>
  <si>
    <t>У-136МГ (100шт)</t>
  </si>
  <si>
    <t>У-136МГ</t>
  </si>
  <si>
    <t>Комплект «бирка-риббон»</t>
  </si>
  <si>
    <t>У-134Р</t>
  </si>
  <si>
    <t>У-135Р</t>
  </si>
  <si>
    <t>У-136Р</t>
  </si>
  <si>
    <t>Пломба номерная</t>
  </si>
  <si>
    <t>Универсал-350 (красн)</t>
  </si>
  <si>
    <t>Универсал-350</t>
  </si>
  <si>
    <t>Универсал-350 (зел)</t>
  </si>
  <si>
    <t>Универсал-350 (жел)</t>
  </si>
  <si>
    <t>Универсал-350 (син)</t>
  </si>
  <si>
    <t>Пломба контрольная</t>
  </si>
  <si>
    <t>УП 255 (зел)</t>
  </si>
  <si>
    <t>УП</t>
  </si>
  <si>
    <t>УП 255 (син)</t>
  </si>
  <si>
    <t>УП 255 (бел)</t>
  </si>
  <si>
    <t>УП 255 (желт)</t>
  </si>
  <si>
    <t>УП 255 (красн)</t>
  </si>
  <si>
    <t>УП 255 (оранж)</t>
  </si>
  <si>
    <t>Набор маркеров</t>
  </si>
  <si>
    <t>ColorPRO (черн/бел)</t>
  </si>
  <si>
    <t>ColorPRO</t>
  </si>
  <si>
    <t>Фломастер электрика</t>
  </si>
  <si>
    <t>ФМ-0.75 (черн)</t>
  </si>
  <si>
    <t>ФМ-0.75</t>
  </si>
  <si>
    <t>ФМ-1.0 (черн)</t>
  </si>
  <si>
    <t>ФМ-1.0</t>
  </si>
  <si>
    <t>ФМ-2.5 (черн)</t>
  </si>
  <si>
    <t>ФМ-2.5</t>
  </si>
  <si>
    <t>Стальные стяжки и ленты</t>
  </si>
  <si>
    <t>Стальные стяжки и бирки</t>
  </si>
  <si>
    <t>Стяжка стальная</t>
  </si>
  <si>
    <t>СКС (316) 4.6x100</t>
  </si>
  <si>
    <t>СКС (316)</t>
  </si>
  <si>
    <t>СКС (316) 4.6x150</t>
  </si>
  <si>
    <t>СКС (316) 4.6x200</t>
  </si>
  <si>
    <t>СКС (316) 4.6x250</t>
  </si>
  <si>
    <t>СКС (316) 4.6x300</t>
  </si>
  <si>
    <t>СКС (316) 4.6x350</t>
  </si>
  <si>
    <t>СКС (316) 4.6x400</t>
  </si>
  <si>
    <t>СКС (316) 4.6x500</t>
  </si>
  <si>
    <t>СКС (316) 4.6x600</t>
  </si>
  <si>
    <t>СКС (316) 4.6x800</t>
  </si>
  <si>
    <t>СКС (316) 4.6x1000</t>
  </si>
  <si>
    <t>СКС (316) 7.9х150</t>
  </si>
  <si>
    <t>СКС (316) 7.9х200</t>
  </si>
  <si>
    <t>СКС (316) 7.9х250</t>
  </si>
  <si>
    <t>СКС (316) 7.9х300</t>
  </si>
  <si>
    <t>СКС (316) 7.9х350</t>
  </si>
  <si>
    <t>СКС (316) 7.9х400</t>
  </si>
  <si>
    <t>СКС (316) 7.9х500</t>
  </si>
  <si>
    <t>СКС (316) 7.9х600</t>
  </si>
  <si>
    <t>СКС (316) 7.9х800</t>
  </si>
  <si>
    <t>СКС (316) 7.9х1000</t>
  </si>
  <si>
    <t>СКС (316) 7.9х1200</t>
  </si>
  <si>
    <t>СКС (316) 12х300</t>
  </si>
  <si>
    <t>СКС (316) 12х400</t>
  </si>
  <si>
    <t>СКС (316) 12х600</t>
  </si>
  <si>
    <t>СКС (316) 12х800</t>
  </si>
  <si>
    <t>СКС (316) 12x1000</t>
  </si>
  <si>
    <t>СКС (316) 12х1200</t>
  </si>
  <si>
    <t>СКС (304) 4.6х100</t>
  </si>
  <si>
    <t>СКС (304)</t>
  </si>
  <si>
    <t>СКС (304) 4.6х150</t>
  </si>
  <si>
    <t>СКС (304) 4.6х200</t>
  </si>
  <si>
    <t>СКС (304) 4.6х250</t>
  </si>
  <si>
    <t>СКС (304) 4.6х300</t>
  </si>
  <si>
    <t>СКС (304) 4.6х350</t>
  </si>
  <si>
    <t>СКС (304) 4.6х400</t>
  </si>
  <si>
    <t>СКС (304) 4.6х500</t>
  </si>
  <si>
    <t>СКС (304) 4.6х600</t>
  </si>
  <si>
    <t>СКС (304) 4.6х800</t>
  </si>
  <si>
    <t>СКС (304) 4.6х1000</t>
  </si>
  <si>
    <t>СКС (304) 7.9х150</t>
  </si>
  <si>
    <t>СКС (304) 7.9х200</t>
  </si>
  <si>
    <t>СКС (304) 7.9х250</t>
  </si>
  <si>
    <t>СКС (304) 7.9х300</t>
  </si>
  <si>
    <t>СКС (304) 7.9х350</t>
  </si>
  <si>
    <t>СКС (304) 7.9х400</t>
  </si>
  <si>
    <t>СКС (304) 7.9х500</t>
  </si>
  <si>
    <t>СКС (304) 7.9х600</t>
  </si>
  <si>
    <t>СКС (304) 7.9х800</t>
  </si>
  <si>
    <t>СКС (304) 7.9х1000</t>
  </si>
  <si>
    <t>СКС (304) 7.9х1200</t>
  </si>
  <si>
    <t>СКС (304) 12х300</t>
  </si>
  <si>
    <t>СКС (304) 12х400</t>
  </si>
  <si>
    <t>СКС (304) 12х600</t>
  </si>
  <si>
    <t>СКС (304) 12х800</t>
  </si>
  <si>
    <t>СКС (304) 12х1000</t>
  </si>
  <si>
    <t>СКС (304) 12х1200</t>
  </si>
  <si>
    <t>СКС (304) 4.6x150 (50шт)</t>
  </si>
  <si>
    <t>СКС (304) в мини-упаковке</t>
  </si>
  <si>
    <t>СКС (304) 4.6x200 (50шт)</t>
  </si>
  <si>
    <t>СКС (304) 4.6x300 (50шт)</t>
  </si>
  <si>
    <t>СКС (304) 4.6x400 (50шт)</t>
  </si>
  <si>
    <t>СКС (304) 7.9x200 (50шт)</t>
  </si>
  <si>
    <t>СКС (304) 7.9x300 (50шт)</t>
  </si>
  <si>
    <t>СКС (304) 7.9x400 (50шт)</t>
  </si>
  <si>
    <t>СКС (304) 7.9x500 (50шт)</t>
  </si>
  <si>
    <t>СКС-П (316) 4.6x100</t>
  </si>
  <si>
    <t>СКС-П (316)</t>
  </si>
  <si>
    <t>СКС-П (316) 4.6x150</t>
  </si>
  <si>
    <t>СКС-П (316) 4.6x200</t>
  </si>
  <si>
    <t>СКС-П (316) 4.6x250</t>
  </si>
  <si>
    <t>СКС-П (316) 4.6x300</t>
  </si>
  <si>
    <t>СКС-П (316) 4.6x350</t>
  </si>
  <si>
    <t>СКС-П (316) 4.6x400</t>
  </si>
  <si>
    <t>СКС-П (316) 4.6x500</t>
  </si>
  <si>
    <t>СКС-П (316) 4.6x600</t>
  </si>
  <si>
    <t>СКС-П (316) 4.6x800</t>
  </si>
  <si>
    <t>СКС-П (316) 4.6x1000</t>
  </si>
  <si>
    <t>СКС-П (316) 7.9x150</t>
  </si>
  <si>
    <t>СКС-П (316) 7.9x200</t>
  </si>
  <si>
    <t>СКС-П (316) 7.9x250</t>
  </si>
  <si>
    <t>СКС-П (316) 7.9x300</t>
  </si>
  <si>
    <t>СКС-П (316) 7.9x350</t>
  </si>
  <si>
    <t>СКС-П (316) 7.9x400</t>
  </si>
  <si>
    <t>СКС-П (316) 7.9x500</t>
  </si>
  <si>
    <t>СКС-П (316) 7.9x600</t>
  </si>
  <si>
    <t>СКС-П (316) 7.9x800</t>
  </si>
  <si>
    <t>СКС-П (316) 7.9x1000</t>
  </si>
  <si>
    <t>СКС-П (316) 7.9х1200</t>
  </si>
  <si>
    <t>СКС-П (316) 12x300</t>
  </si>
  <si>
    <t>СКС-П (316) 12x400</t>
  </si>
  <si>
    <t>СКС-П (316) 12x600</t>
  </si>
  <si>
    <t>СКС-П (316) 12x800</t>
  </si>
  <si>
    <t>СКС-П (316) 12x1000</t>
  </si>
  <si>
    <t>СКС-П (316) 12х1200</t>
  </si>
  <si>
    <t>СКС-П (316) 4.6х400 (красн)</t>
  </si>
  <si>
    <t>СКС-П (316) красные</t>
  </si>
  <si>
    <t>СКС-П (316) 7.9х200 (красн)</t>
  </si>
  <si>
    <t>СКС-П (316) 7.9х400 (красн)</t>
  </si>
  <si>
    <t>СКС-П (316) 7.9х800 (красн)</t>
  </si>
  <si>
    <t>СКС-П (304) 4.6х100</t>
  </si>
  <si>
    <t>СКС-П (304)</t>
  </si>
  <si>
    <t>СКС-П (304) 4.6х150</t>
  </si>
  <si>
    <t>СКС-П (304) 4.6х200</t>
  </si>
  <si>
    <t>СКС-П (304) 4.6х250</t>
  </si>
  <si>
    <t>СКС-П (304) 4.6х300</t>
  </si>
  <si>
    <t>СКС-П (304) 4.6х350</t>
  </si>
  <si>
    <t>СКС-П (304) 4.6х400</t>
  </si>
  <si>
    <t>СКС-П (304) 4.6х500</t>
  </si>
  <si>
    <t>СКС-П (304) 4.6х600</t>
  </si>
  <si>
    <t>СКС-П (304) 4.6х800</t>
  </si>
  <si>
    <t>СКС-П (304) 4.6х1000</t>
  </si>
  <si>
    <t>СКС-П (304) 7.9х150</t>
  </si>
  <si>
    <t>СКС-П (304) 7.9х200</t>
  </si>
  <si>
    <t>СКС-П (304) 7.9х250</t>
  </si>
  <si>
    <t>СКС-П (304) 7.9х300</t>
  </si>
  <si>
    <t>СКС-П (304) 7.9х350</t>
  </si>
  <si>
    <t xml:space="preserve">Стяжка стальная </t>
  </si>
  <si>
    <t>СКС-П (304) 7.9х400</t>
  </si>
  <si>
    <t>СКС-П (304) 7.9х500</t>
  </si>
  <si>
    <t>СКС-П (304) 7.9х600</t>
  </si>
  <si>
    <t>СКС-П (304) 7.9х800</t>
  </si>
  <si>
    <t>СКС-П (304) 7.9х1000</t>
  </si>
  <si>
    <t>СКС-П (304) 7.9х1200</t>
  </si>
  <si>
    <t>СКС-П (304) 12х300</t>
  </si>
  <si>
    <t>СКС-П (304) 12х400</t>
  </si>
  <si>
    <t>СКС-П (304) 12х600</t>
  </si>
  <si>
    <t>СКС-П (304) 12х800</t>
  </si>
  <si>
    <t>СКС-П (304) 12х1000</t>
  </si>
  <si>
    <t>СКС-П (304) 12х1200</t>
  </si>
  <si>
    <t>СКС-П (304) 4.6х150 (50шт)</t>
  </si>
  <si>
    <t>СКС-П (304) в мини-упаковке</t>
  </si>
  <si>
    <t>СКС-П (304) 4.6х200 (50шт)</t>
  </si>
  <si>
    <t>СКС-П (304) 4.6х300 (50шт)</t>
  </si>
  <si>
    <t>СКС-П (304) 4.6х400 (50шт)</t>
  </si>
  <si>
    <t>СКС-П (304) 7.9х200 (50шт)</t>
  </si>
  <si>
    <t>СКС-П (304) 7.9х300 (50шт)</t>
  </si>
  <si>
    <t>СКС-П (304) 7.9х400 (50шт)</t>
  </si>
  <si>
    <t>СКС-П (304) 7.9х500 (50шт)</t>
  </si>
  <si>
    <t>СКС-2 (316) 7.9х400</t>
  </si>
  <si>
    <t>СКС-2 (316)</t>
  </si>
  <si>
    <t>СКС-2 (316) 7.9х600</t>
  </si>
  <si>
    <t>СКС-2 (316) 7.9х800</t>
  </si>
  <si>
    <t>СКС-2 (316) 7.9х1000</t>
  </si>
  <si>
    <t>СКС-2 (316) 12x1000</t>
  </si>
  <si>
    <t>СКС-2 (316) 12x1200</t>
  </si>
  <si>
    <t>СКС-2 (316) 12x1400</t>
  </si>
  <si>
    <t>СКС-2 (316) 12х1600</t>
  </si>
  <si>
    <t>СКС-2 (304) 7.9х400</t>
  </si>
  <si>
    <t>СКС-2 (304)</t>
  </si>
  <si>
    <t>СКС-2 (304) 7.9х600</t>
  </si>
  <si>
    <t>СКС-2 (304) 7.9х800</t>
  </si>
  <si>
    <t>СКС-2 (304) 7.9х1000</t>
  </si>
  <si>
    <t>СКС-2 (304) 12х1000</t>
  </si>
  <si>
    <t>СКС-2 (304) 12х1200</t>
  </si>
  <si>
    <t>СКС-2 (304) 12х1400</t>
  </si>
  <si>
    <t>СКС-2 (304) 12х1600</t>
  </si>
  <si>
    <t>СКЛ-П (316) 7х200</t>
  </si>
  <si>
    <t>СКЛ-П (316)</t>
  </si>
  <si>
    <t>СКЛ-П (316) 7х300</t>
  </si>
  <si>
    <t>СКЛ-П (316) 7х450</t>
  </si>
  <si>
    <t>СКЛ-П (316) 7х600</t>
  </si>
  <si>
    <t>СКЛ (316) 7х200</t>
  </si>
  <si>
    <t>СКЛ (316)</t>
  </si>
  <si>
    <t>СКЛ (316) 7х300</t>
  </si>
  <si>
    <t>СКЛ (316) 7х450</t>
  </si>
  <si>
    <t>СКЛ (316) 7х600</t>
  </si>
  <si>
    <t>СКБ-П (316) 9.6x250</t>
  </si>
  <si>
    <t>СКБ-П (316)</t>
  </si>
  <si>
    <t>СКБ-П (316) 9.6x350</t>
  </si>
  <si>
    <t>СКБ-П (316) 9.6x450</t>
  </si>
  <si>
    <t>Бирка маркировочная</t>
  </si>
  <si>
    <t>МБС (304) 89х10</t>
  </si>
  <si>
    <t>МБC (304) 89х10</t>
  </si>
  <si>
    <t>МБС (316) 89х10</t>
  </si>
  <si>
    <t>МБC (316) 89х10</t>
  </si>
  <si>
    <t>МБС (304) 89х19</t>
  </si>
  <si>
    <t>МБC (304) 89х19</t>
  </si>
  <si>
    <t>МБС (316) 89х19</t>
  </si>
  <si>
    <t>МБC (316) 89х19</t>
  </si>
  <si>
    <t>Стальная крепежная лента, скрепы, бугели</t>
  </si>
  <si>
    <t>Лента бандажная</t>
  </si>
  <si>
    <t>ЛКС (201)-2007 (50м) в кассете</t>
  </si>
  <si>
    <t>ЛКС (201)</t>
  </si>
  <si>
    <t>ЛКС (201)-2007 (25м) в кассете</t>
  </si>
  <si>
    <t>ЛКС (304)-2007 (25м) в кассете</t>
  </si>
  <si>
    <t>ЛКС (304)</t>
  </si>
  <si>
    <t>ЛКС (304)-2007 (50м) в кассете</t>
  </si>
  <si>
    <t>Лента бандажная из нержавеющей стали AISI 316</t>
  </si>
  <si>
    <t>ЛКС-PPA (316)-1204 (25м)</t>
  </si>
  <si>
    <t>ЛКС-РРА (316)</t>
  </si>
  <si>
    <t>ЛКС-РРА (316)-1504 (25м)</t>
  </si>
  <si>
    <t>ЛКС (201)-2007 (2м)</t>
  </si>
  <si>
    <t>ЛКС (304)-1204 (25м)</t>
  </si>
  <si>
    <t>ЛКС (304)-1504 (25м)</t>
  </si>
  <si>
    <t>ЛКС (316)-1204 (25м)</t>
  </si>
  <si>
    <t>ЛКС (316)</t>
  </si>
  <si>
    <t>ЛКС (316)-1504 (25м)</t>
  </si>
  <si>
    <t>ЛКС-П (304)-1204 (25м)</t>
  </si>
  <si>
    <t>ЛКС-П (304)</t>
  </si>
  <si>
    <t>ЛКС-П (304)-1504 (25м)</t>
  </si>
  <si>
    <t>ЛКС-П (316)-1004 (50м)</t>
  </si>
  <si>
    <t>ЛКС-П (316)</t>
  </si>
  <si>
    <t>ЛКС-П (316)-1204 (25м)</t>
  </si>
  <si>
    <t>ЛКС-П (316)-1504 (25м)</t>
  </si>
  <si>
    <t>Скрепа бандажная</t>
  </si>
  <si>
    <t>СМ (316)-10 (100шт)</t>
  </si>
  <si>
    <t>СМ (316)</t>
  </si>
  <si>
    <t>СМ (316)-12 (100шт)</t>
  </si>
  <si>
    <t>СМ (316)-15 (100шт)</t>
  </si>
  <si>
    <t>СМ (304)-12 (100шт)</t>
  </si>
  <si>
    <t>СМ (304)</t>
  </si>
  <si>
    <t>СМ (304)-15 (100шт)</t>
  </si>
  <si>
    <t>СМ (304)-20 (100шт)</t>
  </si>
  <si>
    <t>СМ (201)-20 (100шт)</t>
  </si>
  <si>
    <t>СМ (201)</t>
  </si>
  <si>
    <t>Бугель</t>
  </si>
  <si>
    <t>БМ (304)-20 (100шт)</t>
  </si>
  <si>
    <t>БМ (304)</t>
  </si>
  <si>
    <t>БМ (201)-20 (100шт)</t>
  </si>
  <si>
    <t>БМ (201)</t>
  </si>
  <si>
    <t>Хомуты червячные, силовые, трубные</t>
  </si>
  <si>
    <t>Червячные, силовые хомуты</t>
  </si>
  <si>
    <t>Хомут червячный</t>
  </si>
  <si>
    <t>PL-9 (8-12)/W1</t>
  </si>
  <si>
    <t>PL-9/W1</t>
  </si>
  <si>
    <t>PL-9 (10-16)/W1</t>
  </si>
  <si>
    <t>PL-9 (12-20)/W1</t>
  </si>
  <si>
    <t>PL-9 (12-22)/W1</t>
  </si>
  <si>
    <t>PL-9 (16-25)/W1</t>
  </si>
  <si>
    <t>PL-9 (16-27 )/W1</t>
  </si>
  <si>
    <t>PL-9 (20-32)/W1</t>
  </si>
  <si>
    <t>PL-9 (25-40)/W1</t>
  </si>
  <si>
    <t>PL-9 (32-50)/W1</t>
  </si>
  <si>
    <t>PL-9 (40-60)/W1</t>
  </si>
  <si>
    <t>PL-9 (50-70)/W1</t>
  </si>
  <si>
    <t>PL-9 (60-80)/W1</t>
  </si>
  <si>
    <t>PL-9 (70-90)/W1</t>
  </si>
  <si>
    <t>PL-9 (80-100)/W1</t>
  </si>
  <si>
    <t>PL-9 (90-110 )/W1</t>
  </si>
  <si>
    <t>PL-9 (100-120)/W1</t>
  </si>
  <si>
    <t>PL-9 (110-130)/W1</t>
  </si>
  <si>
    <t>PL-9 (120-140)/W1</t>
  </si>
  <si>
    <t>PL-9 (130-150)/W1</t>
  </si>
  <si>
    <t>PL-9 (140-160)/W1</t>
  </si>
  <si>
    <t>PL-9 (150-170)/W1</t>
  </si>
  <si>
    <t>PL-9 (240-260)/W1</t>
  </si>
  <si>
    <t>PL-9 (8-12)/W2</t>
  </si>
  <si>
    <t>PL-9/W2</t>
  </si>
  <si>
    <t>PL-9 (10-16)/W2</t>
  </si>
  <si>
    <t>PL-9 (12-20)/W2</t>
  </si>
  <si>
    <t>PL-9 (12-22)/W2</t>
  </si>
  <si>
    <t>PL-9 (16-25)/W2</t>
  </si>
  <si>
    <t>PL-9 (16-27 )/W2</t>
  </si>
  <si>
    <t>PL-9 (20-32)/W2</t>
  </si>
  <si>
    <t>PL-9 (25-40)/W2</t>
  </si>
  <si>
    <t>PL-9 (32-50)/W2</t>
  </si>
  <si>
    <t>PL-9 (40-60)/W2</t>
  </si>
  <si>
    <t>PL-9 (50-70)/W2</t>
  </si>
  <si>
    <t>PL-9 (60-80)/W2</t>
  </si>
  <si>
    <t>PL-9 (70-90)/W2</t>
  </si>
  <si>
    <t>PL-9 (80-100)/W2</t>
  </si>
  <si>
    <t>PL-9 (90-110 )/W2</t>
  </si>
  <si>
    <t>PL-9 (100-120)/W2</t>
  </si>
  <si>
    <t>PL-9 (110-130)/W2</t>
  </si>
  <si>
    <t>PL-9 (130-150)/W2</t>
  </si>
  <si>
    <t>PL-9 (150-170)/W2</t>
  </si>
  <si>
    <t>PL-9 (8-12)/W4</t>
  </si>
  <si>
    <t>PL-9/W4</t>
  </si>
  <si>
    <t>PL-9 (10-16)/W4</t>
  </si>
  <si>
    <t>PL-9 (12-20)/W4</t>
  </si>
  <si>
    <t>PL-9 (12-22)/W4</t>
  </si>
  <si>
    <t>PL-9 (16-25)/W4</t>
  </si>
  <si>
    <t>PL-9 (16-27)/W4</t>
  </si>
  <si>
    <t>PL-9 (20-32)/W4</t>
  </si>
  <si>
    <t>PL-9 (25-40)/W4</t>
  </si>
  <si>
    <t>PL-9 (32-50)/W4</t>
  </si>
  <si>
    <t>PL-9 (40-60)/W4</t>
  </si>
  <si>
    <t>PL-9 (50-70)/W4</t>
  </si>
  <si>
    <t>PL-9 (60-80)/W4</t>
  </si>
  <si>
    <t>PL-9 (70-90)/W4</t>
  </si>
  <si>
    <t>PL-9 (80-100)/W4</t>
  </si>
  <si>
    <t>PL-9 (90-110)/W4</t>
  </si>
  <si>
    <t>PL-9 (110-130)/W4</t>
  </si>
  <si>
    <t>PL-12 (10-16)/W2</t>
  </si>
  <si>
    <t>PL-12/W2</t>
  </si>
  <si>
    <t>PL-12 (12-20)/W2</t>
  </si>
  <si>
    <t>PL-12 (16-25)/W2</t>
  </si>
  <si>
    <t>PL-12 (16-27)/W2</t>
  </si>
  <si>
    <t>PL-12 (20-32)/W2</t>
  </si>
  <si>
    <t>PL-12 (25-40)/W2</t>
  </si>
  <si>
    <t>PL-12 (32-50)/W2</t>
  </si>
  <si>
    <t>PL-12 (40-60)/W2</t>
  </si>
  <si>
    <t>PL-12 (50-70)/W2</t>
  </si>
  <si>
    <t>PL-12 (60-80)/W2</t>
  </si>
  <si>
    <t>PL-12 (70-90)/W2</t>
  </si>
  <si>
    <t>PL-12 (80-100)/W2</t>
  </si>
  <si>
    <t>PL-12 (90-110)/W2</t>
  </si>
  <si>
    <t>PL-12 (100-120)/W2</t>
  </si>
  <si>
    <t>PL-12 (110-130)/W2</t>
  </si>
  <si>
    <t>PL-12 (120-140)/W2</t>
  </si>
  <si>
    <t>PL-12 (130-150)/W2</t>
  </si>
  <si>
    <t>PL-12 (150-170)/W2</t>
  </si>
  <si>
    <t>PL-12 (170-190)/W2</t>
  </si>
  <si>
    <t>PL-12 (200-220)/W2</t>
  </si>
  <si>
    <t>Хомут силовой</t>
  </si>
  <si>
    <t>SR 17-19/W1 ROBUST</t>
  </si>
  <si>
    <t>SR/W1</t>
  </si>
  <si>
    <t>SR 20-22/W1 ROBUST</t>
  </si>
  <si>
    <t>SR 23-25/W1 ROBUST</t>
  </si>
  <si>
    <t>SR 26-28/W1 ROBUST</t>
  </si>
  <si>
    <t>SR 29-31/W1 ROBUST</t>
  </si>
  <si>
    <t>SR 32-35/W1 ROBUST</t>
  </si>
  <si>
    <t>SR 36-39/W1 ROBUST</t>
  </si>
  <si>
    <t>SR 40-43/W1 ROBUST</t>
  </si>
  <si>
    <t>SR 44-47/W1 ROBUST</t>
  </si>
  <si>
    <t>SR 48-51/W1 ROBUST</t>
  </si>
  <si>
    <t>SR 52-55/W1 ROBUST</t>
  </si>
  <si>
    <t>SR 56-59/W1 ROBUST</t>
  </si>
  <si>
    <t>SR 60-63/W1 ROBUST</t>
  </si>
  <si>
    <t>SR 64-67/W1 ROBUST</t>
  </si>
  <si>
    <t>SR 68-73/W1 ROBUST</t>
  </si>
  <si>
    <t>SR 74-79/W1 ROBUST</t>
  </si>
  <si>
    <t>SR 80-85/W1 ROBUST</t>
  </si>
  <si>
    <t>SR 86-91/W1 ROBUST</t>
  </si>
  <si>
    <t>SR 92-97/W1 ROBUST</t>
  </si>
  <si>
    <t>SR 98-103/W1 ROBUST</t>
  </si>
  <si>
    <t>SR 104-112/W1 ROBUST</t>
  </si>
  <si>
    <t>SR 113-121/W1 ROBUST</t>
  </si>
  <si>
    <t>SR 122-130/W1 ROBUST</t>
  </si>
  <si>
    <t>SR 131-139/W1 ROBUST</t>
  </si>
  <si>
    <t>SR 140-148/W1 ROBUST</t>
  </si>
  <si>
    <t>SR 149-161/W1 ROBUST</t>
  </si>
  <si>
    <t>SR 162-174/W1 ROBUST</t>
  </si>
  <si>
    <t>SR 201-213/W1 ROBUST</t>
  </si>
  <si>
    <t>SR 214-226/W1 ROBUST</t>
  </si>
  <si>
    <t>SR 227-239/W1 ROBUST</t>
  </si>
  <si>
    <t>SR 17-19/W2 ROBUST</t>
  </si>
  <si>
    <t>SR/W2</t>
  </si>
  <si>
    <t>SR 20-22/W2 ROBUST</t>
  </si>
  <si>
    <t>SR 23-25/W2 ROBUST</t>
  </si>
  <si>
    <t>SR 26-28/W2 ROBUST</t>
  </si>
  <si>
    <t>SR 29-31/W2 ROBUST</t>
  </si>
  <si>
    <t>SR 32-35/W2 ROBUST</t>
  </si>
  <si>
    <t>SR 36-39/W2 ROBUST</t>
  </si>
  <si>
    <t>SR 40-43/W2 ROBUST</t>
  </si>
  <si>
    <t>SR 44-47/W2 ROBUST</t>
  </si>
  <si>
    <t>SR 48-51/W2 ROBUST</t>
  </si>
  <si>
    <t>SR 52-55/W2 ROBUST</t>
  </si>
  <si>
    <t>SR 56-59/W2 ROBUST</t>
  </si>
  <si>
    <t>SR 60-63/W2 ROBUST</t>
  </si>
  <si>
    <t>SR 64-67/W2 ROBUST</t>
  </si>
  <si>
    <t>SR 68-73/W2 ROBUST</t>
  </si>
  <si>
    <t>SR 74-79/W2 ROBUST</t>
  </si>
  <si>
    <t>SR 80-85/W2 ROBUST</t>
  </si>
  <si>
    <t>SR 86-91/W2 ROBUST</t>
  </si>
  <si>
    <t>SR 92-97/W2 ROBUST</t>
  </si>
  <si>
    <t>SR 98-103/W2 ROBUST</t>
  </si>
  <si>
    <t>SR 104-112/W2 ROBUST</t>
  </si>
  <si>
    <t>SR 113-121/W2 ROBUST</t>
  </si>
  <si>
    <t>SR 122-130/W2 ROBUST</t>
  </si>
  <si>
    <t>SR 131-139/W2 ROBUST</t>
  </si>
  <si>
    <t>SR 140-148/W2 ROBUST</t>
  </si>
  <si>
    <t>SR 149-161/W2 ROBUST</t>
  </si>
  <si>
    <t>SR 162-174/W2 ROBUST</t>
  </si>
  <si>
    <t>SR 175-187/W2 ROBUST</t>
  </si>
  <si>
    <t>SR 188-200/W2 ROBUST</t>
  </si>
  <si>
    <t>SR 201-213/W2 ROBUST</t>
  </si>
  <si>
    <t>SR 227-239/W2 ROBUST</t>
  </si>
  <si>
    <t>Лента червячная</t>
  </si>
  <si>
    <t>PLT-9/W2 (30м) в кассете</t>
  </si>
  <si>
    <t>PLT-9/W2</t>
  </si>
  <si>
    <t>Замок червячный</t>
  </si>
  <si>
    <t>LK-9/W2 (50шт)</t>
  </si>
  <si>
    <t>LK-9/W2</t>
  </si>
  <si>
    <t>Трубные хомуты</t>
  </si>
  <si>
    <t>Хомут трубный</t>
  </si>
  <si>
    <t>ТХК 3/8" комплект</t>
  </si>
  <si>
    <t>ТХК</t>
  </si>
  <si>
    <t>ТХК 1/2" комплект</t>
  </si>
  <si>
    <t>ТХК 3/4" комплект</t>
  </si>
  <si>
    <t>ТХК 1" комплект</t>
  </si>
  <si>
    <t>ТХК 1 1/4" комплект</t>
  </si>
  <si>
    <t>ТХК 1 1/2" комплект</t>
  </si>
  <si>
    <t>ТХК 2" комплект</t>
  </si>
  <si>
    <t>ТХК 2 1/2" комплект</t>
  </si>
  <si>
    <t>ТХК 3" комплект</t>
  </si>
  <si>
    <t>ТХК 3 1/2" комплект</t>
  </si>
  <si>
    <t>ТХК 4" комплект</t>
  </si>
  <si>
    <t>ТХК 5" комплект</t>
  </si>
  <si>
    <t>ТХК 6" комплект</t>
  </si>
  <si>
    <t>ТХК 8" комплект</t>
  </si>
  <si>
    <t>ТХ (INOX) 3/8"</t>
  </si>
  <si>
    <t>ТХ (INOX)</t>
  </si>
  <si>
    <t>ТХ (INOX) 1/2"</t>
  </si>
  <si>
    <t>ТХ (INOX) 3/4"</t>
  </si>
  <si>
    <t>ТХ (INOX) 1"</t>
  </si>
  <si>
    <t>ТХ (INOX) 1 1/4"</t>
  </si>
  <si>
    <t>ТХ (INOX) 1 1/2"</t>
  </si>
  <si>
    <t>ТХ (INOX) 2"</t>
  </si>
  <si>
    <t>ТХ (INOX) 2 1/2"</t>
  </si>
  <si>
    <t>ТХ (INOX) 3"</t>
  </si>
  <si>
    <t>ТХ (INOX) 4"</t>
  </si>
  <si>
    <t>ТХ (INOX) 5"</t>
  </si>
  <si>
    <t>ТХ (INOX) 6"</t>
  </si>
  <si>
    <t>ТХУ 1 1/2" усиленный</t>
  </si>
  <si>
    <t>ТХУ</t>
  </si>
  <si>
    <t>ТХУ 5" усиленный</t>
  </si>
  <si>
    <t>ТХУ 6" усиленный</t>
  </si>
  <si>
    <t>ТХ 3/8"</t>
  </si>
  <si>
    <t>ТХ</t>
  </si>
  <si>
    <t>ТХ 1/2"</t>
  </si>
  <si>
    <t>ТХ 1 1/4"</t>
  </si>
  <si>
    <t>ТХ 1 1/2"</t>
  </si>
  <si>
    <t>ТХ 5"</t>
  </si>
  <si>
    <t>ТХ 6"</t>
  </si>
  <si>
    <t>Кабельные вводы, сальники</t>
  </si>
  <si>
    <t>Металлические кабельные вводы</t>
  </si>
  <si>
    <t>Ввод кабельный из нержавеющей стали</t>
  </si>
  <si>
    <t>MGM 12 (3-6.5 мм) (INOX)</t>
  </si>
  <si>
    <t>MGM (INOX)</t>
  </si>
  <si>
    <t>MGM 16 (4-8 мм) (INOX)</t>
  </si>
  <si>
    <t>MGM 18 (5-10 мм) (INOX)</t>
  </si>
  <si>
    <t>MGM 20 (6-12 мм) (INOX)</t>
  </si>
  <si>
    <t>MGM 22 (10-14 мм) (INOX)</t>
  </si>
  <si>
    <t>MGM 25 (13-18 мм) (INOX)</t>
  </si>
  <si>
    <t>MGM 32 (18-25 мм) (INOX)</t>
  </si>
  <si>
    <t>MGM 40 (25-33 мм) (INOX)</t>
  </si>
  <si>
    <t>MGM 50 (32-38 мм) (INOX)</t>
  </si>
  <si>
    <t>MGM 63 (36-44 мм) (INOX)</t>
  </si>
  <si>
    <t>MGM 72 (42-52 мм) (INOX)</t>
  </si>
  <si>
    <t>MGM 75 (42-52 мм) (INOX)</t>
  </si>
  <si>
    <t>MGM 80 (55-62 мм) (INOX)</t>
  </si>
  <si>
    <t>MGM 88 (65-70 мм) (INOX)</t>
  </si>
  <si>
    <t>Ввод кабельный латунный</t>
  </si>
  <si>
    <t>МGM 8 (2-5 мм)</t>
  </si>
  <si>
    <t>MGM</t>
  </si>
  <si>
    <t>МGM 10 (3-6.5 мм)</t>
  </si>
  <si>
    <t>MGM 12 (3-6.5 мм)</t>
  </si>
  <si>
    <t>МGM 12 (4-8 мм)</t>
  </si>
  <si>
    <t>MGM 16 (4-8 мм)</t>
  </si>
  <si>
    <t>МGM 18 (5-10 мм)</t>
  </si>
  <si>
    <t>MGM 20 (6-12 мм)</t>
  </si>
  <si>
    <t>МGM 20 (10-14 мм)</t>
  </si>
  <si>
    <t>МGM 22 (10-14 мм)</t>
  </si>
  <si>
    <t>MGM 25 (12-16 мм)</t>
  </si>
  <si>
    <t>МGM 25 (13-18 мм)</t>
  </si>
  <si>
    <t>МGM 28 (13-18 мм)</t>
  </si>
  <si>
    <t>МGM 30 (14-20 мм)</t>
  </si>
  <si>
    <t>MGM 32 (16-22 мм)</t>
  </si>
  <si>
    <t>МGM 32 (18-25 мм)</t>
  </si>
  <si>
    <t>МGM 36 (18-25 мм)</t>
  </si>
  <si>
    <t>MGM 40 (22-30 мм)</t>
  </si>
  <si>
    <t>МGM 42 (22-30 мм)</t>
  </si>
  <si>
    <t>МGM 48 (22-32 мм)</t>
  </si>
  <si>
    <t>MGM 50 (32-38 мм)</t>
  </si>
  <si>
    <t>МGM 54 (32-38 мм)</t>
  </si>
  <si>
    <t>МGM 60 (37-44 мм)</t>
  </si>
  <si>
    <t>МGM 63 (37-44 мм)</t>
  </si>
  <si>
    <t>МGM 72 (42-52 мм)</t>
  </si>
  <si>
    <t>МGM 75 (42-52 мм)</t>
  </si>
  <si>
    <t>МGM 80 (55-62 мм)</t>
  </si>
  <si>
    <t>МGM 88 (65-70 мм)</t>
  </si>
  <si>
    <t>МGM 100 (78-84 мм)</t>
  </si>
  <si>
    <t>МGM-L 12 (3-6.5 мм)</t>
  </si>
  <si>
    <t>MGM-L</t>
  </si>
  <si>
    <t>МGM-L 16 (4-8 мм)</t>
  </si>
  <si>
    <t>МGM-L 20 (6-12 мм)</t>
  </si>
  <si>
    <t>МGM-L 25 (13-18 мм)</t>
  </si>
  <si>
    <t>МGM-L 32 (18-25 мм)</t>
  </si>
  <si>
    <t>МGM-L 40 (22-30 мм)</t>
  </si>
  <si>
    <t>МGM-L 50 (32-38 мм)</t>
  </si>
  <si>
    <t>МGM-L 63 (37-44 мм)</t>
  </si>
  <si>
    <t>MGM-R 12 (3-6.5 мм)</t>
  </si>
  <si>
    <t>MGM-R</t>
  </si>
  <si>
    <t>MGM-R 16 (4-8 мм)</t>
  </si>
  <si>
    <t>MGM-R 20 (6-12 мм)</t>
  </si>
  <si>
    <t>MGM-R 25 (13-18 мм)</t>
  </si>
  <si>
    <t>МGM-XL 12 (3-6.5 мм)</t>
  </si>
  <si>
    <t>MGM-XL</t>
  </si>
  <si>
    <t>МGM-XL 16 (4-8 мм)</t>
  </si>
  <si>
    <t>МGM-XL 20 (6-12 мм)</t>
  </si>
  <si>
    <t>МGM-XL 25 (13-18 мм)</t>
  </si>
  <si>
    <t>MGM-DL 12 (3-6.5 мм)</t>
  </si>
  <si>
    <t>MGM-DL</t>
  </si>
  <si>
    <t>MGM-DL 16 (4-8 мм)</t>
  </si>
  <si>
    <t>MGM-DL 20 (6-12 мм)</t>
  </si>
  <si>
    <t>MGM-DL 25 (13-18 мм)</t>
  </si>
  <si>
    <t>MGM-DL 32 (18-25 мм)</t>
  </si>
  <si>
    <t>MGM-DL 40 (22-30 мм)</t>
  </si>
  <si>
    <t>MGM-DL 50 (32-38 мм)</t>
  </si>
  <si>
    <t>MGM-DL 63 (37-44 мм)</t>
  </si>
  <si>
    <t>MGM-EMC 12 (3-6.5 мм)</t>
  </si>
  <si>
    <t>MGM-EMC</t>
  </si>
  <si>
    <t>MGM-EMC 16 (4-8 мм)</t>
  </si>
  <si>
    <t>MGM-EMC 20 (6-12 мм)</t>
  </si>
  <si>
    <t>MGM-EMC 25 (12-16 мм)</t>
  </si>
  <si>
    <t>MGM-EMC 32 (16-22 мм)</t>
  </si>
  <si>
    <t>PGМ 7 (3-6.5 мм) (INOX)</t>
  </si>
  <si>
    <t>PGM (INOX)</t>
  </si>
  <si>
    <t>PGМ 9 (4-8 мм) (INOX)</t>
  </si>
  <si>
    <t>PGМ 11 (5-10 мм) (INOX)</t>
  </si>
  <si>
    <t>PGМ 13.5 (8-12 мм) (INOX)</t>
  </si>
  <si>
    <t>PGМ 16 (10-14 мм) (INOX)</t>
  </si>
  <si>
    <t>PGM 19 (10-14 мм) (INOX)</t>
  </si>
  <si>
    <t>PGМ 21 (13-18 мм) (INOX)</t>
  </si>
  <si>
    <t>PGM 25 (15-22 мм) (INOX)</t>
  </si>
  <si>
    <t>PGМ 29 (18-25 мм) (INOX)</t>
  </si>
  <si>
    <t>PGМ 36 (25-33 мм) (INOX)</t>
  </si>
  <si>
    <t>PGМ 42 (32-38 мм) (INOX)</t>
  </si>
  <si>
    <t>PGM 48 (36-44 мм) (INOX)</t>
  </si>
  <si>
    <t>PGM 63 (42-52 мм) (INOX)</t>
  </si>
  <si>
    <t>PGM 7 (3-6.5 мм)</t>
  </si>
  <si>
    <t>PGM</t>
  </si>
  <si>
    <t>PGM 9 (4-8 мм)</t>
  </si>
  <si>
    <t>PGM 11 (5-10 мм)</t>
  </si>
  <si>
    <t>PGM 13.5 (6-12 мм)</t>
  </si>
  <si>
    <t>PGM 16 (10-14 мм)</t>
  </si>
  <si>
    <t>PGM 19 (10-15 мм)</t>
  </si>
  <si>
    <t>PGM 21 (13-18 мм)</t>
  </si>
  <si>
    <t>PGM 25 (15-20 мм)</t>
  </si>
  <si>
    <t>PGM 29 (18-25 мм)</t>
  </si>
  <si>
    <t>PGM 36 (25-32 мм)</t>
  </si>
  <si>
    <t>PGM 42 (32-38 мм)</t>
  </si>
  <si>
    <t>PGM 48 (37-44 мм)</t>
  </si>
  <si>
    <t>PGM 63 (42-52 мм)</t>
  </si>
  <si>
    <t>PGM-L 7 (3-6.5 мм)</t>
  </si>
  <si>
    <t>PGM-L</t>
  </si>
  <si>
    <t>PGM-L 9 (4-8 мм)</t>
  </si>
  <si>
    <t>PGM-L 11 (5-10 мм)</t>
  </si>
  <si>
    <t>PGM-L 13.5 (6-12 мм)</t>
  </si>
  <si>
    <t>PGM-L 16 (10-14 мм)</t>
  </si>
  <si>
    <t>PGM-L 21 (13-18 мм)</t>
  </si>
  <si>
    <t>PGM-L 29 (18-25 мм)</t>
  </si>
  <si>
    <t>PGM-L 36 (25-32 мм)</t>
  </si>
  <si>
    <t>Ввод кабельный термостойкий латунный</t>
  </si>
  <si>
    <t>ВКТ-М12 (4-8 мм)</t>
  </si>
  <si>
    <t>ВКТ-М</t>
  </si>
  <si>
    <t>ВКТ-М16 (4-8 мм)</t>
  </si>
  <si>
    <t>ВКТ-М20 (6-12 мм)</t>
  </si>
  <si>
    <t>ВКТ-М20 (12-16 мм)</t>
  </si>
  <si>
    <t>ВКТ-М25 (13-18 мм)</t>
  </si>
  <si>
    <t>ВКТ-М32 (15-22 мм)</t>
  </si>
  <si>
    <t>Ввод кабельный для металлорукава из нержавеющей стали</t>
  </si>
  <si>
    <t>ВК-М16(4-8 мм)-МР10 (INOX)</t>
  </si>
  <si>
    <t>ВК-М-МР (INOX)</t>
  </si>
  <si>
    <t>ВК-М16(6-12 мм)-МР15 (INOX)</t>
  </si>
  <si>
    <t>ВК-М20(6-12 мм)-МР15 (INOX)</t>
  </si>
  <si>
    <t>ВК-М20(8-16 мм)-МР20 (INOX)</t>
  </si>
  <si>
    <t>ВК-М25(8-16 мм)-МР20 (INOX)</t>
  </si>
  <si>
    <t>ВК-М25(13-18 мм)-МР20 (INOX)</t>
  </si>
  <si>
    <t>ВК-М25(13-18 мм)-МР25 (INOX)</t>
  </si>
  <si>
    <t>ВК-М32(16-25 мм)-МР25 (INOX)</t>
  </si>
  <si>
    <t>ВК-М32(16-25 мм)-МР32 (INOX)</t>
  </si>
  <si>
    <t>Ввод кабельный для металлорукава латунный</t>
  </si>
  <si>
    <t>ВК-М12(4-8 мм)-МР10</t>
  </si>
  <si>
    <t>ВК-М-МР</t>
  </si>
  <si>
    <t>ВК-М16(4-8 мм)-МР10</t>
  </si>
  <si>
    <t>ВК-М16(4-8 мм)-МР12</t>
  </si>
  <si>
    <t>ВК-М16(6-12 мм)-МР15</t>
  </si>
  <si>
    <t>ВК-М20(6-12 мм)-МР15</t>
  </si>
  <si>
    <t>ВК-М20(8-16 мм)-МР20</t>
  </si>
  <si>
    <t>ВК-М25(6-12 мм)-МР15</t>
  </si>
  <si>
    <t>ВК-М25(8-16 мм)-МР20</t>
  </si>
  <si>
    <t>ВК-М25(13-18 мм)-МР20</t>
  </si>
  <si>
    <t>ВК-М25(13-18 мм)-МР25</t>
  </si>
  <si>
    <t>ВК-М32(8-16 мм)-МР20</t>
  </si>
  <si>
    <t>ВК-М32(13-18 мм)-МР25</t>
  </si>
  <si>
    <t>ВК-М32(16-25 мм)-МР25</t>
  </si>
  <si>
    <t>ВК-М32(16-25 мм)-МР32</t>
  </si>
  <si>
    <t>ВК-М40(22-30 мм)-МР38</t>
  </si>
  <si>
    <t>ВК-М50(30-38 мм)-МР50</t>
  </si>
  <si>
    <t>ВК-М63(36-44 мм)-МР50</t>
  </si>
  <si>
    <t>Ввод кабельный латунный вентилируемый</t>
  </si>
  <si>
    <t>ВК-ВМ-М12 (4-8 мм)</t>
  </si>
  <si>
    <t>ВК-ВМ-М</t>
  </si>
  <si>
    <t>ВК-ВМ-М16 (5-10 мм)</t>
  </si>
  <si>
    <t>ВК-ВМ-М20 (6-12 мм)</t>
  </si>
  <si>
    <t>Клапан вентилируемый из нержавеющей стали</t>
  </si>
  <si>
    <t>КВМ-М6 (INOX)</t>
  </si>
  <si>
    <t>КВМ-М8 (INOX)</t>
  </si>
  <si>
    <t>КВМ-М12 (INOX)</t>
  </si>
  <si>
    <t>Клапан вентилируемый латунный</t>
  </si>
  <si>
    <t>КВМ-М6</t>
  </si>
  <si>
    <t>КВМ-М8</t>
  </si>
  <si>
    <t>КВМ-М12</t>
  </si>
  <si>
    <t>Муфта переходная латунная уменьшающая</t>
  </si>
  <si>
    <t>МПЛ М16/М12</t>
  </si>
  <si>
    <t>МПЛ</t>
  </si>
  <si>
    <t>МПЛ М20/М16</t>
  </si>
  <si>
    <t>МПЛ М25/М20</t>
  </si>
  <si>
    <t>МПЛ М32/М25</t>
  </si>
  <si>
    <t>МПЛ М40/М32</t>
  </si>
  <si>
    <t>Муфта переходная латунная увеличивающая</t>
  </si>
  <si>
    <t>МПЛ М12/М16</t>
  </si>
  <si>
    <t>МПЛ М16/М20</t>
  </si>
  <si>
    <t>МПЛ М20/М25</t>
  </si>
  <si>
    <t>МПЛ М25/М32</t>
  </si>
  <si>
    <t>МПЛ М32/М40</t>
  </si>
  <si>
    <t>Гайка латунная</t>
  </si>
  <si>
    <t>ГП-М12</t>
  </si>
  <si>
    <t>ГП-М</t>
  </si>
  <si>
    <t>ГП-М16</t>
  </si>
  <si>
    <t>ГП-М20</t>
  </si>
  <si>
    <t>ГП-М25</t>
  </si>
  <si>
    <t>ГП-М32</t>
  </si>
  <si>
    <t>ГП-М40</t>
  </si>
  <si>
    <t>ГП-М50</t>
  </si>
  <si>
    <t>Г3-М16</t>
  </si>
  <si>
    <t>ГЗ-М</t>
  </si>
  <si>
    <t>Г3-М20</t>
  </si>
  <si>
    <t>Г3-М25</t>
  </si>
  <si>
    <t>Г3-М32</t>
  </si>
  <si>
    <t>Г3-М40</t>
  </si>
  <si>
    <t>Г3-М50</t>
  </si>
  <si>
    <t>Заглушка латунная</t>
  </si>
  <si>
    <t>ОКМ-M12</t>
  </si>
  <si>
    <t>ОКМ-М</t>
  </si>
  <si>
    <t>ОКМ-M16</t>
  </si>
  <si>
    <t>ОКМ-M20</t>
  </si>
  <si>
    <t>ОКМ-M25</t>
  </si>
  <si>
    <t>ОКМ-M32</t>
  </si>
  <si>
    <t>Пластиковые кабельные вводы</t>
  </si>
  <si>
    <t>Ввод кабельный пластиковый</t>
  </si>
  <si>
    <t>PG 7 (3-6.5 мм)(черн)</t>
  </si>
  <si>
    <t>PG(ч)</t>
  </si>
  <si>
    <t>PG 9 (4-8 мм)(черн)</t>
  </si>
  <si>
    <t>PG 11 (5-10 мм)(черн)</t>
  </si>
  <si>
    <t>PG 13.5 (6-12 мм)(черн)</t>
  </si>
  <si>
    <t>PG 16 (10-14 мм)(черн)</t>
  </si>
  <si>
    <t>PG 19 (12-16 мм)(черн)</t>
  </si>
  <si>
    <t>PG 21 (13-18 мм)(черн)</t>
  </si>
  <si>
    <t>PG 25 (16-20 мм)(черн)</t>
  </si>
  <si>
    <t>PG 29 (18-25 мм)(черн)</t>
  </si>
  <si>
    <t>PG 36 (22-32 мм)(черн)</t>
  </si>
  <si>
    <t>PG 42 (32-38 мм)(черн)</t>
  </si>
  <si>
    <t>PG 48 (37-44 мм)(черн)</t>
  </si>
  <si>
    <t>PG 63 (42-50 мм)(черн)</t>
  </si>
  <si>
    <t>PG 7 (3-6.5 мм) (сер)</t>
  </si>
  <si>
    <t>PG</t>
  </si>
  <si>
    <t>PG 9 (4-8 мм) (сер)</t>
  </si>
  <si>
    <t>PG 11 (5-10 мм) (сер)</t>
  </si>
  <si>
    <t>PG 13.5 (6-12 мм) (сер)</t>
  </si>
  <si>
    <t>PG 16 (10-14 мм) (сер)</t>
  </si>
  <si>
    <t>PG 19 (12-16 мм)(сер)</t>
  </si>
  <si>
    <t>PG 21 (13-18 мм) (сер)</t>
  </si>
  <si>
    <t>PG 25 (16-20 мм)(сер)</t>
  </si>
  <si>
    <t>PG 29 (18-25 мм) (сер)</t>
  </si>
  <si>
    <t>PG 36 (22-32 мм) (сер)</t>
  </si>
  <si>
    <t>PG 42 (32-38 мм) (сер)</t>
  </si>
  <si>
    <t>PG 48 (37-44 мм) (сер)</t>
  </si>
  <si>
    <t>PG 63 (42-50 мм)(сер)</t>
  </si>
  <si>
    <t>МG 12 (3-5.3 мм)</t>
  </si>
  <si>
    <t>MG</t>
  </si>
  <si>
    <t>МG 12 (4.5-8 мм)</t>
  </si>
  <si>
    <t>МG 16 (4-8 мм)</t>
  </si>
  <si>
    <t>МG 16 (6-10 мм)</t>
  </si>
  <si>
    <t>МG 20 (6-12 мм)</t>
  </si>
  <si>
    <t>МG 20 (9-14 мм)</t>
  </si>
  <si>
    <t>МG 25 (10-16 мм)</t>
  </si>
  <si>
    <t>МG 25 (13-18 мм)</t>
  </si>
  <si>
    <t>МG 32 (15-22 мм)</t>
  </si>
  <si>
    <t>МG 32 (18-25 мм)</t>
  </si>
  <si>
    <t>МG 40 (24-30 мм)</t>
  </si>
  <si>
    <t>МG 50 (30-40 мм)</t>
  </si>
  <si>
    <t>МG 63 (40-50 мм)</t>
  </si>
  <si>
    <t>М10 (2-5.5 мм)</t>
  </si>
  <si>
    <t>M</t>
  </si>
  <si>
    <t>M12 (3-6.5 мм)</t>
  </si>
  <si>
    <t>М12 (4-8 мм)</t>
  </si>
  <si>
    <t>M16 (4-8 мм)</t>
  </si>
  <si>
    <t>М16 (5-10 мм)</t>
  </si>
  <si>
    <t>M20 (6-12 мм)</t>
  </si>
  <si>
    <t>М20 (10-14 мм)</t>
  </si>
  <si>
    <t>М25 (12-16 мм)</t>
  </si>
  <si>
    <t>M25 (13-18 мм)</t>
  </si>
  <si>
    <t>M32 (16-20 мм)</t>
  </si>
  <si>
    <t>М32 (18-25 мм)</t>
  </si>
  <si>
    <t>M40 (22-32 мм)</t>
  </si>
  <si>
    <t>M50 (32-38 мм)</t>
  </si>
  <si>
    <t>M63 (37-44 мм)</t>
  </si>
  <si>
    <t>M-L 12 (3-6.5 мм)</t>
  </si>
  <si>
    <t>M-L</t>
  </si>
  <si>
    <t>M-L 16 (4-8 мм)</t>
  </si>
  <si>
    <t>M-L 20 (6-12 мм)</t>
  </si>
  <si>
    <t>M-L 25 (13-18 мм)</t>
  </si>
  <si>
    <t>M-L 32 (16-20 мм)</t>
  </si>
  <si>
    <t>M-L 40 (22-32 мм)</t>
  </si>
  <si>
    <t>M-L 50 (32-38 мм)</t>
  </si>
  <si>
    <t>M-L 63 (37-44 мм)</t>
  </si>
  <si>
    <t>PG-R 7 (3-6.5 мм)</t>
  </si>
  <si>
    <t>PG-R</t>
  </si>
  <si>
    <t>PG-R 9 (4-8 мм)</t>
  </si>
  <si>
    <t>PG-R 11 (5-10 мм)</t>
  </si>
  <si>
    <t>PG-R 13.5 (6-12 мм)</t>
  </si>
  <si>
    <t>PG-R 16 (10-14 мм)</t>
  </si>
  <si>
    <t>PG-R 21 (13-18 мм)</t>
  </si>
  <si>
    <t>Ввод кабельный вентилируемый пластиковый</t>
  </si>
  <si>
    <t>ВК-ВП-М12 (4-8 мм)</t>
  </si>
  <si>
    <t>ВК-ВП-М</t>
  </si>
  <si>
    <t>ВК-ВП-М16 (5-10 мм)</t>
  </si>
  <si>
    <t>ВК-ВП-М20 (6-12 мм)</t>
  </si>
  <si>
    <t>Заглушка пластиковая</t>
  </si>
  <si>
    <t>ОКП-М12</t>
  </si>
  <si>
    <t>ОКП-М</t>
  </si>
  <si>
    <t>ОКП-М16</t>
  </si>
  <si>
    <t>ОКП-M20</t>
  </si>
  <si>
    <t>ОКП-M25</t>
  </si>
  <si>
    <t>ОКП-M32</t>
  </si>
  <si>
    <t>Клапан вентилируемый пластиковый</t>
  </si>
  <si>
    <t>КВП-М6 (черн)</t>
  </si>
  <si>
    <t>КВП-М6 (ч)</t>
  </si>
  <si>
    <t>КВП-М8 (черн)</t>
  </si>
  <si>
    <t>КВП-М8 (ч)</t>
  </si>
  <si>
    <t>КВП-М12 (черн)</t>
  </si>
  <si>
    <t>КВП-М12 (ч)</t>
  </si>
  <si>
    <t>КВП-М6 (бел)</t>
  </si>
  <si>
    <t>КВП-М6 (б)</t>
  </si>
  <si>
    <t>КВП-М8 (бел)</t>
  </si>
  <si>
    <t>КВП-М8 (б)</t>
  </si>
  <si>
    <t>КВП-М12 (бел)</t>
  </si>
  <si>
    <t>КВП-М12 (б)</t>
  </si>
  <si>
    <t>IP68 коннекторы и коробки</t>
  </si>
  <si>
    <t>Коробка распределительная герметичная</t>
  </si>
  <si>
    <t>MG Box S-2 IP68</t>
  </si>
  <si>
    <t>MG Box S-3 IP68</t>
  </si>
  <si>
    <t>MG Box S-4 IP68</t>
  </si>
  <si>
    <t>MG Box M-2 IP68</t>
  </si>
  <si>
    <t>MG Box M-3 IP68</t>
  </si>
  <si>
    <t>MG Box M-4 IP68</t>
  </si>
  <si>
    <t>MG Box XL-4 IP68</t>
  </si>
  <si>
    <t>MG Box XL-6 IP68</t>
  </si>
  <si>
    <t>Коннектор кабельный</t>
  </si>
  <si>
    <t>FFC-21/3Р-IP68</t>
  </si>
  <si>
    <t>FFC-21/3P-IP68 I-образные</t>
  </si>
  <si>
    <t>FFC-22/4Р-IP68</t>
  </si>
  <si>
    <t>FFC-22/4P-IP68 I-образные</t>
  </si>
  <si>
    <t>FFC-23/3Р-IP68</t>
  </si>
  <si>
    <t>FFC-23/3P-IP68 I-образные</t>
  </si>
  <si>
    <t>FFC-24/5Р-IP68</t>
  </si>
  <si>
    <t>FFC-24/5P-IP68 I-образные</t>
  </si>
  <si>
    <t>Коннектор кабельный I-образный</t>
  </si>
  <si>
    <t>FFC-25/RJ45-IP68</t>
  </si>
  <si>
    <t>FFC-26/2P-IP68</t>
  </si>
  <si>
    <t>FFC-31/3Р-IP68</t>
  </si>
  <si>
    <t>FFC-31/3P-IP68 T-образные</t>
  </si>
  <si>
    <t>FFC-32/3Р-IP68</t>
  </si>
  <si>
    <t>FFC-32/3P-IP68 T-образные</t>
  </si>
  <si>
    <t>FFC-33/5Р-IP68</t>
  </si>
  <si>
    <t>FFC-33/5P-IP68 T-образные</t>
  </si>
  <si>
    <t>FFC-34/3Р-IP68</t>
  </si>
  <si>
    <t>FFC-34/3P-IP68 Y-образные</t>
  </si>
  <si>
    <t>FFC-41/3Р-IP68</t>
  </si>
  <si>
    <t>FFC-41/3P-IP68 X-образные</t>
  </si>
  <si>
    <t>Металлорукав и фитинги</t>
  </si>
  <si>
    <t>Металлорукав</t>
  </si>
  <si>
    <t>МРПИнг «NORD» 6</t>
  </si>
  <si>
    <t>МРПИнг «NORD»</t>
  </si>
  <si>
    <t>МРПИнг «NORD» 8</t>
  </si>
  <si>
    <t>МРПИнг «NORD» 10</t>
  </si>
  <si>
    <t>МРПИнг «NORD» 12</t>
  </si>
  <si>
    <t>МРПИнг «NORD» 15</t>
  </si>
  <si>
    <t>МРПИнг «NORD» 16</t>
  </si>
  <si>
    <t>МРПИнг «NORD» 18</t>
  </si>
  <si>
    <t>МРПИнг «NORD» 20</t>
  </si>
  <si>
    <t>МРПИнг «NORD» 22</t>
  </si>
  <si>
    <t>МРПИнг «NORD» 25</t>
  </si>
  <si>
    <t>МРПИнг «NORD» 32</t>
  </si>
  <si>
    <t>МРПИнг «NORD» 38</t>
  </si>
  <si>
    <t>МРПИнг «NORD» 50</t>
  </si>
  <si>
    <t>МРПИнг «NORD» 60</t>
  </si>
  <si>
    <t>МРПИнг «NORD» 75</t>
  </si>
  <si>
    <t>МРПИнг «NORD» 100</t>
  </si>
  <si>
    <t>МРПИнг «NORD» 10 с протяжкой</t>
  </si>
  <si>
    <t>МРПИнг «NORD» с протяжкой</t>
  </si>
  <si>
    <t>МРПИнг «NORD» 12 с протяжкой</t>
  </si>
  <si>
    <t>МРПИнг «NORD» 15 с протяжкой</t>
  </si>
  <si>
    <t>МРПИнг «NORD» 16 с протяжкой</t>
  </si>
  <si>
    <t>МРПИнг «NORD» 18 с протяжкой</t>
  </si>
  <si>
    <t>МРПИнг «NORD» 20 с протяжкой</t>
  </si>
  <si>
    <t>МРПИнг «NORD» 22 с протяжкой</t>
  </si>
  <si>
    <t>МРПИнг «NORD» 25 с протяжкой</t>
  </si>
  <si>
    <t>МРПИнг «NORD» 32 с протяжкой</t>
  </si>
  <si>
    <t>МРПИнг «NORD» 38 с протяжкой</t>
  </si>
  <si>
    <t>МРПИнг «NORD» 50 с протяжкой</t>
  </si>
  <si>
    <t>Р3-ЦПнг-LS 8</t>
  </si>
  <si>
    <t>Р3-ЦПнг-LS</t>
  </si>
  <si>
    <t>Р3-ЦПнг-LS 10</t>
  </si>
  <si>
    <t>Р3-ЦПнг-LS 12</t>
  </si>
  <si>
    <t>Р3-ЦПнг-LS 15</t>
  </si>
  <si>
    <t>Р3-ЦПнг-LS 16</t>
  </si>
  <si>
    <t>Р3-ЦПнг-LS 18</t>
  </si>
  <si>
    <t>Р3-ЦПнг-LS 20</t>
  </si>
  <si>
    <t>Р3-ЦПнг-LS 22</t>
  </si>
  <si>
    <t>Р3-ЦПнг-LS 25</t>
  </si>
  <si>
    <t>Р3-ЦПнг-LS 32</t>
  </si>
  <si>
    <t>Р3-ЦПнг-LS 38</t>
  </si>
  <si>
    <t>Р3-ЦПнг-LS 50</t>
  </si>
  <si>
    <t>Р3-ЦПнг-LS 60</t>
  </si>
  <si>
    <t>Р3-ЦПнг-LS 75</t>
  </si>
  <si>
    <t>Р3-ЦПнг-LS 100</t>
  </si>
  <si>
    <t>Р3-ЦПнг-LS 10 с протяжкой</t>
  </si>
  <si>
    <t>Р3-ЦПнг-LS с протяжкой</t>
  </si>
  <si>
    <t>Р3-ЦПнг-LS 12 с протяжкой</t>
  </si>
  <si>
    <t>Р3-ЦПнг-LS 15 с протяжкой</t>
  </si>
  <si>
    <t>Р3-ЦПнг-LS 16 с протяжкой</t>
  </si>
  <si>
    <t>Р3-ЦПнг-LS 18 с протяжкой</t>
  </si>
  <si>
    <t>Р3-ЦПнг-LS 20 с протяжкой</t>
  </si>
  <si>
    <t>Р3-ЦПнг-LS 22 с протяжкой</t>
  </si>
  <si>
    <t>Р3-ЦПнг-LS 25 с протяжкой</t>
  </si>
  <si>
    <t>Р3-ЦПнг-LS 32 с протяжкой</t>
  </si>
  <si>
    <t>Р3-ЦПнг-LS 38 с протяжкой</t>
  </si>
  <si>
    <t>Р3-ЦПнг-LS 50 с протяжкой</t>
  </si>
  <si>
    <t>МРПИнг 8</t>
  </si>
  <si>
    <t>МРПИнг</t>
  </si>
  <si>
    <t>МРПИнг 10</t>
  </si>
  <si>
    <t>МРПИнг 12</t>
  </si>
  <si>
    <t>МРПИнг 15</t>
  </si>
  <si>
    <t>МРПИнг 16</t>
  </si>
  <si>
    <t>МРПИнг 18</t>
  </si>
  <si>
    <t>МРПИнг 20</t>
  </si>
  <si>
    <t>МРПИнг 22</t>
  </si>
  <si>
    <t>МРПИнг 25</t>
  </si>
  <si>
    <t>МРПИнг 32</t>
  </si>
  <si>
    <t>МРПИнг 38</t>
  </si>
  <si>
    <t>МРПИнг 50</t>
  </si>
  <si>
    <t>МРПИнг 60</t>
  </si>
  <si>
    <t>МРПИнг 75</t>
  </si>
  <si>
    <t>МРПИнг 100</t>
  </si>
  <si>
    <t>МРПИнг 10 с протяжкой</t>
  </si>
  <si>
    <t>МРПИнг с протяжкой</t>
  </si>
  <si>
    <t>МРПИнг 12 с протяжкой</t>
  </si>
  <si>
    <t>МРПИнг 15 с протяжкой</t>
  </si>
  <si>
    <t>МРПИнг 16 с протяжкой</t>
  </si>
  <si>
    <t>МРПИнг 18 с протяжкой</t>
  </si>
  <si>
    <t>МРПИнг 20 с протяжкой</t>
  </si>
  <si>
    <t>МРПИнг 22 с протяжкой</t>
  </si>
  <si>
    <t>МРПИнг 25 с протяжкой</t>
  </si>
  <si>
    <t>МРПИнг 32 с протяжкой</t>
  </si>
  <si>
    <t>МРПИнг 38 с протяжкой</t>
  </si>
  <si>
    <t>МРПИнг 50 с протяжкой</t>
  </si>
  <si>
    <t>МРПИнг 10 (сер)</t>
  </si>
  <si>
    <t>МРПИнг 12 (сер)</t>
  </si>
  <si>
    <t>МРПИнг 18 (сер)</t>
  </si>
  <si>
    <t>МРПИнг 20 (сер)</t>
  </si>
  <si>
    <t>МРПИнг 22 (сер)</t>
  </si>
  <si>
    <t>МРПИнг 32 (сер)</t>
  </si>
  <si>
    <t>МРПИнг 38 (сер)</t>
  </si>
  <si>
    <t>МРПИнг 60 (сер)</t>
  </si>
  <si>
    <t>МРПИнг 75 (сер)</t>
  </si>
  <si>
    <t>МРПИнг 100 (сер)</t>
  </si>
  <si>
    <t>МРПИнг 10 (сер) с протяжкой</t>
  </si>
  <si>
    <t>МРПИнг 12 (сер) с протяжкой</t>
  </si>
  <si>
    <t>МРПИнг 15 (сер) с протяжкой</t>
  </si>
  <si>
    <t>МРПИнг 16 (сер) с протяжкой</t>
  </si>
  <si>
    <t>МРПИнг 18 (сер) с протяжкой</t>
  </si>
  <si>
    <t>МРПИнг 20 (сер) с протяжкой</t>
  </si>
  <si>
    <t>МРПИнг 22 (сер) с протяжкой</t>
  </si>
  <si>
    <t>МРПИнг 25 (сер) с протяжкой</t>
  </si>
  <si>
    <t>МРПИнг 32 (сер) с протяжкой</t>
  </si>
  <si>
    <t>МРПИнг 38 (сер) с протяжкой</t>
  </si>
  <si>
    <t>МРПИнг 50 (сер) с протяжкой</t>
  </si>
  <si>
    <t>МРПИнг «DIESEL» 10 с протяжкой</t>
  </si>
  <si>
    <t>МРПИнг «DIESEL» с протяжкой</t>
  </si>
  <si>
    <t>МРПИнг «DIESEL» 12 с протяжкой</t>
  </si>
  <si>
    <t>МРПИнг «DIESEL» 15 с протяжкой</t>
  </si>
  <si>
    <t>МРПИнг «DIESEL» 16 с протяжкой</t>
  </si>
  <si>
    <t>МРПИнг «DIESEL» 18 с протяжкой</t>
  </si>
  <si>
    <t>МРПИнг «DIESEL» 20 с протяжкой</t>
  </si>
  <si>
    <t>МРПИнг «DIESEL» 22 с протяжкой</t>
  </si>
  <si>
    <t>МРПИнг «DIESEL» 25 с протяжкой</t>
  </si>
  <si>
    <t>МРПИнг «DIESEL» 32 с протяжкой</t>
  </si>
  <si>
    <t>МРПИнг «DIESEL» 38 с протяжкой</t>
  </si>
  <si>
    <t>МРПИнг «DIESEL» 50 с протяжкой</t>
  </si>
  <si>
    <t>МРПИнг «DIESEL» 60</t>
  </si>
  <si>
    <t>МРПИнг «DIESEL» 75</t>
  </si>
  <si>
    <t>МРПИнг «DIESEL» 100</t>
  </si>
  <si>
    <t>МРПИнг «TERMO» 10 с протяжкой</t>
  </si>
  <si>
    <t>МРПИнг «TERMO» с протяжкой</t>
  </si>
  <si>
    <t>МРПИнг «TERMO» 12 с протяжкой</t>
  </si>
  <si>
    <t>МРПИнг «TERMO» 15 с протяжкой</t>
  </si>
  <si>
    <t>МРПИнг «TERMO» 16 с протяжкой</t>
  </si>
  <si>
    <t>МРПИнг «TERMO» 18 с протяжкой</t>
  </si>
  <si>
    <t>МРПИнг «TERMO» 20 с протяжкой</t>
  </si>
  <si>
    <t>МРПИнг «TERMO» 22 с протяжкой</t>
  </si>
  <si>
    <t>МРПИнг «TERMO» 25 с протяжкой</t>
  </si>
  <si>
    <t>МРПИнг «TERMO» 32 с протяжкой</t>
  </si>
  <si>
    <t>МРПИнг «TERMO» 38 с протяжкой</t>
  </si>
  <si>
    <t>МРПИнг «TERMO» 50 с протяжкой</t>
  </si>
  <si>
    <t>МРПИнг «TERMO» 60</t>
  </si>
  <si>
    <t>МРПИнг «TERMO» 75</t>
  </si>
  <si>
    <t>МРПИнг «TERMO» 100</t>
  </si>
  <si>
    <t>МГ-ПУнг-LS «TITAN» 15</t>
  </si>
  <si>
    <t>МГ-ПУнг-LS «TITAN»</t>
  </si>
  <si>
    <t>МГ-ПУнг-LS «TITAN» 20</t>
  </si>
  <si>
    <t>МГ-ПУнг-LS «TITAN» 25</t>
  </si>
  <si>
    <t>МГ-ПУнг-LS «TITAN» 32</t>
  </si>
  <si>
    <t>МГ-ПУнг-LS «TITAN» 50</t>
  </si>
  <si>
    <t>МГ "Heavy duty" 10</t>
  </si>
  <si>
    <t>МГ «HEAVY DUTY»</t>
  </si>
  <si>
    <t>Металлорукав толстостенный</t>
  </si>
  <si>
    <t>МГ «HEAVY DUTY» 12</t>
  </si>
  <si>
    <t>МГ «HEAVY DUTY» 15</t>
  </si>
  <si>
    <t>МГ «HEAVY DUTY» 18</t>
  </si>
  <si>
    <t>МГ «HEAVY DUTY» 20</t>
  </si>
  <si>
    <t>МГ «HEAVY DUTY» 22</t>
  </si>
  <si>
    <t>МГ «HEAVY DUTY» 25</t>
  </si>
  <si>
    <t>МГ "Heavy duty" 38</t>
  </si>
  <si>
    <t>МГ "Heavy duty" 10 с протяжкой</t>
  </si>
  <si>
    <t>МГ «HEAVY DUTY» с протяжкой</t>
  </si>
  <si>
    <t>МГ «HEAVY DUTY» 12 с протяжкой</t>
  </si>
  <si>
    <t>МГ «HEAVY DUTY» 15 с протяжкой</t>
  </si>
  <si>
    <t>МГ «HEAVY DUTY» 16 с протяжкой</t>
  </si>
  <si>
    <t>МГ «HEAVY DUTY» 18 с протяжкой</t>
  </si>
  <si>
    <t>МГ «HEAVY DUTY» 20 с протяжкой</t>
  </si>
  <si>
    <t>МГ «HEAVY DUTY» 22 с протяжкой</t>
  </si>
  <si>
    <t>МГ «HEAVY DUTY» 25 с протяжкой</t>
  </si>
  <si>
    <t>МГ "Heavy duty" 32 с протяжкой</t>
  </si>
  <si>
    <t>МГ "Heavy duty" 38 с протяжкой</t>
  </si>
  <si>
    <t>МРПИнг «INOX» 6</t>
  </si>
  <si>
    <t>МРПИнг (INOX)</t>
  </si>
  <si>
    <t>МРПИнг «INOX» 8</t>
  </si>
  <si>
    <t>МРПИнг «INOX» 10</t>
  </si>
  <si>
    <t>МРПИнг «INOX» 12</t>
  </si>
  <si>
    <t>МРПИнг «INOX» 15</t>
  </si>
  <si>
    <t>МРПИнг «INOX» 16</t>
  </si>
  <si>
    <t>МРПИнг «INOX» 18</t>
  </si>
  <si>
    <t>МРПИнг «INOX» 20</t>
  </si>
  <si>
    <t>МРПИнг «INOX» 22</t>
  </si>
  <si>
    <t>МРПИнг «INOX» 25</t>
  </si>
  <si>
    <t>МРПИнг «INOX» 32</t>
  </si>
  <si>
    <t>МРПИнг «INOX» 38</t>
  </si>
  <si>
    <t>МРПИнг «INOX» 50</t>
  </si>
  <si>
    <t>МРПИнг «INOX» 60</t>
  </si>
  <si>
    <t>МРПИнг «INOX» 75</t>
  </si>
  <si>
    <t>МРПИнг «INOX» 15 с протяжкой</t>
  </si>
  <si>
    <t>МРПИнг (INOX) с протяжкой</t>
  </si>
  <si>
    <t>МРПИнг «INOX» 16 с протяжкой</t>
  </si>
  <si>
    <t>МРПИнг «INOX» 18 с протяжкой</t>
  </si>
  <si>
    <t>МРПИнг «INOX» 20 с протяжкой</t>
  </si>
  <si>
    <t>МРПИнг «INOX» 22 с протяжкой</t>
  </si>
  <si>
    <t>МРПИнг «INOX» 25 с протяжкой</t>
  </si>
  <si>
    <t>МРПИнг «INOX» 32 с протяжкой</t>
  </si>
  <si>
    <t>МРПИнг «INOX» 38 с протяжкой</t>
  </si>
  <si>
    <t>МРПИнг «INOX» 50 с протяжкой</t>
  </si>
  <si>
    <t>МР «INOX» 6</t>
  </si>
  <si>
    <t>МР (INOX)</t>
  </si>
  <si>
    <t>МР «INOX» 8</t>
  </si>
  <si>
    <t>МР «INOX» 10</t>
  </si>
  <si>
    <t>МР «INOX» 12</t>
  </si>
  <si>
    <t>МР «INOX» 15</t>
  </si>
  <si>
    <t>МР «INOX» 16</t>
  </si>
  <si>
    <t>МР «INOX» 18</t>
  </si>
  <si>
    <t>МР «INOX» 20</t>
  </si>
  <si>
    <t>МР «INOX» 22</t>
  </si>
  <si>
    <t>МР «INOX» 25</t>
  </si>
  <si>
    <t>МР «INOX» 32</t>
  </si>
  <si>
    <t>МР «INOX» 38</t>
  </si>
  <si>
    <t>МР «INOX» 50</t>
  </si>
  <si>
    <t>МР «INOX» 15 с протяжкой</t>
  </si>
  <si>
    <t>МР (INOX) с протяжкой</t>
  </si>
  <si>
    <t>Металлорукав из нержавеющей стали</t>
  </si>
  <si>
    <t>МР «INOX» 16 с протяжкой</t>
  </si>
  <si>
    <t>МР «INOX» 18 с протяжкой</t>
  </si>
  <si>
    <t>МР «INOX» 20 с протяжкой</t>
  </si>
  <si>
    <t>МР «INOX» 22 с протяжкой</t>
  </si>
  <si>
    <t>МР «INOX» 25 с протяжкой</t>
  </si>
  <si>
    <t>МР «INOX» 32 с протяжкой</t>
  </si>
  <si>
    <t>МР «INOX» 38 с протяжкой</t>
  </si>
  <si>
    <t>МР «INOX» 50 с протяжкой</t>
  </si>
  <si>
    <t>Р3-ЦХ 10</t>
  </si>
  <si>
    <t>Р3-ЦХ</t>
  </si>
  <si>
    <t>Р3-ЦХ 12</t>
  </si>
  <si>
    <t>Р3-ЦХ 15</t>
  </si>
  <si>
    <t>РЗ-ЦХ 16</t>
  </si>
  <si>
    <t>Р3-ЦХ 18</t>
  </si>
  <si>
    <t>Р3-ЦХ 20</t>
  </si>
  <si>
    <t>Р3-ЦХ 22</t>
  </si>
  <si>
    <t>Р3-ЦХ 25</t>
  </si>
  <si>
    <t>Р3-ЦХ 32</t>
  </si>
  <si>
    <t>Р3-ЦХ 38</t>
  </si>
  <si>
    <t>Р3-ЦХ 50</t>
  </si>
  <si>
    <t>Р3-ЦХ 75</t>
  </si>
  <si>
    <t>Р3-ЦХ 60</t>
  </si>
  <si>
    <t>Р3-ЦХ 100</t>
  </si>
  <si>
    <t>Р3-ЦХ 10 с протяжкой</t>
  </si>
  <si>
    <t>Р3-ЦХ с протяжкой</t>
  </si>
  <si>
    <t>Р3-ЦХ 12 с протяжкой</t>
  </si>
  <si>
    <t>РЗ-ЦХ 15 с протяжкой</t>
  </si>
  <si>
    <t>РЗ-ЦХ 16 с протяжкой</t>
  </si>
  <si>
    <t>Р3-ЦХ 18 с протяжкой</t>
  </si>
  <si>
    <t>Р3-ЦХ 20 с протяжкой</t>
  </si>
  <si>
    <t>Р3-ЦХ 22 с протяжкой</t>
  </si>
  <si>
    <t>Р3-ЦХ 25 с протяжкой</t>
  </si>
  <si>
    <t>Р3-ЦХ 32 с протяжкой</t>
  </si>
  <si>
    <t>Р3-ЦХ 38 с протяжкой</t>
  </si>
  <si>
    <t>Р3-ЦХ 50 с протяжкой</t>
  </si>
  <si>
    <t>Фитинги и распределительные коробки</t>
  </si>
  <si>
    <t>Муфта вводная</t>
  </si>
  <si>
    <t>ВМ 10</t>
  </si>
  <si>
    <t>ВМ</t>
  </si>
  <si>
    <t>ВМ 12</t>
  </si>
  <si>
    <t>ВМ 15</t>
  </si>
  <si>
    <t>ВМ 20</t>
  </si>
  <si>
    <t>ВМ 25</t>
  </si>
  <si>
    <t>ВМ 32</t>
  </si>
  <si>
    <t>ВМ 38</t>
  </si>
  <si>
    <t>ВМ 50</t>
  </si>
  <si>
    <t>ВМ 60</t>
  </si>
  <si>
    <t>ВМ 75</t>
  </si>
  <si>
    <t>ВМ 100</t>
  </si>
  <si>
    <t>ВМ-10-М16</t>
  </si>
  <si>
    <t>ВМ-М</t>
  </si>
  <si>
    <t>ВМ-12-М20</t>
  </si>
  <si>
    <t>ВМ-15-М20</t>
  </si>
  <si>
    <t>ВМ-20-М25</t>
  </si>
  <si>
    <t>ВМ-25-М32</t>
  </si>
  <si>
    <t>ВМ-32-М40</t>
  </si>
  <si>
    <t>ВМ-38-М50</t>
  </si>
  <si>
    <t>ВМ-50-М63</t>
  </si>
  <si>
    <t>ВМ-60-М75</t>
  </si>
  <si>
    <t>ВМ-75-М90</t>
  </si>
  <si>
    <t>ВМ-100-М110</t>
  </si>
  <si>
    <t>РКн 10</t>
  </si>
  <si>
    <t>РКн</t>
  </si>
  <si>
    <t>РКн 12</t>
  </si>
  <si>
    <t>РКн 15</t>
  </si>
  <si>
    <t>РКн 20</t>
  </si>
  <si>
    <t>РКн 25</t>
  </si>
  <si>
    <t>РКн 32</t>
  </si>
  <si>
    <t>РКн 38</t>
  </si>
  <si>
    <t>РКн 50</t>
  </si>
  <si>
    <t>РКн 60</t>
  </si>
  <si>
    <t>РКн 75</t>
  </si>
  <si>
    <t>РКн 100</t>
  </si>
  <si>
    <t>ВМ(90°) 15</t>
  </si>
  <si>
    <t>ВМ(90°)</t>
  </si>
  <si>
    <t>ВМ(90°) 20</t>
  </si>
  <si>
    <t>ВМ(90°) 25</t>
  </si>
  <si>
    <t>ВМ(90°) 32</t>
  </si>
  <si>
    <t>ВМ(90°) 38</t>
  </si>
  <si>
    <t>ВМ(90°) 50</t>
  </si>
  <si>
    <t>ВМУ 15</t>
  </si>
  <si>
    <t>ВМУ</t>
  </si>
  <si>
    <t>ВМУ 20</t>
  </si>
  <si>
    <t>ВМУ 25</t>
  </si>
  <si>
    <t>ВМУ 32</t>
  </si>
  <si>
    <t>ВМУ 50</t>
  </si>
  <si>
    <t>ВМ (INOX) 15</t>
  </si>
  <si>
    <t>ВМ (INOX)</t>
  </si>
  <si>
    <t>ВМ (INOX) 20</t>
  </si>
  <si>
    <t>ВМ (INOX) 25</t>
  </si>
  <si>
    <t>ВМ (INOX) 32</t>
  </si>
  <si>
    <t>ВМ (INOX) 38</t>
  </si>
  <si>
    <t>ВМ (INOX) 50</t>
  </si>
  <si>
    <t>Муфта вводная латунная</t>
  </si>
  <si>
    <t>ВМ-Л-10-М16</t>
  </si>
  <si>
    <t>ВМ-Л</t>
  </si>
  <si>
    <t>ВМ-Л-12-М16</t>
  </si>
  <si>
    <t>ВМ-Л-15-М16</t>
  </si>
  <si>
    <t>ВМ-Л-15-М20</t>
  </si>
  <si>
    <t>ВМ-Л-20-М20</t>
  </si>
  <si>
    <t>ВМ-Л-20-М25</t>
  </si>
  <si>
    <t>ВМ-Л-25-М25</t>
  </si>
  <si>
    <t>ВМ-Л-25-М32</t>
  </si>
  <si>
    <t>ВМ-Л-32-М40</t>
  </si>
  <si>
    <t>Муфта соединительная</t>
  </si>
  <si>
    <t>СТМ (INOX) 15 (1/2")</t>
  </si>
  <si>
    <t>СТМ (INOX)</t>
  </si>
  <si>
    <t>СТМ (INOX) 20 (3/4")</t>
  </si>
  <si>
    <t>СТМ (INOX) 25 (1")</t>
  </si>
  <si>
    <t>СТМ (INOX) 32 (1 1/4")</t>
  </si>
  <si>
    <t>СТМ(Р) (INOX) 15 (1/2")</t>
  </si>
  <si>
    <t>СТМ-Р (INOX)</t>
  </si>
  <si>
    <t>СТМ(Р) (INOX) 20 (3/4")</t>
  </si>
  <si>
    <t>СТМ(Р) (INOX) 25 (1")</t>
  </si>
  <si>
    <t>СТМ(Р) (INOX) 32 (1 1/4")</t>
  </si>
  <si>
    <t>СТМ(Р) (INOX) 38 (1 1/2")</t>
  </si>
  <si>
    <t>СТМ(Р) (INOX) 50 (2")</t>
  </si>
  <si>
    <t>Муфта соединительная латунная</t>
  </si>
  <si>
    <t>СТМ-Л-15 (1/2")</t>
  </si>
  <si>
    <t>СТМ-Л</t>
  </si>
  <si>
    <t>СТМ-Л-20 (3/4")</t>
  </si>
  <si>
    <t>СТМ-Л-25 (1")</t>
  </si>
  <si>
    <t>СТМ-Л-32 (1 1/4")</t>
  </si>
  <si>
    <t>СТМ-Л-38 (1 1/2")</t>
  </si>
  <si>
    <t>СТМ 15 (1/2")</t>
  </si>
  <si>
    <t>СТМ</t>
  </si>
  <si>
    <t>СТМ 20 (3/4")</t>
  </si>
  <si>
    <t>СТМ 25 (1")</t>
  </si>
  <si>
    <t>СТМ 32 (1 1/4")</t>
  </si>
  <si>
    <t>СТМ 38 (1 1/2")</t>
  </si>
  <si>
    <t>СТМ 50 (2")</t>
  </si>
  <si>
    <t>СММ 15</t>
  </si>
  <si>
    <t>СММ</t>
  </si>
  <si>
    <t>СММ 20</t>
  </si>
  <si>
    <t>СММ 25</t>
  </si>
  <si>
    <t>СММ 32</t>
  </si>
  <si>
    <t>СММ 38</t>
  </si>
  <si>
    <t>СММ 50</t>
  </si>
  <si>
    <t>Муфта соединительная для трубы</t>
  </si>
  <si>
    <t>АТТ-15</t>
  </si>
  <si>
    <t>ATT</t>
  </si>
  <si>
    <t>АТТ-20</t>
  </si>
  <si>
    <t>АТТ-25</t>
  </si>
  <si>
    <t>АТТ-32</t>
  </si>
  <si>
    <t>АТТ-38</t>
  </si>
  <si>
    <t>АТТ-50</t>
  </si>
  <si>
    <t>СТМ(Р) 15 (1/2")</t>
  </si>
  <si>
    <t>СТМ(Р)</t>
  </si>
  <si>
    <t>СТМ(Р) 20 (3/4")</t>
  </si>
  <si>
    <t>СТМ(Р) 25 (1")</t>
  </si>
  <si>
    <t>СТМ(Р) 32 (1 1/4")</t>
  </si>
  <si>
    <t>СТМ(Р) 38 (1 1/2")</t>
  </si>
  <si>
    <t>СТМ(Р) 50 (2")</t>
  </si>
  <si>
    <t>СТМ(В) 15 (1/2")</t>
  </si>
  <si>
    <t>СТМ(В)</t>
  </si>
  <si>
    <t>СТМ(В) 20 (3/4")</t>
  </si>
  <si>
    <t>СТМ(В) 25 (1")</t>
  </si>
  <si>
    <t>СТМ(В) 32 (1 1/4")</t>
  </si>
  <si>
    <t>ВТ(Х) 15 (1/2")</t>
  </si>
  <si>
    <t>ВТ(Х)</t>
  </si>
  <si>
    <t>ВТ(Х) 20 (3/4")</t>
  </si>
  <si>
    <t>ВТ(Х) 25 (1")</t>
  </si>
  <si>
    <t>ВТ(Х) 32 (1 1/4")</t>
  </si>
  <si>
    <t>Муфта вводная для трубы</t>
  </si>
  <si>
    <t>АТК-15</t>
  </si>
  <si>
    <t>АТК</t>
  </si>
  <si>
    <t>АТК-20</t>
  </si>
  <si>
    <t>АТК-25</t>
  </si>
  <si>
    <t>АТК-32</t>
  </si>
  <si>
    <t>АТК-38</t>
  </si>
  <si>
    <t>АТК-50</t>
  </si>
  <si>
    <t>Оконцеватель защитный</t>
  </si>
  <si>
    <t>ОЗМ 10</t>
  </si>
  <si>
    <t>ОЗМ</t>
  </si>
  <si>
    <t>ОЗМ 12</t>
  </si>
  <si>
    <t>ОЗМ 15</t>
  </si>
  <si>
    <t>ОЗМ 20</t>
  </si>
  <si>
    <t>ОЗМ 25</t>
  </si>
  <si>
    <t>ОЗМ 32</t>
  </si>
  <si>
    <t>ОЗМ 38</t>
  </si>
  <si>
    <t>ОЗМ 50</t>
  </si>
  <si>
    <t>МВП 10</t>
  </si>
  <si>
    <t>МВП</t>
  </si>
  <si>
    <t>МВП 12</t>
  </si>
  <si>
    <t>МВП 15</t>
  </si>
  <si>
    <t>МВП 20</t>
  </si>
  <si>
    <t>МВП 25</t>
  </si>
  <si>
    <t>МВП 32</t>
  </si>
  <si>
    <t>МВП 38</t>
  </si>
  <si>
    <t>МВП 50</t>
  </si>
  <si>
    <t>Втулка проходная</t>
  </si>
  <si>
    <t>В 17 (1000шт)</t>
  </si>
  <si>
    <t>В</t>
  </si>
  <si>
    <t>В 22 (500шт)</t>
  </si>
  <si>
    <t>В 28 (250шт)</t>
  </si>
  <si>
    <t>В 42 (150шт)</t>
  </si>
  <si>
    <t>В 54 (70шт)</t>
  </si>
  <si>
    <t>В 69 (40шт)</t>
  </si>
  <si>
    <t>В 82 (30шт)</t>
  </si>
  <si>
    <t>Коробка распаячная</t>
  </si>
  <si>
    <t>КРВ 15 (1/2")</t>
  </si>
  <si>
    <t>КРВ</t>
  </si>
  <si>
    <t>КРВ 20 (3/4")</t>
  </si>
  <si>
    <t>КРВ 25 (1")</t>
  </si>
  <si>
    <t>КРВ 32 (1 1/4")</t>
  </si>
  <si>
    <t>КРВ-Т 15 (1/2)</t>
  </si>
  <si>
    <t>КРВ-Т</t>
  </si>
  <si>
    <t>КРВ-Т 20 (3/4")</t>
  </si>
  <si>
    <t>КРВ-Т 25 (1")</t>
  </si>
  <si>
    <t>КРВ-Т 32 (1 1/4")</t>
  </si>
  <si>
    <t>КРВ-Л 25 (1")</t>
  </si>
  <si>
    <t>КРВ-Л</t>
  </si>
  <si>
    <t>КРВ-Л 50 (2")</t>
  </si>
  <si>
    <t>КРВ-П 38 (1 1/2")</t>
  </si>
  <si>
    <t>КРВ-П</t>
  </si>
  <si>
    <t>КРВ-П 50 (2")</t>
  </si>
  <si>
    <t>Кабельные скобы</t>
  </si>
  <si>
    <t>Скоба из нержавеющей стали</t>
  </si>
  <si>
    <t>СМО (INOX) 8-9</t>
  </si>
  <si>
    <t>СМО (INOX)</t>
  </si>
  <si>
    <t>СМО (INOX) 10-11</t>
  </si>
  <si>
    <t>СМО (INOX) 12-13</t>
  </si>
  <si>
    <t>СМО (INOX) 14-15</t>
  </si>
  <si>
    <t>СМО (INOX) 16-17</t>
  </si>
  <si>
    <t>СМО (INOX) 19-20</t>
  </si>
  <si>
    <t>СМО (INOX) 21-22</t>
  </si>
  <si>
    <t>СМО (INOX) 25-26</t>
  </si>
  <si>
    <t>СМО (INOX) 31-32</t>
  </si>
  <si>
    <t>СМО (INOX) 38-40</t>
  </si>
  <si>
    <t>СМО (INOX) 60-63</t>
  </si>
  <si>
    <t>СМД (INOX) 8-9</t>
  </si>
  <si>
    <t>СМД (INOX)</t>
  </si>
  <si>
    <t>СМД (INOX) 12-13</t>
  </si>
  <si>
    <t>СМД (INOX) 14-15</t>
  </si>
  <si>
    <t>СМД (INOX) 16-17</t>
  </si>
  <si>
    <t>СМД (INOX) 19-20</t>
  </si>
  <si>
    <t>СМД (INOX) 21-22</t>
  </si>
  <si>
    <t>СМД (INOX) 25-26</t>
  </si>
  <si>
    <t>СМД (INOX) 31-32</t>
  </si>
  <si>
    <t>СМД (INOX) 38-40</t>
  </si>
  <si>
    <t>СМД (INOX) 48-50</t>
  </si>
  <si>
    <t>СМД (INOX) 60-63</t>
  </si>
  <si>
    <t>Скоба металлическая</t>
  </si>
  <si>
    <t>СМО 8–9</t>
  </si>
  <si>
    <t>СМО</t>
  </si>
  <si>
    <t>СМО 10–11</t>
  </si>
  <si>
    <t>СМО 12–13</t>
  </si>
  <si>
    <t>СМО 14–15</t>
  </si>
  <si>
    <t>СМО 16–17</t>
  </si>
  <si>
    <t>СМО 19–20</t>
  </si>
  <si>
    <t>СМО 21–22</t>
  </si>
  <si>
    <t>СМО 25–26</t>
  </si>
  <si>
    <t>СМО 31–32</t>
  </si>
  <si>
    <t>СМО 38–40</t>
  </si>
  <si>
    <t>СМО 48–50</t>
  </si>
  <si>
    <t>СМО 60-63</t>
  </si>
  <si>
    <t>Скоба дистанционная</t>
  </si>
  <si>
    <t>СДК 16-17</t>
  </si>
  <si>
    <t>СДК</t>
  </si>
  <si>
    <t>СДК 19-20</t>
  </si>
  <si>
    <t>СДК 25-26</t>
  </si>
  <si>
    <t>СДК 31-32</t>
  </si>
  <si>
    <t>СДК 38-40</t>
  </si>
  <si>
    <t>СДК 48-50</t>
  </si>
  <si>
    <t>СМД 8-9</t>
  </si>
  <si>
    <t>СМД</t>
  </si>
  <si>
    <t>СМД 10-11</t>
  </si>
  <si>
    <t>СМД 12-13</t>
  </si>
  <si>
    <t>СМД 14-15</t>
  </si>
  <si>
    <t>СМД 16-17</t>
  </si>
  <si>
    <t>СМД 19-20</t>
  </si>
  <si>
    <t>СМД 21-22</t>
  </si>
  <si>
    <t>СМД 25-26</t>
  </si>
  <si>
    <t>СМД 31-32</t>
  </si>
  <si>
    <t>СМД 38-40</t>
  </si>
  <si>
    <t>СМД 48-50</t>
  </si>
  <si>
    <t>СМД 60-63</t>
  </si>
  <si>
    <t>Скобы однолапковые из нержавеющей стали с полимерным покрытием</t>
  </si>
  <si>
    <t>СМО-П (INOX) 60-63</t>
  </si>
  <si>
    <t>СМО-П (INOX)</t>
  </si>
  <si>
    <t>СМО-П 12-13</t>
  </si>
  <si>
    <t>СМО-П</t>
  </si>
  <si>
    <t>СМО-П 14-15</t>
  </si>
  <si>
    <t>СМО-П 16-17</t>
  </si>
  <si>
    <t>СМО-П 19-20</t>
  </si>
  <si>
    <t>СМО-П 21-22</t>
  </si>
  <si>
    <t>СМО-П 25-26</t>
  </si>
  <si>
    <t>СМО-П 31-32</t>
  </si>
  <si>
    <t>СМО-П 38-40</t>
  </si>
  <si>
    <t>СМО-П 60-63</t>
  </si>
  <si>
    <t>СМД-П 12-13</t>
  </si>
  <si>
    <t>СМД-П</t>
  </si>
  <si>
    <t>СМД-П 14-15</t>
  </si>
  <si>
    <t>СМД-П 16-17</t>
  </si>
  <si>
    <t>СМД-П 19-20</t>
  </si>
  <si>
    <t>СМД-П 21-22</t>
  </si>
  <si>
    <t>СМД-П 25-26</t>
  </si>
  <si>
    <t>СМД-П 31-32</t>
  </si>
  <si>
    <t>СМД-П 38-40</t>
  </si>
  <si>
    <t>СМД-П 48-50</t>
  </si>
  <si>
    <t>СМД-П 60-63</t>
  </si>
  <si>
    <t>СМО 8-9 под монтажный пистолет</t>
  </si>
  <si>
    <t>СМО без отверстия</t>
  </si>
  <si>
    <t>СМО 10-11 под монтажный пистолет</t>
  </si>
  <si>
    <t>СМО 12-13 под монтажный пистолет</t>
  </si>
  <si>
    <t>СМО 14-15 под монтажный пистолет</t>
  </si>
  <si>
    <t>СМО 16-17 под монтажный пистолет</t>
  </si>
  <si>
    <t>СМО 19-20 под монтажный пистолет</t>
  </si>
  <si>
    <t>СМО 25-26 под монтажный пистолет</t>
  </si>
  <si>
    <t>СМО 21-22 под монтажный пистолет</t>
  </si>
  <si>
    <t>СМО 31-32 под монтажный пистолет</t>
  </si>
  <si>
    <t>СМО 38-40 под монтажный пистолет</t>
  </si>
  <si>
    <t>СМО 48-50 под монтажный пистолет</t>
  </si>
  <si>
    <t>СМП 15 подвесная</t>
  </si>
  <si>
    <t>СМП</t>
  </si>
  <si>
    <t>СМП 20 подвесная</t>
  </si>
  <si>
    <t>СМП 25 подвесная</t>
  </si>
  <si>
    <t>СМР 6/15</t>
  </si>
  <si>
    <t>СМР 15</t>
  </si>
  <si>
    <t>СМР 8/15</t>
  </si>
  <si>
    <t>СМР 10/15</t>
  </si>
  <si>
    <t>СМР 12/15</t>
  </si>
  <si>
    <t>СМР 14/15</t>
  </si>
  <si>
    <t>СМР 15/15</t>
  </si>
  <si>
    <t>СМР 16/15</t>
  </si>
  <si>
    <t>СМР 18/15</t>
  </si>
  <si>
    <t>СМР 20/15</t>
  </si>
  <si>
    <t>СМР 22/15</t>
  </si>
  <si>
    <t>СМР 24/15</t>
  </si>
  <si>
    <t>СМР 25/15</t>
  </si>
  <si>
    <t>СМР 26/15</t>
  </si>
  <si>
    <t>СМР 28/15</t>
  </si>
  <si>
    <t>СМР 30/15</t>
  </si>
  <si>
    <t>СМР 32/15</t>
  </si>
  <si>
    <t>СМР 36/15</t>
  </si>
  <si>
    <t>СМР 40/15</t>
  </si>
  <si>
    <t>СМР 48/15</t>
  </si>
  <si>
    <t>СМР 50/15</t>
  </si>
  <si>
    <t>СМР 55/15</t>
  </si>
  <si>
    <t>СМР 60/15</t>
  </si>
  <si>
    <t>СМР 65/15</t>
  </si>
  <si>
    <t>СМР (INOX) 10/15</t>
  </si>
  <si>
    <t>СМР 15 (INOX)</t>
  </si>
  <si>
    <t>СМР (INOX) 14/15</t>
  </si>
  <si>
    <t>СМР (INOX) 16/15</t>
  </si>
  <si>
    <t>СМР (INOX) 20/15</t>
  </si>
  <si>
    <t>СМР (INOX) 25/15</t>
  </si>
  <si>
    <t>СМР (INOX) 32/15</t>
  </si>
  <si>
    <t>СМР (INOX) 38/15</t>
  </si>
  <si>
    <t>СМР (INOX) 40/15</t>
  </si>
  <si>
    <t>СМР (INOX) 50/15</t>
  </si>
  <si>
    <t>СМР (INOX) 60/15</t>
  </si>
  <si>
    <t>Лента монтажная</t>
  </si>
  <si>
    <t>ЛМП 12х0.55</t>
  </si>
  <si>
    <t>ЛМП</t>
  </si>
  <si>
    <t>ЛМП 20х0.55</t>
  </si>
  <si>
    <t>ЛМПВ 12х0.55</t>
  </si>
  <si>
    <t>ЛМПВ 17х0.55</t>
  </si>
  <si>
    <t>ЛМП 20х0.7</t>
  </si>
  <si>
    <t>Скоба пластиковая</t>
  </si>
  <si>
    <t>СПК 4 (50шт)</t>
  </si>
  <si>
    <t>СПК</t>
  </si>
  <si>
    <t>СПК 5 (50шт)</t>
  </si>
  <si>
    <t>СПК 6 (50шт)</t>
  </si>
  <si>
    <t>СПК 7 (50шт)</t>
  </si>
  <si>
    <t>СПК 8 (50шт)</t>
  </si>
  <si>
    <t>СПК 9 (50шт)</t>
  </si>
  <si>
    <t>СПК 10 (50шт)</t>
  </si>
  <si>
    <t>СПК 12 (50шт)</t>
  </si>
  <si>
    <t>СПК 14 (15шт)</t>
  </si>
  <si>
    <t>СПК 16 (50шт)</t>
  </si>
  <si>
    <t>СПК 20 (50шт)</t>
  </si>
  <si>
    <t>СПП 4 (50шт)</t>
  </si>
  <si>
    <t>СПП</t>
  </si>
  <si>
    <t>СПП 5 (50шт)</t>
  </si>
  <si>
    <t>СПП 6 (50шт)</t>
  </si>
  <si>
    <t>СПП 7 (50шт)</t>
  </si>
  <si>
    <t>СПП 8 (50шт)</t>
  </si>
  <si>
    <t>СПП 9 (50шт)</t>
  </si>
  <si>
    <t>СПП 10 (50шт)</t>
  </si>
  <si>
    <t>СПП 12 (50шт)</t>
  </si>
  <si>
    <t>СПП 14 (15шт)</t>
  </si>
  <si>
    <t>СНК 5 (100шт)</t>
  </si>
  <si>
    <t>СНК (бел.)</t>
  </si>
  <si>
    <t>СНК 6 (100шт)</t>
  </si>
  <si>
    <t>СНК 9 (100шт)</t>
  </si>
  <si>
    <t>СНК 12 (100шт)</t>
  </si>
  <si>
    <t>СНК 16 (100шт)</t>
  </si>
  <si>
    <t>СНК 20 (100шт)</t>
  </si>
  <si>
    <t>СНК 5 (черн) (100шт)</t>
  </si>
  <si>
    <t>СНК (черн.)</t>
  </si>
  <si>
    <t>СНК 6 (черн) (100шт)</t>
  </si>
  <si>
    <t>СНК 9 (черн) (100шт)</t>
  </si>
  <si>
    <t>СНК 12 (черн) (100шт)</t>
  </si>
  <si>
    <t>СНК 16 (черн) (100шт)</t>
  </si>
  <si>
    <t>СНК 20 (черн) (100шт)</t>
  </si>
  <si>
    <t>Клипса-крепеж с замком 16 (300шт)</t>
  </si>
  <si>
    <t>Крепеж-клипса с замком для монтажа труб</t>
  </si>
  <si>
    <t>Клипса-крепеж с замком 20 (250шт)</t>
  </si>
  <si>
    <t>Клипса-крепеж с замком 25 (250шт)</t>
  </si>
  <si>
    <t>Клипса-крепеж с замком 32 (150шт)</t>
  </si>
  <si>
    <t>Клипса-крепеж 16 (сер)</t>
  </si>
  <si>
    <t>Крепеж-клипса для монтажа труб (сер)</t>
  </si>
  <si>
    <t>Клипса-крепеж 20 (сер)</t>
  </si>
  <si>
    <t>Клипса-крепеж 25 (сер)</t>
  </si>
  <si>
    <t>Клипса-крепеж 32 (сер)</t>
  </si>
  <si>
    <t>Клипса-крепеж 16 (черн)</t>
  </si>
  <si>
    <t>Крепеж-клипса для монтажа труб (черн)</t>
  </si>
  <si>
    <t>Клипса-крепеж 20 (черн)</t>
  </si>
  <si>
    <t>Клипса-крепеж 25 (черн)</t>
  </si>
  <si>
    <t>Клипса-крепеж 32 (черн)</t>
  </si>
  <si>
    <t>Крепеж-клипса</t>
  </si>
  <si>
    <t>КМП 16 (сер)</t>
  </si>
  <si>
    <t>КМП (сер)</t>
  </si>
  <si>
    <t>КМП 20 (сер)</t>
  </si>
  <si>
    <t>КМП 25 (сер)</t>
  </si>
  <si>
    <t>КМП 40 (сер)</t>
  </si>
  <si>
    <t>КМП 50 (сер)</t>
  </si>
  <si>
    <t>КМП 16 (черн)</t>
  </si>
  <si>
    <t>КМП (черн)</t>
  </si>
  <si>
    <t>КМП 20 (черн)</t>
  </si>
  <si>
    <t>КМП 25 (черн)</t>
  </si>
  <si>
    <t>КМП 40 (черн)</t>
  </si>
  <si>
    <t>КМП 50 (черн)</t>
  </si>
  <si>
    <t>КМП 16 (бел)</t>
  </si>
  <si>
    <t>КМП (бел)</t>
  </si>
  <si>
    <t>КМП 20 (бел)</t>
  </si>
  <si>
    <t>Хомут для труб «быстрый монтаж» 16 (50шт)</t>
  </si>
  <si>
    <t>Хомут для труб «быстрый монтаж»</t>
  </si>
  <si>
    <t>Хомут для труб «быстрый монтаж» 20 (50шт)</t>
  </si>
  <si>
    <t>Хомут для труб «быстрый монтаж» 25 (25шт)</t>
  </si>
  <si>
    <t>Хомут для труб «быстрый монтаж» 32 (25шт)</t>
  </si>
  <si>
    <t>Болт-скоба стальная</t>
  </si>
  <si>
    <t>U 1/2" М6</t>
  </si>
  <si>
    <t>U</t>
  </si>
  <si>
    <t>U 3/4" М6</t>
  </si>
  <si>
    <t>U 1" М8</t>
  </si>
  <si>
    <t>U 1 1/4" М8</t>
  </si>
  <si>
    <t>U 1 1/2" М8</t>
  </si>
  <si>
    <t>U 2" М10</t>
  </si>
  <si>
    <t>U 2 1/2" М10</t>
  </si>
  <si>
    <t>U 3" М10</t>
  </si>
  <si>
    <t>U 4" М12</t>
  </si>
  <si>
    <t>U 5" М12</t>
  </si>
  <si>
    <t>U 6" М16</t>
  </si>
  <si>
    <t>Заземляющие устройства</t>
  </si>
  <si>
    <t xml:space="preserve">Провод заземления </t>
  </si>
  <si>
    <t>ПЗ 10-150</t>
  </si>
  <si>
    <t>ПЗ</t>
  </si>
  <si>
    <t>ПЗ 10-200</t>
  </si>
  <si>
    <t>ПЗ 10-250</t>
  </si>
  <si>
    <t>ПЗ 10-300</t>
  </si>
  <si>
    <t>ПЗ 10-350</t>
  </si>
  <si>
    <t>ПЗ 10-400</t>
  </si>
  <si>
    <t>ПЗ 10-500</t>
  </si>
  <si>
    <t>ПЗ 10-600</t>
  </si>
  <si>
    <t>ПЗ 10-800</t>
  </si>
  <si>
    <t>ПЗ 10-1000</t>
  </si>
  <si>
    <t>ПЗ 16-150</t>
  </si>
  <si>
    <t>ПЗ 16-200</t>
  </si>
  <si>
    <t>ПЗ 16-250</t>
  </si>
  <si>
    <t>ПЗ 16-300</t>
  </si>
  <si>
    <t>ПЗ 16-350</t>
  </si>
  <si>
    <t>ПЗ 16-400</t>
  </si>
  <si>
    <t>ПЗ 16-500</t>
  </si>
  <si>
    <t>ПЗ 16-600</t>
  </si>
  <si>
    <t>ПЗ 16-800</t>
  </si>
  <si>
    <t>ПЗ 16-1000</t>
  </si>
  <si>
    <t>ПЗ 25-150</t>
  </si>
  <si>
    <t>ПЗ 25-200</t>
  </si>
  <si>
    <t>ПЗ 25-300</t>
  </si>
  <si>
    <t>ПЗ 25-400</t>
  </si>
  <si>
    <t>ПЗ 25-500</t>
  </si>
  <si>
    <t>ПЗ 25-600</t>
  </si>
  <si>
    <t>ПЗ 25-800</t>
  </si>
  <si>
    <t>ПЗ 25-1000</t>
  </si>
  <si>
    <t>ПЗ 35-150</t>
  </si>
  <si>
    <t>ПЗ 35-200</t>
  </si>
  <si>
    <t>ПЗ 35-300</t>
  </si>
  <si>
    <t>ПЗ 35-400</t>
  </si>
  <si>
    <t>ПЗ 35-500</t>
  </si>
  <si>
    <t>ПЗ 35-600</t>
  </si>
  <si>
    <t>ПЗ 35-800</t>
  </si>
  <si>
    <t>ПЗ 35-1000</t>
  </si>
  <si>
    <t xml:space="preserve">Перемычка заземления </t>
  </si>
  <si>
    <t>ПЗКи 16-200</t>
  </si>
  <si>
    <t>ПЗКи</t>
  </si>
  <si>
    <t>ПЗКи 16-300</t>
  </si>
  <si>
    <t>ПЗКи 16-400</t>
  </si>
  <si>
    <t>ПЗКи 16-500</t>
  </si>
  <si>
    <t>ПЗКи 16-600</t>
  </si>
  <si>
    <t>ПЗКи 16-800</t>
  </si>
  <si>
    <t>ПЗКи 25-400</t>
  </si>
  <si>
    <t>Проводник заземляющий</t>
  </si>
  <si>
    <t>ПЗУ 6-308</t>
  </si>
  <si>
    <t>ПЗУ</t>
  </si>
  <si>
    <t>ПЗУ 6-150</t>
  </si>
  <si>
    <t>ПЗУ 6-200</t>
  </si>
  <si>
    <t>ПЗУ 6-250</t>
  </si>
  <si>
    <t>ПЗУ 6-300</t>
  </si>
  <si>
    <t>ПЗУ 6-350</t>
  </si>
  <si>
    <t>ПЗУ 6-400</t>
  </si>
  <si>
    <t>ПЗУ 6-500</t>
  </si>
  <si>
    <t>ПЗУ 6-600</t>
  </si>
  <si>
    <t>ПЗУ 6-650</t>
  </si>
  <si>
    <t>ПЗУ 6-700</t>
  </si>
  <si>
    <t>ПЗУ 6-800</t>
  </si>
  <si>
    <t>ПЗУ 6-900</t>
  </si>
  <si>
    <t>ПЗУ 6-1000</t>
  </si>
  <si>
    <t>ПЗУ 10-150</t>
  </si>
  <si>
    <t>ПЗУ 10-200</t>
  </si>
  <si>
    <t>ПЗУ 10-300</t>
  </si>
  <si>
    <t>ПЗУ 10-350</t>
  </si>
  <si>
    <t>ПЗУ 10-400</t>
  </si>
  <si>
    <t>ПЗУ 10-500</t>
  </si>
  <si>
    <t>ПЗУ 10-600</t>
  </si>
  <si>
    <t>ПЗУ 10-700</t>
  </si>
  <si>
    <t>ПЗУ 10-800</t>
  </si>
  <si>
    <t>ПЗУ 16-150</t>
  </si>
  <si>
    <t>ПЗУ 16-400</t>
  </si>
  <si>
    <t>ПЗУ 16-700</t>
  </si>
  <si>
    <t>ПЗУ 25-300</t>
  </si>
  <si>
    <t>ПЗУ 25-400</t>
  </si>
  <si>
    <t>ПЗУ 25-500</t>
  </si>
  <si>
    <t>ПЗУ 25-700</t>
  </si>
  <si>
    <t>Кольцо заземления латунное</t>
  </si>
  <si>
    <t>КЗ-М12</t>
  </si>
  <si>
    <t>КЗ-М</t>
  </si>
  <si>
    <t>КЗ-М16</t>
  </si>
  <si>
    <t>КЗ-М20</t>
  </si>
  <si>
    <t>КЗ-М25</t>
  </si>
  <si>
    <t>КЗ-М32</t>
  </si>
  <si>
    <t>Муфта заземления для металлорукава</t>
  </si>
  <si>
    <t>МЗМ-Тнг-LS 1</t>
  </si>
  <si>
    <t>МЗМ-Тнг-LS</t>
  </si>
  <si>
    <t>МЗМ-Тнг-LS 2</t>
  </si>
  <si>
    <t>МЗМ-Тнг-LS 3</t>
  </si>
  <si>
    <t>МЗМ-Тнг-LS 4</t>
  </si>
  <si>
    <t>МЗМ-Тнг-LS 5</t>
  </si>
  <si>
    <t>Хомут заземления ленточный</t>
  </si>
  <si>
    <t>ЛХЗ (16-55)</t>
  </si>
  <si>
    <t>ЛХЗ</t>
  </si>
  <si>
    <t>ЛХЗ (16-125)</t>
  </si>
  <si>
    <t>ЛХЗ (16-190)</t>
  </si>
  <si>
    <t>ЛХЗ (16-300)</t>
  </si>
  <si>
    <t>Хомут заземления</t>
  </si>
  <si>
    <t>УХЗ (12-20)/W2</t>
  </si>
  <si>
    <t>УХЗ</t>
  </si>
  <si>
    <t>УХЗ (16-25)/W2</t>
  </si>
  <si>
    <t>УХЗ (25-40)/W2</t>
  </si>
  <si>
    <t>УХЗ (40-60)/W2</t>
  </si>
  <si>
    <t>УХЗ (60-80)/W2</t>
  </si>
  <si>
    <t>УХЗ (80-100)/W2</t>
  </si>
  <si>
    <t>УХЗ (100-120)/W2</t>
  </si>
  <si>
    <t>УХЗ (110-130)/W2</t>
  </si>
  <si>
    <t>УХЗ (INOX) (12-20)/W2</t>
  </si>
  <si>
    <t>УХЗ (INOX)</t>
  </si>
  <si>
    <t>УХЗ (INOX) (16-25)/W2</t>
  </si>
  <si>
    <t>УХЗ (INOX) (25-40)/W2</t>
  </si>
  <si>
    <t>УХЗ (INOX) (40-60)/W2</t>
  </si>
  <si>
    <t>УХЗ (INOX) (60-80)/W2</t>
  </si>
  <si>
    <t>УХЗ (INOX) (80-100)/W2</t>
  </si>
  <si>
    <t>УХЗ (INOX) (100-120)/W2</t>
  </si>
  <si>
    <t>УХЗ (INOX) (110-130)/W2</t>
  </si>
  <si>
    <t>Хомут заземления трубный</t>
  </si>
  <si>
    <t>ТХЗ (INOX) 1/2"</t>
  </si>
  <si>
    <t>ТХЗ (INOX)</t>
  </si>
  <si>
    <t>ТХЗ (INOX) 3/4"</t>
  </si>
  <si>
    <t>ТХЗ (INOX) 1"</t>
  </si>
  <si>
    <t>ТХЗ (INOX) 1 1/4"</t>
  </si>
  <si>
    <t>ТХЗ (INOX) 1 1/2"</t>
  </si>
  <si>
    <t>ТХЗ (INOX)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</si>
</sst>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%"/>
    <numFmt numFmtId="165" formatCode="#,###,##0.00000"/>
  </numFmts>
  <fonts count="12" x14ac:knownFonts="1">
    <font>
      <sz val="9"/>
      <color rgb="FF000000"/>
      <name val="Calibri"/>
    </font>
    <font>
      <b/>
      <sz val="12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3"/>
      <color rgb="FF000000"/>
      <name val="Calibri"/>
    </font>
    <font>
      <sz val="9"/>
      <color rgb="FF333333"/>
      <name val="Calibri"/>
    </font>
    <font>
      <b/>
      <sz val="10"/>
      <color rgb="FF000000"/>
      <name val="Calibri"/>
    </font>
    <font>
      <sz val="9"/>
      <color rgb="FF9A9A9A"/>
      <name val="Calibri"/>
    </font>
    <font>
      <b/>
      <sz val="9"/>
      <color rgb="FF93C47D"/>
      <name val="Calibri"/>
    </font>
    <font>
      <sz val="9"/>
      <color rgb="FFE69138"/>
      <name val="Calibri"/>
    </font>
    <font>
      <sz val="9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3C47D"/>
        <bgColor rgb="FF000000"/>
      </patternFill>
    </fill>
    <fill>
      <patternFill patternType="solid">
        <fgColor rgb="FFD9EAD3"/>
        <bgColor rgb="FF000000"/>
      </patternFill>
    </fill>
    <fill>
      <patternFill patternType="solid">
        <fgColor rgb="FF0B2944"/>
        <bgColor rgb="FF000000"/>
      </patternFill>
    </fill>
  </fills>
  <borders count="15">
    <border>
      <left/>
      <right/>
      <top/>
      <bottom/>
      <diagonal/>
    </border>
    <border>
      <left/>
      <right style="thin">
        <color rgb="FF93C47D"/>
      </right>
      <top/>
      <bottom/>
      <diagonal/>
    </border>
    <border>
      <left style="thin">
        <color rgb="FF93C47D"/>
      </left>
      <right style="thin">
        <color rgb="FF93C47D"/>
      </right>
      <top/>
      <bottom/>
      <diagonal/>
    </border>
    <border>
      <left style="thin">
        <color rgb="FF93C47D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93C47D"/>
      </right>
      <top/>
      <bottom style="thin">
        <color rgb="FF000000"/>
      </bottom>
      <diagonal/>
    </border>
    <border>
      <left style="thin">
        <color rgb="FF93C47D"/>
      </left>
      <right style="thin">
        <color rgb="FF93C47D"/>
      </right>
      <top/>
      <bottom style="thin">
        <color rgb="FF000000"/>
      </bottom>
      <diagonal/>
    </border>
    <border>
      <left style="thin">
        <color rgb="FF93C47D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ECECEC"/>
      </left>
      <right/>
      <top/>
      <bottom style="thin">
        <color rgb="FFECECEC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right" vertical="center"/>
    </xf>
    <xf numFmtId="4" fontId="3" fillId="2" borderId="4" xfId="0" applyNumberFormat="1" applyFont="1" applyFill="1" applyBorder="1" applyAlignment="1">
      <alignment horizontal="right" vertical="center"/>
    </xf>
    <xf numFmtId="4" fontId="3" fillId="2" borderId="8" xfId="0" applyNumberFormat="1" applyFont="1" applyFill="1" applyBorder="1" applyAlignment="1">
      <alignment horizontal="right" vertical="center"/>
    </xf>
    <xf numFmtId="165" fontId="3" fillId="2" borderId="9" xfId="0" applyNumberFormat="1" applyFont="1" applyFill="1" applyBorder="1" applyAlignment="1">
      <alignment horizontal="right" vertical="center"/>
    </xf>
    <xf numFmtId="0" fontId="4" fillId="4" borderId="10" xfId="0" applyFont="1" applyFill="1" applyBorder="1" applyAlignment="1">
      <alignment horizontal="left" vertical="top" wrapText="1"/>
    </xf>
    <xf numFmtId="0" fontId="4" fillId="4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0" fillId="0" borderId="0" xfId="0" applyAlignment="1">
      <alignment horizontal="left" vertical="center" inden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3" borderId="14" xfId="0" applyFill="1" applyBorder="1" applyAlignment="1">
      <alignment horizontal="center" vertical="center"/>
    </xf>
    <xf numFmtId="4" fontId="0" fillId="0" borderId="0" xfId="0" applyNumberForma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0" fillId="0" borderId="0" xfId="0" quotePrefix="1" applyNumberFormat="1" applyAlignment="1">
      <alignment horizontal="right" vertical="center"/>
    </xf>
    <xf numFmtId="0" fontId="4" fillId="4" borderId="10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right" vertical="center"/>
    </xf>
    <xf numFmtId="164" fontId="1" fillId="3" borderId="0" xfId="0" applyNumberFormat="1" applyFont="1" applyFill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2695575" cy="523875"/>
    <xdr:pic>
      <xdr:nvPicPr>
        <xdr:cNvPr id="2" name="Техэлектро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techelectro.ru/prod/cable-kits/muffs10kv/3p3bspt10/3p3bspt10-150-240b/" TargetMode="External"/><Relationship Id="rId3182" Type="http://schemas.openxmlformats.org/officeDocument/2006/relationships/hyperlink" Target="https://techelectro.ru/prod/wiring-tools/strippers/wire-strip/ws17/sku_84418/" TargetMode="External"/><Relationship Id="rId4233" Type="http://schemas.openxmlformats.org/officeDocument/2006/relationships/hyperlink" Target="https://techelectro.ru/prod/abcarm/anchor/km/km120/" TargetMode="External"/><Relationship Id="rId3999" Type="http://schemas.openxmlformats.org/officeDocument/2006/relationships/hyperlink" Target="https://techelectro.ru/prod/construction_hydraulics/hydraulic_pullers/sga30/sga30/" TargetMode="External"/><Relationship Id="rId4300" Type="http://schemas.openxmlformats.org/officeDocument/2006/relationships/hyperlink" Target="https://techelectro.ru/prod/abcarm/abctools/rm-5-0/rm-5-0/" TargetMode="External"/><Relationship Id="rId170" Type="http://schemas.openxmlformats.org/officeDocument/2006/relationships/hyperlink" Target="https://techelectro.ru/prod/cable-lugs/cu/tmlu/tmlu_150-10/" TargetMode="External"/><Relationship Id="rId6058" Type="http://schemas.openxmlformats.org/officeDocument/2006/relationships/hyperlink" Target="https://techelectro.ru/prod/ground_wire/uhz/uhz-80-100-w2/" TargetMode="External"/><Relationship Id="rId5074" Type="http://schemas.openxmlformats.org/officeDocument/2006/relationships/hyperlink" Target="https://techelectro.ru/prod/strength-ties/screw-ties/sr2/sr68-73w2/" TargetMode="External"/><Relationship Id="rId987" Type="http://schemas.openxmlformats.org/officeDocument/2006/relationships/hyperlink" Target="https://techelectro.ru/prod/e-connectors/nshvi_euro/sku_103198/" TargetMode="External"/><Relationship Id="rId2668" Type="http://schemas.openxmlformats.org/officeDocument/2006/relationships/hyperlink" Target="https://techelectro.ru/prod/hstubes/specialtube/ttmng/sku_89571/" TargetMode="External"/><Relationship Id="rId3719" Type="http://schemas.openxmlformats.org/officeDocument/2006/relationships/hyperlink" Target="https://techelectro.ru/prod/electric-tools/power-saws/pp60/sku_104869/" TargetMode="External"/><Relationship Id="rId4090" Type="http://schemas.openxmlformats.org/officeDocument/2006/relationships/hyperlink" Target="https://techelectro.ru/prod/protection-safety/bags_packs/s16/s-16/" TargetMode="External"/><Relationship Id="rId1684" Type="http://schemas.openxmlformats.org/officeDocument/2006/relationships/hyperlink" Target="https://techelectro.ru/prod/cable-kits/muffs10kv/3rktp-6/sku_78357/" TargetMode="External"/><Relationship Id="rId2735" Type="http://schemas.openxmlformats.org/officeDocument/2006/relationships/hyperlink" Target="https://techelectro.ru/prod/insulating/xn/sku_106106/" TargetMode="External"/><Relationship Id="rId5141" Type="http://schemas.openxmlformats.org/officeDocument/2006/relationships/hyperlink" Target="https://techelectro.ru/prod/cable_entry/cable_entry_metal/mgm-inox/sku_89028/" TargetMode="External"/><Relationship Id="rId707" Type="http://schemas.openxmlformats.org/officeDocument/2006/relationships/hyperlink" Target="https://techelectro.ru/prod/insulugs/iplug/rpipn/sku_108600/" TargetMode="External"/><Relationship Id="rId1337" Type="http://schemas.openxmlformats.org/officeDocument/2006/relationships/hyperlink" Target="https://techelectro.ru/prod/cable-kits/kits-ngls-1kv/5pst_ngls-1/5pst1-150-240_bngls/" TargetMode="External"/><Relationship Id="rId1751" Type="http://schemas.openxmlformats.org/officeDocument/2006/relationships/hyperlink" Target="https://techelectro.ru/prod/cable-kits/muffs10kv/3kvtp10sold/sku_88753/" TargetMode="External"/><Relationship Id="rId2802" Type="http://schemas.openxmlformats.org/officeDocument/2006/relationships/hyperlink" Target="https://techelectro.ru/prod/wiring-tools/crimpers/insulugs-crimp/ctk/ctk03/" TargetMode="External"/><Relationship Id="rId5958" Type="http://schemas.openxmlformats.org/officeDocument/2006/relationships/hyperlink" Target="https://techelectro.ru/prod/staples/u/u-1_1_4/" TargetMode="External"/><Relationship Id="rId43" Type="http://schemas.openxmlformats.org/officeDocument/2006/relationships/hyperlink" Target="https://techelectro.ru/prod/cable-lugs/cu/tml/tml_6-6-4/" TargetMode="External"/><Relationship Id="rId1404" Type="http://schemas.openxmlformats.org/officeDocument/2006/relationships/hyperlink" Target="https://techelectro.ru/prod/cable-kits/kits-ngls-10kv/3kvtp-10_ngls/3kvtp10-70-120_ngls/" TargetMode="External"/><Relationship Id="rId3576" Type="http://schemas.openxmlformats.org/officeDocument/2006/relationships/hyperlink" Target="https://techelectro.ru/prod/vdetools/vde-screwdrivers/vde-screwdrivers-profi/profi_pz2-100/" TargetMode="External"/><Relationship Id="rId4627" Type="http://schemas.openxmlformats.org/officeDocument/2006/relationships/hyperlink" Target="https://techelectro.ru/prod/ties/nylonties/kss-colors/sku_90331/" TargetMode="External"/><Relationship Id="rId4974" Type="http://schemas.openxmlformats.org/officeDocument/2006/relationships/hyperlink" Target="https://techelectro.ru/prod/strength-ties/screw-ties/pl9-w1/w1-240-260/" TargetMode="External"/><Relationship Id="rId497" Type="http://schemas.openxmlformats.org/officeDocument/2006/relationships/hyperlink" Target="https://techelectro.ru/prod/insulugs/ilugs/nki/sku_108514/" TargetMode="External"/><Relationship Id="rId2178" Type="http://schemas.openxmlformats.org/officeDocument/2006/relationships/hyperlink" Target="https://techelectro.ru/prod/hstubes/hstube/tnt_hf/sku_83005/" TargetMode="External"/><Relationship Id="rId3229" Type="http://schemas.openxmlformats.org/officeDocument/2006/relationships/hyperlink" Target="https://techelectro.ru/prod/wiring-tools/boxtools/pgro60a/pgro-60a/" TargetMode="External"/><Relationship Id="rId3990" Type="http://schemas.openxmlformats.org/officeDocument/2006/relationships/hyperlink" Target="https://techelectro.ru/prod/construction_hydraulics/hydraulic_pullers/sg50/sg50/" TargetMode="External"/><Relationship Id="rId1194" Type="http://schemas.openxmlformats.org/officeDocument/2006/relationships/hyperlink" Target="https://techelectro.ru/prod/bolt-lugs/wire10-240/nbe_gph/sku_105914/" TargetMode="External"/><Relationship Id="rId2592" Type="http://schemas.openxmlformats.org/officeDocument/2006/relationships/hyperlink" Target="https://techelectro.ru/prod/hstubes/highvoltagetube/ttsh10/ttsh10-150/" TargetMode="External"/><Relationship Id="rId3643" Type="http://schemas.openxmlformats.org/officeDocument/2006/relationships/hyperlink" Target="https://techelectro.ru/prod/vdetools/vde-knives/intenscutterpro/intensecutterpro-240/" TargetMode="External"/><Relationship Id="rId217" Type="http://schemas.openxmlformats.org/officeDocument/2006/relationships/hyperlink" Target="https://techelectro.ru/prod/cable-lugs/cu/pm/pm_35_10/" TargetMode="External"/><Relationship Id="rId564" Type="http://schemas.openxmlformats.org/officeDocument/2006/relationships/hyperlink" Target="https://techelectro.ru/prod/insulugs/ilugs/vnki/sku_108609/" TargetMode="External"/><Relationship Id="rId2245" Type="http://schemas.openxmlformats.org/officeDocument/2006/relationships/hyperlink" Target="https://techelectro.ru/prod/hstubes/hstube/tut-hf/sku_84963/" TargetMode="External"/><Relationship Id="rId3710" Type="http://schemas.openxmlformats.org/officeDocument/2006/relationships/hyperlink" Target="https://techelectro.ru/prod/electric-tools/cordless-impact-wrenches/wb20-500_ncs/sku_104536/" TargetMode="External"/><Relationship Id="rId631" Type="http://schemas.openxmlformats.org/officeDocument/2006/relationships/hyperlink" Target="https://techelectro.ru/prod/insulugs/ilugs/nkit/nkit_6_0_9/" TargetMode="External"/><Relationship Id="rId1261" Type="http://schemas.openxmlformats.org/officeDocument/2006/relationships/hyperlink" Target="https://techelectro.ru/prod/cable-kits/kits-ngls-1kv/5pktp-1_ngls/5pktpng-ls1-16-25/" TargetMode="External"/><Relationship Id="rId2312" Type="http://schemas.openxmlformats.org/officeDocument/2006/relationships/hyperlink" Target="https://techelectro.ru/prod/hstubes/hstube/tut-hf/sku_84981/" TargetMode="External"/><Relationship Id="rId5468" Type="http://schemas.openxmlformats.org/officeDocument/2006/relationships/hyperlink" Target="https://techelectro.ru/prod/metal-hose-fittings/hose/mrping/sku_64857/" TargetMode="External"/><Relationship Id="rId5882" Type="http://schemas.openxmlformats.org/officeDocument/2006/relationships/hyperlink" Target="https://techelectro.ru/prod/staples/smr15-inox/smr_inox_16-15/" TargetMode="External"/><Relationship Id="rId4484" Type="http://schemas.openxmlformats.org/officeDocument/2006/relationships/hyperlink" Target="https://techelectro.ru/prod/ties/nylonties/kss-uv/kss4x200b/" TargetMode="External"/><Relationship Id="rId5535" Type="http://schemas.openxmlformats.org/officeDocument/2006/relationships/hyperlink" Target="https://techelectro.ru/prod/metal-hose-fittings/hose/m-g/sku_88399/" TargetMode="External"/><Relationship Id="rId3086" Type="http://schemas.openxmlformats.org/officeDocument/2006/relationships/hyperlink" Target="https://techelectro.ru/prod/wiring-tools/cutters/wirecutters/es02/sku_102358/" TargetMode="External"/><Relationship Id="rId4137" Type="http://schemas.openxmlformats.org/officeDocument/2006/relationships/hyperlink" Target="https://techelectro.ru/prod/protection-safety/protection/s60/s-60/" TargetMode="External"/><Relationship Id="rId4551" Type="http://schemas.openxmlformats.org/officeDocument/2006/relationships/hyperlink" Target="https://techelectro.ru/prod/ties/nylonties/nss-black/sku_87785/" TargetMode="External"/><Relationship Id="rId3153" Type="http://schemas.openxmlformats.org/officeDocument/2006/relationships/hyperlink" Target="https://techelectro.ru/prod/wiring-tools/cutters_din/br-brg-cutters/br_1050/sku_92110/" TargetMode="External"/><Relationship Id="rId4204" Type="http://schemas.openxmlformats.org/officeDocument/2006/relationships/hyperlink" Target="https://techelectro.ru/prod/abcarm/pierce/zpo16-4/zpo_16-4/" TargetMode="External"/><Relationship Id="rId5602" Type="http://schemas.openxmlformats.org/officeDocument/2006/relationships/hyperlink" Target="https://techelectro.ru/prod/metal-hose-fittings/hose/r3ch/sku_87707/" TargetMode="External"/><Relationship Id="rId141" Type="http://schemas.openxmlformats.org/officeDocument/2006/relationships/hyperlink" Target="https://techelectro.ru/prod/cable-lugs/cu/tmldin/tml_din_95_10/" TargetMode="External"/><Relationship Id="rId3220" Type="http://schemas.openxmlformats.org/officeDocument/2006/relationships/hyperlink" Target="https://techelectro.ru/prod/wiring-tools/multitools/mt03/sku_102401/" TargetMode="External"/><Relationship Id="rId6029" Type="http://schemas.openxmlformats.org/officeDocument/2006/relationships/hyperlink" Target="https://techelectro.ru/prod/ground_wire/pzu/pzu-10-600/" TargetMode="External"/><Relationship Id="rId7" Type="http://schemas.openxmlformats.org/officeDocument/2006/relationships/hyperlink" Target="https://techelectro.ru/prod/cable-lugs/cu/tmls/tmls_6_5/" TargetMode="External"/><Relationship Id="rId2986" Type="http://schemas.openxmlformats.org/officeDocument/2006/relationships/hyperlink" Target="https://techelectro.ru/prod/wiring-tools/crimpers_pgr/hv-crimpers/matrix_pg60t/c-23/" TargetMode="External"/><Relationship Id="rId5392" Type="http://schemas.openxmlformats.org/officeDocument/2006/relationships/hyperlink" Target="https://techelectro.ru/prod/waterproof_connections/ffc-22_4p-ip68/sku_89665/" TargetMode="External"/><Relationship Id="rId958" Type="http://schemas.openxmlformats.org/officeDocument/2006/relationships/hyperlink" Target="https://techelectro.ru/prod/e-connectors/nshvi/sku_108896/" TargetMode="External"/><Relationship Id="rId1588" Type="http://schemas.openxmlformats.org/officeDocument/2006/relationships/hyperlink" Target="https://techelectro.ru/prod/cable-kits/muffs1kv/3pst-1/3pst1-16-25_b/" TargetMode="External"/><Relationship Id="rId2639" Type="http://schemas.openxmlformats.org/officeDocument/2006/relationships/hyperlink" Target="https://techelectro.ru/prod/hstubes/specialtube/tt150/sku_104418/" TargetMode="External"/><Relationship Id="rId5045" Type="http://schemas.openxmlformats.org/officeDocument/2006/relationships/hyperlink" Target="https://techelectro.ru/prod/strength-ties/screw-ties/sr/sr_74-79_w1/" TargetMode="External"/><Relationship Id="rId1655" Type="http://schemas.openxmlformats.org/officeDocument/2006/relationships/hyperlink" Target="https://techelectro.ru/prod/cable-kits/muffs1kv/mks/sku_102650/" TargetMode="External"/><Relationship Id="rId2706" Type="http://schemas.openxmlformats.org/officeDocument/2006/relationships/hyperlink" Target="https://techelectro.ru/prod/insulating/lse/lse150/" TargetMode="External"/><Relationship Id="rId4061" Type="http://schemas.openxmlformats.org/officeDocument/2006/relationships/hyperlink" Target="https://techelectro.ru/prod/maintenance_tools/network_repair_tool/fos3a/sku_85979/" TargetMode="External"/><Relationship Id="rId5112" Type="http://schemas.openxmlformats.org/officeDocument/2006/relationships/hyperlink" Target="https://techelectro.ru/prod/strength-ties/pipe-ties/thn/th_inox_-1_1_2/" TargetMode="External"/><Relationship Id="rId1308" Type="http://schemas.openxmlformats.org/officeDocument/2006/relationships/hyperlink" Target="https://techelectro.ru/prod/cable-kits/kits-ngls-1kv/1pst_ngls/1pst1-25-50b_ngls/" TargetMode="External"/><Relationship Id="rId1722" Type="http://schemas.openxmlformats.org/officeDocument/2006/relationships/hyperlink" Target="https://techelectro.ru/prod/cable-kits/muffs10kv/3pkvntp-10/3pkvtp10-70-120_b/" TargetMode="External"/><Relationship Id="rId4878" Type="http://schemas.openxmlformats.org/officeDocument/2006/relationships/hyperlink" Target="https://techelectro.ru/prod/steel-ties/steel_ties-labels/sksp/sksp7h500/" TargetMode="External"/><Relationship Id="rId5929" Type="http://schemas.openxmlformats.org/officeDocument/2006/relationships/hyperlink" Target="https://techelectro.ru/prod/staples/fastener_lock/krepezh-klipsa_s_zamkom_25/" TargetMode="External"/><Relationship Id="rId14" Type="http://schemas.openxmlformats.org/officeDocument/2006/relationships/hyperlink" Target="https://techelectro.ru/prod/cable-lugs/cu/tmls/tmls_25_6/" TargetMode="External"/><Relationship Id="rId3894" Type="http://schemas.openxmlformats.org/officeDocument/2006/relationships/hyperlink" Target="https://techelectro.ru/prod/metalworking-tools/ft_hummers/mg27/mg-27/" TargetMode="External"/><Relationship Id="rId4945" Type="http://schemas.openxmlformats.org/officeDocument/2006/relationships/hyperlink" Target="https://techelectro.ru/prod/steel-ties/steel_tape-brace/sm316/sm316-12/" TargetMode="External"/><Relationship Id="rId2496" Type="http://schemas.openxmlformats.org/officeDocument/2006/relationships/hyperlink" Target="https://techelectro.ru/prod/hstubes/gluetube/sttk31/sku_102101/" TargetMode="External"/><Relationship Id="rId3547" Type="http://schemas.openxmlformats.org/officeDocument/2006/relationships/hyperlink" Target="https://techelectro.ru/prod/vdetools/pliers/combpliers225std/sku_102700/" TargetMode="External"/><Relationship Id="rId3961" Type="http://schemas.openxmlformats.org/officeDocument/2006/relationships/hyperlink" Target="https://techelectro.ru/prod/construction_hydraulics/jack/jack_hd/dpp/dp-20p50/" TargetMode="External"/><Relationship Id="rId468" Type="http://schemas.openxmlformats.org/officeDocument/2006/relationships/hyperlink" Target="https://techelectro.ru/prod/cable-lugs/al/sham/sham_30-17/" TargetMode="External"/><Relationship Id="rId882" Type="http://schemas.openxmlformats.org/officeDocument/2006/relationships/hyperlink" Target="https://techelectro.ru/prod/insulugs/lighting_clamps/knk/sku_83391/" TargetMode="External"/><Relationship Id="rId1098" Type="http://schemas.openxmlformats.org/officeDocument/2006/relationships/hyperlink" Target="https://techelectro.ru/prod/clamps_wago-smk/smk_2273-248_paste/sku_109321/" TargetMode="External"/><Relationship Id="rId2149" Type="http://schemas.openxmlformats.org/officeDocument/2006/relationships/hyperlink" Target="https://techelectro.ru/prod/hstubes/hstube/tnt_hf/sku_82964/" TargetMode="External"/><Relationship Id="rId2563" Type="http://schemas.openxmlformats.org/officeDocument/2006/relationships/hyperlink" Target="https://techelectro.ru/prod/hstubes/hstubeset/trikolor_multi/sku_87313/" TargetMode="External"/><Relationship Id="rId3614" Type="http://schemas.openxmlformats.org/officeDocument/2006/relationships/hyperlink" Target="https://techelectro.ru/prod/vdetools/vde-screwdrivers/nio-2209/sku_88935/" TargetMode="External"/><Relationship Id="rId6020" Type="http://schemas.openxmlformats.org/officeDocument/2006/relationships/hyperlink" Target="https://techelectro.ru/prod/ground_wire/pzu/pzu-6-800/" TargetMode="External"/><Relationship Id="rId535" Type="http://schemas.openxmlformats.org/officeDocument/2006/relationships/hyperlink" Target="https://techelectro.ru/prod/insulugs/ilugs/nkin/nkin_1_5_4/" TargetMode="External"/><Relationship Id="rId1165" Type="http://schemas.openxmlformats.org/officeDocument/2006/relationships/hyperlink" Target="https://techelectro.ru/prod/bolt-lugs/wire10-240/nbp/sku_67043/" TargetMode="External"/><Relationship Id="rId2216" Type="http://schemas.openxmlformats.org/officeDocument/2006/relationships/hyperlink" Target="https://techelectro.ru/prod/hstubes/hstube/tutng/sku_92356/" TargetMode="External"/><Relationship Id="rId2630" Type="http://schemas.openxmlformats.org/officeDocument/2006/relationships/hyperlink" Target="https://techelectro.ru/prod/hstubes/specialtube/ttgsm/sku_84888/" TargetMode="External"/><Relationship Id="rId5786" Type="http://schemas.openxmlformats.org/officeDocument/2006/relationships/hyperlink" Target="https://techelectro.ru/prod/staples/smd_inox/smd_inox_19-20/" TargetMode="External"/><Relationship Id="rId602" Type="http://schemas.openxmlformats.org/officeDocument/2006/relationships/hyperlink" Target="https://techelectro.ru/prod/insulugs/ilugs/nvin/nvin_10_6/" TargetMode="External"/><Relationship Id="rId1232" Type="http://schemas.openxmlformats.org/officeDocument/2006/relationships/hyperlink" Target="https://techelectro.ru/prod/bolt-lugs/wire300-800/nbt/6nbt800/" TargetMode="External"/><Relationship Id="rId4388" Type="http://schemas.openxmlformats.org/officeDocument/2006/relationships/hyperlink" Target="https://techelectro.ru/prod/digital_meters/measuring_electrode/kt3002/kt-3002/" TargetMode="External"/><Relationship Id="rId5439" Type="http://schemas.openxmlformats.org/officeDocument/2006/relationships/hyperlink" Target="https://techelectro.ru/prod/metal-hose-fittings/hose/r3cp-ngls/r3cpngls38/" TargetMode="External"/><Relationship Id="rId5853" Type="http://schemas.openxmlformats.org/officeDocument/2006/relationships/hyperlink" Target="https://techelectro.ru/prod/staples/smo_withouthole/sku_89329/" TargetMode="External"/><Relationship Id="rId3057" Type="http://schemas.openxmlformats.org/officeDocument/2006/relationships/hyperlink" Target="https://techelectro.ru/prod/wiring-tools/crimpers_pgr/hv-crimpers/matrix_pg100t/msh-39-8a-100t/" TargetMode="External"/><Relationship Id="rId4108" Type="http://schemas.openxmlformats.org/officeDocument/2006/relationships/hyperlink" Target="https://techelectro.ru/prod/protection-safety/bags_packs/sm_5/sku_83139/" TargetMode="External"/><Relationship Id="rId4455" Type="http://schemas.openxmlformats.org/officeDocument/2006/relationships/hyperlink" Target="https://techelectro.ru/prod/ties/nylonties/nss/sku_84802/" TargetMode="External"/><Relationship Id="rId5506" Type="http://schemas.openxmlformats.org/officeDocument/2006/relationships/hyperlink" Target="https://techelectro.ru/prod/metal-hose-fittings/hose/mrping-diesel_p/sku_88463/" TargetMode="External"/><Relationship Id="rId5920" Type="http://schemas.openxmlformats.org/officeDocument/2006/relationships/hyperlink" Target="https://techelectro.ru/prod/staples/snk/snk-20/" TargetMode="External"/><Relationship Id="rId3471" Type="http://schemas.openxmlformats.org/officeDocument/2006/relationships/hyperlink" Target="https://techelectro.ru/prod/wiring-tools/unwinding/fishtape/fgp3_5k/fgp3510k/" TargetMode="External"/><Relationship Id="rId4522" Type="http://schemas.openxmlformats.org/officeDocument/2006/relationships/hyperlink" Target="https://techelectro.ru/prod/ties/nylonties/kss_multilock_uv/sku_102320/" TargetMode="External"/><Relationship Id="rId392" Type="http://schemas.openxmlformats.org/officeDocument/2006/relationships/hyperlink" Target="https://techelectro.ru/prod/cable-lugs/al/ga/ga_10/" TargetMode="External"/><Relationship Id="rId2073" Type="http://schemas.openxmlformats.org/officeDocument/2006/relationships/hyperlink" Target="https://techelectro.ru/prod/hstubes/hstube/tutng-color/sku_102203/" TargetMode="External"/><Relationship Id="rId3124" Type="http://schemas.openxmlformats.org/officeDocument/2006/relationships/hyperlink" Target="https://techelectro.ru/prod/wiring-tools/cutters_sidecutters/mc1/mc-01/" TargetMode="External"/><Relationship Id="rId2140" Type="http://schemas.openxmlformats.org/officeDocument/2006/relationships/hyperlink" Target="https://techelectro.ru/prod/hstubes/hstube/tnt_hf/sku_82979/" TargetMode="External"/><Relationship Id="rId5296" Type="http://schemas.openxmlformats.org/officeDocument/2006/relationships/hyperlink" Target="https://techelectro.ru/prod/cable_entry/cable_entry_metal/gz-m/sku_88242/" TargetMode="External"/><Relationship Id="rId112" Type="http://schemas.openxmlformats.org/officeDocument/2006/relationships/hyperlink" Target="https://techelectro.ru/prod/cable-lugs/cu/tm/tm_95_10_15/" TargetMode="External"/><Relationship Id="rId5363" Type="http://schemas.openxmlformats.org/officeDocument/2006/relationships/hyperlink" Target="https://techelectro.ru/prod/cable_entry/cable_entry_plastic/pg-r/pg-r-7/" TargetMode="External"/><Relationship Id="rId2957" Type="http://schemas.openxmlformats.org/officeDocument/2006/relationships/hyperlink" Target="https://techelectro.ru/prod/wiring-tools/crimpers_pgr/hdcrimp/pg1000/pg-1000/" TargetMode="External"/><Relationship Id="rId5016" Type="http://schemas.openxmlformats.org/officeDocument/2006/relationships/hyperlink" Target="https://techelectro.ru/prod/strength-ties/screw-ties/pl12-w2/pl-12_32-50_w2/" TargetMode="External"/><Relationship Id="rId929" Type="http://schemas.openxmlformats.org/officeDocument/2006/relationships/hyperlink" Target="https://techelectro.ru/prod/e-connectors/nshvi/nshvi_0_75_8/" TargetMode="External"/><Relationship Id="rId1559" Type="http://schemas.openxmlformats.org/officeDocument/2006/relationships/hyperlink" Target="https://techelectro.ru/prod/cable-kits/muffs1kv/4stp1sold/sku_88781/" TargetMode="External"/><Relationship Id="rId1973" Type="http://schemas.openxmlformats.org/officeDocument/2006/relationships/hyperlink" Target="https://techelectro.ru/prod/cable_kits_acs/kbm-s/sku_84305/" TargetMode="External"/><Relationship Id="rId4032" Type="http://schemas.openxmlformats.org/officeDocument/2006/relationships/hyperlink" Target="https://techelectro.ru/prod/construction_hydraulics/glg-cutters/glg_1924/glg-1924/" TargetMode="External"/><Relationship Id="rId5430" Type="http://schemas.openxmlformats.org/officeDocument/2006/relationships/hyperlink" Target="https://techelectro.ru/prod/metal-hose-fittings/hose/r3cp-ngls/r3cpngls10/" TargetMode="External"/><Relationship Id="rId1626" Type="http://schemas.openxmlformats.org/officeDocument/2006/relationships/hyperlink" Target="https://techelectro.ru/prod/cable-kits/muffs1kv/5pst-1/5pst1-70-120_b/" TargetMode="External"/><Relationship Id="rId3798" Type="http://schemas.openxmlformats.org/officeDocument/2006/relationships/hyperlink" Target="https://techelectro.ru/prod/metalworking-tools/ft_screwdrivers/nmp5/sku_92061/" TargetMode="External"/><Relationship Id="rId4849" Type="http://schemas.openxmlformats.org/officeDocument/2006/relationships/hyperlink" Target="https://techelectro.ru/prod/steel-ties/steel_ties-labels/sks316p/sks316p-7x1000/" TargetMode="External"/><Relationship Id="rId3865" Type="http://schemas.openxmlformats.org/officeDocument/2006/relationships/hyperlink" Target="https://techelectro.ru/prod/metalworking-tools/ft_wrench/ratchet-wrench-piece/ratchet-wrench-piece-12/" TargetMode="External"/><Relationship Id="rId4916" Type="http://schemas.openxmlformats.org/officeDocument/2006/relationships/hyperlink" Target="https://techelectro.ru/prod/steel-ties/steel_ties-labels/sklp316/sklp7x401/" TargetMode="External"/><Relationship Id="rId786" Type="http://schemas.openxmlformats.org/officeDocument/2006/relationships/hyperlink" Target="https://techelectro.ru/prod/insulugs/iquick/pk-t/pkt_6/" TargetMode="External"/><Relationship Id="rId2467" Type="http://schemas.openxmlformats.org/officeDocument/2006/relationships/hyperlink" Target="https://techelectro.ru/prod/hstubes/gluetube/ttk41/ttk41-8/" TargetMode="External"/><Relationship Id="rId3518" Type="http://schemas.openxmlformats.org/officeDocument/2006/relationships/hyperlink" Target="https://techelectro.ru/prod/wiring-tools/bags_sets/nim2/sku_101924/" TargetMode="External"/><Relationship Id="rId439" Type="http://schemas.openxmlformats.org/officeDocument/2006/relationships/hyperlink" Target="https://techelectro.ru/prod/cable-lugs/al/gam/sku_90851/" TargetMode="External"/><Relationship Id="rId1069" Type="http://schemas.openxmlformats.org/officeDocument/2006/relationships/hyperlink" Target="https://techelectro.ru/prod/e-connectors/nshv/sku_108942/" TargetMode="External"/><Relationship Id="rId1483" Type="http://schemas.openxmlformats.org/officeDocument/2006/relationships/hyperlink" Target="https://techelectro.ru/prod/cable-kits/muffs1kv/3-pktp-1/3pktp-1-16_25_b/" TargetMode="External"/><Relationship Id="rId2881" Type="http://schemas.openxmlformats.org/officeDocument/2006/relationships/hyperlink" Target="https://techelectro.ru/prod/wiring-tools/crimpers/insulugs-crimp/mpk8/mpk_8/" TargetMode="External"/><Relationship Id="rId3932" Type="http://schemas.openxmlformats.org/officeDocument/2006/relationships/hyperlink" Target="https://techelectro.ru/prod/construction_hydraulics/jack/jack_hd/dnp100/sku_84598/" TargetMode="External"/><Relationship Id="rId506" Type="http://schemas.openxmlformats.org/officeDocument/2006/relationships/hyperlink" Target="https://techelectro.ru/prod/insulugs/ilugs/nki/sku_108523/" TargetMode="External"/><Relationship Id="rId853" Type="http://schemas.openxmlformats.org/officeDocument/2006/relationships/hyperlink" Target="https://techelectro.ru/prod/insulugs/screw_clamp/zvi-ng_white/sku_87177/" TargetMode="External"/><Relationship Id="rId1136" Type="http://schemas.openxmlformats.org/officeDocument/2006/relationships/hyperlink" Target="https://techelectro.ru/prod/clamps_wago-smk/smk_222-436/sku_87643/" TargetMode="External"/><Relationship Id="rId2534" Type="http://schemas.openxmlformats.org/officeDocument/2006/relationships/hyperlink" Target="https://techelectro.ru/prod/hstubes/hstubeset/kolorit/kolorit-20-10/" TargetMode="External"/><Relationship Id="rId920" Type="http://schemas.openxmlformats.org/officeDocument/2006/relationships/hyperlink" Target="https://techelectro.ru/prod/insulugs/autoterminals/rga/sku_89506/" TargetMode="External"/><Relationship Id="rId1550" Type="http://schemas.openxmlformats.org/officeDocument/2006/relationships/hyperlink" Target="https://techelectro.ru/prod/cable-kits/muffs1kv/4_3stp-1/4stp1-150-240/" TargetMode="External"/><Relationship Id="rId2601" Type="http://schemas.openxmlformats.org/officeDocument/2006/relationships/hyperlink" Target="https://techelectro.ru/prod/hstubes/highvoltagetube/ttsh10/sku_84901/" TargetMode="External"/><Relationship Id="rId5757" Type="http://schemas.openxmlformats.org/officeDocument/2006/relationships/hyperlink" Target="https://techelectro.ru/prod/metal-hose-fittings/fittings/pipe_bushings/v69/" TargetMode="External"/><Relationship Id="rId1203" Type="http://schemas.openxmlformats.org/officeDocument/2006/relationships/hyperlink" Target="https://techelectro.ru/prod/bolt-lugs/wire10-240/psbe/4psbe_70120-150240/" TargetMode="External"/><Relationship Id="rId4359" Type="http://schemas.openxmlformats.org/officeDocument/2006/relationships/hyperlink" Target="https://techelectro.ru/prod/digital_meters/pyrometers/kt-650a/kt-650a/" TargetMode="External"/><Relationship Id="rId4773" Type="http://schemas.openxmlformats.org/officeDocument/2006/relationships/hyperlink" Target="https://techelectro.ru/prod/steel-ties/steel_ties-labels/sks316/sks316-4x600/" TargetMode="External"/><Relationship Id="rId5824" Type="http://schemas.openxmlformats.org/officeDocument/2006/relationships/hyperlink" Target="https://techelectro.ru/prod/staples/smop/sku_62968/" TargetMode="External"/><Relationship Id="rId3375" Type="http://schemas.openxmlformats.org/officeDocument/2006/relationships/hyperlink" Target="https://techelectro.ru/prod/wiring-tools/unwinding/hvltools/chm/chm-65/" TargetMode="External"/><Relationship Id="rId4426" Type="http://schemas.openxmlformats.org/officeDocument/2006/relationships/hyperlink" Target="https://techelectro.ru/prod/ties/nylonties/kss/kss9h1020/" TargetMode="External"/><Relationship Id="rId4840" Type="http://schemas.openxmlformats.org/officeDocument/2006/relationships/hyperlink" Target="https://techelectro.ru/prod/steel-ties/steel_ties-labels/sks316p/sks316p-7x150/" TargetMode="External"/><Relationship Id="rId296" Type="http://schemas.openxmlformats.org/officeDocument/2006/relationships/hyperlink" Target="https://techelectro.ru/prod/cable-lugs/cu/gm/sku_41637/" TargetMode="External"/><Relationship Id="rId2391" Type="http://schemas.openxmlformats.org/officeDocument/2006/relationships/hyperlink" Target="https://techelectro.ru/prod/hstubes/gluetube/ttk2/sku_88172/" TargetMode="External"/><Relationship Id="rId3028" Type="http://schemas.openxmlformats.org/officeDocument/2006/relationships/hyperlink" Target="https://techelectro.ru/prod/wiring-tools/crimpers_pgr/hv-crimpers/matrix_pg100t/a-40-100t/" TargetMode="External"/><Relationship Id="rId3442" Type="http://schemas.openxmlformats.org/officeDocument/2006/relationships/hyperlink" Target="https://techelectro.ru/prod/wiring-tools/unwinding/fishtape/pet1-4/pet4_20/" TargetMode="External"/><Relationship Id="rId363" Type="http://schemas.openxmlformats.org/officeDocument/2006/relationships/hyperlink" Target="https://techelectro.ru/prod/cable-lugs/cu/ksm/sku_102574/" TargetMode="External"/><Relationship Id="rId2044" Type="http://schemas.openxmlformats.org/officeDocument/2006/relationships/hyperlink" Target="https://techelectro.ru/prod/hstubes/hstube/tutng-color/sku_102174/" TargetMode="External"/><Relationship Id="rId430" Type="http://schemas.openxmlformats.org/officeDocument/2006/relationships/hyperlink" Target="https://techelectro.ru/prod/cable-lugs/al/gam/sku_90843/" TargetMode="External"/><Relationship Id="rId1060" Type="http://schemas.openxmlformats.org/officeDocument/2006/relationships/hyperlink" Target="https://techelectro.ru/prod/e-connectors/nshv/nshv_6_0_12/" TargetMode="External"/><Relationship Id="rId2111" Type="http://schemas.openxmlformats.org/officeDocument/2006/relationships/hyperlink" Target="https://techelectro.ru/prod/hstubes/hstube/tnt_hf/sku_84324/" TargetMode="External"/><Relationship Id="rId5267" Type="http://schemas.openxmlformats.org/officeDocument/2006/relationships/hyperlink" Target="https://techelectro.ru/prod/cable_entry/cable_entry_metal/vk-vm-m/sku_88245/" TargetMode="External"/><Relationship Id="rId5681" Type="http://schemas.openxmlformats.org/officeDocument/2006/relationships/hyperlink" Target="https://techelectro.ru/prod/metal-hose-fittings/fittings/vm-l/sku_88860/" TargetMode="External"/><Relationship Id="rId1877" Type="http://schemas.openxmlformats.org/officeDocument/2006/relationships/hyperlink" Target="https://techelectro.ru/prod/cable_kits_acs/tping/4tping-70-120/" TargetMode="External"/><Relationship Id="rId2928" Type="http://schemas.openxmlformats.org/officeDocument/2006/relationships/hyperlink" Target="https://techelectro.ru/prod/wiring-tools/crimpers_pgr/hdcrimp/pgrs70/pgrs-70/" TargetMode="External"/><Relationship Id="rId4283" Type="http://schemas.openxmlformats.org/officeDocument/2006/relationships/hyperlink" Target="https://techelectro.ru/prod/abcarm/abctools/ed/edr-20/" TargetMode="External"/><Relationship Id="rId5334" Type="http://schemas.openxmlformats.org/officeDocument/2006/relationships/hyperlink" Target="https://techelectro.ru/prod/cable_entry/cable_entry_plastic/mg/sku_89117/" TargetMode="External"/><Relationship Id="rId1944" Type="http://schemas.openxmlformats.org/officeDocument/2006/relationships/hyperlink" Target="https://techelectro.ru/prod/cable_kits_acs/pml/pml-16-600_nk/" TargetMode="External"/><Relationship Id="rId4350" Type="http://schemas.openxmlformats.org/officeDocument/2006/relationships/hyperlink" Target="https://techelectro.ru/prod/digital_meters/testers_detectors/kt91/sku_101564/" TargetMode="External"/><Relationship Id="rId5401" Type="http://schemas.openxmlformats.org/officeDocument/2006/relationships/hyperlink" Target="https://techelectro.ru/prod/waterproof_connections/ffc-41_3p-ip68/sku_89686/" TargetMode="External"/><Relationship Id="rId4003" Type="http://schemas.openxmlformats.org/officeDocument/2006/relationships/hyperlink" Target="https://techelectro.ru/prod/construction_hydraulics/hydraulic_pullers/sgsa15k/sku_91806/" TargetMode="External"/><Relationship Id="rId3769" Type="http://schemas.openxmlformats.org/officeDocument/2006/relationships/hyperlink" Target="https://techelectro.ru/prod/generators/inverter-generators/gsi3400/sku_110033/" TargetMode="External"/><Relationship Id="rId5191" Type="http://schemas.openxmlformats.org/officeDocument/2006/relationships/hyperlink" Target="https://techelectro.ru/prod/cable_entry/cable_entry_metal/mgm-dl/sku_89022/" TargetMode="External"/><Relationship Id="rId2785" Type="http://schemas.openxmlformats.org/officeDocument/2006/relationships/hyperlink" Target="https://techelectro.ru/prod/insulating/xs/sku_85386/" TargetMode="External"/><Relationship Id="rId3836" Type="http://schemas.openxmlformats.org/officeDocument/2006/relationships/hyperlink" Target="https://techelectro.ru/prod/metalworking-tools/ft_pumpliers/npk-03/sku_85285/" TargetMode="External"/><Relationship Id="rId757" Type="http://schemas.openxmlformats.org/officeDocument/2006/relationships/hyperlink" Target="https://techelectro.ru/prod/insulugs/iquick/gsi/gsi_15/" TargetMode="External"/><Relationship Id="rId1387" Type="http://schemas.openxmlformats.org/officeDocument/2006/relationships/hyperlink" Target="https://techelectro.ru/prod/cable-kits/kits-ngls-10kv/3pkvntp-10_ng-ls/3pkvtp10-35_50_ngls/" TargetMode="External"/><Relationship Id="rId2438" Type="http://schemas.openxmlformats.org/officeDocument/2006/relationships/hyperlink" Target="https://techelectro.ru/prod/hstubes/gluetube/ttk31_green/sku_102437/" TargetMode="External"/><Relationship Id="rId2852" Type="http://schemas.openxmlformats.org/officeDocument/2006/relationships/hyperlink" Target="https://techelectro.ru/prod/wiring-tools/crimpers/insulugs-crimp/sts-d_set/sku_85740/" TargetMode="External"/><Relationship Id="rId3903" Type="http://schemas.openxmlformats.org/officeDocument/2006/relationships/hyperlink" Target="https://techelectro.ru/prod/metalworking-tools/ft_hummers/mb60n/sku_89182/" TargetMode="External"/><Relationship Id="rId93" Type="http://schemas.openxmlformats.org/officeDocument/2006/relationships/hyperlink" Target="https://techelectro.ru/prod/cable-lugs/cu/tm/sku_86993/" TargetMode="External"/><Relationship Id="rId824" Type="http://schemas.openxmlformats.org/officeDocument/2006/relationships/hyperlink" Target="https://techelectro.ru/prod/insulugs/siz_kiz/kiz/sku_108494/" TargetMode="External"/><Relationship Id="rId1454" Type="http://schemas.openxmlformats.org/officeDocument/2006/relationships/hyperlink" Target="https://techelectro.ru/prod/cable-kits/muffs1kv/4kvntp1sold/sku_88775/" TargetMode="External"/><Relationship Id="rId2505" Type="http://schemas.openxmlformats.org/officeDocument/2006/relationships/hyperlink" Target="https://techelectro.ru/prod/hstubes/gluetube/sttk31/sttk140/" TargetMode="External"/><Relationship Id="rId1107" Type="http://schemas.openxmlformats.org/officeDocument/2006/relationships/hyperlink" Target="https://techelectro.ru/prod/clamps_wago-smk/smk_2273-208/sku_87656/" TargetMode="External"/><Relationship Id="rId1521" Type="http://schemas.openxmlformats.org/officeDocument/2006/relationships/hyperlink" Target="https://techelectro.ru/prod/cable-kits/muffs1kv/5-pktp-1/5pktp-1-70_120_b/" TargetMode="External"/><Relationship Id="rId4677" Type="http://schemas.openxmlformats.org/officeDocument/2006/relationships/hyperlink" Target="https://techelectro.ru/prod/ties/nylonties/ksr/ksr7x200/" TargetMode="External"/><Relationship Id="rId5728" Type="http://schemas.openxmlformats.org/officeDocument/2006/relationships/hyperlink" Target="https://techelectro.ru/prod/metal-hose-fittings/fittings/vth/vth25/" TargetMode="External"/><Relationship Id="rId3279" Type="http://schemas.openxmlformats.org/officeDocument/2006/relationships/hyperlink" Target="https://techelectro.ru/prod/wiring-tools/boxtools/sh-stud/sku_85441/" TargetMode="External"/><Relationship Id="rId3693" Type="http://schemas.openxmlformats.org/officeDocument/2006/relationships/hyperlink" Target="https://techelectro.ru/prod/electric-tools/hammer-drills/hb20-24_ncs/sku_104537/" TargetMode="External"/><Relationship Id="rId2295" Type="http://schemas.openxmlformats.org/officeDocument/2006/relationships/hyperlink" Target="https://techelectro.ru/prod/hstubes/hstube/tut-hf/sku_84976/" TargetMode="External"/><Relationship Id="rId3346" Type="http://schemas.openxmlformats.org/officeDocument/2006/relationships/hyperlink" Target="https://techelectro.ru/prod/wiring-tools/hdrtools/jack_hd_acs/rvd5/rvd-5/" TargetMode="External"/><Relationship Id="rId4744" Type="http://schemas.openxmlformats.org/officeDocument/2006/relationships/hyperlink" Target="https://techelectro.ru/prod/ties/markers/u-134m/u-134m/" TargetMode="External"/><Relationship Id="rId267" Type="http://schemas.openxmlformats.org/officeDocument/2006/relationships/hyperlink" Target="https://techelectro.ru/prod/cable-lugs/cu/tmls45/tmls_45_6-5/" TargetMode="External"/><Relationship Id="rId3760" Type="http://schemas.openxmlformats.org/officeDocument/2006/relationships/hyperlink" Target="https://techelectro.ru/prod/electric-tools/accessories/direct-fastening/ggn-nails/sku_110469/" TargetMode="External"/><Relationship Id="rId4811" Type="http://schemas.openxmlformats.org/officeDocument/2006/relationships/hyperlink" Target="https://techelectro.ru/prod/steel-ties/steel_ties-labels/sks/sks7h600/" TargetMode="External"/><Relationship Id="rId681" Type="http://schemas.openxmlformats.org/officeDocument/2006/relationships/hyperlink" Target="https://techelectro.ru/prod/insulugs/iplug/rppim/rppim_6-63/" TargetMode="External"/><Relationship Id="rId2362" Type="http://schemas.openxmlformats.org/officeDocument/2006/relationships/hyperlink" Target="https://techelectro.ru/prod/hstubes/gluetube/ttk31/sku_85089/" TargetMode="External"/><Relationship Id="rId3413" Type="http://schemas.openxmlformats.org/officeDocument/2006/relationships/hyperlink" Target="https://techelectro.ru/prod/wiring-tools/unwinding/hvltools/chmp/sku_109902/" TargetMode="External"/><Relationship Id="rId334" Type="http://schemas.openxmlformats.org/officeDocument/2006/relationships/hyperlink" Target="https://techelectro.ru/prod/cable-lugs/cu/gmldin/gmldin1000/" TargetMode="External"/><Relationship Id="rId2015" Type="http://schemas.openxmlformats.org/officeDocument/2006/relationships/hyperlink" Target="https://techelectro.ru/prod/ukpt_ogt/ukptr/ukptr100/" TargetMode="External"/><Relationship Id="rId5585" Type="http://schemas.openxmlformats.org/officeDocument/2006/relationships/hyperlink" Target="https://techelectro.ru/prod/metal-hose-fittings/hose/mrn-inox/sku_83035/" TargetMode="External"/><Relationship Id="rId401" Type="http://schemas.openxmlformats.org/officeDocument/2006/relationships/hyperlink" Target="https://techelectro.ru/prod/cable-lugs/al/ga/ga_185/" TargetMode="External"/><Relationship Id="rId1031" Type="http://schemas.openxmlformats.org/officeDocument/2006/relationships/hyperlink" Target="https://techelectro.ru/prod/e-connectors/nshvi2/sku_108930/" TargetMode="External"/><Relationship Id="rId4187" Type="http://schemas.openxmlformats.org/officeDocument/2006/relationships/hyperlink" Target="https://techelectro.ru/prod/abcarm/pierce/zpo16-150_4-50/sku_108657/" TargetMode="External"/><Relationship Id="rId5238" Type="http://schemas.openxmlformats.org/officeDocument/2006/relationships/hyperlink" Target="https://techelectro.ru/prod/cable_entry/cable_entry_metal/vkt-m/sku_88846/" TargetMode="External"/><Relationship Id="rId5652" Type="http://schemas.openxmlformats.org/officeDocument/2006/relationships/hyperlink" Target="https://techelectro.ru/prod/metal-hose-fittings/fittings/rk-n/sku_87895/" TargetMode="External"/><Relationship Id="rId4254" Type="http://schemas.openxmlformats.org/officeDocument/2006/relationships/hyperlink" Target="https://techelectro.ru/prod/abcarm/sealinslugs/gif-mjpt95/sku_103153/" TargetMode="External"/><Relationship Id="rId5305" Type="http://schemas.openxmlformats.org/officeDocument/2006/relationships/hyperlink" Target="https://techelectro.ru/prod/cable_entry/cable_entry_plastic/pg_black/sku_88642/" TargetMode="External"/><Relationship Id="rId1848" Type="http://schemas.openxmlformats.org/officeDocument/2006/relationships/hyperlink" Target="https://techelectro.ru/prod/cable-kits/muffs-35kv/1pst-36/sku_101415/" TargetMode="External"/><Relationship Id="rId3270" Type="http://schemas.openxmlformats.org/officeDocument/2006/relationships/hyperlink" Target="https://techelectro.ru/prod/wiring-tools/boxtools/mpo_square/mpo-92h92/" TargetMode="External"/><Relationship Id="rId4321" Type="http://schemas.openxmlformats.org/officeDocument/2006/relationships/hyperlink" Target="https://techelectro.ru/prod/digital_meters/multimeters/kt123/sku_88550/" TargetMode="External"/><Relationship Id="rId191" Type="http://schemas.openxmlformats.org/officeDocument/2006/relationships/hyperlink" Target="https://techelectro.ru/prod/cable-lugs/cu/tmlr/sku_87451/" TargetMode="External"/><Relationship Id="rId1915" Type="http://schemas.openxmlformats.org/officeDocument/2006/relationships/hyperlink" Target="https://techelectro.ru/prod/cable_kits_acs/trm/trm_100/" TargetMode="External"/><Relationship Id="rId5095" Type="http://schemas.openxmlformats.org/officeDocument/2006/relationships/hyperlink" Target="https://techelectro.ru/prod/strength-ties/pipe-ties/thk/thk3_4/" TargetMode="External"/><Relationship Id="rId2689" Type="http://schemas.openxmlformats.org/officeDocument/2006/relationships/hyperlink" Target="https://techelectro.ru/prod/insulating/pvc19/sku_90817/" TargetMode="External"/><Relationship Id="rId2756" Type="http://schemas.openxmlformats.org/officeDocument/2006/relationships/hyperlink" Target="https://techelectro.ru/prod/insulating/xp/sku_85367/" TargetMode="External"/><Relationship Id="rId3807" Type="http://schemas.openxmlformats.org/officeDocument/2006/relationships/hyperlink" Target="https://techelectro.ru/prod/metalworking-tools/ft_screwdrivers/screwdriversft/pz1_100ft/" TargetMode="External"/><Relationship Id="rId5162" Type="http://schemas.openxmlformats.org/officeDocument/2006/relationships/hyperlink" Target="https://techelectro.ru/prod/cable_entry/cable_entry_metal/mgm/sku_87990/" TargetMode="External"/><Relationship Id="rId728" Type="http://schemas.openxmlformats.org/officeDocument/2006/relationships/hyperlink" Target="https://techelectro.ru/prod/insulugs/iplug/vrshipn/vrshipn_15/" TargetMode="External"/><Relationship Id="rId1358" Type="http://schemas.openxmlformats.org/officeDocument/2006/relationships/hyperlink" Target="https://techelectro.ru/prod/cable-kits/kits-ngls-1kv/pst-mini-ng_ls/sku_88060/" TargetMode="External"/><Relationship Id="rId1772" Type="http://schemas.openxmlformats.org/officeDocument/2006/relationships/hyperlink" Target="https://techelectro.ru/prod/cable-kits/muffs10kv/3kntp-10/3kntp10-70-120_b/" TargetMode="External"/><Relationship Id="rId2409" Type="http://schemas.openxmlformats.org/officeDocument/2006/relationships/hyperlink" Target="https://techelectro.ru/prod/hstubes/gluetube/ttk31_clear/sku_91711/" TargetMode="External"/><Relationship Id="rId5979" Type="http://schemas.openxmlformats.org/officeDocument/2006/relationships/hyperlink" Target="https://techelectro.ru/prod/ground_wire/pz/pz_16-300/" TargetMode="External"/><Relationship Id="rId64" Type="http://schemas.openxmlformats.org/officeDocument/2006/relationships/hyperlink" Target="https://techelectro.ru/prod/cable-lugs/cu/tml/sku_89404/" TargetMode="External"/><Relationship Id="rId1425" Type="http://schemas.openxmlformats.org/officeDocument/2006/relationships/hyperlink" Target="https://techelectro.ru/prod/cable-kits/kits-ngls-10kv/3pst10_ng-ls/3pst-10-150_240_ng-ls/" TargetMode="External"/><Relationship Id="rId2823" Type="http://schemas.openxmlformats.org/officeDocument/2006/relationships/hyperlink" Target="https://techelectro.ru/prod/wiring-tools/crimpers/insulugs-crimp/sto/sku_90754/" TargetMode="External"/><Relationship Id="rId4995" Type="http://schemas.openxmlformats.org/officeDocument/2006/relationships/hyperlink" Target="https://techelectro.ru/prod/strength-ties/screw-ties/pl9-w4/pl9-10-16w4/" TargetMode="External"/><Relationship Id="rId2199" Type="http://schemas.openxmlformats.org/officeDocument/2006/relationships/hyperlink" Target="https://techelectro.ru/prod/hstubes/hstube/tutng/tutng8/" TargetMode="External"/><Relationship Id="rId3597" Type="http://schemas.openxmlformats.org/officeDocument/2006/relationships/hyperlink" Target="https://techelectro.ru/prod/vdetools/vde-screwdrivers/vde-screwdrivers-slim/sku_103009/" TargetMode="External"/><Relationship Id="rId4648" Type="http://schemas.openxmlformats.org/officeDocument/2006/relationships/hyperlink" Target="https://techelectro.ru/prod/ties/nylonties/ksz-uv/sku_90333/" TargetMode="External"/><Relationship Id="rId6070" Type="http://schemas.openxmlformats.org/officeDocument/2006/relationships/hyperlink" Target="https://techelectro.ru/prod/ground_wire/thz_inox/thz_inox_3_4/" TargetMode="External"/><Relationship Id="rId3664" Type="http://schemas.openxmlformats.org/officeDocument/2006/relationships/hyperlink" Target="https://techelectro.ru/prod/vdetools/vde-sets/vde-wrench-sets/nii14/sku_105955/" TargetMode="External"/><Relationship Id="rId4715" Type="http://schemas.openxmlformats.org/officeDocument/2006/relationships/hyperlink" Target="https://techelectro.ru/prod/ties/dowel_clamps/dhp_10-5_black/dhp_10-5_black/" TargetMode="External"/><Relationship Id="rId585" Type="http://schemas.openxmlformats.org/officeDocument/2006/relationships/hyperlink" Target="https://techelectro.ru/prod/insulugs/ilugs/nvi/sku_108541/" TargetMode="External"/><Relationship Id="rId2266" Type="http://schemas.openxmlformats.org/officeDocument/2006/relationships/hyperlink" Target="https://techelectro.ru/prod/hstubes/hstube/tut-hf/tut_hf20-10_yellow/" TargetMode="External"/><Relationship Id="rId2680" Type="http://schemas.openxmlformats.org/officeDocument/2006/relationships/hyperlink" Target="https://techelectro.ru/prod/insulating/pvc19master/sku_90815/" TargetMode="External"/><Relationship Id="rId3317" Type="http://schemas.openxmlformats.org/officeDocument/2006/relationships/hyperlink" Target="https://techelectro.ru/prod/wiring-tools/bustools/ssho200_neo/sku_85684/" TargetMode="External"/><Relationship Id="rId3731" Type="http://schemas.openxmlformats.org/officeDocument/2006/relationships/hyperlink" Target="https://techelectro.ru/prod/electric-tools/power-saws/cbs20-12/sku_109557/" TargetMode="External"/><Relationship Id="rId238" Type="http://schemas.openxmlformats.org/officeDocument/2006/relationships/hyperlink" Target="https://techelectro.ru/prod/cable-lugs/cu/nsp/sku_92343/" TargetMode="External"/><Relationship Id="rId652" Type="http://schemas.openxmlformats.org/officeDocument/2006/relationships/hyperlink" Target="https://techelectro.ru/prod/insulugs/iplug/rpip/sku_85157/" TargetMode="External"/><Relationship Id="rId1282" Type="http://schemas.openxmlformats.org/officeDocument/2006/relationships/hyperlink" Target="https://techelectro.ru/prod/cable-kits/kits-ngls-1kv/1pkt_ng_ls/1pkt1-500-630b_ng-ls/" TargetMode="External"/><Relationship Id="rId2333" Type="http://schemas.openxmlformats.org/officeDocument/2006/relationships/hyperlink" Target="https://techelectro.ru/prod/hstubes/hstube/t-box-color/tbox10b/" TargetMode="External"/><Relationship Id="rId5489" Type="http://schemas.openxmlformats.org/officeDocument/2006/relationships/hyperlink" Target="https://techelectro.ru/prod/metal-hose-fittings/hose/mrping_grey/sku_88302/" TargetMode="External"/><Relationship Id="rId305" Type="http://schemas.openxmlformats.org/officeDocument/2006/relationships/hyperlink" Target="https://techelectro.ru/prod/cable-lugs/cu/gml/gml_16/" TargetMode="External"/><Relationship Id="rId2400" Type="http://schemas.openxmlformats.org/officeDocument/2006/relationships/hyperlink" Target="https://techelectro.ru/prod/hstubes/gluetube/ttk31_clear/sku_84857/" TargetMode="External"/><Relationship Id="rId5556" Type="http://schemas.openxmlformats.org/officeDocument/2006/relationships/hyperlink" Target="https://techelectro.ru/prod/metal-hose-fittings/hose/mrping-inox/sku_83713/" TargetMode="External"/><Relationship Id="rId1002" Type="http://schemas.openxmlformats.org/officeDocument/2006/relationships/hyperlink" Target="https://techelectro.ru/prod/e-connectors/nshvi_euro/sku_108994/" TargetMode="External"/><Relationship Id="rId4158" Type="http://schemas.openxmlformats.org/officeDocument/2006/relationships/hyperlink" Target="https://techelectro.ru/prod/protection-safety/flashlights/hl-6565/hl6565/" TargetMode="External"/><Relationship Id="rId5209" Type="http://schemas.openxmlformats.org/officeDocument/2006/relationships/hyperlink" Target="https://techelectro.ru/prod/cable_entry/cable_entry_metal/pgm-inox/sku_83629/" TargetMode="External"/><Relationship Id="rId5970" Type="http://schemas.openxmlformats.org/officeDocument/2006/relationships/hyperlink" Target="https://techelectro.ru/prod/ground_wire/pz/sku_88941/" TargetMode="External"/><Relationship Id="rId3174" Type="http://schemas.openxmlformats.org/officeDocument/2006/relationships/hyperlink" Target="https://techelectro.ru/prod/wiring-tools/strippers/wire-strip/wss01/sku_102398/" TargetMode="External"/><Relationship Id="rId4572" Type="http://schemas.openxmlformats.org/officeDocument/2006/relationships/hyperlink" Target="https://techelectro.ru/prod/ties/nylonties/kss100-nord_white/kss_nord_5-200_white/" TargetMode="External"/><Relationship Id="rId5623" Type="http://schemas.openxmlformats.org/officeDocument/2006/relationships/hyperlink" Target="https://techelectro.ru/prod/metal-hose-fittings/hose/r3ch_p/r3ch50_p/" TargetMode="External"/><Relationship Id="rId1819" Type="http://schemas.openxmlformats.org/officeDocument/2006/relationships/hyperlink" Target="https://techelectro.ru/prod/cable-kits/muffs10kv/3stp10/3stp10-150-240_b/" TargetMode="External"/><Relationship Id="rId4225" Type="http://schemas.openxmlformats.org/officeDocument/2006/relationships/hyperlink" Target="https://techelectro.ru/prod/abcarm/anchor/zan4/zan-4/" TargetMode="External"/><Relationship Id="rId2190" Type="http://schemas.openxmlformats.org/officeDocument/2006/relationships/hyperlink" Target="https://techelectro.ru/prod/hstubes/hstube/tnt_ng-ls_colors/tntng3015yg/" TargetMode="External"/><Relationship Id="rId3241" Type="http://schemas.openxmlformats.org/officeDocument/2006/relationships/hyperlink" Target="https://techelectro.ru/prod/wiring-tools/boxtools/singlempo/sku_61815/" TargetMode="External"/><Relationship Id="rId162" Type="http://schemas.openxmlformats.org/officeDocument/2006/relationships/hyperlink" Target="https://techelectro.ru/prod/cable-lugs/cu/tmlu/tmlu_70-8/" TargetMode="External"/><Relationship Id="rId979" Type="http://schemas.openxmlformats.org/officeDocument/2006/relationships/hyperlink" Target="https://techelectro.ru/prod/e-connectors/nshvi/sku_108919/" TargetMode="External"/><Relationship Id="rId5066" Type="http://schemas.openxmlformats.org/officeDocument/2006/relationships/hyperlink" Target="https://techelectro.ru/prod/strength-ties/screw-ties/sr2/sr36-39w2/" TargetMode="External"/><Relationship Id="rId5480" Type="http://schemas.openxmlformats.org/officeDocument/2006/relationships/hyperlink" Target="https://techelectro.ru/prod/metal-hose-fittings/hose/mrping_p/sku_65025/" TargetMode="External"/><Relationship Id="rId4082" Type="http://schemas.openxmlformats.org/officeDocument/2006/relationships/hyperlink" Target="https://techelectro.ru/prod/protection-safety/bags_packs/s4/s-04/" TargetMode="External"/><Relationship Id="rId5133" Type="http://schemas.openxmlformats.org/officeDocument/2006/relationships/hyperlink" Target="https://techelectro.ru/prod/cable_entry/cable_entry_metal/mgm-inox/sku_85436/" TargetMode="External"/><Relationship Id="rId1676" Type="http://schemas.openxmlformats.org/officeDocument/2006/relationships/hyperlink" Target="https://techelectro.ru/prod/cable-kits/muffs1kv/5pto-1/sku_101914/" TargetMode="External"/><Relationship Id="rId2727" Type="http://schemas.openxmlformats.org/officeDocument/2006/relationships/hyperlink" Target="https://techelectro.ru/prod/insulating/xh/sku_106114/" TargetMode="External"/><Relationship Id="rId1329" Type="http://schemas.openxmlformats.org/officeDocument/2006/relationships/hyperlink" Target="https://techelectro.ru/prod/cable-kits/kits-ngls-1kv/4_5pst_ngls-1/4pstb1-150-240_bngls/" TargetMode="External"/><Relationship Id="rId1743" Type="http://schemas.openxmlformats.org/officeDocument/2006/relationships/hyperlink" Target="https://techelectro.ru/prod/cable-kits/muffs10kv/3rkntp-10/sku_88116/" TargetMode="External"/><Relationship Id="rId4899" Type="http://schemas.openxmlformats.org/officeDocument/2006/relationships/hyperlink" Target="https://techelectro.ru/prod/steel-ties/steel_ties-labels/sks2-316/sks2-316-7x800/" TargetMode="External"/><Relationship Id="rId5200" Type="http://schemas.openxmlformats.org/officeDocument/2006/relationships/hyperlink" Target="https://techelectro.ru/prod/cable_entry/cable_entry_metal/pgm-inox/sku_83622/" TargetMode="External"/><Relationship Id="rId35" Type="http://schemas.openxmlformats.org/officeDocument/2006/relationships/hyperlink" Target="https://techelectro.ru/prod/cable-lugs/cu/tmls/tmls_400-16/" TargetMode="External"/><Relationship Id="rId1810" Type="http://schemas.openxmlformats.org/officeDocument/2006/relationships/hyperlink" Target="https://techelectro.ru/prod/cable-kits/muffs10kv/3stp10sold/sku_88766/" TargetMode="External"/><Relationship Id="rId4966" Type="http://schemas.openxmlformats.org/officeDocument/2006/relationships/hyperlink" Target="https://techelectro.ru/prod/strength-ties/screw-ties/pl9-w1/w1-80-100/" TargetMode="External"/><Relationship Id="rId3568" Type="http://schemas.openxmlformats.org/officeDocument/2006/relationships/hyperlink" Target="https://techelectro.ru/prod/vdetools/vde-screwdrivers/vde-screwdrivers-profi/profi_3-100/" TargetMode="External"/><Relationship Id="rId3982" Type="http://schemas.openxmlformats.org/officeDocument/2006/relationships/hyperlink" Target="https://techelectro.ru/prod/construction_hydraulics/jack/jack_hd/da20p/sku_103856/" TargetMode="External"/><Relationship Id="rId4619" Type="http://schemas.openxmlformats.org/officeDocument/2006/relationships/hyperlink" Target="https://techelectro.ru/prod/ties/nylonties/kss-colors/kss5x300y/" TargetMode="External"/><Relationship Id="rId489" Type="http://schemas.openxmlformats.org/officeDocument/2006/relationships/hyperlink" Target="https://techelectro.ru/prod/insulugs/ilugs/nki/nki_2_5_6/" TargetMode="External"/><Relationship Id="rId2584" Type="http://schemas.openxmlformats.org/officeDocument/2006/relationships/hyperlink" Target="https://techelectro.ru/prod/hstubes/hstubeset/set_glue21/sku_86583/" TargetMode="External"/><Relationship Id="rId3635" Type="http://schemas.openxmlformats.org/officeDocument/2006/relationships/hyperlink" Target="https://techelectro.ru/prod/vdetools/vde-knives/nmi3/nmi-03/" TargetMode="External"/><Relationship Id="rId6041" Type="http://schemas.openxmlformats.org/officeDocument/2006/relationships/hyperlink" Target="https://techelectro.ru/prod/ground_wire/kz-m/sku_88655/" TargetMode="External"/><Relationship Id="rId556" Type="http://schemas.openxmlformats.org/officeDocument/2006/relationships/hyperlink" Target="https://techelectro.ru/prod/insulugs/ilugs/vnki/vnki_1_5_5/" TargetMode="External"/><Relationship Id="rId1186" Type="http://schemas.openxmlformats.org/officeDocument/2006/relationships/hyperlink" Target="https://techelectro.ru/prod/bolt-lugs/wire10-240/sbel/2sb_10-25l/" TargetMode="External"/><Relationship Id="rId2237" Type="http://schemas.openxmlformats.org/officeDocument/2006/relationships/hyperlink" Target="https://techelectro.ru/prod/hstubes/hstube/tut_hf/sku_83020/" TargetMode="External"/><Relationship Id="rId209" Type="http://schemas.openxmlformats.org/officeDocument/2006/relationships/hyperlink" Target="https://techelectro.ru/prod/cable-lugs/cu/pm/pm_10_6/" TargetMode="External"/><Relationship Id="rId970" Type="http://schemas.openxmlformats.org/officeDocument/2006/relationships/hyperlink" Target="https://techelectro.ru/prod/e-connectors/nshvi/sku_108910/" TargetMode="External"/><Relationship Id="rId1253" Type="http://schemas.openxmlformats.org/officeDocument/2006/relationships/hyperlink" Target="https://techelectro.ru/prod/cable-kits/kits-ngls-1kv/4_5pktp-1_ngls/4pktp_bng-ls1-16-25/" TargetMode="External"/><Relationship Id="rId2651" Type="http://schemas.openxmlformats.org/officeDocument/2006/relationships/hyperlink" Target="https://techelectro.ru/prod/hstubes/specialtube/tt175/tt175-12_7-6_5/" TargetMode="External"/><Relationship Id="rId3702" Type="http://schemas.openxmlformats.org/officeDocument/2006/relationships/hyperlink" Target="https://techelectro.ru/prod/electric-tools/cordless-impact-wrenches/sb16-150/sku_104530/" TargetMode="External"/><Relationship Id="rId623" Type="http://schemas.openxmlformats.org/officeDocument/2006/relationships/hyperlink" Target="https://techelectro.ru/prod/insulugs/ilugs/nkit/nkit_2_5_4/" TargetMode="External"/><Relationship Id="rId2304" Type="http://schemas.openxmlformats.org/officeDocument/2006/relationships/hyperlink" Target="https://techelectro.ru/prod/hstubes/hstube/tut-hf/tut_hf8-4_blue/" TargetMode="External"/><Relationship Id="rId5874" Type="http://schemas.openxmlformats.org/officeDocument/2006/relationships/hyperlink" Target="https://techelectro.ru/prod/staples/smr15/smr_40-15/" TargetMode="External"/><Relationship Id="rId1320" Type="http://schemas.openxmlformats.org/officeDocument/2006/relationships/hyperlink" Target="https://techelectro.ru/prod/cable-kits/kits-ngls-1kv/4_5pst_ngls-1/4pst1-70-120_bngls/" TargetMode="External"/><Relationship Id="rId4476" Type="http://schemas.openxmlformats.org/officeDocument/2006/relationships/hyperlink" Target="https://techelectro.ru/prod/ties/nylonties/kss-uv/kss3x80b/" TargetMode="External"/><Relationship Id="rId4890" Type="http://schemas.openxmlformats.org/officeDocument/2006/relationships/hyperlink" Target="https://techelectro.ru/prod/steel-ties/steel_ties-labels/sksp304_50pcs/sku_103086/" TargetMode="External"/><Relationship Id="rId5527" Type="http://schemas.openxmlformats.org/officeDocument/2006/relationships/hyperlink" Target="https://techelectro.ru/prod/metal-hose-fittings/hose/mrping-p_termo/sku_88482/" TargetMode="External"/><Relationship Id="rId5941" Type="http://schemas.openxmlformats.org/officeDocument/2006/relationships/hyperlink" Target="https://techelectro.ru/prod/staples/kmp/sku_89343/" TargetMode="External"/><Relationship Id="rId3078" Type="http://schemas.openxmlformats.org/officeDocument/2006/relationships/hyperlink" Target="https://techelectro.ru/prod/wiring-tools/cutters/wirecutters/cablecutter240master/sku_101855/" TargetMode="External"/><Relationship Id="rId3492" Type="http://schemas.openxmlformats.org/officeDocument/2006/relationships/hyperlink" Target="https://techelectro.ru/prod/wiring-tools/hstools/shg5/sku_101927/" TargetMode="External"/><Relationship Id="rId4129" Type="http://schemas.openxmlformats.org/officeDocument/2006/relationships/hyperlink" Target="https://techelectro.ru/prod/protection-safety/cases/k-8/k08/" TargetMode="External"/><Relationship Id="rId4543" Type="http://schemas.openxmlformats.org/officeDocument/2006/relationships/hyperlink" Target="https://techelectro.ru/prod/ties/nylonties/nss-black/sku_89924/" TargetMode="External"/><Relationship Id="rId2094" Type="http://schemas.openxmlformats.org/officeDocument/2006/relationships/hyperlink" Target="https://techelectro.ru/prod/hstubes/hstube/tut_ng-ls_3_1/tut_3_1_ng_ls_-_9_3/" TargetMode="External"/><Relationship Id="rId3145" Type="http://schemas.openxmlformats.org/officeDocument/2006/relationships/hyperlink" Target="https://techelectro.ru/prod/wiring-tools/cutters_din/br-brg-cutters/brk-220/sku_86928/" TargetMode="External"/><Relationship Id="rId4610" Type="http://schemas.openxmlformats.org/officeDocument/2006/relationships/hyperlink" Target="https://techelectro.ru/prod/ties/nylonties/kss100-nord_black/kss_nord_8-500_black/" TargetMode="External"/><Relationship Id="rId480" Type="http://schemas.openxmlformats.org/officeDocument/2006/relationships/hyperlink" Target="https://techelectro.ru/prod/cable-lugs/clamps/u870m/u-870m/" TargetMode="External"/><Relationship Id="rId2161" Type="http://schemas.openxmlformats.org/officeDocument/2006/relationships/hyperlink" Target="https://techelectro.ru/prod/hstubes/hstube/tnt_hf/sku_84996/" TargetMode="External"/><Relationship Id="rId3212" Type="http://schemas.openxmlformats.org/officeDocument/2006/relationships/hyperlink" Target="https://techelectro.ru/prod/wiring-tools/strippers/knives/nm5/nm-05/" TargetMode="External"/><Relationship Id="rId133" Type="http://schemas.openxmlformats.org/officeDocument/2006/relationships/hyperlink" Target="https://techelectro.ru/prod/cable-lugs/cu/tmldin/tml_din_25_10/" TargetMode="External"/><Relationship Id="rId5384" Type="http://schemas.openxmlformats.org/officeDocument/2006/relationships/hyperlink" Target="https://techelectro.ru/prod/waterproof_connections/mg_box_s-3_ip68/sku_89510/" TargetMode="External"/><Relationship Id="rId200" Type="http://schemas.openxmlformats.org/officeDocument/2006/relationships/hyperlink" Target="https://techelectro.ru/prod/cable-lugs/cu/pm/pm_1_5_5/" TargetMode="External"/><Relationship Id="rId2978" Type="http://schemas.openxmlformats.org/officeDocument/2006/relationships/hyperlink" Target="https://techelectro.ru/prod/wiring-tools/crimpers_pgr/hv-crimpers/matrix_pg60t/a-50/" TargetMode="External"/><Relationship Id="rId5037" Type="http://schemas.openxmlformats.org/officeDocument/2006/relationships/hyperlink" Target="https://techelectro.ru/prod/strength-ties/screw-ties/sr/sr_40-43_w1/" TargetMode="External"/><Relationship Id="rId1994" Type="http://schemas.openxmlformats.org/officeDocument/2006/relationships/hyperlink" Target="https://techelectro.ru/prod/ukpt_ogt/ogt-11_4/ogt11/" TargetMode="External"/><Relationship Id="rId5451" Type="http://schemas.openxmlformats.org/officeDocument/2006/relationships/hyperlink" Target="https://techelectro.ru/prod/metal-hose-fittings/hose/r3cpnglsp/r3cpnglsp-25/" TargetMode="External"/><Relationship Id="rId1647" Type="http://schemas.openxmlformats.org/officeDocument/2006/relationships/hyperlink" Target="https://techelectro.ru/prod/cable-kits/muffs1kv/mks/mks1/" TargetMode="External"/><Relationship Id="rId4053" Type="http://schemas.openxmlformats.org/officeDocument/2006/relationships/hyperlink" Target="https://techelectro.ru/prod/maintenance_tools/rj-crimp/jt-04a/sku_89439/" TargetMode="External"/><Relationship Id="rId5104" Type="http://schemas.openxmlformats.org/officeDocument/2006/relationships/hyperlink" Target="https://techelectro.ru/prod/strength-ties/pipe-ties/thk/thk5/" TargetMode="External"/><Relationship Id="rId1714" Type="http://schemas.openxmlformats.org/officeDocument/2006/relationships/hyperlink" Target="https://techelectro.ru/prod/cable-kits/muffs10kv/1pknt10/1pknt10-150-240_b/" TargetMode="External"/><Relationship Id="rId4120" Type="http://schemas.openxmlformats.org/officeDocument/2006/relationships/hyperlink" Target="https://techelectro.ru/prod/protection-safety/bags_packs/sk4/sk-4/" TargetMode="External"/><Relationship Id="rId2488" Type="http://schemas.openxmlformats.org/officeDocument/2006/relationships/hyperlink" Target="https://techelectro.ru/prod/hstubes/gluetube/ttv/ttv90-600/" TargetMode="External"/><Relationship Id="rId3886" Type="http://schemas.openxmlformats.org/officeDocument/2006/relationships/hyperlink" Target="https://techelectro.ru/prod/metalworking-tools/ft_endheads/nai09-150/sku_92315/" TargetMode="External"/><Relationship Id="rId4937" Type="http://schemas.openxmlformats.org/officeDocument/2006/relationships/hyperlink" Target="https://techelectro.ru/prod/steel-ties/steel_tape-brace/lks316/lks316-1204/" TargetMode="External"/><Relationship Id="rId3539" Type="http://schemas.openxmlformats.org/officeDocument/2006/relationships/hyperlink" Target="https://techelectro.ru/prod/vdetools/pliers/longnosepro/longnosepro-160/" TargetMode="External"/><Relationship Id="rId3953" Type="http://schemas.openxmlformats.org/officeDocument/2006/relationships/hyperlink" Target="https://techelectro.ru/prod/construction_hydraulics/jack/jack_hd/dgp/dg-50p150/" TargetMode="External"/><Relationship Id="rId6012" Type="http://schemas.openxmlformats.org/officeDocument/2006/relationships/hyperlink" Target="https://techelectro.ru/prod/ground_wire/pzu/pzu-6-250/" TargetMode="External"/><Relationship Id="rId874" Type="http://schemas.openxmlformats.org/officeDocument/2006/relationships/hyperlink" Target="https://techelectro.ru/prod/insulugs/screw_clamp/shni-din/sku_87190/" TargetMode="External"/><Relationship Id="rId2555" Type="http://schemas.openxmlformats.org/officeDocument/2006/relationships/hyperlink" Target="https://techelectro.ru/prod/hstubes/hstubeset/monohrom/monohrom-6-3/" TargetMode="External"/><Relationship Id="rId3606" Type="http://schemas.openxmlformats.org/officeDocument/2006/relationships/hyperlink" Target="https://techelectro.ru/prod/vdetools/vde-screwdrivers/nio-2204/sku_88931/" TargetMode="External"/><Relationship Id="rId527" Type="http://schemas.openxmlformats.org/officeDocument/2006/relationships/hyperlink" Target="https://techelectro.ru/prod/insulugs/ilugs/nki_easyfix/sku_108554/" TargetMode="External"/><Relationship Id="rId941" Type="http://schemas.openxmlformats.org/officeDocument/2006/relationships/hyperlink" Target="https://techelectro.ru/prod/e-connectors/nshvi/nshvi_4_0_9/" TargetMode="External"/><Relationship Id="rId1157" Type="http://schemas.openxmlformats.org/officeDocument/2006/relationships/hyperlink" Target="https://techelectro.ru/prod/bolt-lugs/wire10-240/nb/2nb_150-240/" TargetMode="External"/><Relationship Id="rId1571" Type="http://schemas.openxmlformats.org/officeDocument/2006/relationships/hyperlink" Target="https://techelectro.ru/prod/cable-kits/muffs1kv/3stp1sold/sku_88793/" TargetMode="External"/><Relationship Id="rId2208" Type="http://schemas.openxmlformats.org/officeDocument/2006/relationships/hyperlink" Target="https://techelectro.ru/prod/hstubes/hstube/tutng/tutng50/" TargetMode="External"/><Relationship Id="rId2622" Type="http://schemas.openxmlformats.org/officeDocument/2006/relationships/hyperlink" Target="https://techelectro.ru/prod/hstubes/specialtube/tt-sng/ttsng12/" TargetMode="External"/><Relationship Id="rId5778" Type="http://schemas.openxmlformats.org/officeDocument/2006/relationships/hyperlink" Target="https://techelectro.ru/prod/staples/smo_inox/smo_inox-25-26/" TargetMode="External"/><Relationship Id="rId1224" Type="http://schemas.openxmlformats.org/officeDocument/2006/relationships/hyperlink" Target="https://techelectro.ru/prod/bolt-lugs/wire300-800/nbe_gph_300-800/sku_105918/" TargetMode="External"/><Relationship Id="rId4794" Type="http://schemas.openxmlformats.org/officeDocument/2006/relationships/hyperlink" Target="https://techelectro.ru/prod/steel-ties/steel_ties-labels/sks/sks4h150/" TargetMode="External"/><Relationship Id="rId5845" Type="http://schemas.openxmlformats.org/officeDocument/2006/relationships/hyperlink" Target="https://techelectro.ru/prod/staples/smo_withouthole/sku_89327/" TargetMode="External"/><Relationship Id="rId3396" Type="http://schemas.openxmlformats.org/officeDocument/2006/relationships/hyperlink" Target="https://techelectro.ru/prod/wiring-tools/unwinding/hvltools/chm2s/sku_109862/" TargetMode="External"/><Relationship Id="rId4447" Type="http://schemas.openxmlformats.org/officeDocument/2006/relationships/hyperlink" Target="https://techelectro.ru/prod/ties/nylonties/kss_outlock_white/sku_111517/" TargetMode="External"/><Relationship Id="rId3049" Type="http://schemas.openxmlformats.org/officeDocument/2006/relationships/hyperlink" Target="https://techelectro.ru/prod/wiring-tools/crimpers_pgr/hv-crimpers/matrix_pg100t/msh-20-8a-100t/" TargetMode="External"/><Relationship Id="rId3463" Type="http://schemas.openxmlformats.org/officeDocument/2006/relationships/hyperlink" Target="https://techelectro.ru/prod/wiring-tools/unwinding/fishtape/fgp4_5/fgp4_5-30r/" TargetMode="External"/><Relationship Id="rId4861" Type="http://schemas.openxmlformats.org/officeDocument/2006/relationships/hyperlink" Target="https://techelectro.ru/prod/steel-ties/steel_ties-labels/sksp/sksp4h100/" TargetMode="External"/><Relationship Id="rId5912" Type="http://schemas.openxmlformats.org/officeDocument/2006/relationships/hyperlink" Target="https://techelectro.ru/prod/staples/spp/sku_103944/" TargetMode="External"/><Relationship Id="rId384" Type="http://schemas.openxmlformats.org/officeDocument/2006/relationships/hyperlink" Target="https://techelectro.ru/prod/cable-lugs/al/ta/ta_50-10-9/" TargetMode="External"/><Relationship Id="rId2065" Type="http://schemas.openxmlformats.org/officeDocument/2006/relationships/hyperlink" Target="https://techelectro.ru/prod/hstubes/hstube/tutng-color/sku_102195/" TargetMode="External"/><Relationship Id="rId3116" Type="http://schemas.openxmlformats.org/officeDocument/2006/relationships/hyperlink" Target="https://techelectro.ru/prod/wiring-tools/cutters/hdcutters/ngo105/ngo-105/" TargetMode="External"/><Relationship Id="rId4514" Type="http://schemas.openxmlformats.org/officeDocument/2006/relationships/hyperlink" Target="https://techelectro.ru/prod/ties/nylonties/kss-uv/kss12h650black/" TargetMode="External"/><Relationship Id="rId1081" Type="http://schemas.openxmlformats.org/officeDocument/2006/relationships/hyperlink" Target="https://techelectro.ru/prod/e-connectors/nshviset-m-28500/set-nshvi-m-2850-0/" TargetMode="External"/><Relationship Id="rId3530" Type="http://schemas.openxmlformats.org/officeDocument/2006/relationships/hyperlink" Target="https://techelectro.ru/prod/vdetools/pliers/pliers200ergoline_multifunction/sku_107266/" TargetMode="External"/><Relationship Id="rId451" Type="http://schemas.openxmlformats.org/officeDocument/2006/relationships/hyperlink" Target="https://techelectro.ru/prod/cable-lugs/al/nsham/nsham_35/" TargetMode="External"/><Relationship Id="rId2132" Type="http://schemas.openxmlformats.org/officeDocument/2006/relationships/hyperlink" Target="https://techelectro.ru/prod/hstubes/hstube/tnt_hf/sku_82973/" TargetMode="External"/><Relationship Id="rId5288" Type="http://schemas.openxmlformats.org/officeDocument/2006/relationships/hyperlink" Target="https://techelectro.ru/prod/cable_entry/cable_entry_metal/gpm/sku_88234/" TargetMode="External"/><Relationship Id="rId104" Type="http://schemas.openxmlformats.org/officeDocument/2006/relationships/hyperlink" Target="https://techelectro.ru/prod/cable-lugs/cu/tm/tm_35_8_9/" TargetMode="External"/><Relationship Id="rId1898" Type="http://schemas.openxmlformats.org/officeDocument/2006/relationships/hyperlink" Target="https://techelectro.ru/prod/cable_kits_acs/tpi/5tpi-25-50/" TargetMode="External"/><Relationship Id="rId2949" Type="http://schemas.openxmlformats.org/officeDocument/2006/relationships/hyperlink" Target="https://techelectro.ru/prod/wiring-tools/crimpers_pgr/hdcrimp/pgra240/pgra-240/" TargetMode="External"/><Relationship Id="rId5355" Type="http://schemas.openxmlformats.org/officeDocument/2006/relationships/hyperlink" Target="https://techelectro.ru/prod/cable_entry/cable_entry_plastic/m-l/sku_85475/" TargetMode="External"/><Relationship Id="rId4371" Type="http://schemas.openxmlformats.org/officeDocument/2006/relationships/hyperlink" Target="https://techelectro.ru/prod/digital_meters/ecotesters/kt58/sku_101567/" TargetMode="External"/><Relationship Id="rId5008" Type="http://schemas.openxmlformats.org/officeDocument/2006/relationships/hyperlink" Target="https://techelectro.ru/prod/strength-ties/screw-ties/pl9-w4/pl9-90-110w4/" TargetMode="External"/><Relationship Id="rId5422" Type="http://schemas.openxmlformats.org/officeDocument/2006/relationships/hyperlink" Target="https://techelectro.ru/prod/metal-hose-fittings/hose/mrping_nord-p/mrping_nord_18_p/" TargetMode="External"/><Relationship Id="rId1965" Type="http://schemas.openxmlformats.org/officeDocument/2006/relationships/hyperlink" Target="https://techelectro.ru/prod/cable_kits_acs/atm/atm2/" TargetMode="External"/><Relationship Id="rId4024" Type="http://schemas.openxmlformats.org/officeDocument/2006/relationships/hyperlink" Target="https://techelectro.ru/prod/construction_hydraulics/flange_spreaders/rfa14/sku_87719/" TargetMode="External"/><Relationship Id="rId1618" Type="http://schemas.openxmlformats.org/officeDocument/2006/relationships/hyperlink" Target="https://techelectro.ru/prod/cable-kits/muffs1kv/4_5pst-1/4pstb1-150-240_b/" TargetMode="External"/><Relationship Id="rId3040" Type="http://schemas.openxmlformats.org/officeDocument/2006/relationships/hyperlink" Target="https://techelectro.ru/prod/wiring-tools/crimpers_pgr/hv-crimpers/matrix_pg100t/c-22-100t/" TargetMode="External"/><Relationship Id="rId3857" Type="http://schemas.openxmlformats.org/officeDocument/2006/relationships/hyperlink" Target="https://techelectro.ru/prod/metalworking-tools/ft_wrench/ntksh8/sku_91951/" TargetMode="External"/><Relationship Id="rId4908" Type="http://schemas.openxmlformats.org/officeDocument/2006/relationships/hyperlink" Target="https://techelectro.ru/prod/steel-ties/steel_ties-labels/sks2-304/sks2-304-7x1000/" TargetMode="External"/><Relationship Id="rId778" Type="http://schemas.openxmlformats.org/officeDocument/2006/relationships/hyperlink" Target="https://techelectro.ru/prod/insulugs/iquick/gsit/gsit_2_5/" TargetMode="External"/><Relationship Id="rId2459" Type="http://schemas.openxmlformats.org/officeDocument/2006/relationships/hyperlink" Target="https://techelectro.ru/prod/hstubes/gluetube/ttk31_blue/sku_106552/" TargetMode="External"/><Relationship Id="rId2873" Type="http://schemas.openxmlformats.org/officeDocument/2006/relationships/hyperlink" Target="https://techelectro.ru/prod/wiring-tools/crimpers/insulugs-crimp/pke03/sku_103270/" TargetMode="External"/><Relationship Id="rId3924" Type="http://schemas.openxmlformats.org/officeDocument/2006/relationships/hyperlink" Target="https://techelectro.ru/prod/metalworking-tools/ft_cutters/nmap250r/sku_102045/" TargetMode="External"/><Relationship Id="rId845" Type="http://schemas.openxmlformats.org/officeDocument/2006/relationships/hyperlink" Target="https://techelectro.ru/prod/insulugs/screw_clamp/zvi-ng_white/sku_87169/" TargetMode="External"/><Relationship Id="rId1475" Type="http://schemas.openxmlformats.org/officeDocument/2006/relationships/hyperlink" Target="https://techelectro.ru/prod/cable-kits/muffs1kv/2-pktp-1/2pktp_b-1-_70_120/" TargetMode="External"/><Relationship Id="rId2526" Type="http://schemas.openxmlformats.org/officeDocument/2006/relationships/hyperlink" Target="https://techelectro.ru/prod/hstubes/gluetube/tt6x/sku_87136/" TargetMode="External"/><Relationship Id="rId1128" Type="http://schemas.openxmlformats.org/officeDocument/2006/relationships/hyperlink" Target="https://techelectro.ru/prod/clamps_wago-smk/smk_222-2412/sku_109310/" TargetMode="External"/><Relationship Id="rId1542" Type="http://schemas.openxmlformats.org/officeDocument/2006/relationships/hyperlink" Target="https://techelectro.ru/prod/cable-kits/muffs1kv/pktp_mini/4pktp_mini_2-5_10/" TargetMode="External"/><Relationship Id="rId2940" Type="http://schemas.openxmlformats.org/officeDocument/2006/relationships/hyperlink" Target="https://techelectro.ru/prod/wiring-tools/crimpers_pgr/hdcrimp/pgrs300am/pgrs-300am/" TargetMode="External"/><Relationship Id="rId4698" Type="http://schemas.openxmlformats.org/officeDocument/2006/relationships/hyperlink" Target="https://techelectro.ru/prod/ties/nylonties/sv/sv16x310g/" TargetMode="External"/><Relationship Id="rId5749" Type="http://schemas.openxmlformats.org/officeDocument/2006/relationships/hyperlink" Target="https://techelectro.ru/prod/metal-hose-fittings/fittings/mvpng/mvpng32/" TargetMode="External"/><Relationship Id="rId912" Type="http://schemas.openxmlformats.org/officeDocument/2006/relationships/hyperlink" Target="https://techelectro.ru/prod/insulugs/autoterminals/rp-m_l_2_5_-_6_3/sku_89246/" TargetMode="External"/><Relationship Id="rId4765" Type="http://schemas.openxmlformats.org/officeDocument/2006/relationships/hyperlink" Target="https://techelectro.ru/prod/steel-ties/steel_ties-labels/sks316/sks316-4x100/" TargetMode="External"/><Relationship Id="rId5816" Type="http://schemas.openxmlformats.org/officeDocument/2006/relationships/hyperlink" Target="https://techelectro.ru/prod/staples/smd/smd_19-20/" TargetMode="External"/><Relationship Id="rId288" Type="http://schemas.openxmlformats.org/officeDocument/2006/relationships/hyperlink" Target="https://techelectro.ru/prod/cable-lugs/cu/gm/sku_41836/" TargetMode="External"/><Relationship Id="rId3367" Type="http://schemas.openxmlformats.org/officeDocument/2006/relationships/hyperlink" Target="https://techelectro.ru/prod/wiring-tools/unwinding/hvltools/vm-30/vm-30/" TargetMode="External"/><Relationship Id="rId3781" Type="http://schemas.openxmlformats.org/officeDocument/2006/relationships/hyperlink" Target="https://techelectro.ru/prod/metalworking-tools/ft_pliers/sidecuttersftnew/sidecutterft-160/" TargetMode="External"/><Relationship Id="rId4418" Type="http://schemas.openxmlformats.org/officeDocument/2006/relationships/hyperlink" Target="https://techelectro.ru/prod/ties/nylonties/kss/kss8h500/" TargetMode="External"/><Relationship Id="rId4832" Type="http://schemas.openxmlformats.org/officeDocument/2006/relationships/hyperlink" Target="https://techelectro.ru/prod/steel-ties/steel_ties-labels/sks316p/sks316p-4x250/" TargetMode="External"/><Relationship Id="rId2383" Type="http://schemas.openxmlformats.org/officeDocument/2006/relationships/hyperlink" Target="https://techelectro.ru/prod/hstubes/gluetube/ttk_flex_3_1/sku_85206/" TargetMode="External"/><Relationship Id="rId3434" Type="http://schemas.openxmlformats.org/officeDocument/2006/relationships/hyperlink" Target="https://techelectro.ru/prod/wiring-tools/unwinding/fishtape/stp4k/stp4_10k/" TargetMode="External"/><Relationship Id="rId355" Type="http://schemas.openxmlformats.org/officeDocument/2006/relationships/hyperlink" Target="https://techelectro.ru/prod/cable-lugs/cu/gmls/sku_88085/" TargetMode="External"/><Relationship Id="rId2036" Type="http://schemas.openxmlformats.org/officeDocument/2006/relationships/hyperlink" Target="https://techelectro.ru/prod/hstubes/hstube/tutng-color/sku_102166/" TargetMode="External"/><Relationship Id="rId2450" Type="http://schemas.openxmlformats.org/officeDocument/2006/relationships/hyperlink" Target="https://techelectro.ru/prod/hstubes/gluetube/ttk31_blue/sku_102420/" TargetMode="External"/><Relationship Id="rId3501" Type="http://schemas.openxmlformats.org/officeDocument/2006/relationships/hyperlink" Target="https://techelectro.ru/prod/wiring-tools/hstools/gt15/sku_88071/" TargetMode="External"/><Relationship Id="rId422" Type="http://schemas.openxmlformats.org/officeDocument/2006/relationships/hyperlink" Target="https://techelectro.ru/prod/cable-lugs/al/gam/sku_90836/" TargetMode="External"/><Relationship Id="rId1052" Type="http://schemas.openxmlformats.org/officeDocument/2006/relationships/hyperlink" Target="https://techelectro.ru/prod/e-connectors/nshvi2_euro/sku_108984/" TargetMode="External"/><Relationship Id="rId2103" Type="http://schemas.openxmlformats.org/officeDocument/2006/relationships/hyperlink" Target="https://techelectro.ru/prod/hstubes/hstube/tnt_hf/sku_84987/" TargetMode="External"/><Relationship Id="rId5259" Type="http://schemas.openxmlformats.org/officeDocument/2006/relationships/hyperlink" Target="https://techelectro.ru/prod/cable_entry/cable_entry_metal/vk-m-mr/sku_89107/" TargetMode="External"/><Relationship Id="rId5673" Type="http://schemas.openxmlformats.org/officeDocument/2006/relationships/hyperlink" Target="https://techelectro.ru/prod/metal-hose-fittings/fittings/vmn/vmn50/" TargetMode="External"/><Relationship Id="rId4275" Type="http://schemas.openxmlformats.org/officeDocument/2006/relationships/hyperlink" Target="https://techelectro.ru/prod/abcarm/sealinslugs/nim-cptau70/sku_109232/" TargetMode="External"/><Relationship Id="rId5326" Type="http://schemas.openxmlformats.org/officeDocument/2006/relationships/hyperlink" Target="https://techelectro.ru/prod/cable_entry/cable_entry_plastic/pg/pg48/" TargetMode="External"/><Relationship Id="rId1869" Type="http://schemas.openxmlformats.org/officeDocument/2006/relationships/hyperlink" Target="https://techelectro.ru/prod/cable_kits_acs/tping_mini/sku_81504/" TargetMode="External"/><Relationship Id="rId3291" Type="http://schemas.openxmlformats.org/officeDocument/2006/relationships/hyperlink" Target="https://techelectro.ru/prod/wiring-tools/bustools/shd95neo/shd-95neo/" TargetMode="External"/><Relationship Id="rId5740" Type="http://schemas.openxmlformats.org/officeDocument/2006/relationships/hyperlink" Target="https://techelectro.ru/prod/metal-hose-fittings/fittings/ozm/ozm_25/" TargetMode="External"/><Relationship Id="rId1936" Type="http://schemas.openxmlformats.org/officeDocument/2006/relationships/hyperlink" Target="https://techelectro.ru/prod/cable_kits_acs/trma/trm-a_100_25-600/" TargetMode="External"/><Relationship Id="rId4342" Type="http://schemas.openxmlformats.org/officeDocument/2006/relationships/hyperlink" Target="https://techelectro.ru/prod/digital_meters/testers_detectors/kt5205/sku_89639/" TargetMode="External"/><Relationship Id="rId3011" Type="http://schemas.openxmlformats.org/officeDocument/2006/relationships/hyperlink" Target="https://techelectro.ru/prod/wiring-tools/crimpers_pgr/hv-crimpers/matrix_pg60t/msh-50-2/" TargetMode="External"/><Relationship Id="rId2777" Type="http://schemas.openxmlformats.org/officeDocument/2006/relationships/hyperlink" Target="https://techelectro.ru/prod/insulating/xs/sku_85378/" TargetMode="External"/><Relationship Id="rId5183" Type="http://schemas.openxmlformats.org/officeDocument/2006/relationships/hyperlink" Target="https://techelectro.ru/prod/cable_entry/cable_entry_metal/mgm-xl/sku_88623/" TargetMode="External"/><Relationship Id="rId749" Type="http://schemas.openxmlformats.org/officeDocument/2006/relationships/hyperlink" Target="https://techelectro.ru/prod/insulugs/iplug/iplugsets-rpim/sku_91026/" TargetMode="External"/><Relationship Id="rId1379" Type="http://schemas.openxmlformats.org/officeDocument/2006/relationships/hyperlink" Target="https://techelectro.ru/prod/cable-kits/kits-ngls-10kv/1pkvt10ngls/1pkvt10-500-630ngls/" TargetMode="External"/><Relationship Id="rId3828" Type="http://schemas.openxmlformats.org/officeDocument/2006/relationships/hyperlink" Target="https://techelectro.ru/prod/metalworking-tools/ft_pumpliers/pumpliersft180profi/pumpliersft-180profi/" TargetMode="External"/><Relationship Id="rId5250" Type="http://schemas.openxmlformats.org/officeDocument/2006/relationships/hyperlink" Target="https://techelectro.ru/prod/cable_entry/cable_entry_metal/vk-m-mr/sku_87945/" TargetMode="External"/><Relationship Id="rId1793" Type="http://schemas.openxmlformats.org/officeDocument/2006/relationships/hyperlink" Target="https://techelectro.ru/prod/cable-kits/muffs10kv/3pst10/3pst10-70-120/" TargetMode="External"/><Relationship Id="rId2844" Type="http://schemas.openxmlformats.org/officeDocument/2006/relationships/hyperlink" Target="https://techelectro.ru/prod/wiring-tools/crimpers/insulugs-crimp/ctb/ctb12/" TargetMode="External"/><Relationship Id="rId85" Type="http://schemas.openxmlformats.org/officeDocument/2006/relationships/hyperlink" Target="https://techelectro.ru/prod/cable-lugs/cu/tml/tml_185_20_23/" TargetMode="External"/><Relationship Id="rId816" Type="http://schemas.openxmlformats.org/officeDocument/2006/relationships/hyperlink" Target="https://techelectro.ru/prod/insulugs/siz_kiz/sizk/sizk8/" TargetMode="External"/><Relationship Id="rId1446" Type="http://schemas.openxmlformats.org/officeDocument/2006/relationships/hyperlink" Target="https://techelectro.ru/prod/cable-kits/muffs1kv/4_3-kvntp-1/4kvntp1-25-50_b/" TargetMode="External"/><Relationship Id="rId1860" Type="http://schemas.openxmlformats.org/officeDocument/2006/relationships/hyperlink" Target="https://techelectro.ru/prod/cable_kits_acs/ekat-10/sku_89715/" TargetMode="External"/><Relationship Id="rId2911" Type="http://schemas.openxmlformats.org/officeDocument/2006/relationships/hyperlink" Target="https://techelectro.ru/prod/wiring-tools/crimpers/conn-crimp/pkvsh10u/sku_92311/" TargetMode="External"/><Relationship Id="rId1513" Type="http://schemas.openxmlformats.org/officeDocument/2006/relationships/hyperlink" Target="https://techelectro.ru/prod/cable-kits/muffs1kv/4_5-pktp-1/4pktp_b-1-150_240_b/" TargetMode="External"/><Relationship Id="rId4669" Type="http://schemas.openxmlformats.org/officeDocument/2006/relationships/hyperlink" Target="https://techelectro.ru/prod/ties/nylonties/kso-black/kso_4h150black/" TargetMode="External"/><Relationship Id="rId3685" Type="http://schemas.openxmlformats.org/officeDocument/2006/relationships/hyperlink" Target="https://techelectro.ru/prod/electric-tools/cordless-drills/dbr20-13/sku_106679/" TargetMode="External"/><Relationship Id="rId4736" Type="http://schemas.openxmlformats.org/officeDocument/2006/relationships/hyperlink" Target="https://techelectro.ru/prod/ties/markers/u_134/u_134/" TargetMode="External"/><Relationship Id="rId2287" Type="http://schemas.openxmlformats.org/officeDocument/2006/relationships/hyperlink" Target="https://techelectro.ru/prod/hstubes/hstube/tut-hf/sku_84972/" TargetMode="External"/><Relationship Id="rId3338" Type="http://schemas.openxmlformats.org/officeDocument/2006/relationships/hyperlink" Target="https://techelectro.ru/prod/wiring-tools/hdrtools/hdr_tools/pme7100u/sku_91799/" TargetMode="External"/><Relationship Id="rId3752" Type="http://schemas.openxmlformats.org/officeDocument/2006/relationships/hyperlink" Target="https://techelectro.ru/prod/electric-tools/accessories/crowns/m16-16_dust_remove/sku_102566/" TargetMode="External"/><Relationship Id="rId259" Type="http://schemas.openxmlformats.org/officeDocument/2006/relationships/hyperlink" Target="https://techelectro.ru/prod/cable-lugs/cu/tmls90/sku_92336/" TargetMode="External"/><Relationship Id="rId673" Type="http://schemas.openxmlformats.org/officeDocument/2006/relationships/hyperlink" Target="https://techelectro.ru/prod/insulugs/iplug/rpim/sku_108589/" TargetMode="External"/><Relationship Id="rId2354" Type="http://schemas.openxmlformats.org/officeDocument/2006/relationships/hyperlink" Target="https://techelectro.ru/prod/hstubes/gluetube/ttk21/ttk21-50b/" TargetMode="External"/><Relationship Id="rId3405" Type="http://schemas.openxmlformats.org/officeDocument/2006/relationships/hyperlink" Target="https://techelectro.ru/prod/wiring-tools/unwinding/hvltools/chm2s/sku_109871/" TargetMode="External"/><Relationship Id="rId4803" Type="http://schemas.openxmlformats.org/officeDocument/2006/relationships/hyperlink" Target="https://techelectro.ru/prod/steel-ties/steel_ties-labels/sks/sks4h1000/" TargetMode="External"/><Relationship Id="rId326" Type="http://schemas.openxmlformats.org/officeDocument/2006/relationships/hyperlink" Target="https://techelectro.ru/prod/cable-lugs/cu/gmldin/gmldin_150/" TargetMode="External"/><Relationship Id="rId1370" Type="http://schemas.openxmlformats.org/officeDocument/2006/relationships/hyperlink" Target="https://techelectro.ru/prod/cable-kits/kits-ngls-1kv/pst-mini-ng_ls/sku_88063/" TargetMode="External"/><Relationship Id="rId2007" Type="http://schemas.openxmlformats.org/officeDocument/2006/relationships/hyperlink" Target="https://techelectro.ru/prod/ukpt_ogt/ukpt/ukpt130/" TargetMode="External"/><Relationship Id="rId740" Type="http://schemas.openxmlformats.org/officeDocument/2006/relationships/hyperlink" Target="https://techelectro.ru/prod/insulugs/iplug/ovt/ovt2/" TargetMode="External"/><Relationship Id="rId1023" Type="http://schemas.openxmlformats.org/officeDocument/2006/relationships/hyperlink" Target="https://techelectro.ru/prod/e-connectors/nshvi2/nshvi2_10-14/" TargetMode="External"/><Relationship Id="rId2421" Type="http://schemas.openxmlformats.org/officeDocument/2006/relationships/hyperlink" Target="https://techelectro.ru/prod/hstubes/gluetube/ttk31_white/sku_84860/" TargetMode="External"/><Relationship Id="rId4179" Type="http://schemas.openxmlformats.org/officeDocument/2006/relationships/hyperlink" Target="https://techelectro.ru/prod/plumbing-tools/battery_pipe_tool/th16-32/sku_89622/" TargetMode="External"/><Relationship Id="rId5577" Type="http://schemas.openxmlformats.org/officeDocument/2006/relationships/hyperlink" Target="https://techelectro.ru/prod/metal-hose-fittings/hose/mrn-inox/mrn-inox-6/" TargetMode="External"/><Relationship Id="rId5991" Type="http://schemas.openxmlformats.org/officeDocument/2006/relationships/hyperlink" Target="https://techelectro.ru/prod/ground_wire/pz/pz_25-600/" TargetMode="External"/><Relationship Id="rId4593" Type="http://schemas.openxmlformats.org/officeDocument/2006/relationships/hyperlink" Target="https://techelectro.ru/prod/ties/nylonties/kss100-nord_black/kss_nord_4-150_black/" TargetMode="External"/><Relationship Id="rId5644" Type="http://schemas.openxmlformats.org/officeDocument/2006/relationships/hyperlink" Target="https://techelectro.ru/prod/metal-hose-fittings/fittings/vm-m/sku_88913/" TargetMode="External"/><Relationship Id="rId3195" Type="http://schemas.openxmlformats.org/officeDocument/2006/relationships/hyperlink" Target="https://techelectro.ru/prod/wiring-tools/strippers/cable-strip/ks28u/ks-28u/" TargetMode="External"/><Relationship Id="rId4246" Type="http://schemas.openxmlformats.org/officeDocument/2006/relationships/hyperlink" Target="https://techelectro.ru/prod/abcarm/sealinslugs/gif-mjpt25/sku_103149/" TargetMode="External"/><Relationship Id="rId4660" Type="http://schemas.openxmlformats.org/officeDocument/2006/relationships/hyperlink" Target="https://techelectro.ru/prod/ties/nylonties/ksm/ksm3x100/" TargetMode="External"/><Relationship Id="rId5711" Type="http://schemas.openxmlformats.org/officeDocument/2006/relationships/hyperlink" Target="https://techelectro.ru/prod/metal-hose-fittings/fittings/att/sku_92319/" TargetMode="External"/><Relationship Id="rId3262" Type="http://schemas.openxmlformats.org/officeDocument/2006/relationships/hyperlink" Target="https://techelectro.ru/prod/wiring-tools/boxtools/mpo_square/mpo-22x22/" TargetMode="External"/><Relationship Id="rId4313" Type="http://schemas.openxmlformats.org/officeDocument/2006/relationships/hyperlink" Target="https://techelectro.ru/prod/digital_meters/multimeters/kt_112b/sku_86326/" TargetMode="External"/><Relationship Id="rId183" Type="http://schemas.openxmlformats.org/officeDocument/2006/relationships/hyperlink" Target="https://techelectro.ru/prod/cable-lugs/cu/tmlr/sku_87476/" TargetMode="External"/><Relationship Id="rId1907" Type="http://schemas.openxmlformats.org/officeDocument/2006/relationships/hyperlink" Target="https://techelectro.ru/prod/cable_kits_acs/roller_springs/ppd2/" TargetMode="External"/><Relationship Id="rId250" Type="http://schemas.openxmlformats.org/officeDocument/2006/relationships/hyperlink" Target="https://techelectro.ru/prod/cable-lugs/cu/tmls90/tmls_90_10-8/" TargetMode="External"/><Relationship Id="rId5087" Type="http://schemas.openxmlformats.org/officeDocument/2006/relationships/hyperlink" Target="https://techelectro.ru/prod/strength-ties/screw-ties/sr2/sr175-187w2/" TargetMode="External"/><Relationship Id="rId5154" Type="http://schemas.openxmlformats.org/officeDocument/2006/relationships/hyperlink" Target="https://techelectro.ru/prod/cable_entry/cable_entry_metal/mgm/sku_87983/" TargetMode="External"/><Relationship Id="rId1697" Type="http://schemas.openxmlformats.org/officeDocument/2006/relationships/hyperlink" Target="https://techelectro.ru/prod/cable-kits/muffs10kv/1pkvt-10/1pkvt10-300-400/" TargetMode="External"/><Relationship Id="rId2748" Type="http://schemas.openxmlformats.org/officeDocument/2006/relationships/hyperlink" Target="https://techelectro.ru/prod/insulating/xp/sku_85359/" TargetMode="External"/><Relationship Id="rId1764" Type="http://schemas.openxmlformats.org/officeDocument/2006/relationships/hyperlink" Target="https://techelectro.ru/prod/cable-kits/muffs10kv/3kntp10sold/sku_88760/" TargetMode="External"/><Relationship Id="rId2815" Type="http://schemas.openxmlformats.org/officeDocument/2006/relationships/hyperlink" Target="https://techelectro.ru/prod/wiring-tools/crimpers/insulugs-crimp/ctk/sku_85446/" TargetMode="External"/><Relationship Id="rId4170" Type="http://schemas.openxmlformats.org/officeDocument/2006/relationships/hyperlink" Target="https://techelectro.ru/prod/protection-safety/flashlights/fl8052/sku_103874/" TargetMode="External"/><Relationship Id="rId5221" Type="http://schemas.openxmlformats.org/officeDocument/2006/relationships/hyperlink" Target="https://techelectro.ru/prod/cable_entry/cable_entry_metal/pgm/pgm36/" TargetMode="External"/><Relationship Id="rId56" Type="http://schemas.openxmlformats.org/officeDocument/2006/relationships/hyperlink" Target="https://techelectro.ru/prod/cable-lugs/cu/tml/tml_35-10-9/" TargetMode="External"/><Relationship Id="rId1417" Type="http://schemas.openxmlformats.org/officeDocument/2006/relationships/hyperlink" Target="https://techelectro.ru/prod/cable-kits/kits-ngls-10kv/1pst10ngls/1pst10-150-240_bngls/" TargetMode="External"/><Relationship Id="rId1831" Type="http://schemas.openxmlformats.org/officeDocument/2006/relationships/hyperlink" Target="https://techelectro.ru/prod/cable-kits/muffs-35kv/1pkt-20/sku_90349/" TargetMode="External"/><Relationship Id="rId4987" Type="http://schemas.openxmlformats.org/officeDocument/2006/relationships/hyperlink" Target="https://techelectro.ru/prod/strength-ties/screw-ties/pl9-w2/w2-70-90/" TargetMode="External"/><Relationship Id="rId3589" Type="http://schemas.openxmlformats.org/officeDocument/2006/relationships/hyperlink" Target="https://techelectro.ru/prod/vdetools/vde-screwdrivers/vde-screwdrivers-slim/sku_103001/" TargetMode="External"/><Relationship Id="rId6062" Type="http://schemas.openxmlformats.org/officeDocument/2006/relationships/hyperlink" Target="https://techelectro.ru/prod/ground_wire/uhz_inox/uhz_inox_16-25w2/" TargetMode="External"/><Relationship Id="rId577" Type="http://schemas.openxmlformats.org/officeDocument/2006/relationships/hyperlink" Target="https://techelectro.ru/prod/insulugs/ilugs/nvi/nvi_6_0_4/" TargetMode="External"/><Relationship Id="rId2258" Type="http://schemas.openxmlformats.org/officeDocument/2006/relationships/hyperlink" Target="https://techelectro.ru/prod/hstubes/hstube/tut-hf/sku_84966/" TargetMode="External"/><Relationship Id="rId3656" Type="http://schemas.openxmlformats.org/officeDocument/2006/relationships/hyperlink" Target="https://techelectro.ru/prod/vdetools/vde-sets/vde-sets-nii/nii18/nii-18/" TargetMode="External"/><Relationship Id="rId4707" Type="http://schemas.openxmlformats.org/officeDocument/2006/relationships/hyperlink" Target="https://techelectro.ru/prod/ties/dowel_clamps/dh_5_10_black/dh5-10b/" TargetMode="External"/><Relationship Id="rId991" Type="http://schemas.openxmlformats.org/officeDocument/2006/relationships/hyperlink" Target="https://techelectro.ru/prod/e-connectors/nshvi_euro/sku_103202/" TargetMode="External"/><Relationship Id="rId2672" Type="http://schemas.openxmlformats.org/officeDocument/2006/relationships/hyperlink" Target="https://techelectro.ru/prod/insulating/pvc-15-0_13/sku_90807/" TargetMode="External"/><Relationship Id="rId3309" Type="http://schemas.openxmlformats.org/officeDocument/2006/relationships/hyperlink" Target="https://techelectro.ru/prod/wiring-tools/bustools/mpsho-110/sku_85331/" TargetMode="External"/><Relationship Id="rId3723" Type="http://schemas.openxmlformats.org/officeDocument/2006/relationships/hyperlink" Target="https://techelectro.ru/prod/electric-tools/power-saws/ms216_1600/sku_109481/" TargetMode="External"/><Relationship Id="rId644" Type="http://schemas.openxmlformats.org/officeDocument/2006/relationships/hyperlink" Target="https://techelectro.ru/prod/insulugs/ilugs/ilugsets-nki/sku_91005/" TargetMode="External"/><Relationship Id="rId1274" Type="http://schemas.openxmlformats.org/officeDocument/2006/relationships/hyperlink" Target="https://techelectro.ru/prod/cable-kits/kits-ngls-1kv/5pktp-1_ngls/5pktp_bng-ls1-25-50_b/" TargetMode="External"/><Relationship Id="rId2325" Type="http://schemas.openxmlformats.org/officeDocument/2006/relationships/hyperlink" Target="https://techelectro.ru/prod/hstubes/hstube/t-box-color/tbox4r/" TargetMode="External"/><Relationship Id="rId5895" Type="http://schemas.openxmlformats.org/officeDocument/2006/relationships/hyperlink" Target="https://techelectro.ru/prod/staples/spk/spk_4/" TargetMode="External"/><Relationship Id="rId711" Type="http://schemas.openxmlformats.org/officeDocument/2006/relationships/hyperlink" Target="https://techelectro.ru/prod/insulugs/iplug/rpimn/rpimn_25/" TargetMode="External"/><Relationship Id="rId1341" Type="http://schemas.openxmlformats.org/officeDocument/2006/relationships/hyperlink" Target="https://techelectro.ru/prod/cable-kits/kits-ngls-1kv/5pst_ngls-1/5pstb1-150-240ngls/" TargetMode="External"/><Relationship Id="rId4497" Type="http://schemas.openxmlformats.org/officeDocument/2006/relationships/hyperlink" Target="https://techelectro.ru/prod/ties/nylonties/kss-uv/kss8x250b/" TargetMode="External"/><Relationship Id="rId5548" Type="http://schemas.openxmlformats.org/officeDocument/2006/relationships/hyperlink" Target="https://techelectro.ru/prod/metal-hose-fittings/hose/mg-p/sku_88404/" TargetMode="External"/><Relationship Id="rId5962" Type="http://schemas.openxmlformats.org/officeDocument/2006/relationships/hyperlink" Target="https://techelectro.ru/prod/staples/u/u-3/" TargetMode="External"/><Relationship Id="rId3099" Type="http://schemas.openxmlformats.org/officeDocument/2006/relationships/hyperlink" Target="https://techelectro.ru/prod/wiring-tools/cutters/sectioncutters/ns90/sku_84392/" TargetMode="External"/><Relationship Id="rId4564" Type="http://schemas.openxmlformats.org/officeDocument/2006/relationships/hyperlink" Target="https://techelectro.ru/prod/ties/nylonties/kss100-nord_white/sku_89931/" TargetMode="External"/><Relationship Id="rId5615" Type="http://schemas.openxmlformats.org/officeDocument/2006/relationships/hyperlink" Target="https://techelectro.ru/prod/metal-hose-fittings/hose/r3ch_p/r3ch15_p/" TargetMode="External"/><Relationship Id="rId3166" Type="http://schemas.openxmlformats.org/officeDocument/2006/relationships/hyperlink" Target="https://techelectro.ru/prod/wiring-tools/strippers/wire-strip/ws9/ws-09/" TargetMode="External"/><Relationship Id="rId3580" Type="http://schemas.openxmlformats.org/officeDocument/2006/relationships/hyperlink" Target="https://techelectro.ru/prod/vdetools/vde-screwdrivers/vde-screwdrivers-profi/profi_pzfl_2-100/" TargetMode="External"/><Relationship Id="rId4217" Type="http://schemas.openxmlformats.org/officeDocument/2006/relationships/hyperlink" Target="https://techelectro.ru/prod/abcarm/pierce/pza16-150/sku_108666/" TargetMode="External"/><Relationship Id="rId2182" Type="http://schemas.openxmlformats.org/officeDocument/2006/relationships/hyperlink" Target="https://techelectro.ru/prod/hstubes/hstube/tnt_ng-ls_colors/tntng42yg/" TargetMode="External"/><Relationship Id="rId3233" Type="http://schemas.openxmlformats.org/officeDocument/2006/relationships/hyperlink" Target="https://techelectro.ru/prod/wiring-tools/boxtools/prpo60/sku_85440/" TargetMode="External"/><Relationship Id="rId4631" Type="http://schemas.openxmlformats.org/officeDocument/2006/relationships/hyperlink" Target="https://techelectro.ru/prod/ties/nylonties/ksth/kst5x300/" TargetMode="External"/><Relationship Id="rId154" Type="http://schemas.openxmlformats.org/officeDocument/2006/relationships/hyperlink" Target="https://techelectro.ru/prod/cable-lugs/cu/tmldin/tml_din_500_20/" TargetMode="External"/><Relationship Id="rId2999" Type="http://schemas.openxmlformats.org/officeDocument/2006/relationships/hyperlink" Target="https://techelectro.ru/prod/wiring-tools/crimpers_pgr/hv-crimpers/matrix_pg60t/msh-25-0/" TargetMode="External"/><Relationship Id="rId3300" Type="http://schemas.openxmlformats.org/officeDocument/2006/relationships/hyperlink" Target="https://techelectro.ru/prod/wiring-tools/bustools/mpsho-95_oval/mpsho-6-10/" TargetMode="External"/><Relationship Id="rId221" Type="http://schemas.openxmlformats.org/officeDocument/2006/relationships/hyperlink" Target="https://techelectro.ru/prod/cable-lugs/cu/pm/pm_95_10/" TargetMode="External"/><Relationship Id="rId5058" Type="http://schemas.openxmlformats.org/officeDocument/2006/relationships/hyperlink" Target="https://techelectro.ru/prod/strength-ties/screw-ties/sr/sr_214-226_w1/" TargetMode="External"/><Relationship Id="rId5472" Type="http://schemas.openxmlformats.org/officeDocument/2006/relationships/hyperlink" Target="https://techelectro.ru/prod/metal-hose-fittings/hose/mrping_p/sku_65020/" TargetMode="External"/><Relationship Id="rId1668" Type="http://schemas.openxmlformats.org/officeDocument/2006/relationships/hyperlink" Target="https://techelectro.ru/prod/cable-kits/muffs1kv/4_5pto-1/sku_101908/" TargetMode="External"/><Relationship Id="rId2719" Type="http://schemas.openxmlformats.org/officeDocument/2006/relationships/hyperlink" Target="https://techelectro.ru/prod/insulating/bsp/bsp19/" TargetMode="External"/><Relationship Id="rId4074" Type="http://schemas.openxmlformats.org/officeDocument/2006/relationships/hyperlink" Target="https://techelectro.ru/prod/fixing_tools/kp-20-7/sku_87964/" TargetMode="External"/><Relationship Id="rId5125" Type="http://schemas.openxmlformats.org/officeDocument/2006/relationships/hyperlink" Target="https://techelectro.ru/prod/strength-ties/pipe-ties/th/th1-1_2/" TargetMode="External"/><Relationship Id="rId3090" Type="http://schemas.openxmlformats.org/officeDocument/2006/relationships/hyperlink" Target="https://techelectro.ru/prod/wiring-tools/cutters/sectioncutters/nst38/sku_84394/" TargetMode="External"/><Relationship Id="rId4141" Type="http://schemas.openxmlformats.org/officeDocument/2006/relationships/hyperlink" Target="https://techelectro.ru/prod/protection-safety/protection/om-06/om06/" TargetMode="External"/><Relationship Id="rId1735" Type="http://schemas.openxmlformats.org/officeDocument/2006/relationships/hyperlink" Target="https://techelectro.ru/prod/cable-kits/muffs10kv/3rkvtp-10/sku_88107/" TargetMode="External"/><Relationship Id="rId27" Type="http://schemas.openxmlformats.org/officeDocument/2006/relationships/hyperlink" Target="https://techelectro.ru/prod/cable-lugs/cu/tmls/tmls_120_12/" TargetMode="External"/><Relationship Id="rId1802" Type="http://schemas.openxmlformats.org/officeDocument/2006/relationships/hyperlink" Target="https://techelectro.ru/prod/cable-kits/muffs10kv/3rst-10/sku_88133/" TargetMode="External"/><Relationship Id="rId4958" Type="http://schemas.openxmlformats.org/officeDocument/2006/relationships/hyperlink" Target="https://techelectro.ru/prod/strength-ties/screw-ties/pl9-w1/sku_103908/" TargetMode="External"/><Relationship Id="rId3974" Type="http://schemas.openxmlformats.org/officeDocument/2006/relationships/hyperlink" Target="https://techelectro.ru/prod/construction_hydraulics/jack/jack_hd/dgpg/sku_84588/" TargetMode="External"/><Relationship Id="rId895" Type="http://schemas.openxmlformats.org/officeDocument/2006/relationships/hyperlink" Target="https://techelectro.ru/prod/insulugs/autoterminals/rp-p_2_5_6_3/rpp_25/" TargetMode="External"/><Relationship Id="rId2576" Type="http://schemas.openxmlformats.org/officeDocument/2006/relationships/hyperlink" Target="https://techelectro.ru/prod/hstubes/hstubeset/set14/sku_85195/" TargetMode="External"/><Relationship Id="rId2990" Type="http://schemas.openxmlformats.org/officeDocument/2006/relationships/hyperlink" Target="https://techelectro.ru/prod/wiring-tools/crimpers_pgr/hv-crimpers/matrix_pg60t/c-28/" TargetMode="External"/><Relationship Id="rId3627" Type="http://schemas.openxmlformats.org/officeDocument/2006/relationships/hyperlink" Target="https://techelectro.ru/prod/vdetools/vde-screwdrivers/nio4412/nio-4412/" TargetMode="External"/><Relationship Id="rId6033" Type="http://schemas.openxmlformats.org/officeDocument/2006/relationships/hyperlink" Target="https://techelectro.ru/prod/ground_wire/pzu/pzu-16-400/" TargetMode="External"/><Relationship Id="rId548" Type="http://schemas.openxmlformats.org/officeDocument/2006/relationships/hyperlink" Target="https://techelectro.ru/prod/insulugs/ilugs/nkin/sku_108529/" TargetMode="External"/><Relationship Id="rId962" Type="http://schemas.openxmlformats.org/officeDocument/2006/relationships/hyperlink" Target="https://techelectro.ru/prod/e-connectors/nshvi/sku_108900/" TargetMode="External"/><Relationship Id="rId1178" Type="http://schemas.openxmlformats.org/officeDocument/2006/relationships/hyperlink" Target="https://techelectro.ru/prod/bolt-lugs/wire10-240/sbe/4sbe_150-240/" TargetMode="External"/><Relationship Id="rId1592" Type="http://schemas.openxmlformats.org/officeDocument/2006/relationships/hyperlink" Target="https://techelectro.ru/prod/cable-kits/muffs1kv/3pst-1/3pstb1-16-25/" TargetMode="External"/><Relationship Id="rId2229" Type="http://schemas.openxmlformats.org/officeDocument/2006/relationships/hyperlink" Target="https://techelectro.ru/prod/hstubes/hstube/ygtutng/sku_84961/" TargetMode="External"/><Relationship Id="rId2643" Type="http://schemas.openxmlformats.org/officeDocument/2006/relationships/hyperlink" Target="https://techelectro.ru/prod/hstubes/specialtube/tt150/tt-150-12_7-6_4/" TargetMode="External"/><Relationship Id="rId5799" Type="http://schemas.openxmlformats.org/officeDocument/2006/relationships/hyperlink" Target="https://techelectro.ru/prod/staples/smo/smo_21_22/" TargetMode="External"/><Relationship Id="rId615" Type="http://schemas.openxmlformats.org/officeDocument/2006/relationships/hyperlink" Target="https://techelectro.ru/prod/insulugs/ilugs/nshki/nshki_1_5-12/" TargetMode="External"/><Relationship Id="rId1245" Type="http://schemas.openxmlformats.org/officeDocument/2006/relationships/hyperlink" Target="https://techelectro.ru/prod/cable-kits/kits-ngls-1kv/4_5pktp-1_ngls/4pktp1-16-25_ng-ls/" TargetMode="External"/><Relationship Id="rId1312" Type="http://schemas.openxmlformats.org/officeDocument/2006/relationships/hyperlink" Target="https://techelectro.ru/prod/cable-kits/kits-ngls-1kv/1pst_ngls/1pst1-500-630b_ngls/" TargetMode="External"/><Relationship Id="rId2710" Type="http://schemas.openxmlformats.org/officeDocument/2006/relationships/hyperlink" Target="https://techelectro.ru/prod/insulating/lse/lse600/" TargetMode="External"/><Relationship Id="rId4468" Type="http://schemas.openxmlformats.org/officeDocument/2006/relationships/hyperlink" Target="https://techelectro.ru/prod/ties/nylonties/nss/sku_89917/" TargetMode="External"/><Relationship Id="rId5866" Type="http://schemas.openxmlformats.org/officeDocument/2006/relationships/hyperlink" Target="https://techelectro.ru/prod/staples/smr15/smr_22-15/" TargetMode="External"/><Relationship Id="rId4882" Type="http://schemas.openxmlformats.org/officeDocument/2006/relationships/hyperlink" Target="https://techelectro.ru/prod/steel-ties/steel_ties-labels/sksp/sku_103075/" TargetMode="External"/><Relationship Id="rId5519" Type="http://schemas.openxmlformats.org/officeDocument/2006/relationships/hyperlink" Target="https://techelectro.ru/prod/metal-hose-fittings/hose/mrping-p_termo/sku_88488/" TargetMode="External"/><Relationship Id="rId5933" Type="http://schemas.openxmlformats.org/officeDocument/2006/relationships/hyperlink" Target="https://techelectro.ru/prod/staples/fastener/krepezh-klipsa_25/" TargetMode="External"/><Relationship Id="rId2086" Type="http://schemas.openxmlformats.org/officeDocument/2006/relationships/hyperlink" Target="https://techelectro.ru/prod/hstubes/hstube/tutng-color/sku_102216/" TargetMode="External"/><Relationship Id="rId3484" Type="http://schemas.openxmlformats.org/officeDocument/2006/relationships/hyperlink" Target="https://techelectro.ru/prod/wiring-tools/unwinding/fishtape/fgp11mk/fgp11-150mk/" TargetMode="External"/><Relationship Id="rId4535" Type="http://schemas.openxmlformats.org/officeDocument/2006/relationships/hyperlink" Target="https://techelectro.ru/prod/ties/nylonties/nss-black/sku_84812/" TargetMode="External"/><Relationship Id="rId3137" Type="http://schemas.openxmlformats.org/officeDocument/2006/relationships/hyperlink" Target="https://techelectro.ru/prod/wiring-tools/cutters_din/steelcutters/tr8t/tr-8t/" TargetMode="External"/><Relationship Id="rId3551" Type="http://schemas.openxmlformats.org/officeDocument/2006/relationships/hyperlink" Target="https://techelectro.ru/prod/vdetools/pliers/longnose200-multifunction/sku_87298/" TargetMode="External"/><Relationship Id="rId4602" Type="http://schemas.openxmlformats.org/officeDocument/2006/relationships/hyperlink" Target="https://techelectro.ru/prod/ties/nylonties/kss100-nord_black/sku_89943/" TargetMode="External"/><Relationship Id="rId472" Type="http://schemas.openxmlformats.org/officeDocument/2006/relationships/hyperlink" Target="https://techelectro.ru/prod/cable-lugs/clamps/u_733m/u-733m/" TargetMode="External"/><Relationship Id="rId2153" Type="http://schemas.openxmlformats.org/officeDocument/2006/relationships/hyperlink" Target="https://techelectro.ru/prod/hstubes/hstube/tnt_hf/sku_82990/" TargetMode="External"/><Relationship Id="rId3204" Type="http://schemas.openxmlformats.org/officeDocument/2006/relationships/hyperlink" Target="https://techelectro.ru/prod/wiring-tools/strippers/xlpe-strip/ksp65/ksp-65/" TargetMode="External"/><Relationship Id="rId125" Type="http://schemas.openxmlformats.org/officeDocument/2006/relationships/hyperlink" Target="https://techelectro.ru/prod/cable-lugs/cu/tmldin/tml_din_10_5/" TargetMode="External"/><Relationship Id="rId2220" Type="http://schemas.openxmlformats.org/officeDocument/2006/relationships/hyperlink" Target="https://techelectro.ru/prod/hstubes/hstube/ygtutng/tutng6-3/" TargetMode="External"/><Relationship Id="rId5376" Type="http://schemas.openxmlformats.org/officeDocument/2006/relationships/hyperlink" Target="https://techelectro.ru/prod/cable_entry/cable_entry_plastic/okp-m/sku_88676/" TargetMode="External"/><Relationship Id="rId5790" Type="http://schemas.openxmlformats.org/officeDocument/2006/relationships/hyperlink" Target="https://techelectro.ru/prod/staples/smd_inox/smd_inox_38-40/" TargetMode="External"/><Relationship Id="rId4392" Type="http://schemas.openxmlformats.org/officeDocument/2006/relationships/hyperlink" Target="https://techelectro.ru/prod/digital_meters/ft_measuring_tape/usm-1-600/sku_87578/" TargetMode="External"/><Relationship Id="rId5029" Type="http://schemas.openxmlformats.org/officeDocument/2006/relationships/hyperlink" Target="https://techelectro.ru/prod/strength-ties/screw-ties/pl12-w2/pl-12_200-220_w2/" TargetMode="External"/><Relationship Id="rId5443" Type="http://schemas.openxmlformats.org/officeDocument/2006/relationships/hyperlink" Target="https://techelectro.ru/prod/metal-hose-fittings/hose/r3cp-ngls/r3cpngls100/" TargetMode="External"/><Relationship Id="rId1986" Type="http://schemas.openxmlformats.org/officeDocument/2006/relationships/hyperlink" Target="https://techelectro.ru/prod/cable_kits_acs/kmle/kmle4/" TargetMode="External"/><Relationship Id="rId4045" Type="http://schemas.openxmlformats.org/officeDocument/2006/relationships/hyperlink" Target="https://techelectro.ru/prod/maintenance_tools/rj-crimp/jt-02t/sku_89229/" TargetMode="External"/><Relationship Id="rId1639" Type="http://schemas.openxmlformats.org/officeDocument/2006/relationships/hyperlink" Target="https://techelectro.ru/prod/cable-kits/muffs1kv/4rst1/4rst1-10-25b/" TargetMode="External"/><Relationship Id="rId3061" Type="http://schemas.openxmlformats.org/officeDocument/2006/relationships/hyperlink" Target="https://techelectro.ru/prod/wiring-tools/crimpers_pgr/hv-crimpers/matrix_pg100t/msh-45a-100t/" TargetMode="External"/><Relationship Id="rId5510" Type="http://schemas.openxmlformats.org/officeDocument/2006/relationships/hyperlink" Target="https://techelectro.ru/prod/metal-hose-fittings/hose/mrping-diesel_p/sku_88467/" TargetMode="External"/><Relationship Id="rId1706" Type="http://schemas.openxmlformats.org/officeDocument/2006/relationships/hyperlink" Target="https://techelectro.ru/prod/cable-kits/muffs10kv/1pknt10/1pknt10-35-50/" TargetMode="External"/><Relationship Id="rId4112" Type="http://schemas.openxmlformats.org/officeDocument/2006/relationships/hyperlink" Target="https://techelectro.ru/prod/protection-safety/bags_packs/sm09/sku_91982/" TargetMode="External"/><Relationship Id="rId3878" Type="http://schemas.openxmlformats.org/officeDocument/2006/relationships/hyperlink" Target="https://techelectro.ru/prod/metalworking-tools/ft_wrench/kt-9-s2/kt9s2/" TargetMode="External"/><Relationship Id="rId4929" Type="http://schemas.openxmlformats.org/officeDocument/2006/relationships/hyperlink" Target="https://techelectro.ru/prod/steel-ties/steel_tape-brace/lks201/sku_101755/" TargetMode="External"/><Relationship Id="rId799" Type="http://schemas.openxmlformats.org/officeDocument/2006/relationships/hyperlink" Target="https://techelectro.ru/prod/insulugs/iquick/iquicksets-gsit/sku_91020/" TargetMode="External"/><Relationship Id="rId2894" Type="http://schemas.openxmlformats.org/officeDocument/2006/relationships/hyperlink" Target="https://techelectro.ru/prod/wiring-tools/crimpers/mechcrimp/pk25y/sku_90954/" TargetMode="External"/><Relationship Id="rId866" Type="http://schemas.openxmlformats.org/officeDocument/2006/relationships/hyperlink" Target="https://techelectro.ru/prod/insulugs/screw_clamp/kzvi/sku_109274/" TargetMode="External"/><Relationship Id="rId1496" Type="http://schemas.openxmlformats.org/officeDocument/2006/relationships/hyperlink" Target="https://techelectro.ru/prod/cable-kits/muffs1kv/4_5-pktp-1/4pktp-1-25_50/" TargetMode="External"/><Relationship Id="rId2547" Type="http://schemas.openxmlformats.org/officeDocument/2006/relationships/hyperlink" Target="https://techelectro.ru/prod/hstubes/hstubeset/hs-set-kvadro/sku_89783/" TargetMode="External"/><Relationship Id="rId3945" Type="http://schemas.openxmlformats.org/officeDocument/2006/relationships/hyperlink" Target="https://techelectro.ru/prod/construction_hydraulics/jack/jack_hd/dgp/dg-20p150/" TargetMode="External"/><Relationship Id="rId6004" Type="http://schemas.openxmlformats.org/officeDocument/2006/relationships/hyperlink" Target="https://techelectro.ru/prod/ground_wire/pzki/pzki-16-400/" TargetMode="External"/><Relationship Id="rId519" Type="http://schemas.openxmlformats.org/officeDocument/2006/relationships/hyperlink" Target="https://techelectro.ru/prod/insulugs/ilugs/nki_easyfix/sku_90897/" TargetMode="External"/><Relationship Id="rId1149" Type="http://schemas.openxmlformats.org/officeDocument/2006/relationships/hyperlink" Target="https://techelectro.ru/prod/clamps_wago-smk/smk222m/sku_90357/" TargetMode="External"/><Relationship Id="rId2961" Type="http://schemas.openxmlformats.org/officeDocument/2006/relationships/hyperlink" Target="https://techelectro.ru/prod/wiring-tools/crimpers_pgr/hdcrimp/matricy_nm300din/nm300din/" TargetMode="External"/><Relationship Id="rId5020" Type="http://schemas.openxmlformats.org/officeDocument/2006/relationships/hyperlink" Target="https://techelectro.ru/prod/strength-ties/screw-ties/pl12-w2/pl-12_70-90_w2/" TargetMode="External"/><Relationship Id="rId933" Type="http://schemas.openxmlformats.org/officeDocument/2006/relationships/hyperlink" Target="https://techelectro.ru/prod/e-connectors/nshvi/nshvi_1_5_8/" TargetMode="External"/><Relationship Id="rId1563" Type="http://schemas.openxmlformats.org/officeDocument/2006/relationships/hyperlink" Target="https://techelectro.ru/prod/cable-kits/muffs1kv/3stp-1/3stp1-25-50_b/" TargetMode="External"/><Relationship Id="rId2614" Type="http://schemas.openxmlformats.org/officeDocument/2006/relationships/hyperlink" Target="https://techelectro.ru/prod/hstubes/highvoltagetube/tsta/tsta-24/" TargetMode="External"/><Relationship Id="rId1216" Type="http://schemas.openxmlformats.org/officeDocument/2006/relationships/hyperlink" Target="https://techelectro.ru/prod/bolt-lugs/wire300-800/6sbe/6sbe_500-630/" TargetMode="External"/><Relationship Id="rId1630" Type="http://schemas.openxmlformats.org/officeDocument/2006/relationships/hyperlink" Target="https://techelectro.ru/prod/cable-kits/muffs1kv/5pst-1/5pstb1-70-120/" TargetMode="External"/><Relationship Id="rId4786" Type="http://schemas.openxmlformats.org/officeDocument/2006/relationships/hyperlink" Target="https://techelectro.ru/prod/steel-ties/steel_ties-labels/sks316/sku_103067/" TargetMode="External"/><Relationship Id="rId5837" Type="http://schemas.openxmlformats.org/officeDocument/2006/relationships/hyperlink" Target="https://techelectro.ru/prod/staples/smdp/smd-p_21-22/" TargetMode="External"/><Relationship Id="rId3388" Type="http://schemas.openxmlformats.org/officeDocument/2006/relationships/hyperlink" Target="https://techelectro.ru/prod/wiring-tools/unwinding/hvltools/chms/sku_109888/" TargetMode="External"/><Relationship Id="rId4439" Type="http://schemas.openxmlformats.org/officeDocument/2006/relationships/hyperlink" Target="https://techelectro.ru/prod/ties/nylonties/kss_multilock_white/sku_102308/" TargetMode="External"/><Relationship Id="rId4853" Type="http://schemas.openxmlformats.org/officeDocument/2006/relationships/hyperlink" Target="https://techelectro.ru/prod/steel-ties/steel_ties-labels/sks316p/sks316p-12x600/" TargetMode="External"/><Relationship Id="rId5904" Type="http://schemas.openxmlformats.org/officeDocument/2006/relationships/hyperlink" Target="https://techelectro.ru/prod/staples/spk/sku_103940/" TargetMode="External"/><Relationship Id="rId3455" Type="http://schemas.openxmlformats.org/officeDocument/2006/relationships/hyperlink" Target="https://techelectro.ru/prod/wiring-tools/unwinding/fishtape/fgp3_5/fgp3_5-10r/" TargetMode="External"/><Relationship Id="rId4506" Type="http://schemas.openxmlformats.org/officeDocument/2006/relationships/hyperlink" Target="https://techelectro.ru/prod/ties/nylonties/kss-uv/sku_89909/" TargetMode="External"/><Relationship Id="rId376" Type="http://schemas.openxmlformats.org/officeDocument/2006/relationships/hyperlink" Target="https://techelectro.ru/prod/cable-lugs/cu/lugset-gml-p/sku_86557/" TargetMode="External"/><Relationship Id="rId790" Type="http://schemas.openxmlformats.org/officeDocument/2006/relationships/hyperlink" Target="https://techelectro.ru/prod/insulugs/iquick/pk-t/sku_108964/" TargetMode="External"/><Relationship Id="rId2057" Type="http://schemas.openxmlformats.org/officeDocument/2006/relationships/hyperlink" Target="https://techelectro.ru/prod/hstubes/hstube/tutng-color/sku_102187/" TargetMode="External"/><Relationship Id="rId2471" Type="http://schemas.openxmlformats.org/officeDocument/2006/relationships/hyperlink" Target="https://techelectro.ru/prod/hstubes/gluetube/ttk41/ttk41-24/" TargetMode="External"/><Relationship Id="rId3108" Type="http://schemas.openxmlformats.org/officeDocument/2006/relationships/hyperlink" Target="https://techelectro.ru/prod/wiring-tools/cutters/hdcutters/ngr24a/ngr-24a/" TargetMode="External"/><Relationship Id="rId3522" Type="http://schemas.openxmlformats.org/officeDocument/2006/relationships/hyperlink" Target="https://techelectro.ru/prod/wiring-tools/bags_sets/nie2/nie-02/" TargetMode="External"/><Relationship Id="rId4920" Type="http://schemas.openxmlformats.org/officeDocument/2006/relationships/hyperlink" Target="https://techelectro.ru/prod/steel-ties/steel_ties-labels/skl316/skl316-7x600/" TargetMode="External"/><Relationship Id="rId443" Type="http://schemas.openxmlformats.org/officeDocument/2006/relationships/hyperlink" Target="https://techelectro.ru/prod/cable-lugs/al/gam/sku_90854/" TargetMode="External"/><Relationship Id="rId1073" Type="http://schemas.openxmlformats.org/officeDocument/2006/relationships/hyperlink" Target="https://techelectro.ru/prod/e-connectors/nshv/sku_108946/" TargetMode="External"/><Relationship Id="rId2124" Type="http://schemas.openxmlformats.org/officeDocument/2006/relationships/hyperlink" Target="https://techelectro.ru/prod/hstubes/hstube/tnt_hf/sku_84991/" TargetMode="External"/><Relationship Id="rId1140" Type="http://schemas.openxmlformats.org/officeDocument/2006/relationships/hyperlink" Target="https://techelectro.ru/prod/clamps_wago-smk/smk_2273/sku_90365/" TargetMode="External"/><Relationship Id="rId4296" Type="http://schemas.openxmlformats.org/officeDocument/2006/relationships/hyperlink" Target="https://techelectro.ru/prod/abcarm/abctools/rm2/rm-2/" TargetMode="External"/><Relationship Id="rId5694" Type="http://schemas.openxmlformats.org/officeDocument/2006/relationships/hyperlink" Target="https://techelectro.ru/prod/metal-hose-fittings/fittings/stm-l/sku_88863/" TargetMode="External"/><Relationship Id="rId510" Type="http://schemas.openxmlformats.org/officeDocument/2006/relationships/hyperlink" Target="https://techelectro.ru/prod/insulugs/ilugs/nki_easyfix/sku_90888/" TargetMode="External"/><Relationship Id="rId5347" Type="http://schemas.openxmlformats.org/officeDocument/2006/relationships/hyperlink" Target="https://techelectro.ru/prod/cable_entry/cable_entry_plastic/m/sku_88161/" TargetMode="External"/><Relationship Id="rId5761" Type="http://schemas.openxmlformats.org/officeDocument/2006/relationships/hyperlink" Target="https://techelectro.ru/prod/metal-hose-fittings/fittings/krv/krv25/" TargetMode="External"/><Relationship Id="rId1957" Type="http://schemas.openxmlformats.org/officeDocument/2006/relationships/hyperlink" Target="https://techelectro.ru/prod/cable_kits_acs/tlk/sku_84909/" TargetMode="External"/><Relationship Id="rId4363" Type="http://schemas.openxmlformats.org/officeDocument/2006/relationships/hyperlink" Target="https://techelectro.ru/prod/digital_meters/pyrometers/kt-655/sku_87247/" TargetMode="External"/><Relationship Id="rId5414" Type="http://schemas.openxmlformats.org/officeDocument/2006/relationships/hyperlink" Target="https://techelectro.ru/prod/metal-hose-fittings/hose/mrping_nord/mrping50_nord/" TargetMode="External"/><Relationship Id="rId4016" Type="http://schemas.openxmlformats.org/officeDocument/2006/relationships/hyperlink" Target="https://techelectro.ru/prod/construction_hydraulics/bending_tools/tgr3/sku_87569/" TargetMode="External"/><Relationship Id="rId4430" Type="http://schemas.openxmlformats.org/officeDocument/2006/relationships/hyperlink" Target="https://techelectro.ru/prod/ties/nylonties/kss/kss12h750/" TargetMode="External"/><Relationship Id="rId3032" Type="http://schemas.openxmlformats.org/officeDocument/2006/relationships/hyperlink" Target="https://techelectro.ru/prod/wiring-tools/crimpers_pgr/hv-crimpers/matrix_pg100t/a-46-100t/" TargetMode="External"/><Relationship Id="rId2798" Type="http://schemas.openxmlformats.org/officeDocument/2006/relationships/hyperlink" Target="https://techelectro.ru/prod/insulating/xt/sku_106129/" TargetMode="External"/><Relationship Id="rId3849" Type="http://schemas.openxmlformats.org/officeDocument/2006/relationships/hyperlink" Target="https://techelectro.ru/prod/metalworking-tools/ft_pumpliers/nmk_10_24/nmk10-24/" TargetMode="External"/><Relationship Id="rId5271" Type="http://schemas.openxmlformats.org/officeDocument/2006/relationships/hyperlink" Target="https://techelectro.ru/prod/cable_entry/cable_entry_metal/kvmm6/sku_88246/" TargetMode="External"/><Relationship Id="rId2865" Type="http://schemas.openxmlformats.org/officeDocument/2006/relationships/hyperlink" Target="https://techelectro.ru/prod/wiring-tools/crimpers/insulugs-crimp/skm2/sku_102352/" TargetMode="External"/><Relationship Id="rId3916" Type="http://schemas.openxmlformats.org/officeDocument/2006/relationships/hyperlink" Target="https://techelectro.ru/prod/metalworking-tools/ft_knives/nsm14/nsm-14/" TargetMode="External"/><Relationship Id="rId837" Type="http://schemas.openxmlformats.org/officeDocument/2006/relationships/hyperlink" Target="https://techelectro.ru/prod/insulugs/screw_clamp/zvi-u/sku_109254/" TargetMode="External"/><Relationship Id="rId1467" Type="http://schemas.openxmlformats.org/officeDocument/2006/relationships/hyperlink" Target="https://techelectro.ru/prod/cable-kits/muffs1kv/2-pktp-1/2pktp1-16-25/" TargetMode="External"/><Relationship Id="rId1881" Type="http://schemas.openxmlformats.org/officeDocument/2006/relationships/hyperlink" Target="https://techelectro.ru/prod/cable_kits_acs/tping/5tping-70-120/" TargetMode="External"/><Relationship Id="rId2518" Type="http://schemas.openxmlformats.org/officeDocument/2006/relationships/hyperlink" Target="https://techelectro.ru/prod/hstubes/gluetube/nttk31/sku_79178/" TargetMode="External"/><Relationship Id="rId2932" Type="http://schemas.openxmlformats.org/officeDocument/2006/relationships/hyperlink" Target="https://techelectro.ru/prod/wiring-tools/crimpers_pgr/hdcrimp/pgrs120u/pgrs120u/" TargetMode="External"/><Relationship Id="rId904" Type="http://schemas.openxmlformats.org/officeDocument/2006/relationships/hyperlink" Target="https://techelectro.ru/prod/insulugs/autoterminals/nk_1_5-4/sku_109241/" TargetMode="External"/><Relationship Id="rId1534" Type="http://schemas.openxmlformats.org/officeDocument/2006/relationships/hyperlink" Target="https://techelectro.ru/prod/cable-kits/muffs1kv/4rktp1/4rktp1-10-25/" TargetMode="External"/><Relationship Id="rId1601" Type="http://schemas.openxmlformats.org/officeDocument/2006/relationships/hyperlink" Target="https://techelectro.ru/prod/cable-kits/muffs1kv/4_5pst-1/4pst1-25-50/" TargetMode="External"/><Relationship Id="rId4757" Type="http://schemas.openxmlformats.org/officeDocument/2006/relationships/hyperlink" Target="https://techelectro.ru/prod/ties/markers/up/up255w/" TargetMode="External"/><Relationship Id="rId3359" Type="http://schemas.openxmlformats.org/officeDocument/2006/relationships/hyperlink" Target="https://techelectro.ru/prod/wiring-tools/unwinding/hvltools/dk5vr/sku_106391/" TargetMode="External"/><Relationship Id="rId5808" Type="http://schemas.openxmlformats.org/officeDocument/2006/relationships/hyperlink" Target="https://techelectro.ru/prod/staples/sdk/label_102663/" TargetMode="External"/><Relationship Id="rId694" Type="http://schemas.openxmlformats.org/officeDocument/2006/relationships/hyperlink" Target="https://techelectro.ru/prod/insulugs/iplug/vrpip/vrpip_6/" TargetMode="External"/><Relationship Id="rId2375" Type="http://schemas.openxmlformats.org/officeDocument/2006/relationships/hyperlink" Target="https://techelectro.ru/prod/hstubes/gluetube/ttk31_inrolls/sku_89_692/" TargetMode="External"/><Relationship Id="rId3773" Type="http://schemas.openxmlformats.org/officeDocument/2006/relationships/hyperlink" Target="https://techelectro.ru/prod/metalworking-tools/ft_pliers/combpliersft160new/sku_77419/" TargetMode="External"/><Relationship Id="rId4824" Type="http://schemas.openxmlformats.org/officeDocument/2006/relationships/hyperlink" Target="https://techelectro.ru/prod/steel-ties/steel_ties-labels/sks304_50pcs/sku_103080/" TargetMode="External"/><Relationship Id="rId347" Type="http://schemas.openxmlformats.org/officeDocument/2006/relationships/hyperlink" Target="https://techelectro.ru/prod/cable-lugs/cu/gmls/sku_88077/" TargetMode="External"/><Relationship Id="rId2028" Type="http://schemas.openxmlformats.org/officeDocument/2006/relationships/hyperlink" Target="https://techelectro.ru/prod/ukpt_ogt/ukpto/sku_87837/" TargetMode="External"/><Relationship Id="rId3426" Type="http://schemas.openxmlformats.org/officeDocument/2006/relationships/hyperlink" Target="https://techelectro.ru/prod/wiring-tools/unwinding/traction_winches/lta1m/sku_109771/" TargetMode="External"/><Relationship Id="rId3840" Type="http://schemas.openxmlformats.org/officeDocument/2006/relationships/hyperlink" Target="https://techelectro.ru/prod/metalworking-tools/ft_pumpliers/adjustable_pliers_180profi/sku_92361/" TargetMode="External"/><Relationship Id="rId761" Type="http://schemas.openxmlformats.org/officeDocument/2006/relationships/hyperlink" Target="https://techelectro.ru/prod/insulugs/iquick/gsi/gsi_16/" TargetMode="External"/><Relationship Id="rId1391" Type="http://schemas.openxmlformats.org/officeDocument/2006/relationships/hyperlink" Target="https://techelectro.ru/prod/cable-kits/kits-ngls-10kv/3pkvntp-10_ng-ls/3pkvtp-10-150_240_ng-ls/" TargetMode="External"/><Relationship Id="rId2442" Type="http://schemas.openxmlformats.org/officeDocument/2006/relationships/hyperlink" Target="https://techelectro.ru/prod/hstubes/gluetube/ttk31_yellow/sku_102413/" TargetMode="External"/><Relationship Id="rId5598" Type="http://schemas.openxmlformats.org/officeDocument/2006/relationships/hyperlink" Target="https://techelectro.ru/prod/metal-hose-fittings/hose/mrn-inox_p/sku_104468/" TargetMode="External"/><Relationship Id="rId414" Type="http://schemas.openxmlformats.org/officeDocument/2006/relationships/hyperlink" Target="https://techelectro.ru/prod/cable-lugs/al/tam/tam_240-16-20/" TargetMode="External"/><Relationship Id="rId1044" Type="http://schemas.openxmlformats.org/officeDocument/2006/relationships/hyperlink" Target="https://techelectro.ru/prod/e-connectors/nshvi2_euro/sku_103249/" TargetMode="External"/><Relationship Id="rId5665" Type="http://schemas.openxmlformats.org/officeDocument/2006/relationships/hyperlink" Target="https://techelectro.ru/prod/metal-hose-fittings/fittings/vmu/vmu25/" TargetMode="External"/><Relationship Id="rId1111" Type="http://schemas.openxmlformats.org/officeDocument/2006/relationships/hyperlink" Target="https://techelectro.ru/prod/clamps_wago-smk/smk_221-413/sku_87645/" TargetMode="External"/><Relationship Id="rId4267" Type="http://schemas.openxmlformats.org/officeDocument/2006/relationships/hyperlink" Target="https://techelectro.ru/prod/abcarm/sealinslugs/nim-cptau16/sku_109228/" TargetMode="External"/><Relationship Id="rId4681" Type="http://schemas.openxmlformats.org/officeDocument/2006/relationships/hyperlink" Target="https://techelectro.ru/prod/ties/nylonties/ksr-black/ksr7_5x250black/" TargetMode="External"/><Relationship Id="rId5318" Type="http://schemas.openxmlformats.org/officeDocument/2006/relationships/hyperlink" Target="https://techelectro.ru/prod/cable_entry/cable_entry_plastic/pg/pg13/" TargetMode="External"/><Relationship Id="rId5732" Type="http://schemas.openxmlformats.org/officeDocument/2006/relationships/hyperlink" Target="https://techelectro.ru/prod/metal-hose-fittings/fittings/atk/sku_92326/" TargetMode="External"/><Relationship Id="rId3283" Type="http://schemas.openxmlformats.org/officeDocument/2006/relationships/hyperlink" Target="https://techelectro.ru/prod/wiring-tools/bustools/shra150v/sku_89728/" TargetMode="External"/><Relationship Id="rId4334" Type="http://schemas.openxmlformats.org/officeDocument/2006/relationships/hyperlink" Target="https://techelectro.ru/prod/digital_meters/multimeters/kt206d/kt-206d/" TargetMode="External"/><Relationship Id="rId1928" Type="http://schemas.openxmlformats.org/officeDocument/2006/relationships/hyperlink" Target="https://techelectro.ru/prod/cable_kits_acs/trm/sku_89432/" TargetMode="External"/><Relationship Id="rId3350" Type="http://schemas.openxmlformats.org/officeDocument/2006/relationships/hyperlink" Target="https://techelectro.ru/prod/wiring-tools/hdrtools/jack_hd_acs/mng-100_63/sku_85078/" TargetMode="External"/><Relationship Id="rId271" Type="http://schemas.openxmlformats.org/officeDocument/2006/relationships/hyperlink" Target="https://techelectro.ru/prod/cable-lugs/cu/tmls45/tmls_45_16-6/" TargetMode="External"/><Relationship Id="rId3003" Type="http://schemas.openxmlformats.org/officeDocument/2006/relationships/hyperlink" Target="https://techelectro.ru/prod/wiring-tools/crimpers_pgr/hv-crimpers/matrix_pg60t/sku_69168/" TargetMode="External"/><Relationship Id="rId4401" Type="http://schemas.openxmlformats.org/officeDocument/2006/relationships/hyperlink" Target="https://techelectro.ru/prod/ties/nylonties/kss/kss4h250/" TargetMode="External"/><Relationship Id="rId2769" Type="http://schemas.openxmlformats.org/officeDocument/2006/relationships/hyperlink" Target="https://techelectro.ru/prod/insulating/xp_bw/sku_102343/" TargetMode="External"/><Relationship Id="rId5175" Type="http://schemas.openxmlformats.org/officeDocument/2006/relationships/hyperlink" Target="https://techelectro.ru/prod/cable_entry/cable_entry_metal/mgm-l/sku_88619/" TargetMode="External"/><Relationship Id="rId1785" Type="http://schemas.openxmlformats.org/officeDocument/2006/relationships/hyperlink" Target="https://techelectro.ru/prod/cable-kits/muffs10kv/1pst10/sku_82798/" TargetMode="External"/><Relationship Id="rId2836" Type="http://schemas.openxmlformats.org/officeDocument/2006/relationships/hyperlink" Target="https://techelectro.ru/prod/wiring-tools/crimpers/insulugs-crimp/ctb/ctb04/" TargetMode="External"/><Relationship Id="rId4191" Type="http://schemas.openxmlformats.org/officeDocument/2006/relationships/hyperlink" Target="https://techelectro.ru/prod/abcarm/pierce/zpo16-95_1-5-16/sku_108658/" TargetMode="External"/><Relationship Id="rId5242" Type="http://schemas.openxmlformats.org/officeDocument/2006/relationships/hyperlink" Target="https://techelectro.ru/prod/cable_entry/cable_entry_metal/vk-m-mr-inox/sku_88169/" TargetMode="External"/><Relationship Id="rId77" Type="http://schemas.openxmlformats.org/officeDocument/2006/relationships/hyperlink" Target="https://techelectro.ru/prod/cable-lugs/cu/tml/tml_150_12_19/" TargetMode="External"/><Relationship Id="rId808" Type="http://schemas.openxmlformats.org/officeDocument/2006/relationships/hyperlink" Target="https://techelectro.ru/prod/insulugs/siz_kiz/siz/siz5/" TargetMode="External"/><Relationship Id="rId1438" Type="http://schemas.openxmlformats.org/officeDocument/2006/relationships/hyperlink" Target="https://techelectro.ru/prod/cable-kits/kits-ngls-10kv/3stp10_ngls/3stp10-70-120_ngls/" TargetMode="External"/><Relationship Id="rId1852" Type="http://schemas.openxmlformats.org/officeDocument/2006/relationships/hyperlink" Target="https://techelectro.ru/prod/cable-kits/muffs-35kv/3pkntp-35/sku_110680/" TargetMode="External"/><Relationship Id="rId2903" Type="http://schemas.openxmlformats.org/officeDocument/2006/relationships/hyperlink" Target="https://techelectro.ru/prod/wiring-tools/crimpers/conn-crimp/pkvsh6/pkvsh-6/" TargetMode="External"/><Relationship Id="rId1505" Type="http://schemas.openxmlformats.org/officeDocument/2006/relationships/hyperlink" Target="https://techelectro.ru/prod/cable-kits/muffs1kv/4_5-pktp-1/4pktp_b-1-16_25/" TargetMode="External"/><Relationship Id="rId3677" Type="http://schemas.openxmlformats.org/officeDocument/2006/relationships/hyperlink" Target="https://techelectro.ru/prod/vdetools/vde-sets/vde-wrench-sets/nii23/sku_89427/" TargetMode="External"/><Relationship Id="rId4728" Type="http://schemas.openxmlformats.org/officeDocument/2006/relationships/hyperlink" Target="https://techelectro.ru/prod/ties/montage-acs/pms_20h20_black/pms20x20b/" TargetMode="External"/><Relationship Id="rId598" Type="http://schemas.openxmlformats.org/officeDocument/2006/relationships/hyperlink" Target="https://techelectro.ru/prod/insulugs/ilugs/nvi_easyfix/sku_108565/" TargetMode="External"/><Relationship Id="rId2279" Type="http://schemas.openxmlformats.org/officeDocument/2006/relationships/hyperlink" Target="https://techelectro.ru/prod/hstubes/hstube/tut-hf/tut_hf16-8_green/" TargetMode="External"/><Relationship Id="rId2693" Type="http://schemas.openxmlformats.org/officeDocument/2006/relationships/hyperlink" Target="https://techelectro.ru/prod/insulating/pvc19-heavy/sku_90818/" TargetMode="External"/><Relationship Id="rId3744" Type="http://schemas.openxmlformats.org/officeDocument/2006/relationships/hyperlink" Target="https://techelectro.ru/prod/electric-tools/accessories/crowns/sf-68_65_6t_profi/sku_102558/" TargetMode="External"/><Relationship Id="rId665" Type="http://schemas.openxmlformats.org/officeDocument/2006/relationships/hyperlink" Target="https://techelectro.ru/prod/insulugs/iplug/rpim/rpim_15_48/" TargetMode="External"/><Relationship Id="rId1295" Type="http://schemas.openxmlformats.org/officeDocument/2006/relationships/hyperlink" Target="https://techelectro.ru/prod/cable-kits/kits-ngls-1kv/3stp-ngls/3stpngls1-25-50/" TargetMode="External"/><Relationship Id="rId2346" Type="http://schemas.openxmlformats.org/officeDocument/2006/relationships/hyperlink" Target="https://techelectro.ru/prod/hstubes/gluetube/ttk21/ttk21-4b/" TargetMode="External"/><Relationship Id="rId2760" Type="http://schemas.openxmlformats.org/officeDocument/2006/relationships/hyperlink" Target="https://techelectro.ru/prod/insulating/xp_bw/sku_102334/" TargetMode="External"/><Relationship Id="rId3811" Type="http://schemas.openxmlformats.org/officeDocument/2006/relationships/hyperlink" Target="https://techelectro.ru/prod/metalworking-tools/ft_screwdrivers/no08sft/sku_87106/" TargetMode="External"/><Relationship Id="rId318" Type="http://schemas.openxmlformats.org/officeDocument/2006/relationships/hyperlink" Target="https://techelectro.ru/prod/cable-lugs/cu/gmldin/gmldin_10/" TargetMode="External"/><Relationship Id="rId732" Type="http://schemas.openxmlformats.org/officeDocument/2006/relationships/hyperlink" Target="https://techelectro.ru/prod/insulugs/iplug/vrshimn/sku_108622/" TargetMode="External"/><Relationship Id="rId1362" Type="http://schemas.openxmlformats.org/officeDocument/2006/relationships/hyperlink" Target="https://techelectro.ru/prod/cable-kits/kits-ngls-1kv/pst-mini-ng_ls/5pstm-6_ngls/" TargetMode="External"/><Relationship Id="rId2413" Type="http://schemas.openxmlformats.org/officeDocument/2006/relationships/hyperlink" Target="https://techelectro.ru/prod/hstubes/gluetube/ttk31_red/ttk31-9r/" TargetMode="External"/><Relationship Id="rId5569" Type="http://schemas.openxmlformats.org/officeDocument/2006/relationships/hyperlink" Target="https://techelectro.ru/prod/metal-hose-fittings/hose/mrping-inox_p/sku_87702/" TargetMode="External"/><Relationship Id="rId1015" Type="http://schemas.openxmlformats.org/officeDocument/2006/relationships/hyperlink" Target="https://techelectro.ru/prod/e-connectors/nshvi2/nshvi2_1_0-8/" TargetMode="External"/><Relationship Id="rId4585" Type="http://schemas.openxmlformats.org/officeDocument/2006/relationships/hyperlink" Target="https://techelectro.ru/prod/ties/nylonties/kss100-nord_white/sku_89938/" TargetMode="External"/><Relationship Id="rId5983" Type="http://schemas.openxmlformats.org/officeDocument/2006/relationships/hyperlink" Target="https://techelectro.ru/prod/ground_wire/pz/pz_16-600/" TargetMode="External"/><Relationship Id="rId3187" Type="http://schemas.openxmlformats.org/officeDocument/2006/relationships/hyperlink" Target="https://techelectro.ru/prod/wiring-tools/strippers/wire-strip/ws15/ws-15/" TargetMode="External"/><Relationship Id="rId4238" Type="http://schemas.openxmlformats.org/officeDocument/2006/relationships/hyperlink" Target="https://techelectro.ru/prod/abcarm/sealinslugs/gia-mjpb16/sku_103160/" TargetMode="External"/><Relationship Id="rId5636" Type="http://schemas.openxmlformats.org/officeDocument/2006/relationships/hyperlink" Target="https://techelectro.ru/prod/metal-hose-fittings/fittings/vm-m/sku_88905/" TargetMode="External"/><Relationship Id="rId4652" Type="http://schemas.openxmlformats.org/officeDocument/2006/relationships/hyperlink" Target="https://techelectro.ru/prod/ties/nylonties/ksz-uv/ksz-10x600/" TargetMode="External"/><Relationship Id="rId5703" Type="http://schemas.openxmlformats.org/officeDocument/2006/relationships/hyperlink" Target="https://techelectro.ru/prod/metal-hose-fittings/fittings/stm/stm50/" TargetMode="External"/><Relationship Id="rId175" Type="http://schemas.openxmlformats.org/officeDocument/2006/relationships/hyperlink" Target="https://techelectro.ru/prod/cable-lugs/cu/tmlr/sku_87468/" TargetMode="External"/><Relationship Id="rId3254" Type="http://schemas.openxmlformats.org/officeDocument/2006/relationships/hyperlink" Target="https://techelectro.ru/prod/wiring-tools/boxtools/singlempo/sku_61828/" TargetMode="External"/><Relationship Id="rId4305" Type="http://schemas.openxmlformats.org/officeDocument/2006/relationships/hyperlink" Target="https://techelectro.ru/prod/abcarm/abctools/rkk140/sku_110325/" TargetMode="External"/><Relationship Id="rId2270" Type="http://schemas.openxmlformats.org/officeDocument/2006/relationships/hyperlink" Target="https://techelectro.ru/prod/hstubes/hstube/tut-hf/sku_84978/" TargetMode="External"/><Relationship Id="rId3321" Type="http://schemas.openxmlformats.org/officeDocument/2006/relationships/hyperlink" Target="https://techelectro.ru/prod/wiring-tools/hdrtools/hdr_tools/pmr7010/pmr-7010/" TargetMode="External"/><Relationship Id="rId242" Type="http://schemas.openxmlformats.org/officeDocument/2006/relationships/hyperlink" Target="https://techelectro.ru/prod/cable-lugs/cu/nshml/sku_87463/" TargetMode="External"/><Relationship Id="rId5079" Type="http://schemas.openxmlformats.org/officeDocument/2006/relationships/hyperlink" Target="https://techelectro.ru/prod/strength-ties/screw-ties/sr2/sr98-103w2/" TargetMode="External"/><Relationship Id="rId5493" Type="http://schemas.openxmlformats.org/officeDocument/2006/relationships/hyperlink" Target="https://techelectro.ru/prod/metal-hose-fittings/hose/mrping_p_grey/sku_88306/" TargetMode="External"/><Relationship Id="rId1689" Type="http://schemas.openxmlformats.org/officeDocument/2006/relationships/hyperlink" Target="https://techelectro.ru/prod/cable-kits/muffs10kv/3pktp-6/3pktp6-70-120/" TargetMode="External"/><Relationship Id="rId4095" Type="http://schemas.openxmlformats.org/officeDocument/2006/relationships/hyperlink" Target="https://techelectro.ru/prod/protection-safety/bags_packs/backpack-discovery/sku_102568/" TargetMode="External"/><Relationship Id="rId5146" Type="http://schemas.openxmlformats.org/officeDocument/2006/relationships/hyperlink" Target="https://techelectro.ru/prod/cable_entry/cable_entry_metal/mgm/mgm16/" TargetMode="External"/><Relationship Id="rId5560" Type="http://schemas.openxmlformats.org/officeDocument/2006/relationships/hyperlink" Target="https://techelectro.ru/prod/metal-hose-fittings/hose/mrping-inox/mrnping-inox-20/" TargetMode="External"/><Relationship Id="rId4162" Type="http://schemas.openxmlformats.org/officeDocument/2006/relationships/hyperlink" Target="https://techelectro.ru/prod/protection-safety/flashlights/hl-6578/hl6578/" TargetMode="External"/><Relationship Id="rId5213" Type="http://schemas.openxmlformats.org/officeDocument/2006/relationships/hyperlink" Target="https://techelectro.ru/prod/cable_entry/cable_entry_metal/pgm/pgm9/" TargetMode="External"/><Relationship Id="rId1756" Type="http://schemas.openxmlformats.org/officeDocument/2006/relationships/hyperlink" Target="https://techelectro.ru/prod/cable-kits/muffs10kv/3kvtp-10/3kvtp10-25-50/" TargetMode="External"/><Relationship Id="rId2807" Type="http://schemas.openxmlformats.org/officeDocument/2006/relationships/hyperlink" Target="https://techelectro.ru/prod/wiring-tools/crimpers/insulugs-crimp/ctk/ctk09/" TargetMode="External"/><Relationship Id="rId48" Type="http://schemas.openxmlformats.org/officeDocument/2006/relationships/hyperlink" Target="https://techelectro.ru/prod/cable-lugs/cu/tml/tml_16-6-6/" TargetMode="External"/><Relationship Id="rId1409" Type="http://schemas.openxmlformats.org/officeDocument/2006/relationships/hyperlink" Target="https://techelectro.ru/prod/cable-kits/kits-ngls-10kv/1pst10ngls/1pst10-35-50ngls/" TargetMode="External"/><Relationship Id="rId1823" Type="http://schemas.openxmlformats.org/officeDocument/2006/relationships/hyperlink" Target="https://techelectro.ru/prod/cable-kits/muffs10kv/psptp10/psptp10-70-120b/" TargetMode="External"/><Relationship Id="rId4979" Type="http://schemas.openxmlformats.org/officeDocument/2006/relationships/hyperlink" Target="https://techelectro.ru/prod/strength-ties/screw-ties/pl9-w2/w2-16-25/" TargetMode="External"/><Relationship Id="rId3995" Type="http://schemas.openxmlformats.org/officeDocument/2006/relationships/hyperlink" Target="https://techelectro.ru/prod/construction_hydraulics/hydraulic_pullers/sga5/sga5/" TargetMode="External"/><Relationship Id="rId2597" Type="http://schemas.openxmlformats.org/officeDocument/2006/relationships/hyperlink" Target="https://techelectro.ru/prod/hstubes/highvoltagetube/ttsh10/sku_84897/" TargetMode="External"/><Relationship Id="rId3648" Type="http://schemas.openxmlformats.org/officeDocument/2006/relationships/hyperlink" Target="https://techelectro.ru/prod/vdetools/vde-knives/nki25/sku_101966/" TargetMode="External"/><Relationship Id="rId6054" Type="http://schemas.openxmlformats.org/officeDocument/2006/relationships/hyperlink" Target="https://techelectro.ru/prod/ground_wire/uhz/uhz-16-25-w2/" TargetMode="External"/><Relationship Id="rId569" Type="http://schemas.openxmlformats.org/officeDocument/2006/relationships/hyperlink" Target="https://techelectro.ru/prod/insulugs/ilugs/vnki/sku_108614/" TargetMode="External"/><Relationship Id="rId983" Type="http://schemas.openxmlformats.org/officeDocument/2006/relationships/hyperlink" Target="https://techelectro.ru/prod/e-connectors/nshvi/sku_108921/" TargetMode="External"/><Relationship Id="rId1199" Type="http://schemas.openxmlformats.org/officeDocument/2006/relationships/hyperlink" Target="https://techelectro.ru/prod/bolt-lugs/wire10-240/sbe_gph/sku_105909/" TargetMode="External"/><Relationship Id="rId2664" Type="http://schemas.openxmlformats.org/officeDocument/2006/relationships/hyperlink" Target="https://techelectro.ru/prod/hstubes/specialtube/tt200_rolls/sku_90735/" TargetMode="External"/><Relationship Id="rId5070" Type="http://schemas.openxmlformats.org/officeDocument/2006/relationships/hyperlink" Target="https://techelectro.ru/prod/strength-ties/screw-ties/sr2/sr52-55w2/" TargetMode="External"/><Relationship Id="rId636" Type="http://schemas.openxmlformats.org/officeDocument/2006/relationships/hyperlink" Target="https://techelectro.ru/prod/insulugs/ilugs/iset-m950-2/iset-m-950-2/" TargetMode="External"/><Relationship Id="rId1266" Type="http://schemas.openxmlformats.org/officeDocument/2006/relationships/hyperlink" Target="https://techelectro.ru/prod/cable-kits/kits-ngls-1kv/5pktp-1_ngls/5pktpng-ls1-25-50_b/" TargetMode="External"/><Relationship Id="rId2317" Type="http://schemas.openxmlformats.org/officeDocument/2006/relationships/hyperlink" Target="https://techelectro.ru/prod/hstubes/hstube/tut-hf/sku_85117/" TargetMode="External"/><Relationship Id="rId3715" Type="http://schemas.openxmlformats.org/officeDocument/2006/relationships/hyperlink" Target="https://techelectro.ru/prod/electric-tools/power-saws/cb20-140/sku_104532/" TargetMode="External"/><Relationship Id="rId1680" Type="http://schemas.openxmlformats.org/officeDocument/2006/relationships/hyperlink" Target="https://techelectro.ru/prod/cable-kits/muffs1kv/4_pktp_b_sip_1/4pktp_b-1-25-50_b/" TargetMode="External"/><Relationship Id="rId2731" Type="http://schemas.openxmlformats.org/officeDocument/2006/relationships/hyperlink" Target="https://techelectro.ru/prod/insulating/xn/sku_106102/" TargetMode="External"/><Relationship Id="rId5887" Type="http://schemas.openxmlformats.org/officeDocument/2006/relationships/hyperlink" Target="https://techelectro.ru/prod/staples/smr15-inox/smr_inox_40-15/" TargetMode="External"/><Relationship Id="rId703" Type="http://schemas.openxmlformats.org/officeDocument/2006/relationships/hyperlink" Target="https://techelectro.ru/prod/insulugs/iplug/vrpim/sku_108618/" TargetMode="External"/><Relationship Id="rId1333" Type="http://schemas.openxmlformats.org/officeDocument/2006/relationships/hyperlink" Target="https://techelectro.ru/prod/cable-kits/kits-ngls-1kv/5pst_ngls-1/5pst1-150-240ngls/" TargetMode="External"/><Relationship Id="rId4489" Type="http://schemas.openxmlformats.org/officeDocument/2006/relationships/hyperlink" Target="https://techelectro.ru/prod/ties/nylonties/kss-uv/kss5x200b/" TargetMode="External"/><Relationship Id="rId5954" Type="http://schemas.openxmlformats.org/officeDocument/2006/relationships/hyperlink" Target="https://techelectro.ru/prod/staples/pipe_clamp/pipetie_32/" TargetMode="External"/><Relationship Id="rId1400" Type="http://schemas.openxmlformats.org/officeDocument/2006/relationships/hyperlink" Target="https://techelectro.ru/prod/cable-kits/kits-ngls-10kv/3rkvtp_ngls/sku_88128/" TargetMode="External"/><Relationship Id="rId4556" Type="http://schemas.openxmlformats.org/officeDocument/2006/relationships/hyperlink" Target="https://techelectro.ru/prod/ties/nylonties/nss-black/sku_84821/" TargetMode="External"/><Relationship Id="rId4970" Type="http://schemas.openxmlformats.org/officeDocument/2006/relationships/hyperlink" Target="https://techelectro.ru/prod/strength-ties/screw-ties/pl9-w1/w1-120-140/" TargetMode="External"/><Relationship Id="rId5607" Type="http://schemas.openxmlformats.org/officeDocument/2006/relationships/hyperlink" Target="https://techelectro.ru/prod/metal-hose-fittings/hose/r3ch/r3-ch-32/" TargetMode="External"/><Relationship Id="rId3158" Type="http://schemas.openxmlformats.org/officeDocument/2006/relationships/hyperlink" Target="https://techelectro.ru/prod/wiring-tools/cutters_din/br-brg-cutters/brm_900/sku_92114/" TargetMode="External"/><Relationship Id="rId3572" Type="http://schemas.openxmlformats.org/officeDocument/2006/relationships/hyperlink" Target="https://techelectro.ru/prod/vdetools/vde-screwdrivers/vde-screwdrivers-profi/sku_103000/" TargetMode="External"/><Relationship Id="rId4209" Type="http://schemas.openxmlformats.org/officeDocument/2006/relationships/hyperlink" Target="https://techelectro.ru/prod/abcarm/pierce/zpo25-25/sku_108654/" TargetMode="External"/><Relationship Id="rId4623" Type="http://schemas.openxmlformats.org/officeDocument/2006/relationships/hyperlink" Target="https://techelectro.ru/prod/ties/nylonties/kss-colors/kss5x300b/" TargetMode="External"/><Relationship Id="rId493" Type="http://schemas.openxmlformats.org/officeDocument/2006/relationships/hyperlink" Target="https://techelectro.ru/prod/insulugs/ilugs/nki/nki_6_0_6/" TargetMode="External"/><Relationship Id="rId2174" Type="http://schemas.openxmlformats.org/officeDocument/2006/relationships/hyperlink" Target="https://techelectro.ru/prod/hstubes/hstube/tnt_hf/sku_85003/" TargetMode="External"/><Relationship Id="rId3225" Type="http://schemas.openxmlformats.org/officeDocument/2006/relationships/hyperlink" Target="https://techelectro.ru/prod/wiring-tools/boxtools/pgpo60/pgpo-60/" TargetMode="External"/><Relationship Id="rId146" Type="http://schemas.openxmlformats.org/officeDocument/2006/relationships/hyperlink" Target="https://techelectro.ru/prod/cable-lugs/cu/tmldin/tml_din_150_12/" TargetMode="External"/><Relationship Id="rId560" Type="http://schemas.openxmlformats.org/officeDocument/2006/relationships/hyperlink" Target="https://techelectro.ru/prod/insulugs/ilugs/vnki/vnki_2_5_6/" TargetMode="External"/><Relationship Id="rId1190" Type="http://schemas.openxmlformats.org/officeDocument/2006/relationships/hyperlink" Target="https://techelectro.ru/prod/bolt-lugs/wire10-240/sbe35/4sbe35_70-120/" TargetMode="External"/><Relationship Id="rId2241" Type="http://schemas.openxmlformats.org/officeDocument/2006/relationships/hyperlink" Target="https://techelectro.ru/prod/hstubes/hstube/tut_hf/sku_83022/" TargetMode="External"/><Relationship Id="rId5397" Type="http://schemas.openxmlformats.org/officeDocument/2006/relationships/hyperlink" Target="https://techelectro.ru/prod/waterproof_connections/ffc-31_3p-ip68/sku_89668/" TargetMode="External"/><Relationship Id="rId213" Type="http://schemas.openxmlformats.org/officeDocument/2006/relationships/hyperlink" Target="https://techelectro.ru/prod/cable-lugs/cu/pm/pm_16_10/" TargetMode="External"/><Relationship Id="rId4066" Type="http://schemas.openxmlformats.org/officeDocument/2006/relationships/hyperlink" Target="https://techelectro.ru/prod/fixing_tools/gcn40y/sku_104523/" TargetMode="External"/><Relationship Id="rId5464" Type="http://schemas.openxmlformats.org/officeDocument/2006/relationships/hyperlink" Target="https://techelectro.ru/prod/metal-hose-fittings/hose/mrping/sku_64853/" TargetMode="External"/><Relationship Id="rId4480" Type="http://schemas.openxmlformats.org/officeDocument/2006/relationships/hyperlink" Target="https://techelectro.ru/prod/ties/nylonties/kss-uv/kss3x200b/" TargetMode="External"/><Relationship Id="rId5117" Type="http://schemas.openxmlformats.org/officeDocument/2006/relationships/hyperlink" Target="https://techelectro.ru/prod/strength-ties/pipe-ties/thn/th_inox_-5/" TargetMode="External"/><Relationship Id="rId5531" Type="http://schemas.openxmlformats.org/officeDocument/2006/relationships/hyperlink" Target="https://techelectro.ru/prod/metal-hose-fittings/hose/mgpunglstitan/mg-pung-ls_20_titan/" TargetMode="External"/><Relationship Id="rId1727" Type="http://schemas.openxmlformats.org/officeDocument/2006/relationships/hyperlink" Target="https://techelectro.ru/prod/cable-kits/muffs10kv/3pkntp-10/3pkntp10-70-120/" TargetMode="External"/><Relationship Id="rId3082" Type="http://schemas.openxmlformats.org/officeDocument/2006/relationships/hyperlink" Target="https://techelectro.ru/prod/wiring-tools/cutters/wirecutters/nkm30/nkm-30/" TargetMode="External"/><Relationship Id="rId4133" Type="http://schemas.openxmlformats.org/officeDocument/2006/relationships/hyperlink" Target="https://techelectro.ru/prod/protection-safety/protection/s32/s-32l/" TargetMode="External"/><Relationship Id="rId19" Type="http://schemas.openxmlformats.org/officeDocument/2006/relationships/hyperlink" Target="https://techelectro.ru/prod/cable-lugs/cu/tmls/tmls_50_8/" TargetMode="External"/><Relationship Id="rId3899" Type="http://schemas.openxmlformats.org/officeDocument/2006/relationships/hyperlink" Target="https://techelectro.ru/prod/metalworking-tools/ft_hummers/kv1500/kv-1500/" TargetMode="External"/><Relationship Id="rId4200" Type="http://schemas.openxmlformats.org/officeDocument/2006/relationships/hyperlink" Target="https://techelectro.ru/prod/abcarm/pierce/zpon16-150_4-50/sku_87400/" TargetMode="External"/><Relationship Id="rId3966" Type="http://schemas.openxmlformats.org/officeDocument/2006/relationships/hyperlink" Target="https://techelectro.ru/prod/construction_hydraulics/jack/jack_hd/dpp/sku_84592/" TargetMode="External"/><Relationship Id="rId6025" Type="http://schemas.openxmlformats.org/officeDocument/2006/relationships/hyperlink" Target="https://techelectro.ru/prod/ground_wire/pzu/pzu-10-300/" TargetMode="External"/><Relationship Id="rId3" Type="http://schemas.openxmlformats.org/officeDocument/2006/relationships/hyperlink" Target="https://techelectro.ru/prod/cable-lugs/cu/tmls/tmls_2-5_5/" TargetMode="External"/><Relationship Id="rId887" Type="http://schemas.openxmlformats.org/officeDocument/2006/relationships/hyperlink" Target="https://techelectro.ru/prod/insulugs/lighting_clamps/ke10-504/sku_88976/" TargetMode="External"/><Relationship Id="rId2568" Type="http://schemas.openxmlformats.org/officeDocument/2006/relationships/hyperlink" Target="https://techelectro.ru/prod/hstubes/hstubeset/5_colors/sku_85294/" TargetMode="External"/><Relationship Id="rId2982" Type="http://schemas.openxmlformats.org/officeDocument/2006/relationships/hyperlink" Target="https://techelectro.ru/prod/wiring-tools/crimpers_pgr/hv-crimpers/matrix_pg60t/c-19/" TargetMode="External"/><Relationship Id="rId3619" Type="http://schemas.openxmlformats.org/officeDocument/2006/relationships/hyperlink" Target="https://techelectro.ru/prod/vdetools/vde-screwdrivers/nio1107/nio-1107/" TargetMode="External"/><Relationship Id="rId5041" Type="http://schemas.openxmlformats.org/officeDocument/2006/relationships/hyperlink" Target="https://techelectro.ru/prod/strength-ties/screw-ties/sr/sr_56-59_w1/" TargetMode="External"/><Relationship Id="rId954" Type="http://schemas.openxmlformats.org/officeDocument/2006/relationships/hyperlink" Target="https://techelectro.ru/prod/e-connectors/nshvi/nshvi_120_27/" TargetMode="External"/><Relationship Id="rId1584" Type="http://schemas.openxmlformats.org/officeDocument/2006/relationships/hyperlink" Target="https://techelectro.ru/prod/cable-kits/muffs1kv/3pst-1/3pst1-16-25/" TargetMode="External"/><Relationship Id="rId2635" Type="http://schemas.openxmlformats.org/officeDocument/2006/relationships/hyperlink" Target="https://techelectro.ru/prod/hstubes/specialtube/ttgsm/ttgsm-19_1-9_5/" TargetMode="External"/><Relationship Id="rId607" Type="http://schemas.openxmlformats.org/officeDocument/2006/relationships/hyperlink" Target="https://techelectro.ru/prod/insulugs/ilugs/nvin/sku_108547/" TargetMode="External"/><Relationship Id="rId1237" Type="http://schemas.openxmlformats.org/officeDocument/2006/relationships/hyperlink" Target="https://techelectro.ru/prod/cable-kits/kits-ngls-1kv/4_kvntp-1_ngls/4kvntpngls1-70-120_b/" TargetMode="External"/><Relationship Id="rId1651" Type="http://schemas.openxmlformats.org/officeDocument/2006/relationships/hyperlink" Target="https://techelectro.ru/prod/cable-kits/muffs1kv/mks/mksb2/" TargetMode="External"/><Relationship Id="rId2702" Type="http://schemas.openxmlformats.org/officeDocument/2006/relationships/hyperlink" Target="https://techelectro.ru/prod/insulating/sil/sil_20/" TargetMode="External"/><Relationship Id="rId5858" Type="http://schemas.openxmlformats.org/officeDocument/2006/relationships/hyperlink" Target="https://techelectro.ru/prod/staples/smr15/smr_8-15/" TargetMode="External"/><Relationship Id="rId1304" Type="http://schemas.openxmlformats.org/officeDocument/2006/relationships/hyperlink" Target="https://techelectro.ru/prod/cable-kits/kits-ngls-1kv/4_3stp_ngls/4stpngls1-25-50_b/" TargetMode="External"/><Relationship Id="rId4874" Type="http://schemas.openxmlformats.org/officeDocument/2006/relationships/hyperlink" Target="https://techelectro.ru/prod/steel-ties/steel_ties-labels/sksp/sksp7h250/" TargetMode="External"/><Relationship Id="rId3476" Type="http://schemas.openxmlformats.org/officeDocument/2006/relationships/hyperlink" Target="https://techelectro.ru/prod/wiring-tools/unwinding/fishtape/fgp6/sku_79041/" TargetMode="External"/><Relationship Id="rId4527" Type="http://schemas.openxmlformats.org/officeDocument/2006/relationships/hyperlink" Target="https://techelectro.ru/prod/ties/nylonties/kss_multilock_uv/sku_102325/" TargetMode="External"/><Relationship Id="rId5925" Type="http://schemas.openxmlformats.org/officeDocument/2006/relationships/hyperlink" Target="https://techelectro.ru/prod/staples/snk_black/sku_103932/" TargetMode="External"/><Relationship Id="rId10" Type="http://schemas.openxmlformats.org/officeDocument/2006/relationships/hyperlink" Target="https://techelectro.ru/prod/cable-lugs/cu/tmls/tmls_10_8/" TargetMode="External"/><Relationship Id="rId397" Type="http://schemas.openxmlformats.org/officeDocument/2006/relationships/hyperlink" Target="https://techelectro.ru/prod/cable-lugs/al/ga/ga_70/" TargetMode="External"/><Relationship Id="rId2078" Type="http://schemas.openxmlformats.org/officeDocument/2006/relationships/hyperlink" Target="https://techelectro.ru/prod/hstubes/hstube/tutng-color/sku_102208/" TargetMode="External"/><Relationship Id="rId2492" Type="http://schemas.openxmlformats.org/officeDocument/2006/relationships/hyperlink" Target="https://techelectro.ru/prod/hstubes/gluetube/ttv/ttv130-600/" TargetMode="External"/><Relationship Id="rId3129" Type="http://schemas.openxmlformats.org/officeDocument/2006/relationships/hyperlink" Target="https://techelectro.ru/prod/wiring-tools/cutters_sidecutters/mc01esd/sku_92060/" TargetMode="External"/><Relationship Id="rId3890" Type="http://schemas.openxmlformats.org/officeDocument/2006/relationships/hyperlink" Target="https://techelectro.ru/prod/metalworking-tools/ft_hummers/ms300/ms-300/" TargetMode="External"/><Relationship Id="rId4941" Type="http://schemas.openxmlformats.org/officeDocument/2006/relationships/hyperlink" Target="https://techelectro.ru/prod/steel-ties/steel_tape-brace/lksp316/lks_p316-1004/" TargetMode="External"/><Relationship Id="rId464" Type="http://schemas.openxmlformats.org/officeDocument/2006/relationships/hyperlink" Target="https://techelectro.ru/prod/cable-lugs/al/amk/sku_91882/" TargetMode="External"/><Relationship Id="rId1094" Type="http://schemas.openxmlformats.org/officeDocument/2006/relationships/hyperlink" Target="https://techelectro.ru/prod/clamps_wago-smk/smk_2273-244_paste/sku_109319/" TargetMode="External"/><Relationship Id="rId2145" Type="http://schemas.openxmlformats.org/officeDocument/2006/relationships/hyperlink" Target="https://techelectro.ru/prod/hstubes/hstube/tnt_hf/sku_82983/" TargetMode="External"/><Relationship Id="rId3543" Type="http://schemas.openxmlformats.org/officeDocument/2006/relationships/hyperlink" Target="https://techelectro.ru/prod/vdetools/pliers/combpliers/pliers-160/" TargetMode="External"/><Relationship Id="rId117" Type="http://schemas.openxmlformats.org/officeDocument/2006/relationships/hyperlink" Target="https://techelectro.ru/prod/cable-lugs/cu/tm/tm_150_16_19/" TargetMode="External"/><Relationship Id="rId3610" Type="http://schemas.openxmlformats.org/officeDocument/2006/relationships/hyperlink" Target="https://techelectro.ru/prod/vdetools/vde-screwdrivers/nio-2207/sku_88933/" TargetMode="External"/><Relationship Id="rId531" Type="http://schemas.openxmlformats.org/officeDocument/2006/relationships/hyperlink" Target="https://techelectro.ru/prod/insulugs/ilugs/nki_easyfix/sku_108558/" TargetMode="External"/><Relationship Id="rId1161" Type="http://schemas.openxmlformats.org/officeDocument/2006/relationships/hyperlink" Target="https://techelectro.ru/prod/bolt-lugs/wire10-240/sb/4sb_25-50/" TargetMode="External"/><Relationship Id="rId2212" Type="http://schemas.openxmlformats.org/officeDocument/2006/relationships/hyperlink" Target="https://techelectro.ru/prod/hstubes/hstube/tutng/tutng100/" TargetMode="External"/><Relationship Id="rId5368" Type="http://schemas.openxmlformats.org/officeDocument/2006/relationships/hyperlink" Target="https://techelectro.ru/prod/cable_entry/cable_entry_plastic/pg-r/sku_88652/" TargetMode="External"/><Relationship Id="rId5782" Type="http://schemas.openxmlformats.org/officeDocument/2006/relationships/hyperlink" Target="https://techelectro.ru/prod/staples/smd_inox/smd_inox_8-9/" TargetMode="External"/><Relationship Id="rId1978" Type="http://schemas.openxmlformats.org/officeDocument/2006/relationships/hyperlink" Target="https://techelectro.ru/prod/cable_kits_acs/kmpb/kmpb4/" TargetMode="External"/><Relationship Id="rId4384" Type="http://schemas.openxmlformats.org/officeDocument/2006/relationships/hyperlink" Target="https://techelectro.ru/prod/digital_meters/ecotesters/kt669b/sku_101566/" TargetMode="External"/><Relationship Id="rId5435" Type="http://schemas.openxmlformats.org/officeDocument/2006/relationships/hyperlink" Target="https://techelectro.ru/prod/metal-hose-fittings/hose/r3cp-ngls/r3cpngls20/" TargetMode="External"/><Relationship Id="rId4037" Type="http://schemas.openxmlformats.org/officeDocument/2006/relationships/hyperlink" Target="https://techelectro.ru/prod/construction_hydraulics/glg-cutters/glg-6075/sku_84601/" TargetMode="External"/><Relationship Id="rId4451" Type="http://schemas.openxmlformats.org/officeDocument/2006/relationships/hyperlink" Target="https://techelectro.ru/prod/ties/nylonties/nss/sku_84801/" TargetMode="External"/><Relationship Id="rId5502" Type="http://schemas.openxmlformats.org/officeDocument/2006/relationships/hyperlink" Target="https://techelectro.ru/prod/metal-hose-fittings/hose/mrping-diesel_p/sku_88459/" TargetMode="External"/><Relationship Id="rId3053" Type="http://schemas.openxmlformats.org/officeDocument/2006/relationships/hyperlink" Target="https://techelectro.ru/prod/wiring-tools/crimpers_pgr/hv-crimpers/matrix_pg100t/msh-30-3a-100t/" TargetMode="External"/><Relationship Id="rId4104" Type="http://schemas.openxmlformats.org/officeDocument/2006/relationships/hyperlink" Target="https://techelectro.ru/prod/protection-safety/bags_packs/sm_1/sku_83135/" TargetMode="External"/><Relationship Id="rId3120" Type="http://schemas.openxmlformats.org/officeDocument/2006/relationships/hyperlink" Target="https://techelectro.ru/prod/wiring-tools/cutters/hdcutters/ngpi85/ngpi-85/" TargetMode="External"/><Relationship Id="rId2886" Type="http://schemas.openxmlformats.org/officeDocument/2006/relationships/hyperlink" Target="https://techelectro.ru/prod/wiring-tools/crimpers/insulugs-crimp/mpk13/sku_85443/" TargetMode="External"/><Relationship Id="rId3937" Type="http://schemas.openxmlformats.org/officeDocument/2006/relationships/hyperlink" Target="https://techelectro.ru/prod/construction_hydraulics/jack/jack_hd/dnmt50/sku_84596/" TargetMode="External"/><Relationship Id="rId5292" Type="http://schemas.openxmlformats.org/officeDocument/2006/relationships/hyperlink" Target="https://techelectro.ru/prod/cable_entry/cable_entry_metal/gz-m/sku_88238/" TargetMode="External"/><Relationship Id="rId858" Type="http://schemas.openxmlformats.org/officeDocument/2006/relationships/hyperlink" Target="https://techelectro.ru/prod/insulugs/screw_clamp/kzvi/sku_87178/" TargetMode="External"/><Relationship Id="rId1488" Type="http://schemas.openxmlformats.org/officeDocument/2006/relationships/hyperlink" Target="https://techelectro.ru/prod/cable-kits/muffs1kv/3-pktp-1/3pktp_b-1-35_50/" TargetMode="External"/><Relationship Id="rId2539" Type="http://schemas.openxmlformats.org/officeDocument/2006/relationships/hyperlink" Target="https://techelectro.ru/prod/hstubes/hstubeset/germokomplekt/germokomplekt-9-3/" TargetMode="External"/><Relationship Id="rId2953" Type="http://schemas.openxmlformats.org/officeDocument/2006/relationships/hyperlink" Target="https://techelectro.ru/prod/wiring-tools/crimpers_pgr/hdcrimp/pgp300/pgp-300/" TargetMode="External"/><Relationship Id="rId925" Type="http://schemas.openxmlformats.org/officeDocument/2006/relationships/hyperlink" Target="https://techelectro.ru/prod/insulugs/autoterminals/rga-wired/sku_89508/" TargetMode="External"/><Relationship Id="rId1555" Type="http://schemas.openxmlformats.org/officeDocument/2006/relationships/hyperlink" Target="https://techelectro.ru/prod/cable-kits/muffs1kv/4stp1sold/sku_88777/" TargetMode="External"/><Relationship Id="rId2606" Type="http://schemas.openxmlformats.org/officeDocument/2006/relationships/hyperlink" Target="https://techelectro.ru/prod/hstubes/highvoltagetube/ttsh35/ttsh35-40/" TargetMode="External"/><Relationship Id="rId5012" Type="http://schemas.openxmlformats.org/officeDocument/2006/relationships/hyperlink" Target="https://techelectro.ru/prod/strength-ties/screw-ties/pl12-w2/pl-12_16-25_w2/" TargetMode="External"/><Relationship Id="rId1208" Type="http://schemas.openxmlformats.org/officeDocument/2006/relationships/hyperlink" Target="https://techelectro.ru/prod/bolt-lugs/wire10-240/sbtk/sbtk_10-25/" TargetMode="External"/><Relationship Id="rId1622" Type="http://schemas.openxmlformats.org/officeDocument/2006/relationships/hyperlink" Target="https://techelectro.ru/prod/cable-kits/muffs1kv/5pst-1/5pst1-70-120/" TargetMode="External"/><Relationship Id="rId4778" Type="http://schemas.openxmlformats.org/officeDocument/2006/relationships/hyperlink" Target="https://techelectro.ru/prod/steel-ties/steel_ties-labels/sks316/sks316-7x250/" TargetMode="External"/><Relationship Id="rId5829" Type="http://schemas.openxmlformats.org/officeDocument/2006/relationships/hyperlink" Target="https://techelectro.ru/prod/staples/smop/smo-p_25-26/" TargetMode="External"/><Relationship Id="rId3794" Type="http://schemas.openxmlformats.org/officeDocument/2006/relationships/hyperlink" Target="https://techelectro.ru/prod/metalworking-tools/ft_pliers/mini-sidecutters105profi/sku_92058/" TargetMode="External"/><Relationship Id="rId4845" Type="http://schemas.openxmlformats.org/officeDocument/2006/relationships/hyperlink" Target="https://techelectro.ru/prod/steel-ties/steel_ties-labels/sks316p/sks316p-7x400/" TargetMode="External"/><Relationship Id="rId2396" Type="http://schemas.openxmlformats.org/officeDocument/2006/relationships/hyperlink" Target="https://techelectro.ru/prod/hstubes/gluetube/ttk2/sku_88177/" TargetMode="External"/><Relationship Id="rId3447" Type="http://schemas.openxmlformats.org/officeDocument/2006/relationships/hyperlink" Target="https://techelectro.ru/prod/wiring-tools/unwinding/fishtape/pet3-6/pet6_20/" TargetMode="External"/><Relationship Id="rId3861" Type="http://schemas.openxmlformats.org/officeDocument/2006/relationships/hyperlink" Target="https://techelectro.ru/prod/metalworking-tools/ft_wrench/wrench-piece/wrench-piece-13/" TargetMode="External"/><Relationship Id="rId4912" Type="http://schemas.openxmlformats.org/officeDocument/2006/relationships/hyperlink" Target="https://techelectro.ru/prod/steel-ties/steel_ties-labels/sks2-304/sku_103074/" TargetMode="External"/><Relationship Id="rId368" Type="http://schemas.openxmlformats.org/officeDocument/2006/relationships/hyperlink" Target="https://techelectro.ru/prod/cable-lugs/cu/lugset-tmls/set-tmls10-6/" TargetMode="External"/><Relationship Id="rId782" Type="http://schemas.openxmlformats.org/officeDocument/2006/relationships/hyperlink" Target="https://techelectro.ru/prod/insulugs/iquick/gsit/sku_108960/" TargetMode="External"/><Relationship Id="rId2049" Type="http://schemas.openxmlformats.org/officeDocument/2006/relationships/hyperlink" Target="https://techelectro.ru/prod/hstubes/hstube/tutng-color/sku_102179/" TargetMode="External"/><Relationship Id="rId2463" Type="http://schemas.openxmlformats.org/officeDocument/2006/relationships/hyperlink" Target="https://techelectro.ru/prod/hstubes/gluetube/ttk135/sku_104410/" TargetMode="External"/><Relationship Id="rId3514" Type="http://schemas.openxmlformats.org/officeDocument/2006/relationships/hyperlink" Target="https://techelectro.ru/prod/wiring-tools/ft_kesh/kesh5/kesh-5/" TargetMode="External"/><Relationship Id="rId435" Type="http://schemas.openxmlformats.org/officeDocument/2006/relationships/hyperlink" Target="https://techelectro.ru/prod/cable-lugs/al/gam/gam_120-95/" TargetMode="External"/><Relationship Id="rId1065" Type="http://schemas.openxmlformats.org/officeDocument/2006/relationships/hyperlink" Target="https://techelectro.ru/prod/e-connectors/nshv/sku_108938/" TargetMode="External"/><Relationship Id="rId2116" Type="http://schemas.openxmlformats.org/officeDocument/2006/relationships/hyperlink" Target="https://techelectro.ru/prod/hstubes/hstube/tnt_hf/sku_84327/" TargetMode="External"/><Relationship Id="rId2530" Type="http://schemas.openxmlformats.org/officeDocument/2006/relationships/hyperlink" Target="https://techelectro.ru/prod/hstubes/hstubeset/kolorit/kolorit-8-4/" TargetMode="External"/><Relationship Id="rId5686" Type="http://schemas.openxmlformats.org/officeDocument/2006/relationships/hyperlink" Target="https://techelectro.ru/prod/metal-hose-fittings/fittings/stm_inox/sku_106749/" TargetMode="External"/><Relationship Id="rId502" Type="http://schemas.openxmlformats.org/officeDocument/2006/relationships/hyperlink" Target="https://techelectro.ru/prod/insulugs/ilugs/nki/sku_108519/" TargetMode="External"/><Relationship Id="rId1132" Type="http://schemas.openxmlformats.org/officeDocument/2006/relationships/hyperlink" Target="https://techelectro.ru/prod/clamps_wago-smk/smk_222-424/sku_87641/" TargetMode="External"/><Relationship Id="rId4288" Type="http://schemas.openxmlformats.org/officeDocument/2006/relationships/hyperlink" Target="https://techelectro.ru/prod/abcarm/abctools/mz_sip_4_19-29/mz-19-29/" TargetMode="External"/><Relationship Id="rId5339" Type="http://schemas.openxmlformats.org/officeDocument/2006/relationships/hyperlink" Target="https://techelectro.ru/prod/cable_entry/cable_entry_plastic/mg/mg50/" TargetMode="External"/><Relationship Id="rId4355" Type="http://schemas.openxmlformats.org/officeDocument/2006/relationships/hyperlink" Target="https://techelectro.ru/prod/digital_meters/testers_detectors/kt_271/sku_86209/" TargetMode="External"/><Relationship Id="rId5753" Type="http://schemas.openxmlformats.org/officeDocument/2006/relationships/hyperlink" Target="https://techelectro.ru/prod/metal-hose-fittings/fittings/pipe_bushings/v22/" TargetMode="External"/><Relationship Id="rId1949" Type="http://schemas.openxmlformats.org/officeDocument/2006/relationships/hyperlink" Target="https://techelectro.ru/prod/cable_kits_acs/pml/pml-10-1000/" TargetMode="External"/><Relationship Id="rId4008" Type="http://schemas.openxmlformats.org/officeDocument/2006/relationships/hyperlink" Target="https://techelectro.ru/prod/construction_hydraulics/hydraulic_pullers/sgn50/sku_84633/" TargetMode="External"/><Relationship Id="rId5406" Type="http://schemas.openxmlformats.org/officeDocument/2006/relationships/hyperlink" Target="https://techelectro.ru/prod/metal-hose-fittings/hose/mrping_nord/mrping15_nord/" TargetMode="External"/><Relationship Id="rId5820" Type="http://schemas.openxmlformats.org/officeDocument/2006/relationships/hyperlink" Target="https://techelectro.ru/prod/staples/smd/smd_38-40/" TargetMode="External"/><Relationship Id="rId292" Type="http://schemas.openxmlformats.org/officeDocument/2006/relationships/hyperlink" Target="https://techelectro.ru/prod/cable-lugs/cu/gm/sku_41833/" TargetMode="External"/><Relationship Id="rId3371" Type="http://schemas.openxmlformats.org/officeDocument/2006/relationships/hyperlink" Target="https://techelectro.ru/prod/wiring-tools/unwinding/hvltools/chm/chm-20/" TargetMode="External"/><Relationship Id="rId4422" Type="http://schemas.openxmlformats.org/officeDocument/2006/relationships/hyperlink" Target="https://techelectro.ru/prod/ties/nylonties/kss/sku_89899/" TargetMode="External"/><Relationship Id="rId3024" Type="http://schemas.openxmlformats.org/officeDocument/2006/relationships/hyperlink" Target="https://techelectro.ru/prod/wiring-tools/crimpers_pgr/hv-crimpers/matrix_pg100t/sku_66843/" TargetMode="External"/><Relationship Id="rId2040" Type="http://schemas.openxmlformats.org/officeDocument/2006/relationships/hyperlink" Target="https://techelectro.ru/prod/hstubes/hstube/tutng-color/sku_102170/" TargetMode="External"/><Relationship Id="rId5196" Type="http://schemas.openxmlformats.org/officeDocument/2006/relationships/hyperlink" Target="https://techelectro.ru/prod/cable_entry/cable_entry_metal/mgm-emc/sku_89322/" TargetMode="External"/><Relationship Id="rId5263" Type="http://schemas.openxmlformats.org/officeDocument/2006/relationships/hyperlink" Target="https://techelectro.ru/prod/cable_entry/cable_entry_metal/vk-m-mr/sku_89108/" TargetMode="External"/><Relationship Id="rId1459" Type="http://schemas.openxmlformats.org/officeDocument/2006/relationships/hyperlink" Target="https://techelectro.ru/prod/cable-kits/muffs1kv/3-kvntp-1/3kvntp1-70-120_b/" TargetMode="External"/><Relationship Id="rId2857" Type="http://schemas.openxmlformats.org/officeDocument/2006/relationships/hyperlink" Target="https://techelectro.ru/prod/wiring-tools/crimpers/insulugs-crimp/cto5/sku_90777/" TargetMode="External"/><Relationship Id="rId3908" Type="http://schemas.openxmlformats.org/officeDocument/2006/relationships/hyperlink" Target="https://techelectro.ru/prod/metalworking-tools/ft_ringassemblies/nks8/sku_92037/" TargetMode="External"/><Relationship Id="rId5330" Type="http://schemas.openxmlformats.org/officeDocument/2006/relationships/hyperlink" Target="https://techelectro.ru/prod/cable_entry/cable_entry_plastic/mg/sku_89115/" TargetMode="External"/><Relationship Id="rId98" Type="http://schemas.openxmlformats.org/officeDocument/2006/relationships/hyperlink" Target="https://techelectro.ru/prod/cable-lugs/cu/tm/tm_16_6_6/" TargetMode="External"/><Relationship Id="rId829" Type="http://schemas.openxmlformats.org/officeDocument/2006/relationships/hyperlink" Target="https://techelectro.ru/prod/insulugs/screw_clamp/zvi-u/sku_87153/" TargetMode="External"/><Relationship Id="rId1873" Type="http://schemas.openxmlformats.org/officeDocument/2006/relationships/hyperlink" Target="https://techelectro.ru/prod/cable_kits_acs/tping/3tping-70-120/" TargetMode="External"/><Relationship Id="rId2924" Type="http://schemas.openxmlformats.org/officeDocument/2006/relationships/hyperlink" Target="https://techelectro.ru/prod/wiring-tools/crimpers_pgr/hdcrimp/pgr70br/sku_91807/" TargetMode="External"/><Relationship Id="rId1526" Type="http://schemas.openxmlformats.org/officeDocument/2006/relationships/hyperlink" Target="https://techelectro.ru/prod/cable-kits/muffs1kv/5-pktp-1/5pktp_b-1-150_240/" TargetMode="External"/><Relationship Id="rId1940" Type="http://schemas.openxmlformats.org/officeDocument/2006/relationships/hyperlink" Target="https://techelectro.ru/prod/cable_kits_acs/pml/sku_84294/" TargetMode="External"/><Relationship Id="rId3698" Type="http://schemas.openxmlformats.org/officeDocument/2006/relationships/hyperlink" Target="https://techelectro.ru/prod/electric-tools/grinders/gb20-125_ncs/sku_104538/" TargetMode="External"/><Relationship Id="rId4749" Type="http://schemas.openxmlformats.org/officeDocument/2006/relationships/hyperlink" Target="https://techelectro.ru/prod/ties/markers/u135r/u-135r/" TargetMode="External"/><Relationship Id="rId3765" Type="http://schemas.openxmlformats.org/officeDocument/2006/relationships/hyperlink" Target="https://techelectro.ru/prod/electric-tools/accessories/saw-blades/sbl165_48t/sku_109514/" TargetMode="External"/><Relationship Id="rId4816" Type="http://schemas.openxmlformats.org/officeDocument/2006/relationships/hyperlink" Target="https://techelectro.ru/prod/steel-ties/steel_ties-labels/sks/sks4h1003/" TargetMode="External"/><Relationship Id="rId686" Type="http://schemas.openxmlformats.org/officeDocument/2006/relationships/hyperlink" Target="https://techelectro.ru/prod/insulugs/iplug/rppim/sku_108596/" TargetMode="External"/><Relationship Id="rId2367" Type="http://schemas.openxmlformats.org/officeDocument/2006/relationships/hyperlink" Target="https://techelectro.ru/prod/hstubes/gluetube/ttk31/sku_91896/" TargetMode="External"/><Relationship Id="rId2781" Type="http://schemas.openxmlformats.org/officeDocument/2006/relationships/hyperlink" Target="https://techelectro.ru/prod/insulating/xs/sku_85382/" TargetMode="External"/><Relationship Id="rId3418" Type="http://schemas.openxmlformats.org/officeDocument/2006/relationships/hyperlink" Target="https://techelectro.ru/prod/wiring-tools/unwinding/hvltools/chmt/sku_109907/" TargetMode="External"/><Relationship Id="rId339" Type="http://schemas.openxmlformats.org/officeDocument/2006/relationships/hyperlink" Target="https://techelectro.ru/prod/cable-lugs/cu/gmlp/gmlp25/" TargetMode="External"/><Relationship Id="rId753" Type="http://schemas.openxmlformats.org/officeDocument/2006/relationships/hyperlink" Target="https://techelectro.ru/prod/insulugs/iplug/iplugnylonsets-rpipn/sku_91031/" TargetMode="External"/><Relationship Id="rId1383" Type="http://schemas.openxmlformats.org/officeDocument/2006/relationships/hyperlink" Target="https://techelectro.ru/prod/cable-kits/kits-ngls-10kv/1pkvt10ngls/1pkvt10-150-240_bngls/" TargetMode="External"/><Relationship Id="rId2434" Type="http://schemas.openxmlformats.org/officeDocument/2006/relationships/hyperlink" Target="https://techelectro.ru/prod/hstubes/gluetube/ttk31_green/sku_102433/" TargetMode="External"/><Relationship Id="rId3832" Type="http://schemas.openxmlformats.org/officeDocument/2006/relationships/hyperlink" Target="https://techelectro.ru/prod/metalworking-tools/ft_pumpliers/pumpliersft-250-praktik/sku_85283/" TargetMode="External"/><Relationship Id="rId406" Type="http://schemas.openxmlformats.org/officeDocument/2006/relationships/hyperlink" Target="https://techelectro.ru/prod/cable-lugs/al/tam/tam_25-8-7/" TargetMode="External"/><Relationship Id="rId1036" Type="http://schemas.openxmlformats.org/officeDocument/2006/relationships/hyperlink" Target="https://techelectro.ru/prod/e-connectors/nshvi2/sku_108935/" TargetMode="External"/><Relationship Id="rId820" Type="http://schemas.openxmlformats.org/officeDocument/2006/relationships/hyperlink" Target="https://techelectro.ru/prod/insulugs/siz_kiz/kiz/kiz1/" TargetMode="External"/><Relationship Id="rId1450" Type="http://schemas.openxmlformats.org/officeDocument/2006/relationships/hyperlink" Target="https://techelectro.ru/prod/cable-kits/muffs1kv/4kvntp1sold/sku_88771/" TargetMode="External"/><Relationship Id="rId2501" Type="http://schemas.openxmlformats.org/officeDocument/2006/relationships/hyperlink" Target="https://techelectro.ru/prod/hstubes/gluetube/sttk31/mttk55/" TargetMode="External"/><Relationship Id="rId5657" Type="http://schemas.openxmlformats.org/officeDocument/2006/relationships/hyperlink" Target="https://techelectro.ru/prod/metal-hose-fittings/fittings/vm90/vm90-15/" TargetMode="External"/><Relationship Id="rId1103" Type="http://schemas.openxmlformats.org/officeDocument/2006/relationships/hyperlink" Target="https://techelectro.ru/prod/clamps_wago-smk/smk_2273-204/sku_87654/" TargetMode="External"/><Relationship Id="rId4259" Type="http://schemas.openxmlformats.org/officeDocument/2006/relationships/hyperlink" Target="https://techelectro.ru/prod/abcarm/sealinslugs/gin-mjpt50n/sku_109216/" TargetMode="External"/><Relationship Id="rId4673" Type="http://schemas.openxmlformats.org/officeDocument/2006/relationships/hyperlink" Target="https://techelectro.ru/prod/ties/nylonties/ksg/ksg8x400yellow/" TargetMode="External"/><Relationship Id="rId5724" Type="http://schemas.openxmlformats.org/officeDocument/2006/relationships/hyperlink" Target="https://techelectro.ru/prod/metal-hose-fittings/fittings/stmv/stmv25/" TargetMode="External"/><Relationship Id="rId3275" Type="http://schemas.openxmlformats.org/officeDocument/2006/relationships/hyperlink" Target="https://techelectro.ru/prod/wiring-tools/boxtools/mpo_rectangle/mpo-46h55/" TargetMode="External"/><Relationship Id="rId4326" Type="http://schemas.openxmlformats.org/officeDocument/2006/relationships/hyperlink" Target="https://techelectro.ru/prod/digital_meters/multimeters/kt135a/sku_101562/" TargetMode="External"/><Relationship Id="rId4740" Type="http://schemas.openxmlformats.org/officeDocument/2006/relationships/hyperlink" Target="https://techelectro.ru/prod/ties/markers/mb/mb_50h25/" TargetMode="External"/><Relationship Id="rId196" Type="http://schemas.openxmlformats.org/officeDocument/2006/relationships/hyperlink" Target="https://techelectro.ru/prod/cable-lugs/cu/tmlr/sku_87457/" TargetMode="External"/><Relationship Id="rId2291" Type="http://schemas.openxmlformats.org/officeDocument/2006/relationships/hyperlink" Target="https://techelectro.ru/prod/hstubes/hstube/tut-hf/tut_hf10-5_red/" TargetMode="External"/><Relationship Id="rId3342" Type="http://schemas.openxmlformats.org/officeDocument/2006/relationships/hyperlink" Target="https://techelectro.ru/prod/wiring-tools/hdrtools/jack_hd_acs/kgr3/kgr-3/" TargetMode="External"/><Relationship Id="rId263" Type="http://schemas.openxmlformats.org/officeDocument/2006/relationships/hyperlink" Target="https://techelectro.ru/prod/cable-lugs/cu/tmls90/tmls_90_95-12/" TargetMode="External"/><Relationship Id="rId330" Type="http://schemas.openxmlformats.org/officeDocument/2006/relationships/hyperlink" Target="https://techelectro.ru/prod/cable-lugs/cu/gmldin/gmldin_400/" TargetMode="External"/><Relationship Id="rId2011" Type="http://schemas.openxmlformats.org/officeDocument/2006/relationships/hyperlink" Target="https://techelectro.ru/prod/ukpt_ogt/ukpt/ukpt200/" TargetMode="External"/><Relationship Id="rId5167" Type="http://schemas.openxmlformats.org/officeDocument/2006/relationships/hyperlink" Target="https://techelectro.ru/prod/cable_entry/cable_entry_metal/mgm/sku_87995/" TargetMode="External"/><Relationship Id="rId4183" Type="http://schemas.openxmlformats.org/officeDocument/2006/relationships/hyperlink" Target="https://techelectro.ru/prod/plumbing-tools/pipe_cutters/ntp32m/sku_104515/" TargetMode="External"/><Relationship Id="rId5581" Type="http://schemas.openxmlformats.org/officeDocument/2006/relationships/hyperlink" Target="https://techelectro.ru/prod/metal-hose-fittings/hose/mrn-inox/mrn-inox-15/" TargetMode="External"/><Relationship Id="rId1777" Type="http://schemas.openxmlformats.org/officeDocument/2006/relationships/hyperlink" Target="https://techelectro.ru/prod/cable-kits/muffs10kv/3pst6/3pst6-25-50_b/" TargetMode="External"/><Relationship Id="rId2828" Type="http://schemas.openxmlformats.org/officeDocument/2006/relationships/hyperlink" Target="https://techelectro.ru/prod/wiring-tools/crimpers/insulugs-crimp/sto/sku_90759/" TargetMode="External"/><Relationship Id="rId5234" Type="http://schemas.openxmlformats.org/officeDocument/2006/relationships/hyperlink" Target="https://techelectro.ru/prod/cable_entry/cable_entry_metal/vkt-m/sku_88250/" TargetMode="External"/><Relationship Id="rId69" Type="http://schemas.openxmlformats.org/officeDocument/2006/relationships/hyperlink" Target="https://techelectro.ru/prod/cable-lugs/cu/tml/tml_95-10-16/" TargetMode="External"/><Relationship Id="rId1844" Type="http://schemas.openxmlformats.org/officeDocument/2006/relationships/hyperlink" Target="https://techelectro.ru/prod/cable-kits/muffs-35kv/1pknt-35/1pknt35-150-240b/" TargetMode="External"/><Relationship Id="rId4250" Type="http://schemas.openxmlformats.org/officeDocument/2006/relationships/hyperlink" Target="https://techelectro.ru/prod/abcarm/sealinslugs/gif-mjpt50/sku_103151/" TargetMode="External"/><Relationship Id="rId5301" Type="http://schemas.openxmlformats.org/officeDocument/2006/relationships/hyperlink" Target="https://techelectro.ru/prod/cable_entry/cable_entry_metal/okm-m/sku_88668/" TargetMode="External"/><Relationship Id="rId1911" Type="http://schemas.openxmlformats.org/officeDocument/2006/relationships/hyperlink" Target="https://techelectro.ru/prod/cable_kits_acs/trm/sku_89429/" TargetMode="External"/><Relationship Id="rId3669" Type="http://schemas.openxmlformats.org/officeDocument/2006/relationships/hyperlink" Target="https://techelectro.ru/prod/vdetools/vde-sets/vde-wrench-sets/nik-r05/sku_105669/" TargetMode="External"/><Relationship Id="rId6075" Type="http://schemas.openxmlformats.org/officeDocument/2006/relationships/drawing" Target="../drawings/drawing1.xml"/><Relationship Id="rId5091" Type="http://schemas.openxmlformats.org/officeDocument/2006/relationships/hyperlink" Target="https://techelectro.ru/prod/strength-ties/screw-ties/plt-9_w2/sku_86219/" TargetMode="External"/><Relationship Id="rId1287" Type="http://schemas.openxmlformats.org/officeDocument/2006/relationships/hyperlink" Target="https://techelectro.ru/prod/cable-kits/kits-ngls-1kv/1pktb_ng_ls/1pktb1-150-240b_ng-ls/" TargetMode="External"/><Relationship Id="rId2685" Type="http://schemas.openxmlformats.org/officeDocument/2006/relationships/hyperlink" Target="https://techelectro.ru/prod/insulating/pvc19/pvc19green/" TargetMode="External"/><Relationship Id="rId3736" Type="http://schemas.openxmlformats.org/officeDocument/2006/relationships/hyperlink" Target="https://techelectro.ru/prod/electric-tools/batteries-chargers/b16-ch13a/sku_104546/" TargetMode="External"/><Relationship Id="rId657" Type="http://schemas.openxmlformats.org/officeDocument/2006/relationships/hyperlink" Target="https://techelectro.ru/prod/insulugs/iplug/rpip/rpip_6/" TargetMode="External"/><Relationship Id="rId2338" Type="http://schemas.openxmlformats.org/officeDocument/2006/relationships/hyperlink" Target="https://techelectro.ru/prod/hstubes/hstube/t-box-color/tbox8g/" TargetMode="External"/><Relationship Id="rId2752" Type="http://schemas.openxmlformats.org/officeDocument/2006/relationships/hyperlink" Target="https://techelectro.ru/prod/insulating/xp/sku_85363/" TargetMode="External"/><Relationship Id="rId3803" Type="http://schemas.openxmlformats.org/officeDocument/2006/relationships/hyperlink" Target="https://techelectro.ru/prod/metalworking-tools/ft_screwdrivers/screwdriversft/ft6_150/" TargetMode="External"/><Relationship Id="rId724" Type="http://schemas.openxmlformats.org/officeDocument/2006/relationships/hyperlink" Target="https://techelectro.ru/prod/insulugs/iplug/rshim/rshim_15/" TargetMode="External"/><Relationship Id="rId1354" Type="http://schemas.openxmlformats.org/officeDocument/2006/relationships/hyperlink" Target="https://techelectro.ru/prod/cable-kits/kits-ngls-1kv/pst-mini-ng_ls/3pstm-1_ngls/" TargetMode="External"/><Relationship Id="rId2405" Type="http://schemas.openxmlformats.org/officeDocument/2006/relationships/hyperlink" Target="https://techelectro.ru/prod/hstubes/gluetube/ttk31_clear/sku_85066/" TargetMode="External"/><Relationship Id="rId5975" Type="http://schemas.openxmlformats.org/officeDocument/2006/relationships/hyperlink" Target="https://techelectro.ru/prod/ground_wire/pz/sku_88368/" TargetMode="External"/><Relationship Id="rId60" Type="http://schemas.openxmlformats.org/officeDocument/2006/relationships/hyperlink" Target="https://techelectro.ru/prod/cable-lugs/cu/tml/tml_35-12-10/" TargetMode="External"/><Relationship Id="rId1007" Type="http://schemas.openxmlformats.org/officeDocument/2006/relationships/hyperlink" Target="https://techelectro.ru/prod/e-connectors/nshvi_euro/sku_108999/" TargetMode="External"/><Relationship Id="rId1421" Type="http://schemas.openxmlformats.org/officeDocument/2006/relationships/hyperlink" Target="https://techelectro.ru/prod/cable-kits/kits-ngls-10kv/3pst10_ng-ls/3pst-10-35_50_ng-ls/" TargetMode="External"/><Relationship Id="rId4577" Type="http://schemas.openxmlformats.org/officeDocument/2006/relationships/hyperlink" Target="https://techelectro.ru/prod/ties/nylonties/kss100-nord_white/sku_89935/" TargetMode="External"/><Relationship Id="rId4991" Type="http://schemas.openxmlformats.org/officeDocument/2006/relationships/hyperlink" Target="https://techelectro.ru/prod/strength-ties/screw-ties/pl9-w2/w2-110-130/" TargetMode="External"/><Relationship Id="rId5628" Type="http://schemas.openxmlformats.org/officeDocument/2006/relationships/hyperlink" Target="https://techelectro.ru/prod/metal-hose-fittings/fittings/vm/vm25/" TargetMode="External"/><Relationship Id="rId3179" Type="http://schemas.openxmlformats.org/officeDocument/2006/relationships/hyperlink" Target="https://techelectro.ru/prod/wiring-tools/strippers/wire-strip/ws7/ws-07/" TargetMode="External"/><Relationship Id="rId3593" Type="http://schemas.openxmlformats.org/officeDocument/2006/relationships/hyperlink" Target="https://techelectro.ru/prod/vdetools/vde-screwdrivers/vde-screwdrivers-slim/sku_103005/" TargetMode="External"/><Relationship Id="rId4644" Type="http://schemas.openxmlformats.org/officeDocument/2006/relationships/hyperlink" Target="https://techelectro.ru/prod/ties/nylonties/ksz/ksz8x400/" TargetMode="External"/><Relationship Id="rId2195" Type="http://schemas.openxmlformats.org/officeDocument/2006/relationships/hyperlink" Target="https://techelectro.ru/prod/hstubes/hstube/tutng/tutng3/" TargetMode="External"/><Relationship Id="rId3246" Type="http://schemas.openxmlformats.org/officeDocument/2006/relationships/hyperlink" Target="https://techelectro.ru/prod/wiring-tools/boxtools/singlempo/sku_61820/" TargetMode="External"/><Relationship Id="rId167" Type="http://schemas.openxmlformats.org/officeDocument/2006/relationships/hyperlink" Target="https://techelectro.ru/prod/cable-lugs/cu/tmlu/tmlu_120-10/" TargetMode="External"/><Relationship Id="rId581" Type="http://schemas.openxmlformats.org/officeDocument/2006/relationships/hyperlink" Target="https://techelectro.ru/prod/insulugs/ilugs/nvi/sku_108537/" TargetMode="External"/><Relationship Id="rId2262" Type="http://schemas.openxmlformats.org/officeDocument/2006/relationships/hyperlink" Target="https://techelectro.ru/prod/hstubes/hstube/tut-hf/tut_hf8-4_yellow/" TargetMode="External"/><Relationship Id="rId3660" Type="http://schemas.openxmlformats.org/officeDocument/2006/relationships/hyperlink" Target="https://techelectro.ru/prod/vdetools/vde-sets/vde-sets-nii/nii27/sku_92070/" TargetMode="External"/><Relationship Id="rId4711" Type="http://schemas.openxmlformats.org/officeDocument/2006/relationships/hyperlink" Target="https://techelectro.ru/prod/ties/dowel_clamps/dhp_10_5_white/dhp10x5/" TargetMode="External"/><Relationship Id="rId234" Type="http://schemas.openxmlformats.org/officeDocument/2006/relationships/hyperlink" Target="https://techelectro.ru/prod/cable-lugs/cu/nsp/nshp_95_25/" TargetMode="External"/><Relationship Id="rId3313" Type="http://schemas.openxmlformats.org/officeDocument/2006/relationships/hyperlink" Target="https://techelectro.ru/prod/wiring-tools/bustools/mpsho-110_oval/sku_85335/" TargetMode="External"/><Relationship Id="rId5485" Type="http://schemas.openxmlformats.org/officeDocument/2006/relationships/hyperlink" Target="https://techelectro.ru/prod/metal-hose-fittings/hose/mrping_grey/sku_88296/" TargetMode="External"/><Relationship Id="rId301" Type="http://schemas.openxmlformats.org/officeDocument/2006/relationships/hyperlink" Target="https://techelectro.ru/prod/cable-lugs/cu/gml/gml_2_5/" TargetMode="External"/><Relationship Id="rId4087" Type="http://schemas.openxmlformats.org/officeDocument/2006/relationships/hyperlink" Target="https://techelectro.ru/prod/protection-safety/bags_packs/s13/s-13/" TargetMode="External"/><Relationship Id="rId5138" Type="http://schemas.openxmlformats.org/officeDocument/2006/relationships/hyperlink" Target="https://techelectro.ru/prod/cable_entry/cable_entry_metal/mgm-inox/sku_89025/" TargetMode="External"/><Relationship Id="rId5552" Type="http://schemas.openxmlformats.org/officeDocument/2006/relationships/hyperlink" Target="https://techelectro.ru/prod/metal-hose-fittings/hose/mg-p/sku_88407/" TargetMode="External"/><Relationship Id="rId1748" Type="http://schemas.openxmlformats.org/officeDocument/2006/relationships/hyperlink" Target="https://techelectro.ru/prod/cable-kits/muffs10kv/3rkntp-10/sku_88121/" TargetMode="External"/><Relationship Id="rId4154" Type="http://schemas.openxmlformats.org/officeDocument/2006/relationships/hyperlink" Target="https://techelectro.ru/prod/protection-safety/safety/km/km-2/" TargetMode="External"/><Relationship Id="rId5205" Type="http://schemas.openxmlformats.org/officeDocument/2006/relationships/hyperlink" Target="https://techelectro.ru/prod/cable_entry/cable_entry_metal/pgm-inox/sku_83626/" TargetMode="External"/><Relationship Id="rId3170" Type="http://schemas.openxmlformats.org/officeDocument/2006/relationships/hyperlink" Target="https://techelectro.ru/prod/wiring-tools/strippers/wire-strip/ws01a/sku_102403/" TargetMode="External"/><Relationship Id="rId4221" Type="http://schemas.openxmlformats.org/officeDocument/2006/relationships/hyperlink" Target="https://techelectro.ru/prod/abcarm/pierce/is25/is-25/" TargetMode="External"/><Relationship Id="rId1815" Type="http://schemas.openxmlformats.org/officeDocument/2006/relationships/hyperlink" Target="https://techelectro.ru/prod/cable-kits/muffs10kv/3stp10/3stp10-70-120/" TargetMode="External"/><Relationship Id="rId3987" Type="http://schemas.openxmlformats.org/officeDocument/2006/relationships/hyperlink" Target="https://techelectro.ru/prod/construction_hydraulics/hydraulic_pullers/sg10/sg10/" TargetMode="External"/><Relationship Id="rId6046" Type="http://schemas.openxmlformats.org/officeDocument/2006/relationships/hyperlink" Target="https://techelectro.ru/prod/ground_wire/mzm-tng-ls/sku_88954/" TargetMode="External"/><Relationship Id="rId2589" Type="http://schemas.openxmlformats.org/officeDocument/2006/relationships/hyperlink" Target="https://techelectro.ru/prod/hstubes/highvoltagetube/ttsh10/ttsh10-75/" TargetMode="External"/><Relationship Id="rId975" Type="http://schemas.openxmlformats.org/officeDocument/2006/relationships/hyperlink" Target="https://techelectro.ru/prod/e-connectors/nshvi/sku_108915/" TargetMode="External"/><Relationship Id="rId2656" Type="http://schemas.openxmlformats.org/officeDocument/2006/relationships/hyperlink" Target="https://techelectro.ru/prod/hstubes/specialtube/tt200/tt-200-6_4-3_2/" TargetMode="External"/><Relationship Id="rId3707" Type="http://schemas.openxmlformats.org/officeDocument/2006/relationships/hyperlink" Target="https://techelectro.ru/prod/electric-tools/cordless-impact-wrenches/wb20-350/sku_104571/" TargetMode="External"/><Relationship Id="rId5062" Type="http://schemas.openxmlformats.org/officeDocument/2006/relationships/hyperlink" Target="https://techelectro.ru/prod/strength-ties/screw-ties/sr2/sr23-25w2/" TargetMode="External"/><Relationship Id="rId628" Type="http://schemas.openxmlformats.org/officeDocument/2006/relationships/hyperlink" Target="https://techelectro.ru/prod/insulugs/ilugs/nkit/sku_108569/" TargetMode="External"/><Relationship Id="rId1258" Type="http://schemas.openxmlformats.org/officeDocument/2006/relationships/hyperlink" Target="https://techelectro.ru/prod/cable-kits/kits-ngls-1kv/4_5pktp-1_ngls/4pktp_bng-ls1-25-50_b/" TargetMode="External"/><Relationship Id="rId1672" Type="http://schemas.openxmlformats.org/officeDocument/2006/relationships/hyperlink" Target="https://techelectro.ru/prod/cable-kits/muffs1kv/5pto-1/sku_101912/" TargetMode="External"/><Relationship Id="rId2309" Type="http://schemas.openxmlformats.org/officeDocument/2006/relationships/hyperlink" Target="https://techelectro.ru/prod/hstubes/hstube/tut-hf/sku_84977/" TargetMode="External"/><Relationship Id="rId2723" Type="http://schemas.openxmlformats.org/officeDocument/2006/relationships/hyperlink" Target="https://techelectro.ru/prod/insulating/xa/sku_106117/" TargetMode="External"/><Relationship Id="rId5879" Type="http://schemas.openxmlformats.org/officeDocument/2006/relationships/hyperlink" Target="https://techelectro.ru/prod/staples/smr15/smr_65-15/" TargetMode="External"/><Relationship Id="rId1325" Type="http://schemas.openxmlformats.org/officeDocument/2006/relationships/hyperlink" Target="https://techelectro.ru/prod/cable-kits/kits-ngls-1kv/4_5pst_ngls-1/4pstb1-150-240ngls/" TargetMode="External"/><Relationship Id="rId3497" Type="http://schemas.openxmlformats.org/officeDocument/2006/relationships/hyperlink" Target="https://techelectro.ru/prod/wiring-tools/hstools/gt11/sku_88067/" TargetMode="External"/><Relationship Id="rId4895" Type="http://schemas.openxmlformats.org/officeDocument/2006/relationships/hyperlink" Target="https://techelectro.ru/prod/steel-ties/steel_ties-labels/sksp304_50pcs/sku_103091/" TargetMode="External"/><Relationship Id="rId5946" Type="http://schemas.openxmlformats.org/officeDocument/2006/relationships/hyperlink" Target="https://techelectro.ru/prod/staples/kmp_black/sku_89338/" TargetMode="External"/><Relationship Id="rId31" Type="http://schemas.openxmlformats.org/officeDocument/2006/relationships/hyperlink" Target="https://techelectro.ru/prod/cable-lugs/cu/tmls/tmls_185_16/" TargetMode="External"/><Relationship Id="rId2099" Type="http://schemas.openxmlformats.org/officeDocument/2006/relationships/hyperlink" Target="https://techelectro.ru/prod/hstubes/hstube/tut_ng-ls_3_1/sku_85090/" TargetMode="External"/><Relationship Id="rId4548" Type="http://schemas.openxmlformats.org/officeDocument/2006/relationships/hyperlink" Target="https://techelectro.ru/prod/ties/nylonties/nss-black/sku_87783/" TargetMode="External"/><Relationship Id="rId4962" Type="http://schemas.openxmlformats.org/officeDocument/2006/relationships/hyperlink" Target="https://techelectro.ru/prod/strength-ties/screw-ties/pl9-w1/w1-40-60/" TargetMode="External"/><Relationship Id="rId3564" Type="http://schemas.openxmlformats.org/officeDocument/2006/relationships/hyperlink" Target="https://techelectro.ru/prod/vdetools/pliers/bentnoseexp200/sku_87101/" TargetMode="External"/><Relationship Id="rId4615" Type="http://schemas.openxmlformats.org/officeDocument/2006/relationships/hyperlink" Target="https://techelectro.ru/prod/ties/nylonties/kss-colors/kss4x200r/" TargetMode="External"/><Relationship Id="rId485" Type="http://schemas.openxmlformats.org/officeDocument/2006/relationships/hyperlink" Target="https://techelectro.ru/prod/insulugs/ilugs/nki/nki_1_5_5/" TargetMode="External"/><Relationship Id="rId2166" Type="http://schemas.openxmlformats.org/officeDocument/2006/relationships/hyperlink" Target="https://techelectro.ru/prod/hstubes/hstube/tnt_hf/sku_82997/" TargetMode="External"/><Relationship Id="rId2580" Type="http://schemas.openxmlformats.org/officeDocument/2006/relationships/hyperlink" Target="https://techelectro.ru/prod/hstubes/hstubeset/set_glue11/sku_85192/" TargetMode="External"/><Relationship Id="rId3217" Type="http://schemas.openxmlformats.org/officeDocument/2006/relationships/hyperlink" Target="https://techelectro.ru/prod/wiring-tools/strippers/knives/kf01/sku_104518/" TargetMode="External"/><Relationship Id="rId3631" Type="http://schemas.openxmlformats.org/officeDocument/2006/relationships/hyperlink" Target="https://techelectro.ru/prod/vdetools/vde-screwdrivers/ot-2/sku_87284/" TargetMode="External"/><Relationship Id="rId138" Type="http://schemas.openxmlformats.org/officeDocument/2006/relationships/hyperlink" Target="https://techelectro.ru/prod/cable-lugs/cu/tmldin/sku_92339/" TargetMode="External"/><Relationship Id="rId552" Type="http://schemas.openxmlformats.org/officeDocument/2006/relationships/hyperlink" Target="https://techelectro.ru/prod/insulugs/ilugs/nkin/sku_108533/" TargetMode="External"/><Relationship Id="rId1182" Type="http://schemas.openxmlformats.org/officeDocument/2006/relationships/hyperlink" Target="https://techelectro.ru/prod/bolt-lugs/wire10-240/nbel/1nb_10-25l/" TargetMode="External"/><Relationship Id="rId2233" Type="http://schemas.openxmlformats.org/officeDocument/2006/relationships/hyperlink" Target="https://techelectro.ru/prod/hstubes/hstube/tut_hf/sku_83016/" TargetMode="External"/><Relationship Id="rId5389" Type="http://schemas.openxmlformats.org/officeDocument/2006/relationships/hyperlink" Target="https://techelectro.ru/prod/waterproof_connections/mg_box_xl-4_ip68/sku_101764/" TargetMode="External"/><Relationship Id="rId205" Type="http://schemas.openxmlformats.org/officeDocument/2006/relationships/hyperlink" Target="https://techelectro.ru/prod/cable-lugs/cu/pm/sku_83597/" TargetMode="External"/><Relationship Id="rId2300" Type="http://schemas.openxmlformats.org/officeDocument/2006/relationships/hyperlink" Target="https://techelectro.ru/prod/hstubes/hstube/tut-hf/sku_84969/" TargetMode="External"/><Relationship Id="rId5456" Type="http://schemas.openxmlformats.org/officeDocument/2006/relationships/hyperlink" Target="https://techelectro.ru/prod/metal-hose-fittings/hose/mrping/sku_64848/" TargetMode="External"/><Relationship Id="rId1999" Type="http://schemas.openxmlformats.org/officeDocument/2006/relationships/hyperlink" Target="https://techelectro.ru/prod/ukpt_ogt/ogt-90_40/ogt9040/" TargetMode="External"/><Relationship Id="rId4058" Type="http://schemas.openxmlformats.org/officeDocument/2006/relationships/hyperlink" Target="https://techelectro.ru/prod/maintenance_tools/network_repair_tool/lan-4/sku_85935/" TargetMode="External"/><Relationship Id="rId4472" Type="http://schemas.openxmlformats.org/officeDocument/2006/relationships/hyperlink" Target="https://techelectro.ru/prod/ties/nylonties/nss/sku_89919/" TargetMode="External"/><Relationship Id="rId5109" Type="http://schemas.openxmlformats.org/officeDocument/2006/relationships/hyperlink" Target="https://techelectro.ru/prod/strength-ties/pipe-ties/thn/th_inox_-3_4/" TargetMode="External"/><Relationship Id="rId5870" Type="http://schemas.openxmlformats.org/officeDocument/2006/relationships/hyperlink" Target="https://techelectro.ru/prod/staples/smr15/smr_28-15/" TargetMode="External"/><Relationship Id="rId3074" Type="http://schemas.openxmlformats.org/officeDocument/2006/relationships/hyperlink" Target="https://techelectro.ru/prod/wiring-tools/cutters/wirecutters/mc7/sku_86619/" TargetMode="External"/><Relationship Id="rId4125" Type="http://schemas.openxmlformats.org/officeDocument/2006/relationships/hyperlink" Target="https://techelectro.ru/prod/protection-safety/cases/k-2/k2/" TargetMode="External"/><Relationship Id="rId5523" Type="http://schemas.openxmlformats.org/officeDocument/2006/relationships/hyperlink" Target="https://techelectro.ru/prod/metal-hose-fittings/hose/mrping-p_termo/sku_88492/" TargetMode="External"/><Relationship Id="rId1719" Type="http://schemas.openxmlformats.org/officeDocument/2006/relationships/hyperlink" Target="https://techelectro.ru/prod/cable-kits/muffs10kv/3pkvntp-10/3pkvtp10-70-120/" TargetMode="External"/><Relationship Id="rId2090" Type="http://schemas.openxmlformats.org/officeDocument/2006/relationships/hyperlink" Target="https://techelectro.ru/prod/hstubes/hstube/tutng-color/sku_102220/" TargetMode="External"/><Relationship Id="rId3141" Type="http://schemas.openxmlformats.org/officeDocument/2006/relationships/hyperlink" Target="https://techelectro.ru/prod/wiring-tools/cutters_din/steelcutters/tgs30/sku_89255/" TargetMode="External"/><Relationship Id="rId3958" Type="http://schemas.openxmlformats.org/officeDocument/2006/relationships/hyperlink" Target="https://techelectro.ru/prod/construction_hydraulics/jack/jack_hd/dgp/sku_84557/" TargetMode="External"/><Relationship Id="rId879" Type="http://schemas.openxmlformats.org/officeDocument/2006/relationships/hyperlink" Target="https://techelectro.ru/prod/insulugs/lighting_clamps/nk17s/sku_92040/" TargetMode="External"/><Relationship Id="rId5380" Type="http://schemas.openxmlformats.org/officeDocument/2006/relationships/hyperlink" Target="https://techelectro.ru/prod/cable_entry/cable_entry_plastic/kvp-m6-white/sku_88850/" TargetMode="External"/><Relationship Id="rId6017" Type="http://schemas.openxmlformats.org/officeDocument/2006/relationships/hyperlink" Target="https://techelectro.ru/prod/ground_wire/pzu/pzu-6-600/" TargetMode="External"/><Relationship Id="rId1576" Type="http://schemas.openxmlformats.org/officeDocument/2006/relationships/hyperlink" Target="https://techelectro.ru/prod/cable-kits/muffs1kv/2pst-1/2pst1-25-50_b/" TargetMode="External"/><Relationship Id="rId2974" Type="http://schemas.openxmlformats.org/officeDocument/2006/relationships/hyperlink" Target="https://techelectro.ru/prod/wiring-tools/crimpers_pgr/hv-crimpers/matrix_pg60t/a-40-5/" TargetMode="External"/><Relationship Id="rId5033" Type="http://schemas.openxmlformats.org/officeDocument/2006/relationships/hyperlink" Target="https://techelectro.ru/prod/strength-ties/screw-ties/sr/sr_26-28_w1/" TargetMode="External"/><Relationship Id="rId946" Type="http://schemas.openxmlformats.org/officeDocument/2006/relationships/hyperlink" Target="https://techelectro.ru/prod/e-connectors/nshvi/nshvi_6_0_18/" TargetMode="External"/><Relationship Id="rId1229" Type="http://schemas.openxmlformats.org/officeDocument/2006/relationships/hyperlink" Target="https://techelectro.ru/prod/bolt-lugs/wire300-800/nbt/4nbt400/" TargetMode="External"/><Relationship Id="rId1990" Type="http://schemas.openxmlformats.org/officeDocument/2006/relationships/hyperlink" Target="https://techelectro.ru/prod/cable_kits_acs/ku/ku4/" TargetMode="External"/><Relationship Id="rId2627" Type="http://schemas.openxmlformats.org/officeDocument/2006/relationships/hyperlink" Target="https://techelectro.ru/prod/hstubes/specialtube/tt-s_ng-ls/sku_83640/" TargetMode="External"/><Relationship Id="rId5100" Type="http://schemas.openxmlformats.org/officeDocument/2006/relationships/hyperlink" Target="https://techelectro.ru/prod/strength-ties/pipe-ties/thk/thk2-1_2/" TargetMode="External"/><Relationship Id="rId1643" Type="http://schemas.openxmlformats.org/officeDocument/2006/relationships/hyperlink" Target="https://techelectro.ru/prod/cable-kits/muffs1kv/pstk/pstk_1037/" TargetMode="External"/><Relationship Id="rId4799" Type="http://schemas.openxmlformats.org/officeDocument/2006/relationships/hyperlink" Target="https://techelectro.ru/prod/steel-ties/steel_ties-labels/sks/sks4h400/" TargetMode="External"/><Relationship Id="rId1710" Type="http://schemas.openxmlformats.org/officeDocument/2006/relationships/hyperlink" Target="https://techelectro.ru/prod/cable-kits/muffs10kv/1pknt10/1pknt10-500-630/" TargetMode="External"/><Relationship Id="rId4866" Type="http://schemas.openxmlformats.org/officeDocument/2006/relationships/hyperlink" Target="https://techelectro.ru/prod/steel-ties/steel_ties-labels/sksp/sksp4x350/" TargetMode="External"/><Relationship Id="rId5917" Type="http://schemas.openxmlformats.org/officeDocument/2006/relationships/hyperlink" Target="https://techelectro.ru/prod/staples/snk/snk-9/" TargetMode="External"/><Relationship Id="rId3468" Type="http://schemas.openxmlformats.org/officeDocument/2006/relationships/hyperlink" Target="https://techelectro.ru/prod/wiring-tools/unwinding/fishtape/fgp3_5mk/fgp3_5r-20mk/" TargetMode="External"/><Relationship Id="rId3882" Type="http://schemas.openxmlformats.org/officeDocument/2006/relationships/hyperlink" Target="https://techelectro.ru/prod/metalworking-tools/ft_endheads/nai04-22/sku_91083/" TargetMode="External"/><Relationship Id="rId4519" Type="http://schemas.openxmlformats.org/officeDocument/2006/relationships/hyperlink" Target="https://techelectro.ru/prod/ties/nylonties/kss_multilock_uv/sku_102317/" TargetMode="External"/><Relationship Id="rId4933" Type="http://schemas.openxmlformats.org/officeDocument/2006/relationships/hyperlink" Target="https://techelectro.ru/prod/steel-ties/steel_tape-brace/lks-rra_316/sku_89761/" TargetMode="External"/><Relationship Id="rId389" Type="http://schemas.openxmlformats.org/officeDocument/2006/relationships/hyperlink" Target="https://techelectro.ru/prod/cable-lugs/al/ta/ta_185-16-19/" TargetMode="External"/><Relationship Id="rId2484" Type="http://schemas.openxmlformats.org/officeDocument/2006/relationships/hyperlink" Target="https://techelectro.ru/prod/hstubes/gluetube/ttk41_inrolls/sku_106549/" TargetMode="External"/><Relationship Id="rId3535" Type="http://schemas.openxmlformats.org/officeDocument/2006/relationships/hyperlink" Target="https://techelectro.ru/prod/vdetools/pliers/sidecutters200ergoline/sku_105215/" TargetMode="External"/><Relationship Id="rId456" Type="http://schemas.openxmlformats.org/officeDocument/2006/relationships/hyperlink" Target="https://techelectro.ru/prod/cable-lugs/al/nsham/sku_89237/" TargetMode="External"/><Relationship Id="rId870" Type="http://schemas.openxmlformats.org/officeDocument/2006/relationships/hyperlink" Target="https://techelectro.ru/prod/insulugs/screw_clamp/shni/sku_87186/" TargetMode="External"/><Relationship Id="rId1086" Type="http://schemas.openxmlformats.org/officeDocument/2006/relationships/hyperlink" Target="https://techelectro.ru/prod/e-connectors/nshviset-k775-1/set_nshvi_k775-1/" TargetMode="External"/><Relationship Id="rId2137" Type="http://schemas.openxmlformats.org/officeDocument/2006/relationships/hyperlink" Target="https://techelectro.ru/prod/hstubes/hstube/tnt_hf/sku_82977/" TargetMode="External"/><Relationship Id="rId2551" Type="http://schemas.openxmlformats.org/officeDocument/2006/relationships/hyperlink" Target="https://techelectro.ru/prod/hstubes/hstubeset/monohrom/monohrom-2-1/" TargetMode="External"/><Relationship Id="rId109" Type="http://schemas.openxmlformats.org/officeDocument/2006/relationships/hyperlink" Target="https://techelectro.ru/prod/cable-lugs/cu/tm/tm_50_10_11/" TargetMode="External"/><Relationship Id="rId523" Type="http://schemas.openxmlformats.org/officeDocument/2006/relationships/hyperlink" Target="https://techelectro.ru/prod/insulugs/ilugs/nki_easyfix/sku_108550/" TargetMode="External"/><Relationship Id="rId1153" Type="http://schemas.openxmlformats.org/officeDocument/2006/relationships/hyperlink" Target="https://techelectro.ru/prod/bolt-lugs/wire10-240/nb/2nb_25-50/" TargetMode="External"/><Relationship Id="rId2204" Type="http://schemas.openxmlformats.org/officeDocument/2006/relationships/hyperlink" Target="https://techelectro.ru/prod/hstubes/hstube/tutng/tutng20/" TargetMode="External"/><Relationship Id="rId3602" Type="http://schemas.openxmlformats.org/officeDocument/2006/relationships/hyperlink" Target="https://techelectro.ru/prod/vdetools/vde-screwdrivers/vde-screwdrivers-slim/sku_103014/" TargetMode="External"/><Relationship Id="rId5774" Type="http://schemas.openxmlformats.org/officeDocument/2006/relationships/hyperlink" Target="https://techelectro.ru/prod/staples/smo_inox/smo_inox-14-15/" TargetMode="External"/><Relationship Id="rId1220" Type="http://schemas.openxmlformats.org/officeDocument/2006/relationships/hyperlink" Target="https://techelectro.ru/prod/bolt-lugs/wire300-800/6sbel/6sbe_300-400l/" TargetMode="External"/><Relationship Id="rId4376" Type="http://schemas.openxmlformats.org/officeDocument/2006/relationships/hyperlink" Target="https://techelectro.ru/prod/digital_meters/ecotesters/kt618/kt-618/" TargetMode="External"/><Relationship Id="rId4790" Type="http://schemas.openxmlformats.org/officeDocument/2006/relationships/hyperlink" Target="https://techelectro.ru/prod/steel-ties/steel_ties-labels/sks316/sks316-12x800/" TargetMode="External"/><Relationship Id="rId5427" Type="http://schemas.openxmlformats.org/officeDocument/2006/relationships/hyperlink" Target="https://techelectro.ru/prod/metal-hose-fittings/hose/mrping_nord-p/mrping_nord_38_p/" TargetMode="External"/><Relationship Id="rId5841" Type="http://schemas.openxmlformats.org/officeDocument/2006/relationships/hyperlink" Target="https://techelectro.ru/prod/staples/smdp/smd-p_48-50/" TargetMode="External"/><Relationship Id="rId3392" Type="http://schemas.openxmlformats.org/officeDocument/2006/relationships/hyperlink" Target="https://techelectro.ru/prod/wiring-tools/unwinding/hvltools/chm3/sku_109914/" TargetMode="External"/><Relationship Id="rId4029" Type="http://schemas.openxmlformats.org/officeDocument/2006/relationships/hyperlink" Target="https://techelectro.ru/prod/construction_hydraulics/flange_spreaders/rfn1054max/sku_109355/" TargetMode="External"/><Relationship Id="rId4443" Type="http://schemas.openxmlformats.org/officeDocument/2006/relationships/hyperlink" Target="https://techelectro.ru/prod/ties/nylonties/kss_multilock_white/sku_102312/" TargetMode="External"/><Relationship Id="rId3045" Type="http://schemas.openxmlformats.org/officeDocument/2006/relationships/hyperlink" Target="https://techelectro.ru/prod/wiring-tools/crimpers_pgr/hv-crimpers/matrix_pg100t/c-29-100t/" TargetMode="External"/><Relationship Id="rId4510" Type="http://schemas.openxmlformats.org/officeDocument/2006/relationships/hyperlink" Target="https://techelectro.ru/prod/ties/nylonties/kss-uv/kss9x920b/" TargetMode="External"/><Relationship Id="rId380" Type="http://schemas.openxmlformats.org/officeDocument/2006/relationships/hyperlink" Target="https://techelectro.ru/prod/cable-lugs/al/ta/ta_10-8-45/" TargetMode="External"/><Relationship Id="rId2061" Type="http://schemas.openxmlformats.org/officeDocument/2006/relationships/hyperlink" Target="https://techelectro.ru/prod/hstubes/hstube/tutng-color/sku_102191/" TargetMode="External"/><Relationship Id="rId3112" Type="http://schemas.openxmlformats.org/officeDocument/2006/relationships/hyperlink" Target="https://techelectro.ru/prod/wiring-tools/cutters/hdcutters/ngr85/ngr-85/" TargetMode="External"/><Relationship Id="rId5284" Type="http://schemas.openxmlformats.org/officeDocument/2006/relationships/hyperlink" Target="https://techelectro.ru/prod/cable_entry/cable_entry_metal/gpm/sku_88230/" TargetMode="External"/><Relationship Id="rId100" Type="http://schemas.openxmlformats.org/officeDocument/2006/relationships/hyperlink" Target="https://techelectro.ru/prod/cable-lugs/cu/tm/tm_25_6_7/" TargetMode="External"/><Relationship Id="rId2878" Type="http://schemas.openxmlformats.org/officeDocument/2006/relationships/hyperlink" Target="https://techelectro.ru/prod/wiring-tools/crimpers/insulugs-crimp/mpk5/mpk_05/" TargetMode="External"/><Relationship Id="rId3929" Type="http://schemas.openxmlformats.org/officeDocument/2006/relationships/hyperlink" Target="https://techelectro.ru/prod/construction_hydraulics/jack/jack_hd/dnp20/dn-20p12/" TargetMode="External"/><Relationship Id="rId1894" Type="http://schemas.openxmlformats.org/officeDocument/2006/relationships/hyperlink" Target="https://techelectro.ru/prod/cable_kits_acs/tpi/4tpi-25-50/" TargetMode="External"/><Relationship Id="rId2945" Type="http://schemas.openxmlformats.org/officeDocument/2006/relationships/hyperlink" Target="https://techelectro.ru/prod/wiring-tools/crimpers_pgr/hdcrimp/pgr10t/sku_92049/" TargetMode="External"/><Relationship Id="rId5351" Type="http://schemas.openxmlformats.org/officeDocument/2006/relationships/hyperlink" Target="https://techelectro.ru/prod/cable_entry/cable_entry_plastic/m/sku_88163/" TargetMode="External"/><Relationship Id="rId917" Type="http://schemas.openxmlformats.org/officeDocument/2006/relationships/hyperlink" Target="https://techelectro.ru/prod/insulugs/autoterminals/rga/sku_89503/" TargetMode="External"/><Relationship Id="rId1547" Type="http://schemas.openxmlformats.org/officeDocument/2006/relationships/hyperlink" Target="https://techelectro.ru/prod/cable-kits/muffs1kv/pktp_mini/5pktpb_mini_2-5_10/" TargetMode="External"/><Relationship Id="rId1961" Type="http://schemas.openxmlformats.org/officeDocument/2006/relationships/hyperlink" Target="https://techelectro.ru/prod/cable_kits_acs/kt/kt-s/" TargetMode="External"/><Relationship Id="rId5004" Type="http://schemas.openxmlformats.org/officeDocument/2006/relationships/hyperlink" Target="https://techelectro.ru/prod/strength-ties/screw-ties/pl9-w4/pl9-50-70w4/" TargetMode="External"/><Relationship Id="rId1614" Type="http://schemas.openxmlformats.org/officeDocument/2006/relationships/hyperlink" Target="https://techelectro.ru/prod/cable-kits/muffs1kv/4_5pst-1/sku_88746/" TargetMode="External"/><Relationship Id="rId4020" Type="http://schemas.openxmlformats.org/officeDocument/2006/relationships/hyperlink" Target="https://techelectro.ru/prod/construction_hydraulics/flange_spreaders/rf5-38/sku_87722/" TargetMode="External"/><Relationship Id="rId3786" Type="http://schemas.openxmlformats.org/officeDocument/2006/relationships/hyperlink" Target="https://techelectro.ru/prod/metalworking-tools/ft_pliers/minilongnoseft125/minilongnoseft-125/" TargetMode="External"/><Relationship Id="rId2388" Type="http://schemas.openxmlformats.org/officeDocument/2006/relationships/hyperlink" Target="https://techelectro.ru/prod/hstubes/gluetube/ttk_flex_3_1/sku_85211/" TargetMode="External"/><Relationship Id="rId3439" Type="http://schemas.openxmlformats.org/officeDocument/2006/relationships/hyperlink" Target="https://techelectro.ru/prod/wiring-tools/unwinding/fishtape/pet1-3/sku_89626/" TargetMode="External"/><Relationship Id="rId4837" Type="http://schemas.openxmlformats.org/officeDocument/2006/relationships/hyperlink" Target="https://techelectro.ru/prod/steel-ties/steel_ties-labels/sks316p/sks316p-4x600/" TargetMode="External"/><Relationship Id="rId3853" Type="http://schemas.openxmlformats.org/officeDocument/2006/relationships/hyperlink" Target="https://techelectro.ru/prod/metalworking-tools/ft_wrench/ntkp6/sku_91952/" TargetMode="External"/><Relationship Id="rId4904" Type="http://schemas.openxmlformats.org/officeDocument/2006/relationships/hyperlink" Target="https://techelectro.ru/prod/steel-ties/steel_ties-labels/sks2-316/sku_103069/" TargetMode="External"/><Relationship Id="rId774" Type="http://schemas.openxmlformats.org/officeDocument/2006/relationships/hyperlink" Target="https://techelectro.ru/prod/insulugs/iquick/gsin/sku_108628/" TargetMode="External"/><Relationship Id="rId1057" Type="http://schemas.openxmlformats.org/officeDocument/2006/relationships/hyperlink" Target="https://techelectro.ru/prod/e-connectors/nshv/nshv_1_5_8/" TargetMode="External"/><Relationship Id="rId2455" Type="http://schemas.openxmlformats.org/officeDocument/2006/relationships/hyperlink" Target="https://techelectro.ru/prod/hstubes/gluetube/ttk31_blue/sku_102425/" TargetMode="External"/><Relationship Id="rId3506" Type="http://schemas.openxmlformats.org/officeDocument/2006/relationships/hyperlink" Target="https://techelectro.ru/prod/wiring-tools/steeltiestools/tg1/tg-01/" TargetMode="External"/><Relationship Id="rId3920" Type="http://schemas.openxmlformats.org/officeDocument/2006/relationships/hyperlink" Target="https://techelectro.ru/prod/metalworking-tools/ft_cutters/nma250l/sku_102042/" TargetMode="External"/><Relationship Id="rId427" Type="http://schemas.openxmlformats.org/officeDocument/2006/relationships/hyperlink" Target="https://techelectro.ru/prod/cable-lugs/al/gam/sku_90840/" TargetMode="External"/><Relationship Id="rId841" Type="http://schemas.openxmlformats.org/officeDocument/2006/relationships/hyperlink" Target="https://techelectro.ru/prod/insulugs/screw_clamp/zvi-u/sku_109258/" TargetMode="External"/><Relationship Id="rId1471" Type="http://schemas.openxmlformats.org/officeDocument/2006/relationships/hyperlink" Target="https://techelectro.ru/prod/cable-kits/muffs1kv/2-pktp-1/2pktp-1-25_50_b/" TargetMode="External"/><Relationship Id="rId2108" Type="http://schemas.openxmlformats.org/officeDocument/2006/relationships/hyperlink" Target="https://techelectro.ru/prod/hstubes/hstube/tnt_hf/sku_84321/" TargetMode="External"/><Relationship Id="rId2522" Type="http://schemas.openxmlformats.org/officeDocument/2006/relationships/hyperlink" Target="https://techelectro.ru/prod/hstubes/gluetube/tt6x/tt6x-50/" TargetMode="External"/><Relationship Id="rId5678" Type="http://schemas.openxmlformats.org/officeDocument/2006/relationships/hyperlink" Target="https://techelectro.ru/prod/metal-hose-fittings/fittings/vm-l/sku_88857/" TargetMode="External"/><Relationship Id="rId1124" Type="http://schemas.openxmlformats.org/officeDocument/2006/relationships/hyperlink" Target="https://techelectro.ru/prod/clamps_wago-smk/222-2411_din/sku_109309/" TargetMode="External"/><Relationship Id="rId4694" Type="http://schemas.openxmlformats.org/officeDocument/2006/relationships/hyperlink" Target="https://techelectro.ru/prod/ties/nylonties/sv/ksv16x210r/" TargetMode="External"/><Relationship Id="rId5745" Type="http://schemas.openxmlformats.org/officeDocument/2006/relationships/hyperlink" Target="https://techelectro.ru/prod/metal-hose-fittings/fittings/mvpng/mvpng12/" TargetMode="External"/><Relationship Id="rId3296" Type="http://schemas.openxmlformats.org/officeDocument/2006/relationships/hyperlink" Target="https://techelectro.ru/prod/wiring-tools/bustools/mpsho-95/mpsho-10/" TargetMode="External"/><Relationship Id="rId4347" Type="http://schemas.openxmlformats.org/officeDocument/2006/relationships/hyperlink" Target="https://techelectro.ru/prod/digital_meters/testers_detectors/kt_107d/sku_86321/" TargetMode="External"/><Relationship Id="rId4761" Type="http://schemas.openxmlformats.org/officeDocument/2006/relationships/hyperlink" Target="https://techelectro.ru/prod/ties/markers/colorpro/colorpro/" TargetMode="External"/><Relationship Id="rId3363" Type="http://schemas.openxmlformats.org/officeDocument/2006/relationships/hyperlink" Target="https://techelectro.ru/prod/wiring-tools/unwinding/hvltools/mrb70/sku_106936/" TargetMode="External"/><Relationship Id="rId4414" Type="http://schemas.openxmlformats.org/officeDocument/2006/relationships/hyperlink" Target="https://techelectro.ru/prod/ties/nylonties/kss/kss8h300/" TargetMode="External"/><Relationship Id="rId5812" Type="http://schemas.openxmlformats.org/officeDocument/2006/relationships/hyperlink" Target="https://techelectro.ru/prod/staples/smd/smd_10-11/" TargetMode="External"/><Relationship Id="rId284" Type="http://schemas.openxmlformats.org/officeDocument/2006/relationships/hyperlink" Target="https://techelectro.ru/prod/cable-lugs/cu/tmls45/tmls_45_150-12/" TargetMode="External"/><Relationship Id="rId3016" Type="http://schemas.openxmlformats.org/officeDocument/2006/relationships/hyperlink" Target="https://techelectro.ru/prod/wiring-tools/crimpers_pgr/hv-crimpers/matrix_pg60t/msh-22-5/" TargetMode="External"/><Relationship Id="rId3430" Type="http://schemas.openxmlformats.org/officeDocument/2006/relationships/hyperlink" Target="https://techelectro.ru/prod/wiring-tools/unwinding/fishtape/stp4/stp4_10/" TargetMode="External"/><Relationship Id="rId5188" Type="http://schemas.openxmlformats.org/officeDocument/2006/relationships/hyperlink" Target="https://techelectro.ru/prod/cable_entry/cable_entry_metal/mgm-dl/sku_88633/" TargetMode="External"/><Relationship Id="rId351" Type="http://schemas.openxmlformats.org/officeDocument/2006/relationships/hyperlink" Target="https://techelectro.ru/prod/cable-lugs/cu/gmls/sku_88081/" TargetMode="External"/><Relationship Id="rId2032" Type="http://schemas.openxmlformats.org/officeDocument/2006/relationships/hyperlink" Target="https://techelectro.ru/prod/hstubes/hstube/tutng-color/sku_102162/" TargetMode="External"/><Relationship Id="rId1798" Type="http://schemas.openxmlformats.org/officeDocument/2006/relationships/hyperlink" Target="https://techelectro.ru/prod/cable-kits/muffs10kv/3pst10/sku_92351/" TargetMode="External"/><Relationship Id="rId2849" Type="http://schemas.openxmlformats.org/officeDocument/2006/relationships/hyperlink" Target="https://techelectro.ru/prod/wiring-tools/crimpers/insulugs-crimp/ctb/sku_85448/" TargetMode="External"/><Relationship Id="rId5255" Type="http://schemas.openxmlformats.org/officeDocument/2006/relationships/hyperlink" Target="https://techelectro.ru/prod/cable_entry/cable_entry_metal/vk-m-mr/sku_87950/" TargetMode="External"/><Relationship Id="rId1865" Type="http://schemas.openxmlformats.org/officeDocument/2006/relationships/hyperlink" Target="https://techelectro.ru/prod/cable_kits_acs/ekat-20/sku_89720/" TargetMode="External"/><Relationship Id="rId4271" Type="http://schemas.openxmlformats.org/officeDocument/2006/relationships/hyperlink" Target="https://techelectro.ru/prod/abcarm/sealinslugs/nim-cptau35/sku_109230/" TargetMode="External"/><Relationship Id="rId5322" Type="http://schemas.openxmlformats.org/officeDocument/2006/relationships/hyperlink" Target="https://techelectro.ru/prod/cable_entry/cable_entry_plastic/pg/sku_88165/" TargetMode="External"/><Relationship Id="rId1518" Type="http://schemas.openxmlformats.org/officeDocument/2006/relationships/hyperlink" Target="https://techelectro.ru/prod/cable-kits/muffs1kv/5-pktp-1/5pktp-1-150_240/" TargetMode="External"/><Relationship Id="rId2916" Type="http://schemas.openxmlformats.org/officeDocument/2006/relationships/hyperlink" Target="https://techelectro.ru/prod/wiring-tools/crimpers/conn-crimp/pkvk6t/sku_102038/" TargetMode="External"/><Relationship Id="rId1932" Type="http://schemas.openxmlformats.org/officeDocument/2006/relationships/hyperlink" Target="https://techelectro.ru/prod/cable_kits_acs/trma/trma_135/" TargetMode="External"/><Relationship Id="rId3757" Type="http://schemas.openxmlformats.org/officeDocument/2006/relationships/hyperlink" Target="https://techelectro.ru/prod/electric-tools/accessories/direct-fastening/ggn-nails_mg/sku_106198/" TargetMode="External"/><Relationship Id="rId4808" Type="http://schemas.openxmlformats.org/officeDocument/2006/relationships/hyperlink" Target="https://techelectro.ru/prod/steel-ties/steel_ties-labels/sks/sks7h350/" TargetMode="External"/><Relationship Id="rId678" Type="http://schemas.openxmlformats.org/officeDocument/2006/relationships/hyperlink" Target="https://techelectro.ru/prod/insulugs/iplug/rppim/rppim_15-63/" TargetMode="External"/><Relationship Id="rId2359" Type="http://schemas.openxmlformats.org/officeDocument/2006/relationships/hyperlink" Target="https://techelectro.ru/prod/hstubes/gluetube/ttk31/ttk31-9b/" TargetMode="External"/><Relationship Id="rId2773" Type="http://schemas.openxmlformats.org/officeDocument/2006/relationships/hyperlink" Target="https://techelectro.ru/prod/insulating/xs-mini/sku_90925/" TargetMode="External"/><Relationship Id="rId3824" Type="http://schemas.openxmlformats.org/officeDocument/2006/relationships/hyperlink" Target="https://techelectro.ru/prod/metalworking-tools/ft_screwdrivers/nb63ft/nb-63/" TargetMode="External"/><Relationship Id="rId745" Type="http://schemas.openxmlformats.org/officeDocument/2006/relationships/hyperlink" Target="https://techelectro.ru/prod/insulugs/iplug/iset-p280/iset-p-280/" TargetMode="External"/><Relationship Id="rId1375" Type="http://schemas.openxmlformats.org/officeDocument/2006/relationships/hyperlink" Target="https://techelectro.ru/prod/cable-kits/kits-ngls-10kv/1pkvt10ngls/1pkvt10-35-50ngls/" TargetMode="External"/><Relationship Id="rId2426" Type="http://schemas.openxmlformats.org/officeDocument/2006/relationships/hyperlink" Target="https://techelectro.ru/prod/hstubes/gluetube/ttk31_white/sku_84876/" TargetMode="External"/><Relationship Id="rId5996" Type="http://schemas.openxmlformats.org/officeDocument/2006/relationships/hyperlink" Target="https://techelectro.ru/prod/ground_wire/pz/pz_35-300/" TargetMode="External"/><Relationship Id="rId81" Type="http://schemas.openxmlformats.org/officeDocument/2006/relationships/hyperlink" Target="https://techelectro.ru/prod/cable-lugs/cu/tml/tml_185_12_21/" TargetMode="External"/><Relationship Id="rId812" Type="http://schemas.openxmlformats.org/officeDocument/2006/relationships/hyperlink" Target="https://techelectro.ru/prod/insulugs/siz_kiz/siz/sku_108950/" TargetMode="External"/><Relationship Id="rId1028" Type="http://schemas.openxmlformats.org/officeDocument/2006/relationships/hyperlink" Target="https://techelectro.ru/prod/e-connectors/nshvi2/sku_108927/" TargetMode="External"/><Relationship Id="rId1442" Type="http://schemas.openxmlformats.org/officeDocument/2006/relationships/hyperlink" Target="https://techelectro.ru/prod/cable-kits/kits-ngls-10kv/3stp10_ngls/3stp10-150-240_b_ngls/" TargetMode="External"/><Relationship Id="rId2840" Type="http://schemas.openxmlformats.org/officeDocument/2006/relationships/hyperlink" Target="https://techelectro.ru/prod/wiring-tools/crimpers/insulugs-crimp/ctb/sku_90971/" TargetMode="External"/><Relationship Id="rId4598" Type="http://schemas.openxmlformats.org/officeDocument/2006/relationships/hyperlink" Target="https://techelectro.ru/prod/ties/nylonties/kss100-nord_black/sku_89942/" TargetMode="External"/><Relationship Id="rId5649" Type="http://schemas.openxmlformats.org/officeDocument/2006/relationships/hyperlink" Target="https://techelectro.ru/prod/metal-hose-fittings/fittings/rk-n/sku_87892/" TargetMode="External"/><Relationship Id="rId3267" Type="http://schemas.openxmlformats.org/officeDocument/2006/relationships/hyperlink" Target="https://techelectro.ru/prod/wiring-tools/boxtools/mpo_square/mpo-68h68/" TargetMode="External"/><Relationship Id="rId4665" Type="http://schemas.openxmlformats.org/officeDocument/2006/relationships/hyperlink" Target="https://techelectro.ru/prod/ties/nylonties/ksov/kso_4h150/" TargetMode="External"/><Relationship Id="rId5716" Type="http://schemas.openxmlformats.org/officeDocument/2006/relationships/hyperlink" Target="https://techelectro.ru/prod/metal-hose-fittings/fittings/stmr/stmr15/" TargetMode="External"/><Relationship Id="rId188" Type="http://schemas.openxmlformats.org/officeDocument/2006/relationships/hyperlink" Target="https://techelectro.ru/prod/cable-lugs/cu/tmlr/sku_87481/" TargetMode="External"/><Relationship Id="rId3681" Type="http://schemas.openxmlformats.org/officeDocument/2006/relationships/hyperlink" Target="https://techelectro.ru/prod/vdetools/vde-sets/vde-wrench-sets/wrench20expert/sku_89755/" TargetMode="External"/><Relationship Id="rId4318" Type="http://schemas.openxmlformats.org/officeDocument/2006/relationships/hyperlink" Target="https://techelectro.ru/prod/digital_meters/multimeters/kt118e/sku_88548/" TargetMode="External"/><Relationship Id="rId4732" Type="http://schemas.openxmlformats.org/officeDocument/2006/relationships/hyperlink" Target="https://techelectro.ru/prod/ties/montage-acs/pms_40h40_white/pms40x40/" TargetMode="External"/><Relationship Id="rId2283" Type="http://schemas.openxmlformats.org/officeDocument/2006/relationships/hyperlink" Target="https://techelectro.ru/prod/hstubes/hstube/tut-hf/tut_hf40-20_green/" TargetMode="External"/><Relationship Id="rId3334" Type="http://schemas.openxmlformats.org/officeDocument/2006/relationships/hyperlink" Target="https://techelectro.ru/prod/wiring-tools/hdrtools/hdr_tools/pme7050-380/pme-7050-380/" TargetMode="External"/><Relationship Id="rId255" Type="http://schemas.openxmlformats.org/officeDocument/2006/relationships/hyperlink" Target="https://techelectro.ru/prod/cable-lugs/cu/tmls90/tmls_90_35-8/" TargetMode="External"/><Relationship Id="rId2350" Type="http://schemas.openxmlformats.org/officeDocument/2006/relationships/hyperlink" Target="https://techelectro.ru/prod/hstubes/gluetube/ttk21/sku_85082/" TargetMode="External"/><Relationship Id="rId3401" Type="http://schemas.openxmlformats.org/officeDocument/2006/relationships/hyperlink" Target="https://techelectro.ru/prod/wiring-tools/unwinding/hvltools/chm2s/sku_109867/" TargetMode="External"/><Relationship Id="rId322" Type="http://schemas.openxmlformats.org/officeDocument/2006/relationships/hyperlink" Target="https://techelectro.ru/prod/cable-lugs/cu/gmldin/gmldin_50/" TargetMode="External"/><Relationship Id="rId2003" Type="http://schemas.openxmlformats.org/officeDocument/2006/relationships/hyperlink" Target="https://techelectro.ru/prod/ukpt_ogt/ukpt/ukpt90-22/" TargetMode="External"/><Relationship Id="rId5159" Type="http://schemas.openxmlformats.org/officeDocument/2006/relationships/hyperlink" Target="https://techelectro.ru/prod/cable_entry/cable_entry_metal/mgm/sku_88613/" TargetMode="External"/><Relationship Id="rId5573" Type="http://schemas.openxmlformats.org/officeDocument/2006/relationships/hyperlink" Target="https://techelectro.ru/prod/metal-hose-fittings/hose/mrping-inox_p/sku_82615/" TargetMode="External"/><Relationship Id="rId4175" Type="http://schemas.openxmlformats.org/officeDocument/2006/relationships/hyperlink" Target="https://techelectro.ru/prod/plumbing-tools/battery_pipe_tool/nr32pex/sku_89618/" TargetMode="External"/><Relationship Id="rId5226" Type="http://schemas.openxmlformats.org/officeDocument/2006/relationships/hyperlink" Target="https://techelectro.ru/prod/cable_entry/cable_entry_metal/pgm-l/sku_88832/" TargetMode="External"/><Relationship Id="rId1769" Type="http://schemas.openxmlformats.org/officeDocument/2006/relationships/hyperlink" Target="https://techelectro.ru/prod/cable-kits/muffs10kv/3kntp-10/3kntp10-70-120/" TargetMode="External"/><Relationship Id="rId3191" Type="http://schemas.openxmlformats.org/officeDocument/2006/relationships/hyperlink" Target="https://techelectro.ru/prod/wiring-tools/strippers/wire-strip/ws-22t/sku_86599/" TargetMode="External"/><Relationship Id="rId4242" Type="http://schemas.openxmlformats.org/officeDocument/2006/relationships/hyperlink" Target="https://techelectro.ru/prod/abcarm/sealinslugs/gia-mjpb25/sku_103162/" TargetMode="External"/><Relationship Id="rId5640" Type="http://schemas.openxmlformats.org/officeDocument/2006/relationships/hyperlink" Target="https://techelectro.ru/prod/metal-hose-fittings/fittings/vm-m/sku_88909/" TargetMode="External"/><Relationship Id="rId1836" Type="http://schemas.openxmlformats.org/officeDocument/2006/relationships/hyperlink" Target="https://techelectro.ru/prod/cable-kits/muffs-35kv/1pst-20/1pst20-70-120b/" TargetMode="External"/><Relationship Id="rId1903" Type="http://schemas.openxmlformats.org/officeDocument/2006/relationships/hyperlink" Target="https://techelectro.ru/prod/cable_kits_acs/tpi-a/3tpia-150-240/" TargetMode="External"/><Relationship Id="rId6067" Type="http://schemas.openxmlformats.org/officeDocument/2006/relationships/hyperlink" Target="https://techelectro.ru/prod/ground_wire/uhz_inox/uhz_inox_100-120_w2/" TargetMode="External"/><Relationship Id="rId996" Type="http://schemas.openxmlformats.org/officeDocument/2006/relationships/hyperlink" Target="https://techelectro.ru/prod/e-connectors/nshvi_euro/sku_103207/" TargetMode="External"/><Relationship Id="rId2677" Type="http://schemas.openxmlformats.org/officeDocument/2006/relationships/hyperlink" Target="https://techelectro.ru/prod/insulating/pvc19master/sku_90812/" TargetMode="External"/><Relationship Id="rId3728" Type="http://schemas.openxmlformats.org/officeDocument/2006/relationships/hyperlink" Target="https://techelectro.ru/prod/electric-tools/power-saws/cbs20-04_ncs/sku_106047/" TargetMode="External"/><Relationship Id="rId5083" Type="http://schemas.openxmlformats.org/officeDocument/2006/relationships/hyperlink" Target="https://techelectro.ru/prod/strength-ties/screw-ties/sr2/sr131-139w2/" TargetMode="External"/><Relationship Id="rId649" Type="http://schemas.openxmlformats.org/officeDocument/2006/relationships/hyperlink" Target="https://techelectro.ru/prod/insulugs/ilugs/ilugsets-nshki/sku_91010/" TargetMode="External"/><Relationship Id="rId1279" Type="http://schemas.openxmlformats.org/officeDocument/2006/relationships/hyperlink" Target="https://techelectro.ru/prod/cable-kits/kits-ngls-1kv/1pkt_ng_ls/1pkt1-70-120b_ngls/" TargetMode="External"/><Relationship Id="rId5150" Type="http://schemas.openxmlformats.org/officeDocument/2006/relationships/hyperlink" Target="https://techelectro.ru/prod/cable_entry/cable_entry_metal/mgm/sku_87979/" TargetMode="External"/><Relationship Id="rId1346" Type="http://schemas.openxmlformats.org/officeDocument/2006/relationships/hyperlink" Target="https://techelectro.ru/prod/cable-kits/kits-ngls-1kv/1pstb_ngls/1pstb1-10-25b_ngls/" TargetMode="External"/><Relationship Id="rId1693" Type="http://schemas.openxmlformats.org/officeDocument/2006/relationships/hyperlink" Target="https://techelectro.ru/prod/cable-kits/muffs10kv/3pktp-6/3pktp6-150-240b/" TargetMode="External"/><Relationship Id="rId2744" Type="http://schemas.openxmlformats.org/officeDocument/2006/relationships/hyperlink" Target="https://techelectro.ru/prod/insulating/xp_mini/sku_90918/" TargetMode="External"/><Relationship Id="rId716" Type="http://schemas.openxmlformats.org/officeDocument/2006/relationships/hyperlink" Target="https://techelectro.ru/prod/insulugs/iplug/rfimn/rfimn_15/" TargetMode="External"/><Relationship Id="rId1760" Type="http://schemas.openxmlformats.org/officeDocument/2006/relationships/hyperlink" Target="https://techelectro.ru/prod/cable-kits/muffs10kv/3kvtp-10/3kvtp10-70-120_b1/" TargetMode="External"/><Relationship Id="rId2811" Type="http://schemas.openxmlformats.org/officeDocument/2006/relationships/hyperlink" Target="https://techelectro.ru/prod/wiring-tools/crimpers/insulugs-crimp/ctk/sku_85445/" TargetMode="External"/><Relationship Id="rId5967" Type="http://schemas.openxmlformats.org/officeDocument/2006/relationships/hyperlink" Target="https://techelectro.ru/prod/ground_wire/pz/pz_10-200/" TargetMode="External"/><Relationship Id="rId52" Type="http://schemas.openxmlformats.org/officeDocument/2006/relationships/hyperlink" Target="https://techelectro.ru/prod/cable-lugs/cu/tml/tml_25-8-7/" TargetMode="External"/><Relationship Id="rId1413" Type="http://schemas.openxmlformats.org/officeDocument/2006/relationships/hyperlink" Target="https://techelectro.ru/prod/cable-kits/kits-ngls-10kv/1pst10ngls/1pst10-500-630ngls/" TargetMode="External"/><Relationship Id="rId4569" Type="http://schemas.openxmlformats.org/officeDocument/2006/relationships/hyperlink" Target="https://techelectro.ru/prod/ties/nylonties/kss100-nord_white/kss_nord_4-300_white/" TargetMode="External"/><Relationship Id="rId4983" Type="http://schemas.openxmlformats.org/officeDocument/2006/relationships/hyperlink" Target="https://techelectro.ru/prod/strength-ties/screw-ties/pl9-w2/w2-32-50/" TargetMode="External"/><Relationship Id="rId3585" Type="http://schemas.openxmlformats.org/officeDocument/2006/relationships/hyperlink" Target="https://techelectro.ru/prod/vdetools/vde-screwdrivers/nio-08-s-profi/sku_87130/" TargetMode="External"/><Relationship Id="rId4636" Type="http://schemas.openxmlformats.org/officeDocument/2006/relationships/hyperlink" Target="https://techelectro.ru/prod/ties/nylonties/kss_magnetic/kss_magnetic_5_200/" TargetMode="External"/><Relationship Id="rId2187" Type="http://schemas.openxmlformats.org/officeDocument/2006/relationships/hyperlink" Target="https://techelectro.ru/prod/hstubes/hstube/tnt_ng-ls_colors/tntng168yg/" TargetMode="External"/><Relationship Id="rId3238" Type="http://schemas.openxmlformats.org/officeDocument/2006/relationships/hyperlink" Target="https://techelectro.ru/prod/wiring-tools/boxtools/singlempo/sku_65031/" TargetMode="External"/><Relationship Id="rId3652" Type="http://schemas.openxmlformats.org/officeDocument/2006/relationships/hyperlink" Target="https://techelectro.ru/prod/vdetools/vde-sets/vde-sets-nii/nii02/sku_105635/" TargetMode="External"/><Relationship Id="rId4703" Type="http://schemas.openxmlformats.org/officeDocument/2006/relationships/hyperlink" Target="https://techelectro.ru/prod/ties/nylonties/lmt/sku_107113/" TargetMode="External"/><Relationship Id="rId159" Type="http://schemas.openxmlformats.org/officeDocument/2006/relationships/hyperlink" Target="https://techelectro.ru/prod/cable-lugs/cu/tmlu/tmlu_35-6/" TargetMode="External"/><Relationship Id="rId573" Type="http://schemas.openxmlformats.org/officeDocument/2006/relationships/hyperlink" Target="https://techelectro.ru/prod/insulugs/ilugs/nvi/nvi_1_5_5/" TargetMode="External"/><Relationship Id="rId2254" Type="http://schemas.openxmlformats.org/officeDocument/2006/relationships/hyperlink" Target="https://techelectro.ru/prod/hstubes/hstube/tut-hf/tut_hf30-15_white/" TargetMode="External"/><Relationship Id="rId3305" Type="http://schemas.openxmlformats.org/officeDocument/2006/relationships/hyperlink" Target="https://techelectro.ru/prod/wiring-tools/bustools/mpsho-110/sku_85327/" TargetMode="External"/><Relationship Id="rId226" Type="http://schemas.openxmlformats.org/officeDocument/2006/relationships/hyperlink" Target="https://techelectro.ru/prod/cable-lugs/cu/nsp/nshp_25_12/" TargetMode="External"/><Relationship Id="rId1270" Type="http://schemas.openxmlformats.org/officeDocument/2006/relationships/hyperlink" Target="https://techelectro.ru/prod/cable-kits/kits-ngls-1kv/5pktp-1_ngls/5pktp_bng-ls1-25-50/" TargetMode="External"/><Relationship Id="rId5477" Type="http://schemas.openxmlformats.org/officeDocument/2006/relationships/hyperlink" Target="https://techelectro.ru/prod/metal-hose-fittings/hose/mrping_p/sku_65022/" TargetMode="External"/><Relationship Id="rId640" Type="http://schemas.openxmlformats.org/officeDocument/2006/relationships/hyperlink" Target="https://techelectro.ru/prod/insulugs/ilugs/ilugsets-nki/sku_91001/" TargetMode="External"/><Relationship Id="rId2321" Type="http://schemas.openxmlformats.org/officeDocument/2006/relationships/hyperlink" Target="https://techelectro.ru/prod/hstubes/hstube/t-box/tbox10/" TargetMode="External"/><Relationship Id="rId4079" Type="http://schemas.openxmlformats.org/officeDocument/2006/relationships/hyperlink" Target="https://techelectro.ru/prod/fixing_tools/tpk/sku_87970/" TargetMode="External"/><Relationship Id="rId5891" Type="http://schemas.openxmlformats.org/officeDocument/2006/relationships/hyperlink" Target="https://techelectro.ru/prod/staples/lmp/lmp20/" TargetMode="External"/><Relationship Id="rId4493" Type="http://schemas.openxmlformats.org/officeDocument/2006/relationships/hyperlink" Target="https://techelectro.ru/prod/ties/nylonties/kss-uv/kss5x400b/" TargetMode="External"/><Relationship Id="rId5544" Type="http://schemas.openxmlformats.org/officeDocument/2006/relationships/hyperlink" Target="https://techelectro.ru/prod/metal-hose-fittings/hose/mg-p/sku_88402/" TargetMode="External"/><Relationship Id="rId3095" Type="http://schemas.openxmlformats.org/officeDocument/2006/relationships/hyperlink" Target="https://techelectro.ru/prod/wiring-tools/cutters/sectioncutters/nst55/nst-55/" TargetMode="External"/><Relationship Id="rId4146" Type="http://schemas.openxmlformats.org/officeDocument/2006/relationships/hyperlink" Target="https://techelectro.ru/prod/protection-safety/safety/pm20/pm-20/" TargetMode="External"/><Relationship Id="rId4560" Type="http://schemas.openxmlformats.org/officeDocument/2006/relationships/hyperlink" Target="https://techelectro.ru/prod/ties/nylonties/nss-black/sku_89930/" TargetMode="External"/><Relationship Id="rId5611" Type="http://schemas.openxmlformats.org/officeDocument/2006/relationships/hyperlink" Target="https://techelectro.ru/prod/metal-hose-fittings/hose/r3ch/sku_88341/" TargetMode="External"/><Relationship Id="rId1807" Type="http://schemas.openxmlformats.org/officeDocument/2006/relationships/hyperlink" Target="https://techelectro.ru/prod/cable-kits/muffs10kv/3rst-10/sku_88138/" TargetMode="External"/><Relationship Id="rId3162" Type="http://schemas.openxmlformats.org/officeDocument/2006/relationships/hyperlink" Target="https://techelectro.ru/prod/wiring-tools/cutters_din/br-brg-cutters/brg_22/brg-22/" TargetMode="External"/><Relationship Id="rId4213" Type="http://schemas.openxmlformats.org/officeDocument/2006/relationships/hyperlink" Target="https://techelectro.ru/prod/abcarm/pierce/zpk/sku_108665/" TargetMode="External"/><Relationship Id="rId150" Type="http://schemas.openxmlformats.org/officeDocument/2006/relationships/hyperlink" Target="https://techelectro.ru/prod/cable-lugs/cu/tmldin/tml_din_240_16/" TargetMode="External"/><Relationship Id="rId3979" Type="http://schemas.openxmlformats.org/officeDocument/2006/relationships/hyperlink" Target="https://techelectro.ru/prod/construction_hydraulics/jack/jack_hd/da-pn50/sku_89194/" TargetMode="External"/><Relationship Id="rId6038" Type="http://schemas.openxmlformats.org/officeDocument/2006/relationships/hyperlink" Target="https://techelectro.ru/prod/ground_wire/pzu/pzu-25-700/" TargetMode="External"/><Relationship Id="rId2995" Type="http://schemas.openxmlformats.org/officeDocument/2006/relationships/hyperlink" Target="https://techelectro.ru/prod/wiring-tools/crimpers_pgr/hv-crimpers/matrix_pg60t/msh-16-5/" TargetMode="External"/><Relationship Id="rId5054" Type="http://schemas.openxmlformats.org/officeDocument/2006/relationships/hyperlink" Target="https://techelectro.ru/prod/strength-ties/screw-ties/sr/sr_140-148_w1/" TargetMode="External"/><Relationship Id="rId967" Type="http://schemas.openxmlformats.org/officeDocument/2006/relationships/hyperlink" Target="https://techelectro.ru/prod/e-connectors/nshvi/sku_108907/" TargetMode="External"/><Relationship Id="rId1597" Type="http://schemas.openxmlformats.org/officeDocument/2006/relationships/hyperlink" Target="https://techelectro.ru/prod/cable-kits/muffs1kv/3pst-1/sku_74662/" TargetMode="External"/><Relationship Id="rId2648" Type="http://schemas.openxmlformats.org/officeDocument/2006/relationships/hyperlink" Target="https://techelectro.ru/prod/hstubes/specialtube/tt175/tt175-4_8-2_4/" TargetMode="External"/><Relationship Id="rId1664" Type="http://schemas.openxmlformats.org/officeDocument/2006/relationships/hyperlink" Target="https://techelectro.ru/prod/cable-kits/muffs1kv/mko/sku_102570/" TargetMode="External"/><Relationship Id="rId2715" Type="http://schemas.openxmlformats.org/officeDocument/2006/relationships/hyperlink" Target="https://techelectro.ru/prod/insulating/bsp/bsp8/" TargetMode="External"/><Relationship Id="rId4070" Type="http://schemas.openxmlformats.org/officeDocument/2006/relationships/hyperlink" Target="https://techelectro.ru/prod/fixing_tools/sts4/sts-4/" TargetMode="External"/><Relationship Id="rId5121" Type="http://schemas.openxmlformats.org/officeDocument/2006/relationships/hyperlink" Target="https://techelectro.ru/prod/strength-ties/pipe-ties/thu/thu6/" TargetMode="External"/><Relationship Id="rId1317" Type="http://schemas.openxmlformats.org/officeDocument/2006/relationships/hyperlink" Target="https://techelectro.ru/prod/cable-kits/kits-ngls-1kv/4_5pst_ngls-1/4pst1-150-240ngls/" TargetMode="External"/><Relationship Id="rId1731" Type="http://schemas.openxmlformats.org/officeDocument/2006/relationships/hyperlink" Target="https://techelectro.ru/prod/cable-kits/muffs10kv/3pkntp-10/3pkntp10-150-240_b/" TargetMode="External"/><Relationship Id="rId4887" Type="http://schemas.openxmlformats.org/officeDocument/2006/relationships/hyperlink" Target="https://techelectro.ru/prod/steel-ties/steel_ties-labels/sksp/sksp4x1003/" TargetMode="External"/><Relationship Id="rId5938" Type="http://schemas.openxmlformats.org/officeDocument/2006/relationships/hyperlink" Target="https://techelectro.ru/prod/staples/fastener_black/sku_91053/" TargetMode="External"/><Relationship Id="rId23" Type="http://schemas.openxmlformats.org/officeDocument/2006/relationships/hyperlink" Target="https://techelectro.ru/prod/cable-lugs/cu/tmls/tmls_70_12/" TargetMode="External"/><Relationship Id="rId3489" Type="http://schemas.openxmlformats.org/officeDocument/2006/relationships/hyperlink" Target="https://techelectro.ru/prod/wiring-tools/hstools/tt2000led/sku_102933/" TargetMode="External"/><Relationship Id="rId3556" Type="http://schemas.openxmlformats.org/officeDocument/2006/relationships/hyperlink" Target="https://techelectro.ru/prod/vdetools/pliers/endstrippers/endstripper-160/" TargetMode="External"/><Relationship Id="rId4954" Type="http://schemas.openxmlformats.org/officeDocument/2006/relationships/hyperlink" Target="https://techelectro.ru/prod/strength-ties/screw-ties/pl9-w1/w1-10-16/" TargetMode="External"/><Relationship Id="rId477" Type="http://schemas.openxmlformats.org/officeDocument/2006/relationships/hyperlink" Target="https://techelectro.ru/prod/cable-lugs/clamps/u739m/sku_108499/" TargetMode="External"/><Relationship Id="rId2158" Type="http://schemas.openxmlformats.org/officeDocument/2006/relationships/hyperlink" Target="https://techelectro.ru/prod/hstubes/hstube/tnt_hf/sku_82994/" TargetMode="External"/><Relationship Id="rId3209" Type="http://schemas.openxmlformats.org/officeDocument/2006/relationships/hyperlink" Target="https://techelectro.ru/prod/wiring-tools/strippers/knives/nm1/nm-01/" TargetMode="External"/><Relationship Id="rId3970" Type="http://schemas.openxmlformats.org/officeDocument/2006/relationships/hyperlink" Target="https://techelectro.ru/prod/construction_hydraulics/jack/jack_hd/dgpg/sku_84585/" TargetMode="External"/><Relationship Id="rId4607" Type="http://schemas.openxmlformats.org/officeDocument/2006/relationships/hyperlink" Target="https://techelectro.ru/prod/ties/nylonties/kss100-nord_black/kss_nord_8-350_black/" TargetMode="External"/><Relationship Id="rId891" Type="http://schemas.openxmlformats.org/officeDocument/2006/relationships/hyperlink" Target="https://techelectro.ru/prod/insulugs/autoterminals/rp-p_1_0_2_8/sku_85670/" TargetMode="External"/><Relationship Id="rId2572" Type="http://schemas.openxmlformats.org/officeDocument/2006/relationships/hyperlink" Target="https://techelectro.ru/prod/hstubes/hstubeset/5_colors/sku_85297/" TargetMode="External"/><Relationship Id="rId3623" Type="http://schemas.openxmlformats.org/officeDocument/2006/relationships/hyperlink" Target="https://techelectro.ru/prod/vdetools/vde-screwdrivers/nio06mini/nio-06mini/" TargetMode="External"/><Relationship Id="rId544" Type="http://schemas.openxmlformats.org/officeDocument/2006/relationships/hyperlink" Target="https://techelectro.ru/prod/insulugs/ilugs/nkin/nkin_16_8/" TargetMode="External"/><Relationship Id="rId1174" Type="http://schemas.openxmlformats.org/officeDocument/2006/relationships/hyperlink" Target="https://techelectro.ru/prod/bolt-lugs/wire10-240/nbe/2nbe_70-120/" TargetMode="External"/><Relationship Id="rId2225" Type="http://schemas.openxmlformats.org/officeDocument/2006/relationships/hyperlink" Target="https://techelectro.ru/prod/hstubes/hstube/ygtutng/tutng20-10/" TargetMode="External"/><Relationship Id="rId5795" Type="http://schemas.openxmlformats.org/officeDocument/2006/relationships/hyperlink" Target="https://techelectro.ru/prod/staples/smo/smo_12_13/" TargetMode="External"/><Relationship Id="rId611" Type="http://schemas.openxmlformats.org/officeDocument/2006/relationships/hyperlink" Target="https://techelectro.ru/prod/insulugs/ilugs/nshpi/nshpi_6-14/" TargetMode="External"/><Relationship Id="rId1241" Type="http://schemas.openxmlformats.org/officeDocument/2006/relationships/hyperlink" Target="https://techelectro.ru/prod/cable-kits/kits-ngls-1kv/3_kvntp-1_ngls/3kvntpngls1-150-240/" TargetMode="External"/><Relationship Id="rId4397" Type="http://schemas.openxmlformats.org/officeDocument/2006/relationships/hyperlink" Target="https://techelectro.ru/prod/ties/nylonties/kss/sku_89893/" TargetMode="External"/><Relationship Id="rId5448" Type="http://schemas.openxmlformats.org/officeDocument/2006/relationships/hyperlink" Target="https://techelectro.ru/prod/metal-hose-fittings/hose/r3cpnglsp/r3cpngls_18_s_protyazhkoj/" TargetMode="External"/><Relationship Id="rId5862" Type="http://schemas.openxmlformats.org/officeDocument/2006/relationships/hyperlink" Target="https://techelectro.ru/prod/staples/smr15/sku_103925/" TargetMode="External"/><Relationship Id="rId4464" Type="http://schemas.openxmlformats.org/officeDocument/2006/relationships/hyperlink" Target="https://techelectro.ru/prod/ties/nylonties/nss/sku_84807/" TargetMode="External"/><Relationship Id="rId5515" Type="http://schemas.openxmlformats.org/officeDocument/2006/relationships/hyperlink" Target="https://techelectro.ru/prod/metal-hose-fittings/hose/mrping-diesel_p/sku_88458/" TargetMode="External"/><Relationship Id="rId3066" Type="http://schemas.openxmlformats.org/officeDocument/2006/relationships/hyperlink" Target="https://techelectro.ru/prod/wiring-tools/crimpers_pgr/hv-crimpers/matrix_pg100t/msh-22-5c-100t/" TargetMode="External"/><Relationship Id="rId3480" Type="http://schemas.openxmlformats.org/officeDocument/2006/relationships/hyperlink" Target="https://techelectro.ru/prod/wiring-tools/unwinding/fishtape/fgp6mk/sku_79048/" TargetMode="External"/><Relationship Id="rId4117" Type="http://schemas.openxmlformats.org/officeDocument/2006/relationships/hyperlink" Target="https://techelectro.ru/prod/protection-safety/bags_packs/sm14/sku_102653/" TargetMode="External"/><Relationship Id="rId4531" Type="http://schemas.openxmlformats.org/officeDocument/2006/relationships/hyperlink" Target="https://techelectro.ru/prod/ties/nylonties/kss_outlock_black/sku_111519/" TargetMode="External"/><Relationship Id="rId2082" Type="http://schemas.openxmlformats.org/officeDocument/2006/relationships/hyperlink" Target="https://techelectro.ru/prod/hstubes/hstube/tutng-color/sku_102212/" TargetMode="External"/><Relationship Id="rId3133" Type="http://schemas.openxmlformats.org/officeDocument/2006/relationships/hyperlink" Target="https://techelectro.ru/prod/wiring-tools/cutters_din/steelcutters/tr10/tr-10/" TargetMode="External"/><Relationship Id="rId2899" Type="http://schemas.openxmlformats.org/officeDocument/2006/relationships/hyperlink" Target="https://techelectro.ru/prod/wiring-tools/crimpers/mechcrimp/pmu120/pmu-120/" TargetMode="External"/><Relationship Id="rId3200" Type="http://schemas.openxmlformats.org/officeDocument/2006/relationships/hyperlink" Target="https://techelectro.ru/prod/wiring-tools/strippers/xlpe-strip/fbs-ims/sku_101905/" TargetMode="External"/><Relationship Id="rId121" Type="http://schemas.openxmlformats.org/officeDocument/2006/relationships/hyperlink" Target="https://techelectro.ru/prod/cable-lugs/cu/tm/tm_240_20_24/" TargetMode="External"/><Relationship Id="rId2966" Type="http://schemas.openxmlformats.org/officeDocument/2006/relationships/hyperlink" Target="https://techelectro.ru/prod/wiring-tools/crimpers_pgr/hv-crimpers/pg60tonn/pg60_tonn/" TargetMode="External"/><Relationship Id="rId5372" Type="http://schemas.openxmlformats.org/officeDocument/2006/relationships/hyperlink" Target="https://techelectro.ru/prod/cable_entry/cable_entry_plastic/okp-m/sku_88672/" TargetMode="External"/><Relationship Id="rId6009" Type="http://schemas.openxmlformats.org/officeDocument/2006/relationships/hyperlink" Target="https://techelectro.ru/prod/ground_wire/pzu/pzu-6-308/" TargetMode="External"/><Relationship Id="rId938" Type="http://schemas.openxmlformats.org/officeDocument/2006/relationships/hyperlink" Target="https://techelectro.ru/prod/e-connectors/nshvi/sku_92305/" TargetMode="External"/><Relationship Id="rId1568" Type="http://schemas.openxmlformats.org/officeDocument/2006/relationships/hyperlink" Target="https://techelectro.ru/prod/cable-kits/muffs1kv/3stp1sold/sku_88790/" TargetMode="External"/><Relationship Id="rId2619" Type="http://schemas.openxmlformats.org/officeDocument/2006/relationships/hyperlink" Target="https://techelectro.ru/prod/hstubes/specialtube/tt-auto/sku_88182/" TargetMode="External"/><Relationship Id="rId5025" Type="http://schemas.openxmlformats.org/officeDocument/2006/relationships/hyperlink" Target="https://techelectro.ru/prod/strength-ties/screw-ties/pl12-w2/pl-12_120-140_w2/" TargetMode="External"/><Relationship Id="rId1635" Type="http://schemas.openxmlformats.org/officeDocument/2006/relationships/hyperlink" Target="https://techelectro.ru/prod/cable-kits/muffs1kv/5pst-1/5pstb1-150-240_b/" TargetMode="External"/><Relationship Id="rId1982" Type="http://schemas.openxmlformats.org/officeDocument/2006/relationships/hyperlink" Target="https://techelectro.ru/prod/cable_kits_acs/kmpb/sku_92172/" TargetMode="External"/><Relationship Id="rId4041" Type="http://schemas.openxmlformats.org/officeDocument/2006/relationships/hyperlink" Target="https://techelectro.ru/prod/maintenance_tools/rj-crimp/jt01a/jt-01a/" TargetMode="External"/><Relationship Id="rId1702" Type="http://schemas.openxmlformats.org/officeDocument/2006/relationships/hyperlink" Target="https://techelectro.ru/prod/cable-kits/muffs10kv/1pkvt-10/1pkvt10-150-240_b/" TargetMode="External"/><Relationship Id="rId4858" Type="http://schemas.openxmlformats.org/officeDocument/2006/relationships/hyperlink" Target="https://techelectro.ru/prod/steel-ties/steel_ties-labels/sks316p-red/sksp_316_7_9x200-red/" TargetMode="External"/><Relationship Id="rId5909" Type="http://schemas.openxmlformats.org/officeDocument/2006/relationships/hyperlink" Target="https://techelectro.ru/prod/staples/spp/spp_7/" TargetMode="External"/><Relationship Id="rId3874" Type="http://schemas.openxmlformats.org/officeDocument/2006/relationships/hyperlink" Target="https://techelectro.ru/prod/metalworking-tools/ft_wrench/ratchet-wrench-joint-piece/ratchet-wrench-joint-piece-19/" TargetMode="External"/><Relationship Id="rId4925" Type="http://schemas.openxmlformats.org/officeDocument/2006/relationships/hyperlink" Target="https://techelectro.ru/prod/steel-ties/steel_ties-labels/mbs316_89-10/mbs316_89x10/" TargetMode="External"/><Relationship Id="rId795" Type="http://schemas.openxmlformats.org/officeDocument/2006/relationships/hyperlink" Target="https://techelectro.ru/prod/insulugs/iquick/iquicksets-gsi/sku_91016/" TargetMode="External"/><Relationship Id="rId2476" Type="http://schemas.openxmlformats.org/officeDocument/2006/relationships/hyperlink" Target="https://techelectro.ru/prod/hstubes/gluetube/ttk41/sku_84882/" TargetMode="External"/><Relationship Id="rId2890" Type="http://schemas.openxmlformats.org/officeDocument/2006/relationships/hyperlink" Target="https://techelectro.ru/prod/wiring-tools/crimpers/insulugs-crimp/mpk18/sku_85444/" TargetMode="External"/><Relationship Id="rId3527" Type="http://schemas.openxmlformats.org/officeDocument/2006/relationships/hyperlink" Target="https://techelectro.ru/prod/wiring-tools/bags_sets/nie12/sku_89264/" TargetMode="External"/><Relationship Id="rId3941" Type="http://schemas.openxmlformats.org/officeDocument/2006/relationships/hyperlink" Target="https://techelectro.ru/prod/construction_hydraulics/jack/jack_hd/dgp/dg-10p150/" TargetMode="External"/><Relationship Id="rId448" Type="http://schemas.openxmlformats.org/officeDocument/2006/relationships/hyperlink" Target="https://techelectro.ru/prod/cable-lugs/al/gam/sku_90858/" TargetMode="External"/><Relationship Id="rId862" Type="http://schemas.openxmlformats.org/officeDocument/2006/relationships/hyperlink" Target="https://techelectro.ru/prod/insulugs/screw_clamp/kzvi/sku_87182/" TargetMode="External"/><Relationship Id="rId1078" Type="http://schemas.openxmlformats.org/officeDocument/2006/relationships/hyperlink" Target="https://techelectro.ru/prod/e-connectors/nshviset5/set5-nshvi/" TargetMode="External"/><Relationship Id="rId1492" Type="http://schemas.openxmlformats.org/officeDocument/2006/relationships/hyperlink" Target="https://techelectro.ru/prod/cable-kits/muffs1kv/3-pktp-1/3pktp_b-1-35_50_b/" TargetMode="External"/><Relationship Id="rId2129" Type="http://schemas.openxmlformats.org/officeDocument/2006/relationships/hyperlink" Target="https://techelectro.ru/prod/hstubes/hstube/tnt_hf/sku_82960/" TargetMode="External"/><Relationship Id="rId2543" Type="http://schemas.openxmlformats.org/officeDocument/2006/relationships/hyperlink" Target="https://techelectro.ru/prod/hstubes/hstubeset/germokomplekt/sku_89778/" TargetMode="External"/><Relationship Id="rId5699" Type="http://schemas.openxmlformats.org/officeDocument/2006/relationships/hyperlink" Target="https://techelectro.ru/prod/metal-hose-fittings/fittings/stm/stm20/" TargetMode="External"/><Relationship Id="rId6000" Type="http://schemas.openxmlformats.org/officeDocument/2006/relationships/hyperlink" Target="https://techelectro.ru/prod/ground_wire/pz/pz_35-800/" TargetMode="External"/><Relationship Id="rId515" Type="http://schemas.openxmlformats.org/officeDocument/2006/relationships/hyperlink" Target="https://techelectro.ru/prod/insulugs/ilugs/nki_easyfix/sku_90893/" TargetMode="External"/><Relationship Id="rId1145" Type="http://schemas.openxmlformats.org/officeDocument/2006/relationships/hyperlink" Target="https://techelectro.ru/prod/clamps_wago-smk/smk-2273/sku_90370/" TargetMode="External"/><Relationship Id="rId5766" Type="http://schemas.openxmlformats.org/officeDocument/2006/relationships/hyperlink" Target="https://techelectro.ru/prod/metal-hose-fittings/fittings/krvt/krvt32/" TargetMode="External"/><Relationship Id="rId1212" Type="http://schemas.openxmlformats.org/officeDocument/2006/relationships/hyperlink" Target="https://techelectro.ru/prod/bolt-lugs/wire300-800/3nbe/3nbe_300-400/" TargetMode="External"/><Relationship Id="rId2610" Type="http://schemas.openxmlformats.org/officeDocument/2006/relationships/hyperlink" Target="https://techelectro.ru/prod/hstubes/highvoltagetube/tst/tst-24/" TargetMode="External"/><Relationship Id="rId4368" Type="http://schemas.openxmlformats.org/officeDocument/2006/relationships/hyperlink" Target="https://techelectro.ru/prod/digital_meters/ecotesters/eco4/eco-4/" TargetMode="External"/><Relationship Id="rId5419" Type="http://schemas.openxmlformats.org/officeDocument/2006/relationships/hyperlink" Target="https://techelectro.ru/prod/metal-hose-fittings/hose/mrping_nord-p/mrping_nord_12_p/" TargetMode="External"/><Relationship Id="rId4782" Type="http://schemas.openxmlformats.org/officeDocument/2006/relationships/hyperlink" Target="https://techelectro.ru/prod/steel-ties/steel_ties-labels/sks316/sks316-7x500/" TargetMode="External"/><Relationship Id="rId5833" Type="http://schemas.openxmlformats.org/officeDocument/2006/relationships/hyperlink" Target="https://techelectro.ru/prod/staples/smdp/sku_62979/" TargetMode="External"/><Relationship Id="rId3037" Type="http://schemas.openxmlformats.org/officeDocument/2006/relationships/hyperlink" Target="https://techelectro.ru/prod/wiring-tools/crimpers_pgr/hv-crimpers/matrix_pg100t/c-19-100t/" TargetMode="External"/><Relationship Id="rId3384" Type="http://schemas.openxmlformats.org/officeDocument/2006/relationships/hyperlink" Target="https://techelectro.ru/prod/wiring-tools/unwinding/hvltools/chms/sku_109879/" TargetMode="External"/><Relationship Id="rId4435" Type="http://schemas.openxmlformats.org/officeDocument/2006/relationships/hyperlink" Target="https://techelectro.ru/prod/ties/nylonties/kss_multilock_white/sku_102304/" TargetMode="External"/><Relationship Id="rId5900" Type="http://schemas.openxmlformats.org/officeDocument/2006/relationships/hyperlink" Target="https://techelectro.ru/prod/staples/spk/sku_103936/" TargetMode="External"/><Relationship Id="rId3451" Type="http://schemas.openxmlformats.org/officeDocument/2006/relationships/hyperlink" Target="https://techelectro.ru/prod/wiring-tools/unwinding/fishtape/pet3-6mk/pet6_30mk/" TargetMode="External"/><Relationship Id="rId4502" Type="http://schemas.openxmlformats.org/officeDocument/2006/relationships/hyperlink" Target="https://techelectro.ru/prod/ties/nylonties/kss-uv/kss8x500b/" TargetMode="External"/><Relationship Id="rId372" Type="http://schemas.openxmlformats.org/officeDocument/2006/relationships/hyperlink" Target="https://techelectro.ru/prod/cable-lugs/cu/lugset-gmlo/set-gmlo1_5-2_5/" TargetMode="External"/><Relationship Id="rId2053" Type="http://schemas.openxmlformats.org/officeDocument/2006/relationships/hyperlink" Target="https://techelectro.ru/prod/hstubes/hstube/tutng-color/sku_102183/" TargetMode="External"/><Relationship Id="rId3104" Type="http://schemas.openxmlformats.org/officeDocument/2006/relationships/hyperlink" Target="https://techelectro.ru/prod/wiring-tools/cutters/sectioncutters/nsa70/sku_104522/" TargetMode="External"/><Relationship Id="rId2120" Type="http://schemas.openxmlformats.org/officeDocument/2006/relationships/hyperlink" Target="https://techelectro.ru/prod/hstubes/hstube/tnt_hf/sku_84985/" TargetMode="External"/><Relationship Id="rId5276" Type="http://schemas.openxmlformats.org/officeDocument/2006/relationships/hyperlink" Target="https://techelectro.ru/prod/cable_entry/cable_entry_metal/mpl-m_reduce/sku_89604/" TargetMode="External"/><Relationship Id="rId5690" Type="http://schemas.openxmlformats.org/officeDocument/2006/relationships/hyperlink" Target="https://techelectro.ru/prod/metal-hose-fittings/fittings/stmr_inox/sku_83764/" TargetMode="External"/><Relationship Id="rId4292" Type="http://schemas.openxmlformats.org/officeDocument/2006/relationships/hyperlink" Target="https://techelectro.ru/prod/abcarm/abctools/mkz/mkz-3/" TargetMode="External"/><Relationship Id="rId5343" Type="http://schemas.openxmlformats.org/officeDocument/2006/relationships/hyperlink" Target="https://techelectro.ru/prod/cable_entry/cable_entry_plastic/m/sku_88159/" TargetMode="External"/><Relationship Id="rId1886" Type="http://schemas.openxmlformats.org/officeDocument/2006/relationships/hyperlink" Target="https://techelectro.ru/prod/cable_kits_acs/tpi-mini/sku_84673/" TargetMode="External"/><Relationship Id="rId2937" Type="http://schemas.openxmlformats.org/officeDocument/2006/relationships/hyperlink" Target="https://techelectro.ru/prod/wiring-tools/crimpers_pgr/hdcrimp/pgr300/pgr-300/" TargetMode="External"/><Relationship Id="rId909" Type="http://schemas.openxmlformats.org/officeDocument/2006/relationships/hyperlink" Target="https://techelectro.ru/prod/insulugs/autoterminals/gs_2_5/sku_85675/" TargetMode="External"/><Relationship Id="rId1539" Type="http://schemas.openxmlformats.org/officeDocument/2006/relationships/hyperlink" Target="https://techelectro.ru/prod/cable-kits/muffs1kv/4rktp1/4rktp1-70-120b/" TargetMode="External"/><Relationship Id="rId1953" Type="http://schemas.openxmlformats.org/officeDocument/2006/relationships/hyperlink" Target="https://techelectro.ru/prod/cable_kits_acs/pml/sku_81514/" TargetMode="External"/><Relationship Id="rId5410" Type="http://schemas.openxmlformats.org/officeDocument/2006/relationships/hyperlink" Target="https://techelectro.ru/prod/metal-hose-fittings/hose/mrping_nord/mrping_nord_22/" TargetMode="External"/><Relationship Id="rId1606" Type="http://schemas.openxmlformats.org/officeDocument/2006/relationships/hyperlink" Target="https://techelectro.ru/prod/cable-kits/muffs1kv/4_5pst-1/4pst1-25-50_b/" TargetMode="External"/><Relationship Id="rId4012" Type="http://schemas.openxmlformats.org/officeDocument/2006/relationships/hyperlink" Target="https://techelectro.ru/prod/construction_hydraulics/bending_tools/tg3/sku_87565/" TargetMode="External"/><Relationship Id="rId3778" Type="http://schemas.openxmlformats.org/officeDocument/2006/relationships/hyperlink" Target="https://techelectro.ru/prod/metalworking-tools/ft_pliers/bentnoseft160new/bentnoseft-160/" TargetMode="External"/><Relationship Id="rId4829" Type="http://schemas.openxmlformats.org/officeDocument/2006/relationships/hyperlink" Target="https://techelectro.ru/prod/steel-ties/steel_ties-labels/sks316p/sks316p-4x100/" TargetMode="External"/><Relationship Id="rId699" Type="http://schemas.openxmlformats.org/officeDocument/2006/relationships/hyperlink" Target="https://techelectro.ru/prod/insulugs/iplug/vrpim/vrpim_25/" TargetMode="External"/><Relationship Id="rId2794" Type="http://schemas.openxmlformats.org/officeDocument/2006/relationships/hyperlink" Target="https://techelectro.ru/prod/insulating/xt/sku_85372/" TargetMode="External"/><Relationship Id="rId3845" Type="http://schemas.openxmlformats.org/officeDocument/2006/relationships/hyperlink" Target="https://techelectro.ru/prod/metalworking-tools/ft_pumpliers/pumpliersft_260-profi/sku_81770/" TargetMode="External"/><Relationship Id="rId766" Type="http://schemas.openxmlformats.org/officeDocument/2006/relationships/hyperlink" Target="https://techelectro.ru/prod/insulugs/iquick/gsi_easyfix/sku_90907/" TargetMode="External"/><Relationship Id="rId1396" Type="http://schemas.openxmlformats.org/officeDocument/2006/relationships/hyperlink" Target="https://techelectro.ru/prod/cable-kits/kits-ngls-10kv/3rkvtp_ngls/sku_88124/" TargetMode="External"/><Relationship Id="rId2447" Type="http://schemas.openxmlformats.org/officeDocument/2006/relationships/hyperlink" Target="https://techelectro.ru/prod/hstubes/gluetube/ttk31_yellow/sku_102418/" TargetMode="External"/><Relationship Id="rId419" Type="http://schemas.openxmlformats.org/officeDocument/2006/relationships/hyperlink" Target="https://techelectro.ru/prod/cable-lugs/al/gam/sku_90833/" TargetMode="External"/><Relationship Id="rId1049" Type="http://schemas.openxmlformats.org/officeDocument/2006/relationships/hyperlink" Target="https://techelectro.ru/prod/e-connectors/nshvi2_euro/sku_108981/" TargetMode="External"/><Relationship Id="rId2861" Type="http://schemas.openxmlformats.org/officeDocument/2006/relationships/hyperlink" Target="https://techelectro.ru/prod/wiring-tools/crimpers/insulugs-crimp/ctd5/sku_101859/" TargetMode="External"/><Relationship Id="rId3912" Type="http://schemas.openxmlformats.org/officeDocument/2006/relationships/hyperlink" Target="https://techelectro.ru/prod/metalworking-tools/ft_knives/nsm10/nsm-10/" TargetMode="External"/><Relationship Id="rId833" Type="http://schemas.openxmlformats.org/officeDocument/2006/relationships/hyperlink" Target="https://techelectro.ru/prod/insulugs/screw_clamp/zvi-u/sku_87157/" TargetMode="External"/><Relationship Id="rId1116" Type="http://schemas.openxmlformats.org/officeDocument/2006/relationships/hyperlink" Target="https://techelectro.ru/prod/clamps_wago-smk/smk_222-412/sku_109301/" TargetMode="External"/><Relationship Id="rId1463" Type="http://schemas.openxmlformats.org/officeDocument/2006/relationships/hyperlink" Target="https://techelectro.ru/prod/cable-kits/muffs1kv/3kvntp1sold/sku_88784/" TargetMode="External"/><Relationship Id="rId2514" Type="http://schemas.openxmlformats.org/officeDocument/2006/relationships/hyperlink" Target="https://techelectro.ru/prod/hstubes/gluetube/nttk31/sku_79834/" TargetMode="External"/><Relationship Id="rId900" Type="http://schemas.openxmlformats.org/officeDocument/2006/relationships/hyperlink" Target="https://techelectro.ru/prod/insulugs/autoterminals/rp-m_1_5_4_8/sku_109245/" TargetMode="External"/><Relationship Id="rId1530" Type="http://schemas.openxmlformats.org/officeDocument/2006/relationships/hyperlink" Target="https://techelectro.ru/prod/cable-kits/muffs1kv/5-pktp-1/5pktp_b-1-150_240_b/" TargetMode="External"/><Relationship Id="rId4686" Type="http://schemas.openxmlformats.org/officeDocument/2006/relationships/hyperlink" Target="https://techelectro.ru/prod/ties/nylonties/kssh/kssh150/" TargetMode="External"/><Relationship Id="rId5737" Type="http://schemas.openxmlformats.org/officeDocument/2006/relationships/hyperlink" Target="https://techelectro.ru/prod/metal-hose-fittings/fittings/ozm/ozm_12/" TargetMode="External"/><Relationship Id="rId3288" Type="http://schemas.openxmlformats.org/officeDocument/2006/relationships/hyperlink" Target="https://techelectro.ru/prod/wiring-tools/bustools/shga150-neo/sku_89729/" TargetMode="External"/><Relationship Id="rId4339" Type="http://schemas.openxmlformats.org/officeDocument/2006/relationships/hyperlink" Target="https://techelectro.ru/prod/digital_meters/multimeters/kt266f/kt-266f/" TargetMode="External"/><Relationship Id="rId4753" Type="http://schemas.openxmlformats.org/officeDocument/2006/relationships/hyperlink" Target="https://techelectro.ru/prod/ties/markers/universal350/sku_102089/" TargetMode="External"/><Relationship Id="rId5804" Type="http://schemas.openxmlformats.org/officeDocument/2006/relationships/hyperlink" Target="https://techelectro.ru/prod/staples/smo/smo_60-63/" TargetMode="External"/><Relationship Id="rId3355" Type="http://schemas.openxmlformats.org/officeDocument/2006/relationships/hyperlink" Target="https://techelectro.ru/prod/wiring-tools/unwinding/hvltools/dk5gmp_r/sku_111138/" TargetMode="External"/><Relationship Id="rId4406" Type="http://schemas.openxmlformats.org/officeDocument/2006/relationships/hyperlink" Target="https://techelectro.ru/prod/ties/nylonties/kss/kss5h250/" TargetMode="External"/><Relationship Id="rId276" Type="http://schemas.openxmlformats.org/officeDocument/2006/relationships/hyperlink" Target="https://techelectro.ru/prod/cable-lugs/cu/tmls45/tmls_45_35-10/" TargetMode="External"/><Relationship Id="rId690" Type="http://schemas.openxmlformats.org/officeDocument/2006/relationships/hyperlink" Target="https://techelectro.ru/prod/insulugs/iplug/rpio/sku_108598/" TargetMode="External"/><Relationship Id="rId2371" Type="http://schemas.openxmlformats.org/officeDocument/2006/relationships/hyperlink" Target="https://techelectro.ru/prod/hstubes/gluetube/ttk31_inrolls/sku_89688/" TargetMode="External"/><Relationship Id="rId3008" Type="http://schemas.openxmlformats.org/officeDocument/2006/relationships/hyperlink" Target="https://techelectro.ru/prod/wiring-tools/crimpers_pgr/hv-crimpers/matrix_pg60t/msh-44-2/" TargetMode="External"/><Relationship Id="rId3422" Type="http://schemas.openxmlformats.org/officeDocument/2006/relationships/hyperlink" Target="https://techelectro.ru/prod/wiring-tools/unwinding/hvltools/chmt/sku_109911/" TargetMode="External"/><Relationship Id="rId4820" Type="http://schemas.openxmlformats.org/officeDocument/2006/relationships/hyperlink" Target="https://techelectro.ru/prod/steel-ties/steel_ties-labels/sks/sku_103073/" TargetMode="External"/><Relationship Id="rId343" Type="http://schemas.openxmlformats.org/officeDocument/2006/relationships/hyperlink" Target="https://techelectro.ru/prod/cable-lugs/cu/gmlo/gmlo_6/" TargetMode="External"/><Relationship Id="rId2024" Type="http://schemas.openxmlformats.org/officeDocument/2006/relationships/hyperlink" Target="https://techelectro.ru/prod/ukpt_ogt/ukpto/sku_87834/" TargetMode="External"/><Relationship Id="rId1040" Type="http://schemas.openxmlformats.org/officeDocument/2006/relationships/hyperlink" Target="https://techelectro.ru/prod/e-connectors/nshvi2_euro/sku_103245/" TargetMode="External"/><Relationship Id="rId4196" Type="http://schemas.openxmlformats.org/officeDocument/2006/relationships/hyperlink" Target="https://techelectro.ru/prod/abcarm/pierce/zpon16-95_1_5-16/sku_87399/" TargetMode="External"/><Relationship Id="rId5247" Type="http://schemas.openxmlformats.org/officeDocument/2006/relationships/hyperlink" Target="https://techelectro.ru/prod/cable_entry/cable_entry_metal/vk-m-mr-inox/sku_88171/" TargetMode="External"/><Relationship Id="rId5594" Type="http://schemas.openxmlformats.org/officeDocument/2006/relationships/hyperlink" Target="https://techelectro.ru/prod/metal-hose-fittings/hose/mrn-inox_p/sku_83663/" TargetMode="External"/><Relationship Id="rId410" Type="http://schemas.openxmlformats.org/officeDocument/2006/relationships/hyperlink" Target="https://techelectro.ru/prod/cable-lugs/al/tam/tam_95-12-13/" TargetMode="External"/><Relationship Id="rId5661" Type="http://schemas.openxmlformats.org/officeDocument/2006/relationships/hyperlink" Target="https://techelectro.ru/prod/metal-hose-fittings/fittings/vm90/vm90-38/" TargetMode="External"/><Relationship Id="rId1857" Type="http://schemas.openxmlformats.org/officeDocument/2006/relationships/hyperlink" Target="https://techelectro.ru/prod/cable-kits/muffs-35kv/3pst-35/sku_110685/" TargetMode="External"/><Relationship Id="rId2908" Type="http://schemas.openxmlformats.org/officeDocument/2006/relationships/hyperlink" Target="https://techelectro.ru/prod/wiring-tools/crimpers/conn-crimp/pkvk10m/sku_106005/" TargetMode="External"/><Relationship Id="rId4263" Type="http://schemas.openxmlformats.org/officeDocument/2006/relationships/hyperlink" Target="https://techelectro.ru/prod/abcarm/sealinslugs/gin-mjpt70n/sku_109218/" TargetMode="External"/><Relationship Id="rId5314" Type="http://schemas.openxmlformats.org/officeDocument/2006/relationships/hyperlink" Target="https://techelectro.ru/prod/cable_entry/cable_entry_plastic/pg_black/sku_89070/" TargetMode="External"/><Relationship Id="rId1924" Type="http://schemas.openxmlformats.org/officeDocument/2006/relationships/hyperlink" Target="https://techelectro.ru/prod/cable_kits_acs/trm/trm_100_25-600/" TargetMode="External"/><Relationship Id="rId4330" Type="http://schemas.openxmlformats.org/officeDocument/2006/relationships/hyperlink" Target="https://techelectro.ru/prod/digital_meters/multimeters/kt200d/sku_101563/" TargetMode="External"/><Relationship Id="rId2698" Type="http://schemas.openxmlformats.org/officeDocument/2006/relationships/hyperlink" Target="https://techelectro.ru/prod/insulating/pvc19-heavy/sku_90823/" TargetMode="External"/><Relationship Id="rId3749" Type="http://schemas.openxmlformats.org/officeDocument/2006/relationships/hyperlink" Target="https://techelectro.ru/prod/electric-tools/accessories/crowns/sdrill_10/sku_102563/" TargetMode="External"/><Relationship Id="rId5171" Type="http://schemas.openxmlformats.org/officeDocument/2006/relationships/hyperlink" Target="https://techelectro.ru/prod/cable_entry/cable_entry_metal/mgm-l/sku_88615/" TargetMode="External"/><Relationship Id="rId2765" Type="http://schemas.openxmlformats.org/officeDocument/2006/relationships/hyperlink" Target="https://techelectro.ru/prod/insulating/xp_bw/sku_102339/" TargetMode="External"/><Relationship Id="rId3816" Type="http://schemas.openxmlformats.org/officeDocument/2006/relationships/hyperlink" Target="https://techelectro.ru/prod/metalworking-tools/ft_screwdrivers/no07minift/no-07minift/" TargetMode="External"/><Relationship Id="rId737" Type="http://schemas.openxmlformats.org/officeDocument/2006/relationships/hyperlink" Target="https://techelectro.ru/prod/insulugs/iplug/ov/sku_108488/" TargetMode="External"/><Relationship Id="rId1367" Type="http://schemas.openxmlformats.org/officeDocument/2006/relationships/hyperlink" Target="https://techelectro.ru/prod/cable-kits/kits-ngls-1kv/pst-mini-ng_ls/3pstbm-4_ngls/" TargetMode="External"/><Relationship Id="rId1781" Type="http://schemas.openxmlformats.org/officeDocument/2006/relationships/hyperlink" Target="https://techelectro.ru/prod/cable-kits/muffs10kv/1pst10/1pst10-70-120/" TargetMode="External"/><Relationship Id="rId2418" Type="http://schemas.openxmlformats.org/officeDocument/2006/relationships/hyperlink" Target="https://techelectro.ru/prod/hstubes/gluetube/ttk31_red/sku_84875/" TargetMode="External"/><Relationship Id="rId2832" Type="http://schemas.openxmlformats.org/officeDocument/2006/relationships/hyperlink" Target="https://techelectro.ru/prod/wiring-tools/crimpers/insulugs-crimp/sto/sku_90763/" TargetMode="External"/><Relationship Id="rId5988" Type="http://schemas.openxmlformats.org/officeDocument/2006/relationships/hyperlink" Target="https://techelectro.ru/prod/ground_wire/pz/pz_25-300/" TargetMode="External"/><Relationship Id="rId73" Type="http://schemas.openxmlformats.org/officeDocument/2006/relationships/hyperlink" Target="https://techelectro.ru/prod/cable-lugs/cu/tml/tml_120-16-17/" TargetMode="External"/><Relationship Id="rId804" Type="http://schemas.openxmlformats.org/officeDocument/2006/relationships/hyperlink" Target="https://techelectro.ru/prod/insulugs/siz_kiz/siz/siz1/" TargetMode="External"/><Relationship Id="rId1434" Type="http://schemas.openxmlformats.org/officeDocument/2006/relationships/hyperlink" Target="https://techelectro.ru/prod/cable-kits/kits-ngls-10kv/3rst-10ng-_ls/sku_88144/" TargetMode="External"/><Relationship Id="rId1501" Type="http://schemas.openxmlformats.org/officeDocument/2006/relationships/hyperlink" Target="https://techelectro.ru/prod/cable-kits/muffs1kv/4_5-pktp-1/4pktp-1-25_50_b/" TargetMode="External"/><Relationship Id="rId4657" Type="http://schemas.openxmlformats.org/officeDocument/2006/relationships/hyperlink" Target="https://techelectro.ru/prod/ties/nylonties/ksu/sku_91703/" TargetMode="External"/><Relationship Id="rId5708" Type="http://schemas.openxmlformats.org/officeDocument/2006/relationships/hyperlink" Target="https://techelectro.ru/prod/metal-hose-fittings/fittings/smm/smm38/" TargetMode="External"/><Relationship Id="rId3259" Type="http://schemas.openxmlformats.org/officeDocument/2006/relationships/hyperlink" Target="https://techelectro.ru/prod/wiring-tools/boxtools/singlempo/sku_85306/" TargetMode="External"/><Relationship Id="rId594" Type="http://schemas.openxmlformats.org/officeDocument/2006/relationships/hyperlink" Target="https://techelectro.ru/prod/insulugs/ilugs/nvi_easyfix/sku_90905/" TargetMode="External"/><Relationship Id="rId2275" Type="http://schemas.openxmlformats.org/officeDocument/2006/relationships/hyperlink" Target="https://techelectro.ru/prod/hstubes/hstube/tut-hf/tut_hf6-3_green/" TargetMode="External"/><Relationship Id="rId3326" Type="http://schemas.openxmlformats.org/officeDocument/2006/relationships/hyperlink" Target="https://techelectro.ru/prod/wiring-tools/hdrtools/hdr_tools/pmn7008/pmn-7008/" TargetMode="External"/><Relationship Id="rId3673" Type="http://schemas.openxmlformats.org/officeDocument/2006/relationships/hyperlink" Target="https://techelectro.ru/prod/vdetools/vde-sets/vde-wrench-sets/nii21/nii-21/" TargetMode="External"/><Relationship Id="rId4724" Type="http://schemas.openxmlformats.org/officeDocument/2006/relationships/hyperlink" Target="https://techelectro.ru/prod/ties/montage-acs/pmop_29h20_grey/sku_89421/" TargetMode="External"/><Relationship Id="rId247" Type="http://schemas.openxmlformats.org/officeDocument/2006/relationships/hyperlink" Target="https://techelectro.ru/prod/cable-lugs/cu/tmls90/tmls_90_6-5/" TargetMode="External"/><Relationship Id="rId3740" Type="http://schemas.openxmlformats.org/officeDocument/2006/relationships/hyperlink" Target="https://techelectro.ru/prod/electric-tools/accessories/crowns/sf-68_65_5t_profi/sku_102556/" TargetMode="External"/><Relationship Id="rId661" Type="http://schemas.openxmlformats.org/officeDocument/2006/relationships/hyperlink" Target="https://techelectro.ru/prod/insulugs/iplug/rpip/sku_108583/" TargetMode="External"/><Relationship Id="rId1291" Type="http://schemas.openxmlformats.org/officeDocument/2006/relationships/hyperlink" Target="https://techelectro.ru/prod/cable-kits/kits-ngls-1kv/pktp_mini_ngls/5pktp_mini_-_2_5_10_ng-ls/" TargetMode="External"/><Relationship Id="rId2342" Type="http://schemas.openxmlformats.org/officeDocument/2006/relationships/hyperlink" Target="https://techelectro.ru/prod/hstubes/hstube/t-box-y_g/tbox8yg/" TargetMode="External"/><Relationship Id="rId5498" Type="http://schemas.openxmlformats.org/officeDocument/2006/relationships/hyperlink" Target="https://techelectro.ru/prod/metal-hose-fittings/hose/mrping_p_grey/sku_88311/" TargetMode="External"/><Relationship Id="rId314" Type="http://schemas.openxmlformats.org/officeDocument/2006/relationships/hyperlink" Target="https://techelectro.ru/prod/cable-lugs/cu/gml/gml_150/" TargetMode="External"/><Relationship Id="rId5565" Type="http://schemas.openxmlformats.org/officeDocument/2006/relationships/hyperlink" Target="https://techelectro.ru/prod/metal-hose-fittings/hose/mrping-inox/mrnping-inox-50/" TargetMode="External"/><Relationship Id="rId1011" Type="http://schemas.openxmlformats.org/officeDocument/2006/relationships/hyperlink" Target="https://techelectro.ru/prod/e-connectors/nshvi_euro/sku_109003/" TargetMode="External"/><Relationship Id="rId4167" Type="http://schemas.openxmlformats.org/officeDocument/2006/relationships/hyperlink" Target="https://techelectro.ru/prod/protection-safety/flashlights/fl8012/fl-8012/" TargetMode="External"/><Relationship Id="rId4581" Type="http://schemas.openxmlformats.org/officeDocument/2006/relationships/hyperlink" Target="https://techelectro.ru/prod/ties/nylonties/kss100-nord_white/kss_nord_8-400_white/" TargetMode="External"/><Relationship Id="rId5218" Type="http://schemas.openxmlformats.org/officeDocument/2006/relationships/hyperlink" Target="https://techelectro.ru/prod/cable_entry/cable_entry_metal/pgm/pgm21/" TargetMode="External"/><Relationship Id="rId5632" Type="http://schemas.openxmlformats.org/officeDocument/2006/relationships/hyperlink" Target="https://techelectro.ru/prod/metal-hose-fittings/fittings/vm/vm60/" TargetMode="External"/><Relationship Id="rId3183" Type="http://schemas.openxmlformats.org/officeDocument/2006/relationships/hyperlink" Target="https://techelectro.ru/prod/wiring-tools/strippers/wire-strip/ws18/sku_87581/" TargetMode="External"/><Relationship Id="rId4234" Type="http://schemas.openxmlformats.org/officeDocument/2006/relationships/hyperlink" Target="https://techelectro.ru/prod/abcarm/anchor/km/km200/" TargetMode="External"/><Relationship Id="rId1828" Type="http://schemas.openxmlformats.org/officeDocument/2006/relationships/hyperlink" Target="https://techelectro.ru/prod/cable-kits/muffs-35kv/1pkt-20/1pkvt20-70-120b/" TargetMode="External"/><Relationship Id="rId3250" Type="http://schemas.openxmlformats.org/officeDocument/2006/relationships/hyperlink" Target="https://techelectro.ru/prod/wiring-tools/boxtools/singlempo/sku_61823/" TargetMode="External"/><Relationship Id="rId171" Type="http://schemas.openxmlformats.org/officeDocument/2006/relationships/hyperlink" Target="https://techelectro.ru/prod/cable-lugs/cu/tmlu/tmlu_185-10/" TargetMode="External"/><Relationship Id="rId4301" Type="http://schemas.openxmlformats.org/officeDocument/2006/relationships/hyperlink" Target="https://techelectro.ru/prod/abcarm/abctools/rm-6-0/rm-6-0/" TargetMode="External"/><Relationship Id="rId6059" Type="http://schemas.openxmlformats.org/officeDocument/2006/relationships/hyperlink" Target="https://techelectro.ru/prod/ground_wire/uhz/uhz-100-120-w2/" TargetMode="External"/><Relationship Id="rId988" Type="http://schemas.openxmlformats.org/officeDocument/2006/relationships/hyperlink" Target="https://techelectro.ru/prod/e-connectors/nshvi_euro/sku_103199/" TargetMode="External"/><Relationship Id="rId2669" Type="http://schemas.openxmlformats.org/officeDocument/2006/relationships/hyperlink" Target="https://techelectro.ru/prod/insulating/pvc-15-0_13/sku_90804/" TargetMode="External"/><Relationship Id="rId5075" Type="http://schemas.openxmlformats.org/officeDocument/2006/relationships/hyperlink" Target="https://techelectro.ru/prod/strength-ties/screw-ties/sr2/sr74-79w2/" TargetMode="External"/><Relationship Id="rId1685" Type="http://schemas.openxmlformats.org/officeDocument/2006/relationships/hyperlink" Target="https://techelectro.ru/prod/cable-kits/muffs10kv/3rktp-6/sku_78354/" TargetMode="External"/><Relationship Id="rId2736" Type="http://schemas.openxmlformats.org/officeDocument/2006/relationships/hyperlink" Target="https://techelectro.ru/prod/insulating/xn/sku_106108/" TargetMode="External"/><Relationship Id="rId4091" Type="http://schemas.openxmlformats.org/officeDocument/2006/relationships/hyperlink" Target="https://techelectro.ru/prod/protection-safety/bags_packs/s7/s-07/" TargetMode="External"/><Relationship Id="rId5142" Type="http://schemas.openxmlformats.org/officeDocument/2006/relationships/hyperlink" Target="https://techelectro.ru/prod/cable_entry/cable_entry_metal/mgm/sku_87971/" TargetMode="External"/><Relationship Id="rId708" Type="http://schemas.openxmlformats.org/officeDocument/2006/relationships/hyperlink" Target="https://techelectro.ru/prod/insulugs/iplug/rpipn/sku_108601/" TargetMode="External"/><Relationship Id="rId1338" Type="http://schemas.openxmlformats.org/officeDocument/2006/relationships/hyperlink" Target="https://techelectro.ru/prod/cable-kits/kits-ngls-1kv/5pst_ngls-1/5pstb1-16-25ngls/" TargetMode="External"/><Relationship Id="rId1405" Type="http://schemas.openxmlformats.org/officeDocument/2006/relationships/hyperlink" Target="https://techelectro.ru/prod/cable-kits/kits-ngls-10kv/3kvtp-10_ngls/3kvtp10-150-240_ngls/" TargetMode="External"/><Relationship Id="rId1752" Type="http://schemas.openxmlformats.org/officeDocument/2006/relationships/hyperlink" Target="https://techelectro.ru/prod/cable-kits/muffs10kv/3kvtp10sold/sku_88754/" TargetMode="External"/><Relationship Id="rId2803" Type="http://schemas.openxmlformats.org/officeDocument/2006/relationships/hyperlink" Target="https://techelectro.ru/prod/wiring-tools/crimpers/insulugs-crimp/ctk/ctk04/" TargetMode="External"/><Relationship Id="rId5959" Type="http://schemas.openxmlformats.org/officeDocument/2006/relationships/hyperlink" Target="https://techelectro.ru/prod/staples/u/u-1_1_2/" TargetMode="External"/><Relationship Id="rId44" Type="http://schemas.openxmlformats.org/officeDocument/2006/relationships/hyperlink" Target="https://techelectro.ru/prod/cable-lugs/cu/tml/sku_89402/" TargetMode="External"/><Relationship Id="rId4975" Type="http://schemas.openxmlformats.org/officeDocument/2006/relationships/hyperlink" Target="https://techelectro.ru/prod/strength-ties/screw-ties/pl9-w2/w2-8-12/" TargetMode="External"/><Relationship Id="rId498" Type="http://schemas.openxmlformats.org/officeDocument/2006/relationships/hyperlink" Target="https://techelectro.ru/prod/insulugs/ilugs/nki/sku_108515/" TargetMode="External"/><Relationship Id="rId2179" Type="http://schemas.openxmlformats.org/officeDocument/2006/relationships/hyperlink" Target="https://techelectro.ru/prod/hstubes/hstube/tnt_hf/sku_83006/" TargetMode="External"/><Relationship Id="rId3577" Type="http://schemas.openxmlformats.org/officeDocument/2006/relationships/hyperlink" Target="https://techelectro.ru/prod/vdetools/vde-screwdrivers/vde-screwdrivers-profi/profi_phfl_1-80/" TargetMode="External"/><Relationship Id="rId3991" Type="http://schemas.openxmlformats.org/officeDocument/2006/relationships/hyperlink" Target="https://techelectro.ru/prod/construction_hydraulics/hydraulic_pullers/sg100/sku_89423/" TargetMode="External"/><Relationship Id="rId4628" Type="http://schemas.openxmlformats.org/officeDocument/2006/relationships/hyperlink" Target="https://techelectro.ru/prod/ties/nylonties/ksth/kst3x100/" TargetMode="External"/><Relationship Id="rId2593" Type="http://schemas.openxmlformats.org/officeDocument/2006/relationships/hyperlink" Target="https://techelectro.ru/prod/hstubes/highvoltagetube/ttsh10/sku_84893/" TargetMode="External"/><Relationship Id="rId3644" Type="http://schemas.openxmlformats.org/officeDocument/2006/relationships/hyperlink" Target="https://techelectro.ru/prod/vdetools/vde-knives/nki12y/nki-12y/" TargetMode="External"/><Relationship Id="rId6050" Type="http://schemas.openxmlformats.org/officeDocument/2006/relationships/hyperlink" Target="https://techelectro.ru/prod/ground_wire/lhz/sku_111045/" TargetMode="External"/><Relationship Id="rId565" Type="http://schemas.openxmlformats.org/officeDocument/2006/relationships/hyperlink" Target="https://techelectro.ru/prod/insulugs/ilugs/vnki/sku_108610/" TargetMode="External"/><Relationship Id="rId1195" Type="http://schemas.openxmlformats.org/officeDocument/2006/relationships/hyperlink" Target="https://techelectro.ru/prod/bolt-lugs/wire10-240/nbe_gph/sku_105915/" TargetMode="External"/><Relationship Id="rId2246" Type="http://schemas.openxmlformats.org/officeDocument/2006/relationships/hyperlink" Target="https://techelectro.ru/prod/hstubes/hstube/tut-hf/tut_hf4-2_white/" TargetMode="External"/><Relationship Id="rId2660" Type="http://schemas.openxmlformats.org/officeDocument/2006/relationships/hyperlink" Target="https://techelectro.ru/prod/hstubes/specialtube/tt200/sku_84887/" TargetMode="External"/><Relationship Id="rId3711" Type="http://schemas.openxmlformats.org/officeDocument/2006/relationships/hyperlink" Target="https://techelectro.ru/prod/electric-tools/cordless-impact-wrenches/wb20-1000/sku_106051/" TargetMode="External"/><Relationship Id="rId218" Type="http://schemas.openxmlformats.org/officeDocument/2006/relationships/hyperlink" Target="https://techelectro.ru/prod/cable-lugs/cu/pm/pm_50_8/" TargetMode="External"/><Relationship Id="rId632" Type="http://schemas.openxmlformats.org/officeDocument/2006/relationships/hyperlink" Target="https://techelectro.ru/prod/insulugs/ilugs/nkit/sku_108573/" TargetMode="External"/><Relationship Id="rId1262" Type="http://schemas.openxmlformats.org/officeDocument/2006/relationships/hyperlink" Target="https://techelectro.ru/prod/cable-kits/kits-ngls-1kv/5pktp-1_ngls/5pktpng-ls1-25-50/" TargetMode="External"/><Relationship Id="rId2313" Type="http://schemas.openxmlformats.org/officeDocument/2006/relationships/hyperlink" Target="https://techelectro.ru/prod/hstubes/hstube/tut-hf/tut_hf60-30_blue/" TargetMode="External"/><Relationship Id="rId5469" Type="http://schemas.openxmlformats.org/officeDocument/2006/relationships/hyperlink" Target="https://techelectro.ru/prod/metal-hose-fittings/hose/mrping/sku_64858/" TargetMode="External"/><Relationship Id="rId4485" Type="http://schemas.openxmlformats.org/officeDocument/2006/relationships/hyperlink" Target="https://techelectro.ru/prod/ties/nylonties/kss-uv/kss4x250b/" TargetMode="External"/><Relationship Id="rId5536" Type="http://schemas.openxmlformats.org/officeDocument/2006/relationships/hyperlink" Target="https://techelectro.ru/prod/metal-hose-fittings/hose/m-g/sku_88400/" TargetMode="External"/><Relationship Id="rId5883" Type="http://schemas.openxmlformats.org/officeDocument/2006/relationships/hyperlink" Target="https://techelectro.ru/prod/staples/smr15-inox/smr_inox_20-15/" TargetMode="External"/><Relationship Id="rId3087" Type="http://schemas.openxmlformats.org/officeDocument/2006/relationships/hyperlink" Target="https://techelectro.ru/prod/wiring-tools/cutters/wirecutters/es03/sku_102359/" TargetMode="External"/><Relationship Id="rId4138" Type="http://schemas.openxmlformats.org/officeDocument/2006/relationships/hyperlink" Target="https://techelectro.ru/prod/protection-safety/protection/om-01/om01/" TargetMode="External"/><Relationship Id="rId5950" Type="http://schemas.openxmlformats.org/officeDocument/2006/relationships/hyperlink" Target="https://techelectro.ru/prod/staples/kmp_white/sku_103951/" TargetMode="External"/><Relationship Id="rId4552" Type="http://schemas.openxmlformats.org/officeDocument/2006/relationships/hyperlink" Target="https://techelectro.ru/prod/ties/nylonties/nss-black/sku_85708/" TargetMode="External"/><Relationship Id="rId5603" Type="http://schemas.openxmlformats.org/officeDocument/2006/relationships/hyperlink" Target="https://techelectro.ru/prod/metal-hose-fittings/hose/r3ch/r3ch18/" TargetMode="External"/><Relationship Id="rId3154" Type="http://schemas.openxmlformats.org/officeDocument/2006/relationships/hyperlink" Target="https://techelectro.ru/prod/wiring-tools/cutters_din/br-brg-cutters/br_1200/br-1200/" TargetMode="External"/><Relationship Id="rId4205" Type="http://schemas.openxmlformats.org/officeDocument/2006/relationships/hyperlink" Target="https://techelectro.ru/prod/abcarm/pierce/zpo16-4/sku_108653/" TargetMode="External"/><Relationship Id="rId2170" Type="http://schemas.openxmlformats.org/officeDocument/2006/relationships/hyperlink" Target="https://techelectro.ru/prod/hstubes/hstube/tnt_hf/sku_83001/" TargetMode="External"/><Relationship Id="rId3221" Type="http://schemas.openxmlformats.org/officeDocument/2006/relationships/hyperlink" Target="https://techelectro.ru/prod/wiring-tools/multitools/mt03t/sku_102402/" TargetMode="External"/><Relationship Id="rId8" Type="http://schemas.openxmlformats.org/officeDocument/2006/relationships/hyperlink" Target="https://techelectro.ru/prod/cable-lugs/cu/tmls/tmls_6_6/" TargetMode="External"/><Relationship Id="rId142" Type="http://schemas.openxmlformats.org/officeDocument/2006/relationships/hyperlink" Target="https://techelectro.ru/prod/cable-lugs/cu/tmldin/tml_din_95_12/" TargetMode="External"/><Relationship Id="rId2987" Type="http://schemas.openxmlformats.org/officeDocument/2006/relationships/hyperlink" Target="https://techelectro.ru/prod/wiring-tools/crimpers_pgr/hv-crimpers/matrix_pg60t/c-24/" TargetMode="External"/><Relationship Id="rId5393" Type="http://schemas.openxmlformats.org/officeDocument/2006/relationships/hyperlink" Target="https://techelectro.ru/prod/waterproof_connections/ffc-23_3p-ip68/sku_89666/" TargetMode="External"/><Relationship Id="rId959" Type="http://schemas.openxmlformats.org/officeDocument/2006/relationships/hyperlink" Target="https://techelectro.ru/prod/e-connectors/nshvi/sku_108897/" TargetMode="External"/><Relationship Id="rId1589" Type="http://schemas.openxmlformats.org/officeDocument/2006/relationships/hyperlink" Target="https://techelectro.ru/prod/cable-kits/muffs1kv/3pst-1/sku_74660/" TargetMode="External"/><Relationship Id="rId5046" Type="http://schemas.openxmlformats.org/officeDocument/2006/relationships/hyperlink" Target="https://techelectro.ru/prod/strength-ties/screw-ties/sr/sr_80-85_w1/" TargetMode="External"/><Relationship Id="rId5460" Type="http://schemas.openxmlformats.org/officeDocument/2006/relationships/hyperlink" Target="https://techelectro.ru/prod/metal-hose-fittings/hose/mrping/sku_87674/" TargetMode="External"/><Relationship Id="rId4062" Type="http://schemas.openxmlformats.org/officeDocument/2006/relationships/hyperlink" Target="https://techelectro.ru/prod/maintenance_tools/network_repair_tool/ks-501/sku_84826/" TargetMode="External"/><Relationship Id="rId5113" Type="http://schemas.openxmlformats.org/officeDocument/2006/relationships/hyperlink" Target="https://techelectro.ru/prod/strength-ties/pipe-ties/thn/th_inox_-2/" TargetMode="External"/><Relationship Id="rId1656" Type="http://schemas.openxmlformats.org/officeDocument/2006/relationships/hyperlink" Target="https://techelectro.ru/prod/cable-kits/muffs1kv/mks/mksb1b/" TargetMode="External"/><Relationship Id="rId2707" Type="http://schemas.openxmlformats.org/officeDocument/2006/relationships/hyperlink" Target="https://techelectro.ru/prod/insulating/lse/lse250/" TargetMode="External"/><Relationship Id="rId1309" Type="http://schemas.openxmlformats.org/officeDocument/2006/relationships/hyperlink" Target="https://techelectro.ru/prod/cable-kits/kits-ngls-1kv/1pst_ngls/1pst1-70-120b_ngls/" TargetMode="External"/><Relationship Id="rId1723" Type="http://schemas.openxmlformats.org/officeDocument/2006/relationships/hyperlink" Target="https://techelectro.ru/prod/cable-kits/muffs10kv/3pkvntp-10/3pkvtp10-150-240_b/" TargetMode="External"/><Relationship Id="rId4879" Type="http://schemas.openxmlformats.org/officeDocument/2006/relationships/hyperlink" Target="https://techelectro.ru/prod/steel-ties/steel_ties-labels/sksp/sksp7h600/" TargetMode="External"/><Relationship Id="rId15" Type="http://schemas.openxmlformats.org/officeDocument/2006/relationships/hyperlink" Target="https://techelectro.ru/prod/cable-lugs/cu/tmls/tmls_25_8/" TargetMode="External"/><Relationship Id="rId3895" Type="http://schemas.openxmlformats.org/officeDocument/2006/relationships/hyperlink" Target="https://techelectro.ru/prod/metalworking-tools/ft_hummers/mgk36/mgk-36/" TargetMode="External"/><Relationship Id="rId4946" Type="http://schemas.openxmlformats.org/officeDocument/2006/relationships/hyperlink" Target="https://techelectro.ru/prod/steel-ties/steel_tape-brace/sm316/sm316-15/" TargetMode="External"/><Relationship Id="rId2497" Type="http://schemas.openxmlformats.org/officeDocument/2006/relationships/hyperlink" Target="https://techelectro.ru/prod/hstubes/gluetube/sttk31/mttk22/" TargetMode="External"/><Relationship Id="rId3548" Type="http://schemas.openxmlformats.org/officeDocument/2006/relationships/hyperlink" Target="https://techelectro.ru/prod/vdetools/pliers/longnose/longnose-160/" TargetMode="External"/><Relationship Id="rId469" Type="http://schemas.openxmlformats.org/officeDocument/2006/relationships/hyperlink" Target="https://techelectro.ru/prod/cable-lugs/al/kpp/electropaste/" TargetMode="External"/><Relationship Id="rId883" Type="http://schemas.openxmlformats.org/officeDocument/2006/relationships/hyperlink" Target="https://techelectro.ru/prod/insulugs/lighting_clamps/ke10-1/sku_88974/" TargetMode="External"/><Relationship Id="rId1099" Type="http://schemas.openxmlformats.org/officeDocument/2006/relationships/hyperlink" Target="https://techelectro.ru/prod/clamps_wago-smk/smk_2273-202/sku_87652/" TargetMode="External"/><Relationship Id="rId2564" Type="http://schemas.openxmlformats.org/officeDocument/2006/relationships/hyperlink" Target="https://techelectro.ru/prod/hstubes/hstubeset/ultra_sil_multi/sku_87314/" TargetMode="External"/><Relationship Id="rId3615" Type="http://schemas.openxmlformats.org/officeDocument/2006/relationships/hyperlink" Target="https://techelectro.ru/prod/vdetools/vde-screwdrivers/nio-2210k/sku_103017/" TargetMode="External"/><Relationship Id="rId3962" Type="http://schemas.openxmlformats.org/officeDocument/2006/relationships/hyperlink" Target="https://techelectro.ru/prod/construction_hydraulics/jack/jack_hd/dpp/sku_84589/" TargetMode="External"/><Relationship Id="rId6021" Type="http://schemas.openxmlformats.org/officeDocument/2006/relationships/hyperlink" Target="https://techelectro.ru/prod/ground_wire/pzu/pzu-6-900/" TargetMode="External"/><Relationship Id="rId536" Type="http://schemas.openxmlformats.org/officeDocument/2006/relationships/hyperlink" Target="https://techelectro.ru/prod/insulugs/ilugs/nkin/nkin_1_5_6/" TargetMode="External"/><Relationship Id="rId1166" Type="http://schemas.openxmlformats.org/officeDocument/2006/relationships/hyperlink" Target="https://techelectro.ru/prod/bolt-lugs/wire10-240/nbp/2nbp_70-120/" TargetMode="External"/><Relationship Id="rId2217" Type="http://schemas.openxmlformats.org/officeDocument/2006/relationships/hyperlink" Target="https://techelectro.ru/prod/hstubes/hstube/ygtutng/sku_84958/" TargetMode="External"/><Relationship Id="rId950" Type="http://schemas.openxmlformats.org/officeDocument/2006/relationships/hyperlink" Target="https://techelectro.ru/prod/e-connectors/nshvi/nshvi_35_16/" TargetMode="External"/><Relationship Id="rId1580" Type="http://schemas.openxmlformats.org/officeDocument/2006/relationships/hyperlink" Target="https://techelectro.ru/prod/cable-kits/muffs1kv/2pst-1/2pstb1-70-120/" TargetMode="External"/><Relationship Id="rId2631" Type="http://schemas.openxmlformats.org/officeDocument/2006/relationships/hyperlink" Target="https://techelectro.ru/prod/hstubes/specialtube/ttgsm/ttgsm-4_8-2_4/" TargetMode="External"/><Relationship Id="rId4389" Type="http://schemas.openxmlformats.org/officeDocument/2006/relationships/hyperlink" Target="https://techelectro.ru/prod/digital_meters/measuring_electrode/kt3006/kt-3006/" TargetMode="External"/><Relationship Id="rId5787" Type="http://schemas.openxmlformats.org/officeDocument/2006/relationships/hyperlink" Target="https://techelectro.ru/prod/staples/smd_inox/smd_inox_21-22/" TargetMode="External"/><Relationship Id="rId603" Type="http://schemas.openxmlformats.org/officeDocument/2006/relationships/hyperlink" Target="https://techelectro.ru/prod/insulugs/ilugs/nvin/nvin_16_6/" TargetMode="External"/><Relationship Id="rId1233" Type="http://schemas.openxmlformats.org/officeDocument/2006/relationships/hyperlink" Target="https://techelectro.ru/prod/cable-kits/kits-ngls-1kv/4_kvntp-1_ngls/4kvntpngls1-25-50/" TargetMode="External"/><Relationship Id="rId5854" Type="http://schemas.openxmlformats.org/officeDocument/2006/relationships/hyperlink" Target="https://techelectro.ru/prod/staples/smp/smp-15/" TargetMode="External"/><Relationship Id="rId1300" Type="http://schemas.openxmlformats.org/officeDocument/2006/relationships/hyperlink" Target="https://techelectro.ru/prod/cable-kits/kits-ngls-1kv/3stp-ngls/3stpngls1-150-240_b/" TargetMode="External"/><Relationship Id="rId4456" Type="http://schemas.openxmlformats.org/officeDocument/2006/relationships/hyperlink" Target="https://techelectro.ru/prod/ties/nylonties/nss/sku_84803/" TargetMode="External"/><Relationship Id="rId4870" Type="http://schemas.openxmlformats.org/officeDocument/2006/relationships/hyperlink" Target="https://techelectro.ru/prod/steel-ties/steel_ties-labels/sksp/sksp4x800/" TargetMode="External"/><Relationship Id="rId5507" Type="http://schemas.openxmlformats.org/officeDocument/2006/relationships/hyperlink" Target="https://techelectro.ru/prod/metal-hose-fittings/hose/mrping-diesel_p/sku_88464/" TargetMode="External"/><Relationship Id="rId5921" Type="http://schemas.openxmlformats.org/officeDocument/2006/relationships/hyperlink" Target="https://techelectro.ru/prod/staples/snk_black/sku_103928/" TargetMode="External"/><Relationship Id="rId3058" Type="http://schemas.openxmlformats.org/officeDocument/2006/relationships/hyperlink" Target="https://techelectro.ru/prod/wiring-tools/crimpers_pgr/hv-crimpers/matrix_pg100t/msh-40-5a-100t/" TargetMode="External"/><Relationship Id="rId3472" Type="http://schemas.openxmlformats.org/officeDocument/2006/relationships/hyperlink" Target="https://techelectro.ru/prod/wiring-tools/unwinding/fishtape/fgp3_5k/fgp-3_5_15k/" TargetMode="External"/><Relationship Id="rId4109" Type="http://schemas.openxmlformats.org/officeDocument/2006/relationships/hyperlink" Target="https://techelectro.ru/prod/protection-safety/bags_packs/sm_6/sku_83133/" TargetMode="External"/><Relationship Id="rId4523" Type="http://schemas.openxmlformats.org/officeDocument/2006/relationships/hyperlink" Target="https://techelectro.ru/prod/ties/nylonties/kss_multilock_uv/sku_102321/" TargetMode="External"/><Relationship Id="rId393" Type="http://schemas.openxmlformats.org/officeDocument/2006/relationships/hyperlink" Target="https://techelectro.ru/prod/cable-lugs/al/ga/ga_16/" TargetMode="External"/><Relationship Id="rId2074" Type="http://schemas.openxmlformats.org/officeDocument/2006/relationships/hyperlink" Target="https://techelectro.ru/prod/hstubes/hstube/tutng-color/sku_102204/" TargetMode="External"/><Relationship Id="rId3125" Type="http://schemas.openxmlformats.org/officeDocument/2006/relationships/hyperlink" Target="https://techelectro.ru/prod/wiring-tools/cutters_sidecutters/mc01a/sku_86590/" TargetMode="External"/><Relationship Id="rId460" Type="http://schemas.openxmlformats.org/officeDocument/2006/relationships/hyperlink" Target="https://techelectro.ru/prod/cable-lugs/al/nsham-p/sku_91878/" TargetMode="External"/><Relationship Id="rId1090" Type="http://schemas.openxmlformats.org/officeDocument/2006/relationships/hyperlink" Target="https://techelectro.ru/prod/clamps_wago-smk/smk_2273-242_paste/sku_109317/" TargetMode="External"/><Relationship Id="rId2141" Type="http://schemas.openxmlformats.org/officeDocument/2006/relationships/hyperlink" Target="https://techelectro.ru/prod/hstubes/hstube/tnt_hf/sku_82980/" TargetMode="External"/><Relationship Id="rId5297" Type="http://schemas.openxmlformats.org/officeDocument/2006/relationships/hyperlink" Target="https://techelectro.ru/prod/cable_entry/cable_entry_metal/okm-m/sku_88664/" TargetMode="External"/><Relationship Id="rId113" Type="http://schemas.openxmlformats.org/officeDocument/2006/relationships/hyperlink" Target="https://techelectro.ru/prod/cable-lugs/cu/tm/tm_95_12_15/" TargetMode="External"/><Relationship Id="rId2958" Type="http://schemas.openxmlformats.org/officeDocument/2006/relationships/hyperlink" Target="https://techelectro.ru/prod/wiring-tools/crimpers_pgr/hdcrimp/matricy_nm300tm/nm-300tm/" TargetMode="External"/><Relationship Id="rId5017" Type="http://schemas.openxmlformats.org/officeDocument/2006/relationships/hyperlink" Target="https://techelectro.ru/prod/strength-ties/screw-ties/pl12-w2/pl-12_40-60_w2/" TargetMode="External"/><Relationship Id="rId5364" Type="http://schemas.openxmlformats.org/officeDocument/2006/relationships/hyperlink" Target="https://techelectro.ru/prod/cable_entry/cable_entry_plastic/pg-r/pg-r-9/" TargetMode="External"/><Relationship Id="rId1974" Type="http://schemas.openxmlformats.org/officeDocument/2006/relationships/hyperlink" Target="https://techelectro.ru/prod/cable_kits_acs/kbm-s/sku_84303/" TargetMode="External"/><Relationship Id="rId4380" Type="http://schemas.openxmlformats.org/officeDocument/2006/relationships/hyperlink" Target="https://techelectro.ru/prod/digital_meters/ecotesters/kt629/sku_91923/" TargetMode="External"/><Relationship Id="rId5431" Type="http://schemas.openxmlformats.org/officeDocument/2006/relationships/hyperlink" Target="https://techelectro.ru/prod/metal-hose-fittings/hose/r3cp-ngls/r3cpngls12/" TargetMode="External"/><Relationship Id="rId1627" Type="http://schemas.openxmlformats.org/officeDocument/2006/relationships/hyperlink" Target="https://techelectro.ru/prod/cable-kits/muffs1kv/5pst-1/5pst1-150-240_b/" TargetMode="External"/><Relationship Id="rId4033" Type="http://schemas.openxmlformats.org/officeDocument/2006/relationships/hyperlink" Target="https://techelectro.ru/prod/construction_hydraulics/glg-cutters/glg_2432/glg-2432/" TargetMode="External"/><Relationship Id="rId3799" Type="http://schemas.openxmlformats.org/officeDocument/2006/relationships/hyperlink" Target="https://techelectro.ru/prod/metalworking-tools/ft_screwdrivers/nmp6/sku_89259/" TargetMode="External"/><Relationship Id="rId4100" Type="http://schemas.openxmlformats.org/officeDocument/2006/relationships/hyperlink" Target="https://techelectro.ru/prod/protection-safety/bags_packs/s55/s-55/" TargetMode="External"/><Relationship Id="rId3866" Type="http://schemas.openxmlformats.org/officeDocument/2006/relationships/hyperlink" Target="https://techelectro.ru/prod/metalworking-tools/ft_wrench/ratchet-wrench-piece/ratchet-wrench-piece-14/" TargetMode="External"/><Relationship Id="rId4917" Type="http://schemas.openxmlformats.org/officeDocument/2006/relationships/hyperlink" Target="https://techelectro.ru/prod/steel-ties/steel_ties-labels/skl316/skl316-7x200/" TargetMode="External"/><Relationship Id="rId787" Type="http://schemas.openxmlformats.org/officeDocument/2006/relationships/hyperlink" Target="https://techelectro.ru/prod/insulugs/iquick/pk-t/sku_108961/" TargetMode="External"/><Relationship Id="rId2468" Type="http://schemas.openxmlformats.org/officeDocument/2006/relationships/hyperlink" Target="https://techelectro.ru/prod/hstubes/gluetube/ttk41/ttk41-12/" TargetMode="External"/><Relationship Id="rId2882" Type="http://schemas.openxmlformats.org/officeDocument/2006/relationships/hyperlink" Target="https://techelectro.ru/prod/wiring-tools/crimpers/insulugs-crimp/mpk9/mpk_09/" TargetMode="External"/><Relationship Id="rId3519" Type="http://schemas.openxmlformats.org/officeDocument/2006/relationships/hyperlink" Target="https://techelectro.ru/prod/wiring-tools/bags_sets/nim3/sku_101925/" TargetMode="External"/><Relationship Id="rId3933" Type="http://schemas.openxmlformats.org/officeDocument/2006/relationships/hyperlink" Target="https://techelectro.ru/prod/construction_hydraulics/jack/jack_hd/dnp150/sku_88498/" TargetMode="External"/><Relationship Id="rId854" Type="http://schemas.openxmlformats.org/officeDocument/2006/relationships/hyperlink" Target="https://techelectro.ru/prod/insulugs/screw_clamp/zvi-ng_black/sku_87163/" TargetMode="External"/><Relationship Id="rId1484" Type="http://schemas.openxmlformats.org/officeDocument/2006/relationships/hyperlink" Target="https://techelectro.ru/prod/cable-kits/muffs1kv/3-pktp-1/3pktp-1-35_50_b/" TargetMode="External"/><Relationship Id="rId2535" Type="http://schemas.openxmlformats.org/officeDocument/2006/relationships/hyperlink" Target="https://techelectro.ru/prod/hstubes/hstubeset/kolorit/kolorit-multy/" TargetMode="External"/><Relationship Id="rId507" Type="http://schemas.openxmlformats.org/officeDocument/2006/relationships/hyperlink" Target="https://techelectro.ru/prod/insulugs/ilugs/nki/sku_108524/" TargetMode="External"/><Relationship Id="rId714" Type="http://schemas.openxmlformats.org/officeDocument/2006/relationships/hyperlink" Target="https://techelectro.ru/prod/insulugs/iplug/rpimn/sku_108604/" TargetMode="External"/><Relationship Id="rId921" Type="http://schemas.openxmlformats.org/officeDocument/2006/relationships/hyperlink" Target="https://techelectro.ru/prod/insulugs/autoterminals/rga/sku_109238/" TargetMode="External"/><Relationship Id="rId1137" Type="http://schemas.openxmlformats.org/officeDocument/2006/relationships/hyperlink" Target="https://techelectro.ru/prod/clamps_wago-smk/smk_222-436/sku_109307/" TargetMode="External"/><Relationship Id="rId1344" Type="http://schemas.openxmlformats.org/officeDocument/2006/relationships/hyperlink" Target="https://techelectro.ru/prod/cable-kits/kits-ngls-1kv/5pst_ngls-1/5pstb1-70-120_bngls/" TargetMode="External"/><Relationship Id="rId1551" Type="http://schemas.openxmlformats.org/officeDocument/2006/relationships/hyperlink" Target="https://techelectro.ru/prod/cable-kits/muffs1kv/4_3stp-1/4stp1-25-50_b/" TargetMode="External"/><Relationship Id="rId2602" Type="http://schemas.openxmlformats.org/officeDocument/2006/relationships/hyperlink" Target="https://techelectro.ru/prod/hstubes/highvoltagetube/ttsh10/sku_84902/" TargetMode="External"/><Relationship Id="rId5758" Type="http://schemas.openxmlformats.org/officeDocument/2006/relationships/hyperlink" Target="https://techelectro.ru/prod/metal-hose-fittings/fittings/pipe_bushings/v82/" TargetMode="External"/><Relationship Id="rId5965" Type="http://schemas.openxmlformats.org/officeDocument/2006/relationships/hyperlink" Target="https://techelectro.ru/prod/staples/u/u-6/" TargetMode="External"/><Relationship Id="rId50" Type="http://schemas.openxmlformats.org/officeDocument/2006/relationships/hyperlink" Target="https://techelectro.ru/prod/cable-lugs/cu/tml/sku_89403/" TargetMode="External"/><Relationship Id="rId1204" Type="http://schemas.openxmlformats.org/officeDocument/2006/relationships/hyperlink" Target="https://techelectro.ru/prod/bolt-lugs/wire10-240/nbtk/nbtk_10-25/" TargetMode="External"/><Relationship Id="rId1411" Type="http://schemas.openxmlformats.org/officeDocument/2006/relationships/hyperlink" Target="https://techelectro.ru/prod/cable-kits/kits-ngls-10kv/1pst10ngls/1pst10-150-240ngls/" TargetMode="External"/><Relationship Id="rId4567" Type="http://schemas.openxmlformats.org/officeDocument/2006/relationships/hyperlink" Target="https://techelectro.ru/prod/ties/nylonties/kss100-nord_white/kss_nord_4-200_white/" TargetMode="External"/><Relationship Id="rId4774" Type="http://schemas.openxmlformats.org/officeDocument/2006/relationships/hyperlink" Target="https://techelectro.ru/prod/steel-ties/steel_ties-labels/sks316/sks316-4x800/" TargetMode="External"/><Relationship Id="rId5618" Type="http://schemas.openxmlformats.org/officeDocument/2006/relationships/hyperlink" Target="https://techelectro.ru/prod/metal-hose-fittings/hose/r3ch_p/r3ch20_p/" TargetMode="External"/><Relationship Id="rId5825" Type="http://schemas.openxmlformats.org/officeDocument/2006/relationships/hyperlink" Target="https://techelectro.ru/prod/staples/smop/smo-p_14-15/" TargetMode="External"/><Relationship Id="rId3169" Type="http://schemas.openxmlformats.org/officeDocument/2006/relationships/hyperlink" Target="https://techelectro.ru/prod/wiring-tools/strippers/wire-strip/ws30/sku_104426/" TargetMode="External"/><Relationship Id="rId3376" Type="http://schemas.openxmlformats.org/officeDocument/2006/relationships/hyperlink" Target="https://techelectro.ru/prod/wiring-tools/unwinding/hvltools/chm/chm-80/" TargetMode="External"/><Relationship Id="rId3583" Type="http://schemas.openxmlformats.org/officeDocument/2006/relationships/hyperlink" Target="https://techelectro.ru/prod/vdetools/vde-screwdrivers/nio07profi/nio-07_profi/" TargetMode="External"/><Relationship Id="rId4427" Type="http://schemas.openxmlformats.org/officeDocument/2006/relationships/hyperlink" Target="https://techelectro.ru/prod/ties/nylonties/kss/sku_89900/" TargetMode="External"/><Relationship Id="rId4981" Type="http://schemas.openxmlformats.org/officeDocument/2006/relationships/hyperlink" Target="https://techelectro.ru/prod/strength-ties/screw-ties/pl9-w2/w2-20-32/" TargetMode="External"/><Relationship Id="rId297" Type="http://schemas.openxmlformats.org/officeDocument/2006/relationships/hyperlink" Target="https://techelectro.ru/prod/cable-lugs/cu/gm/sku_41638/" TargetMode="External"/><Relationship Id="rId2185" Type="http://schemas.openxmlformats.org/officeDocument/2006/relationships/hyperlink" Target="https://techelectro.ru/prod/hstubes/hstube/tnt_ng-ls_colors/tntng105yg/" TargetMode="External"/><Relationship Id="rId2392" Type="http://schemas.openxmlformats.org/officeDocument/2006/relationships/hyperlink" Target="https://techelectro.ru/prod/hstubes/gluetube/ttk2/sku_88173/" TargetMode="External"/><Relationship Id="rId3029" Type="http://schemas.openxmlformats.org/officeDocument/2006/relationships/hyperlink" Target="https://techelectro.ru/prod/wiring-tools/crimpers_pgr/hv-crimpers/matrix_pg100t/a-40-5-100t/" TargetMode="External"/><Relationship Id="rId3236" Type="http://schemas.openxmlformats.org/officeDocument/2006/relationships/hyperlink" Target="https://techelectro.ru/prod/wiring-tools/boxtools/nmpo116/nmpo-116/" TargetMode="External"/><Relationship Id="rId3790" Type="http://schemas.openxmlformats.org/officeDocument/2006/relationships/hyperlink" Target="https://techelectro.ru/prod/metalworking-tools/ft_pliers/minipliersft125/minipliersft-125/" TargetMode="External"/><Relationship Id="rId4634" Type="http://schemas.openxmlformats.org/officeDocument/2006/relationships/hyperlink" Target="https://techelectro.ru/prod/ties/nylonties/kss_magnetic/kss_magnetic_4_150/" TargetMode="External"/><Relationship Id="rId4841" Type="http://schemas.openxmlformats.org/officeDocument/2006/relationships/hyperlink" Target="https://techelectro.ru/prod/steel-ties/steel_ties-labels/sks316p/sks316p-7x200/" TargetMode="External"/><Relationship Id="rId157" Type="http://schemas.openxmlformats.org/officeDocument/2006/relationships/hyperlink" Target="https://techelectro.ru/prod/cable-lugs/cu/tmldin/tml_din_1000-20/" TargetMode="External"/><Relationship Id="rId364" Type="http://schemas.openxmlformats.org/officeDocument/2006/relationships/hyperlink" Target="https://techelectro.ru/prod/cable-lugs/cu/lugset-tmls/set-tmls1_5-4/" TargetMode="External"/><Relationship Id="rId2045" Type="http://schemas.openxmlformats.org/officeDocument/2006/relationships/hyperlink" Target="https://techelectro.ru/prod/hstubes/hstube/tutng-color/sku_102175/" TargetMode="External"/><Relationship Id="rId3443" Type="http://schemas.openxmlformats.org/officeDocument/2006/relationships/hyperlink" Target="https://techelectro.ru/prod/wiring-tools/unwinding/fishtape/pet1-4/pet4_30/" TargetMode="External"/><Relationship Id="rId3650" Type="http://schemas.openxmlformats.org/officeDocument/2006/relationships/hyperlink" Target="https://techelectro.ru/prod/vdetools/vde-knives/nki50/sku_101968/" TargetMode="External"/><Relationship Id="rId4701" Type="http://schemas.openxmlformats.org/officeDocument/2006/relationships/hyperlink" Target="https://techelectro.ru/prod/ties/nylonties/lvu/lvu165black/" TargetMode="External"/><Relationship Id="rId571" Type="http://schemas.openxmlformats.org/officeDocument/2006/relationships/hyperlink" Target="https://techelectro.ru/prod/insulugs/ilugs/nvi/nvi_1_5_3/" TargetMode="External"/><Relationship Id="rId2252" Type="http://schemas.openxmlformats.org/officeDocument/2006/relationships/hyperlink" Target="https://techelectro.ru/prod/hstubes/hstube/tut-hf/tut_hf20-10_white/" TargetMode="External"/><Relationship Id="rId3303" Type="http://schemas.openxmlformats.org/officeDocument/2006/relationships/hyperlink" Target="https://techelectro.ru/prod/wiring-tools/bustools/mpsho-95_oval/mpsho-12-20/" TargetMode="External"/><Relationship Id="rId3510" Type="http://schemas.openxmlformats.org/officeDocument/2006/relationships/hyperlink" Target="https://techelectro.ru/prod/wiring-tools/steeltiestools/in20/in-20/" TargetMode="External"/><Relationship Id="rId224" Type="http://schemas.openxmlformats.org/officeDocument/2006/relationships/hyperlink" Target="https://techelectro.ru/prod/cable-lugs/cu/pm/pm_185_12/" TargetMode="External"/><Relationship Id="rId431" Type="http://schemas.openxmlformats.org/officeDocument/2006/relationships/hyperlink" Target="https://techelectro.ru/prod/cable-lugs/al/gam/sku_90844/" TargetMode="External"/><Relationship Id="rId1061" Type="http://schemas.openxmlformats.org/officeDocument/2006/relationships/hyperlink" Target="https://techelectro.ru/prod/e-connectors/nshv/nshv_10_12/" TargetMode="External"/><Relationship Id="rId2112" Type="http://schemas.openxmlformats.org/officeDocument/2006/relationships/hyperlink" Target="https://techelectro.ru/prod/hstubes/hstube/tnt_hf/sku_85000/" TargetMode="External"/><Relationship Id="rId5268" Type="http://schemas.openxmlformats.org/officeDocument/2006/relationships/hyperlink" Target="https://techelectro.ru/prod/cable_entry/cable_entry_metal/kvm-m6_inox/sku_88847/" TargetMode="External"/><Relationship Id="rId5475" Type="http://schemas.openxmlformats.org/officeDocument/2006/relationships/hyperlink" Target="https://techelectro.ru/prod/metal-hose-fittings/hose/mrping_p/sku_65021/" TargetMode="External"/><Relationship Id="rId5682" Type="http://schemas.openxmlformats.org/officeDocument/2006/relationships/hyperlink" Target="https://techelectro.ru/prod/metal-hose-fittings/fittings/vm-l/sku_88861/" TargetMode="External"/><Relationship Id="rId1878" Type="http://schemas.openxmlformats.org/officeDocument/2006/relationships/hyperlink" Target="https://techelectro.ru/prod/cable_kits_acs/tping/4tping-150-240/" TargetMode="External"/><Relationship Id="rId2929" Type="http://schemas.openxmlformats.org/officeDocument/2006/relationships/hyperlink" Target="https://techelectro.ru/prod/wiring-tools/crimpers_pgr/hdcrimp/pgr95/sku_91809/" TargetMode="External"/><Relationship Id="rId4077" Type="http://schemas.openxmlformats.org/officeDocument/2006/relationships/hyperlink" Target="https://techelectro.ru/prod/fixing_tools/kp-100-11/sku_87967/" TargetMode="External"/><Relationship Id="rId4284" Type="http://schemas.openxmlformats.org/officeDocument/2006/relationships/hyperlink" Target="https://techelectro.ru/prod/abcarm/abctools/ko/ko/" TargetMode="External"/><Relationship Id="rId4491" Type="http://schemas.openxmlformats.org/officeDocument/2006/relationships/hyperlink" Target="https://techelectro.ru/prod/ties/nylonties/kss-uv/kss5x300b/" TargetMode="External"/><Relationship Id="rId5128" Type="http://schemas.openxmlformats.org/officeDocument/2006/relationships/hyperlink" Target="https://techelectro.ru/prod/cable_entry/cable_entry_metal/mgm-inox/sku_85433/" TargetMode="External"/><Relationship Id="rId5335" Type="http://schemas.openxmlformats.org/officeDocument/2006/relationships/hyperlink" Target="https://techelectro.ru/prod/cable_entry/cable_entry_plastic/mg/mg25/" TargetMode="External"/><Relationship Id="rId5542" Type="http://schemas.openxmlformats.org/officeDocument/2006/relationships/hyperlink" Target="https://techelectro.ru/prod/metal-hose-fittings/hose/m-g/sku_87887/" TargetMode="External"/><Relationship Id="rId1738" Type="http://schemas.openxmlformats.org/officeDocument/2006/relationships/hyperlink" Target="https://techelectro.ru/prod/cable-kits/muffs10kv/3rkvtp-10/sku_88111/" TargetMode="External"/><Relationship Id="rId3093" Type="http://schemas.openxmlformats.org/officeDocument/2006/relationships/hyperlink" Target="https://techelectro.ru/prod/wiring-tools/cutters/sectioncutters/ns45/ns-45/" TargetMode="External"/><Relationship Id="rId4144" Type="http://schemas.openxmlformats.org/officeDocument/2006/relationships/hyperlink" Target="https://techelectro.ru/prod/protection-safety/protection/np-35/np35/" TargetMode="External"/><Relationship Id="rId4351" Type="http://schemas.openxmlformats.org/officeDocument/2006/relationships/hyperlink" Target="https://techelectro.ru/prod/digital_meters/testers_detectors/kt100/kt-100/" TargetMode="External"/><Relationship Id="rId5402" Type="http://schemas.openxmlformats.org/officeDocument/2006/relationships/hyperlink" Target="https://techelectro.ru/prod/metal-hose-fittings/hose/mrping_nord/mrping6_nord/" TargetMode="External"/><Relationship Id="rId1945" Type="http://schemas.openxmlformats.org/officeDocument/2006/relationships/hyperlink" Target="https://techelectro.ru/prod/cable_kits_acs/pml/pml-16-800_nk/" TargetMode="External"/><Relationship Id="rId3160" Type="http://schemas.openxmlformats.org/officeDocument/2006/relationships/hyperlink" Target="https://techelectro.ru/prod/wiring-tools/cutters_din/br-brg-cutters/brg_12/brg-12/" TargetMode="External"/><Relationship Id="rId4004" Type="http://schemas.openxmlformats.org/officeDocument/2006/relationships/hyperlink" Target="https://techelectro.ru/prod/construction_hydraulics/hydraulic_pullers/sgn5/sku_84628/" TargetMode="External"/><Relationship Id="rId4211" Type="http://schemas.openxmlformats.org/officeDocument/2006/relationships/hyperlink" Target="https://techelectro.ru/prod/abcarm/pierce/zpo50-50/sku_108655/" TargetMode="External"/><Relationship Id="rId1805" Type="http://schemas.openxmlformats.org/officeDocument/2006/relationships/hyperlink" Target="https://techelectro.ru/prod/cable-kits/muffs10kv/3rst-10/sku_88136/" TargetMode="External"/><Relationship Id="rId3020" Type="http://schemas.openxmlformats.org/officeDocument/2006/relationships/hyperlink" Target="https://techelectro.ru/prod/wiring-tools/crimpers_pgr/hv-crimpers/matrix_pg60t/sku_69233/" TargetMode="External"/><Relationship Id="rId3977" Type="http://schemas.openxmlformats.org/officeDocument/2006/relationships/hyperlink" Target="https://techelectro.ru/prod/construction_hydraulics/jack/jack_hd/da-pn20/sku_87377/" TargetMode="External"/><Relationship Id="rId6036" Type="http://schemas.openxmlformats.org/officeDocument/2006/relationships/hyperlink" Target="https://techelectro.ru/prod/ground_wire/pzu/pzu-25-400/" TargetMode="External"/><Relationship Id="rId898" Type="http://schemas.openxmlformats.org/officeDocument/2006/relationships/hyperlink" Target="https://techelectro.ru/prod/insulugs/autoterminals/rp-m_1_0_2_8/sku_109244/" TargetMode="External"/><Relationship Id="rId2579" Type="http://schemas.openxmlformats.org/officeDocument/2006/relationships/hyperlink" Target="https://techelectro.ru/prod/hstubes/hstubeset/set_glue10/sku_85191/" TargetMode="External"/><Relationship Id="rId2786" Type="http://schemas.openxmlformats.org/officeDocument/2006/relationships/hyperlink" Target="https://techelectro.ru/prod/insulating/xv_mini/sku_90931/" TargetMode="External"/><Relationship Id="rId2993" Type="http://schemas.openxmlformats.org/officeDocument/2006/relationships/hyperlink" Target="https://techelectro.ru/prod/wiring-tools/crimpers_pgr/hv-crimpers/matrix_pg60t/c-31-5/" TargetMode="External"/><Relationship Id="rId3837" Type="http://schemas.openxmlformats.org/officeDocument/2006/relationships/hyperlink" Target="https://techelectro.ru/prod/metalworking-tools/ft_pumpliers/npk02k/sku_105978/" TargetMode="External"/><Relationship Id="rId5192" Type="http://schemas.openxmlformats.org/officeDocument/2006/relationships/hyperlink" Target="https://techelectro.ru/prod/cable_entry/cable_entry_metal/mgm-dl/sku_89023/" TargetMode="External"/><Relationship Id="rId758" Type="http://schemas.openxmlformats.org/officeDocument/2006/relationships/hyperlink" Target="https://techelectro.ru/prod/insulugs/iquick/gsi/gsi_2_5/" TargetMode="External"/><Relationship Id="rId965" Type="http://schemas.openxmlformats.org/officeDocument/2006/relationships/hyperlink" Target="https://techelectro.ru/prod/e-connectors/nshvi/sku_108903/" TargetMode="External"/><Relationship Id="rId1388" Type="http://schemas.openxmlformats.org/officeDocument/2006/relationships/hyperlink" Target="https://techelectro.ru/prod/cable-kits/kits-ngls-10kv/3pkvntp-10_ng-ls/3pkvtp10-35_50b_ngls/" TargetMode="External"/><Relationship Id="rId1595" Type="http://schemas.openxmlformats.org/officeDocument/2006/relationships/hyperlink" Target="https://techelectro.ru/prod/cable-kits/muffs1kv/3pst-1/3pstb1-150-240/" TargetMode="External"/><Relationship Id="rId2439" Type="http://schemas.openxmlformats.org/officeDocument/2006/relationships/hyperlink" Target="https://techelectro.ru/prod/hstubes/gluetube/ttk31_green/sku_106555/" TargetMode="External"/><Relationship Id="rId2646" Type="http://schemas.openxmlformats.org/officeDocument/2006/relationships/hyperlink" Target="https://techelectro.ru/prod/hstubes/specialtube/tt150/sku_104424/" TargetMode="External"/><Relationship Id="rId2853" Type="http://schemas.openxmlformats.org/officeDocument/2006/relationships/hyperlink" Target="https://techelectro.ru/prod/wiring-tools/crimpers/insulugs-crimp/ctc5set/sku_86875/" TargetMode="External"/><Relationship Id="rId3904" Type="http://schemas.openxmlformats.org/officeDocument/2006/relationships/hyperlink" Target="https://techelectro.ru/prod/metalworking-tools/ft_ringassemblies/nks1/nks-01/" TargetMode="External"/><Relationship Id="rId5052" Type="http://schemas.openxmlformats.org/officeDocument/2006/relationships/hyperlink" Target="https://techelectro.ru/prod/strength-ties/screw-ties/sr/sr_122-130_w1/" TargetMode="External"/><Relationship Id="rId94" Type="http://schemas.openxmlformats.org/officeDocument/2006/relationships/hyperlink" Target="https://techelectro.ru/prod/cable-lugs/cu/tm/sku_86994/" TargetMode="External"/><Relationship Id="rId618" Type="http://schemas.openxmlformats.org/officeDocument/2006/relationships/hyperlink" Target="https://techelectro.ru/prod/insulugs/ilugs/nshki/sku_108574/" TargetMode="External"/><Relationship Id="rId825" Type="http://schemas.openxmlformats.org/officeDocument/2006/relationships/hyperlink" Target="https://techelectro.ru/prod/insulugs/siz_kiz/kiz/sku_108495/" TargetMode="External"/><Relationship Id="rId1248" Type="http://schemas.openxmlformats.org/officeDocument/2006/relationships/hyperlink" Target="https://techelectro.ru/prod/cable-kits/kits-ngls-1kv/4_5pktp-1_ngls/4pktpng-ls1-150-240/" TargetMode="External"/><Relationship Id="rId1455" Type="http://schemas.openxmlformats.org/officeDocument/2006/relationships/hyperlink" Target="https://techelectro.ru/prod/cable-kits/muffs1kv/3-kvntp-1/3kvntp1-25-50/" TargetMode="External"/><Relationship Id="rId1662" Type="http://schemas.openxmlformats.org/officeDocument/2006/relationships/hyperlink" Target="https://techelectro.ru/prod/cable-kits/muffs1kv/mvpt/mvpt_4-6/" TargetMode="External"/><Relationship Id="rId2506" Type="http://schemas.openxmlformats.org/officeDocument/2006/relationships/hyperlink" Target="https://techelectro.ru/prod/hstubes/gluetube/sttk31/sttk160/" TargetMode="External"/><Relationship Id="rId5869" Type="http://schemas.openxmlformats.org/officeDocument/2006/relationships/hyperlink" Target="https://techelectro.ru/prod/staples/smr15/smr_26-15/" TargetMode="External"/><Relationship Id="rId1108" Type="http://schemas.openxmlformats.org/officeDocument/2006/relationships/hyperlink" Target="https://techelectro.ru/prod/clamps_wago-smk/smk_2273-208/sku_109316/" TargetMode="External"/><Relationship Id="rId1315" Type="http://schemas.openxmlformats.org/officeDocument/2006/relationships/hyperlink" Target="https://techelectro.ru/prod/cable-kits/kits-ngls-1kv/4_5pst_ngls-1/4pst1-25-50ngls/" TargetMode="External"/><Relationship Id="rId2713" Type="http://schemas.openxmlformats.org/officeDocument/2006/relationships/hyperlink" Target="https://techelectro.ru/prod/insulating/lkr/lkr-50/" TargetMode="External"/><Relationship Id="rId2920" Type="http://schemas.openxmlformats.org/officeDocument/2006/relationships/hyperlink" Target="https://techelectro.ru/prod/wiring-tools/crimpers/conn-crimp/pkv95/pkv-95/" TargetMode="External"/><Relationship Id="rId4678" Type="http://schemas.openxmlformats.org/officeDocument/2006/relationships/hyperlink" Target="https://techelectro.ru/prod/ties/nylonties/ksr/ksr7x250/" TargetMode="External"/><Relationship Id="rId1522" Type="http://schemas.openxmlformats.org/officeDocument/2006/relationships/hyperlink" Target="https://techelectro.ru/prod/cable-kits/muffs1kv/5-pktp-1/5pktp-1-150_240_b/" TargetMode="External"/><Relationship Id="rId4885" Type="http://schemas.openxmlformats.org/officeDocument/2006/relationships/hyperlink" Target="https://techelectro.ru/prod/steel-ties/steel_ties-labels/sksp/sksp4x1001/" TargetMode="External"/><Relationship Id="rId5729" Type="http://schemas.openxmlformats.org/officeDocument/2006/relationships/hyperlink" Target="https://techelectro.ru/prod/metal-hose-fittings/fittings/vth/vth32/" TargetMode="External"/><Relationship Id="rId5936" Type="http://schemas.openxmlformats.org/officeDocument/2006/relationships/hyperlink" Target="https://techelectro.ru/prod/staples/fastener_black/sku_91051/" TargetMode="External"/><Relationship Id="rId21" Type="http://schemas.openxmlformats.org/officeDocument/2006/relationships/hyperlink" Target="https://techelectro.ru/prod/cable-lugs/cu/tmls/sku_92335/" TargetMode="External"/><Relationship Id="rId2089" Type="http://schemas.openxmlformats.org/officeDocument/2006/relationships/hyperlink" Target="https://techelectro.ru/prod/hstubes/hstube/tutng-color/sku_102219/" TargetMode="External"/><Relationship Id="rId3487" Type="http://schemas.openxmlformats.org/officeDocument/2006/relationships/hyperlink" Target="https://techelectro.ru/prod/wiring-tools/unwinding/fishtape/fgp11mk/fgp11-300mk/" TargetMode="External"/><Relationship Id="rId3694" Type="http://schemas.openxmlformats.org/officeDocument/2006/relationships/hyperlink" Target="https://techelectro.ru/prod/electric-tools/hammer-drills/hb20-30/sku_106055/" TargetMode="External"/><Relationship Id="rId4538" Type="http://schemas.openxmlformats.org/officeDocument/2006/relationships/hyperlink" Target="https://techelectro.ru/prod/ties/nylonties/nss-black/sku_89923/" TargetMode="External"/><Relationship Id="rId4745" Type="http://schemas.openxmlformats.org/officeDocument/2006/relationships/hyperlink" Target="https://techelectro.ru/prod/ties/markers/u_135m/sku_90943/" TargetMode="External"/><Relationship Id="rId4952" Type="http://schemas.openxmlformats.org/officeDocument/2006/relationships/hyperlink" Target="https://techelectro.ru/prod/steel-ties/steel_tape-brace/bm_201/sku_83584/" TargetMode="External"/><Relationship Id="rId2296" Type="http://schemas.openxmlformats.org/officeDocument/2006/relationships/hyperlink" Target="https://techelectro.ru/prod/hstubes/hstube/tut-hf/tut_hf30-15_red/" TargetMode="External"/><Relationship Id="rId3347" Type="http://schemas.openxmlformats.org/officeDocument/2006/relationships/hyperlink" Target="https://techelectro.ru/prod/wiring-tools/hdrtools/jack_hd_acs/rvd10/rvd-10/" TargetMode="External"/><Relationship Id="rId3554" Type="http://schemas.openxmlformats.org/officeDocument/2006/relationships/hyperlink" Target="https://techelectro.ru/prod/vdetools/pliers/intenscutters/sidecutter-180/" TargetMode="External"/><Relationship Id="rId3761" Type="http://schemas.openxmlformats.org/officeDocument/2006/relationships/hyperlink" Target="https://techelectro.ru/prod/electric-tools/accessories/direct-fastening/ggn-nails/sku_110470/" TargetMode="External"/><Relationship Id="rId4605" Type="http://schemas.openxmlformats.org/officeDocument/2006/relationships/hyperlink" Target="https://techelectro.ru/prod/ties/nylonties/kss100-nord_black/kss_nord_5-500_black/" TargetMode="External"/><Relationship Id="rId4812" Type="http://schemas.openxmlformats.org/officeDocument/2006/relationships/hyperlink" Target="https://techelectro.ru/prod/steel-ties/steel_ties-labels/sks/sks7h800/" TargetMode="External"/><Relationship Id="rId268" Type="http://schemas.openxmlformats.org/officeDocument/2006/relationships/hyperlink" Target="https://techelectro.ru/prod/cable-lugs/cu/tmls45/tmls_45_6-6/" TargetMode="External"/><Relationship Id="rId475" Type="http://schemas.openxmlformats.org/officeDocument/2006/relationships/hyperlink" Target="https://techelectro.ru/prod/cable-lugs/clamps/u_734m/sku_108498/" TargetMode="External"/><Relationship Id="rId682" Type="http://schemas.openxmlformats.org/officeDocument/2006/relationships/hyperlink" Target="https://techelectro.ru/prod/insulugs/iplug/rppim/sku_108592/" TargetMode="External"/><Relationship Id="rId2156" Type="http://schemas.openxmlformats.org/officeDocument/2006/relationships/hyperlink" Target="https://techelectro.ru/prod/hstubes/hstube/tnt_hf/sku_82992/" TargetMode="External"/><Relationship Id="rId2363" Type="http://schemas.openxmlformats.org/officeDocument/2006/relationships/hyperlink" Target="https://techelectro.ru/prod/hstubes/gluetube/ttk31/sku_85085/" TargetMode="External"/><Relationship Id="rId2570" Type="http://schemas.openxmlformats.org/officeDocument/2006/relationships/hyperlink" Target="https://techelectro.ru/prod/hstubes/hstubeset/5_colors/sku_85387/" TargetMode="External"/><Relationship Id="rId3207" Type="http://schemas.openxmlformats.org/officeDocument/2006/relationships/hyperlink" Target="https://techelectro.ru/prod/wiring-tools/strippers/xlpe-strip/ksp150/ksp-150/" TargetMode="External"/><Relationship Id="rId3414" Type="http://schemas.openxmlformats.org/officeDocument/2006/relationships/hyperlink" Target="https://techelectro.ru/prod/wiring-tools/unwinding/hvltools/chmp/sku_109903/" TargetMode="External"/><Relationship Id="rId3621" Type="http://schemas.openxmlformats.org/officeDocument/2006/relationships/hyperlink" Target="https://techelectro.ru/prod/vdetools/vde-screwdrivers/nio1113/nio-1113/" TargetMode="External"/><Relationship Id="rId128" Type="http://schemas.openxmlformats.org/officeDocument/2006/relationships/hyperlink" Target="https://techelectro.ru/prod/cable-lugs/cu/tmldin/tml_din_16_6/" TargetMode="External"/><Relationship Id="rId335" Type="http://schemas.openxmlformats.org/officeDocument/2006/relationships/hyperlink" Target="https://techelectro.ru/prod/cable-lugs/cu/gmlp/sku_92333/" TargetMode="External"/><Relationship Id="rId542" Type="http://schemas.openxmlformats.org/officeDocument/2006/relationships/hyperlink" Target="https://techelectro.ru/prod/insulugs/ilugs/nkin/nkin_10_8/" TargetMode="External"/><Relationship Id="rId1172" Type="http://schemas.openxmlformats.org/officeDocument/2006/relationships/hyperlink" Target="https://techelectro.ru/prod/bolt-lugs/wire10-240/sbp/sku_83725/" TargetMode="External"/><Relationship Id="rId2016" Type="http://schemas.openxmlformats.org/officeDocument/2006/relationships/hyperlink" Target="https://techelectro.ru/prod/ukpt_ogt/ukptr/ukptr135/" TargetMode="External"/><Relationship Id="rId2223" Type="http://schemas.openxmlformats.org/officeDocument/2006/relationships/hyperlink" Target="https://techelectro.ru/prod/hstubes/hstube/ygtutng/tutng12-6/" TargetMode="External"/><Relationship Id="rId2430" Type="http://schemas.openxmlformats.org/officeDocument/2006/relationships/hyperlink" Target="https://techelectro.ru/prod/hstubes/gluetube/ttk31_green/sku_102428/" TargetMode="External"/><Relationship Id="rId5379" Type="http://schemas.openxmlformats.org/officeDocument/2006/relationships/hyperlink" Target="https://techelectro.ru/prod/cable_entry/cable_entry_plastic/kvp-m12-black/sku_88663/" TargetMode="External"/><Relationship Id="rId5586" Type="http://schemas.openxmlformats.org/officeDocument/2006/relationships/hyperlink" Target="https://techelectro.ru/prod/metal-hose-fittings/hose/mrn-inox/mrn-inox-25/" TargetMode="External"/><Relationship Id="rId5793" Type="http://schemas.openxmlformats.org/officeDocument/2006/relationships/hyperlink" Target="https://techelectro.ru/prod/staples/smo/smo_8_9/" TargetMode="External"/><Relationship Id="rId402" Type="http://schemas.openxmlformats.org/officeDocument/2006/relationships/hyperlink" Target="https://techelectro.ru/prod/cable-lugs/al/ga/ga_240/" TargetMode="External"/><Relationship Id="rId1032" Type="http://schemas.openxmlformats.org/officeDocument/2006/relationships/hyperlink" Target="https://techelectro.ru/prod/e-connectors/nshvi2/sku_108931/" TargetMode="External"/><Relationship Id="rId4188" Type="http://schemas.openxmlformats.org/officeDocument/2006/relationships/hyperlink" Target="https://techelectro.ru/prod/abcarm/pierce/zpo16-95_16-95/sku_87397/" TargetMode="External"/><Relationship Id="rId4395" Type="http://schemas.openxmlformats.org/officeDocument/2006/relationships/hyperlink" Target="https://techelectro.ru/prod/ties/nylonties/kss/kss3h150/" TargetMode="External"/><Relationship Id="rId5239" Type="http://schemas.openxmlformats.org/officeDocument/2006/relationships/hyperlink" Target="https://techelectro.ru/prod/cable_entry/cable_entry_metal/vk-m-mr-inox/sku_88167/" TargetMode="External"/><Relationship Id="rId5446" Type="http://schemas.openxmlformats.org/officeDocument/2006/relationships/hyperlink" Target="https://techelectro.ru/prod/metal-hose-fittings/hose/r3cpnglsp/r3cpnglsp-15/" TargetMode="External"/><Relationship Id="rId1989" Type="http://schemas.openxmlformats.org/officeDocument/2006/relationships/hyperlink" Target="https://techelectro.ru/prod/cable_kits_acs/ku/ku_3/" TargetMode="External"/><Relationship Id="rId4048" Type="http://schemas.openxmlformats.org/officeDocument/2006/relationships/hyperlink" Target="https://techelectro.ru/prod/maintenance_tools/rj-crimp/jt3/jt-3/" TargetMode="External"/><Relationship Id="rId4255" Type="http://schemas.openxmlformats.org/officeDocument/2006/relationships/hyperlink" Target="https://techelectro.ru/prod/abcarm/sealinslugs/gif-mjpt95/sku_109226/" TargetMode="External"/><Relationship Id="rId5306" Type="http://schemas.openxmlformats.org/officeDocument/2006/relationships/hyperlink" Target="https://techelectro.ru/prod/cable_entry/cable_entry_plastic/pg_black/sku_88643/" TargetMode="External"/><Relationship Id="rId5653" Type="http://schemas.openxmlformats.org/officeDocument/2006/relationships/hyperlink" Target="https://techelectro.ru/prod/metal-hose-fittings/fittings/rk-n/sku_87896/" TargetMode="External"/><Relationship Id="rId5860" Type="http://schemas.openxmlformats.org/officeDocument/2006/relationships/hyperlink" Target="https://techelectro.ru/prod/staples/smr15/smr_12-15/" TargetMode="External"/><Relationship Id="rId1849" Type="http://schemas.openxmlformats.org/officeDocument/2006/relationships/hyperlink" Target="https://techelectro.ru/prod/cable-kits/muffs-35kv/3pkvtp-35/sku_110677/" TargetMode="External"/><Relationship Id="rId3064" Type="http://schemas.openxmlformats.org/officeDocument/2006/relationships/hyperlink" Target="https://techelectro.ru/prod/wiring-tools/crimpers_pgr/hv-crimpers/matrix_pg100t/msh-16-5c-100t/" TargetMode="External"/><Relationship Id="rId4462" Type="http://schemas.openxmlformats.org/officeDocument/2006/relationships/hyperlink" Target="https://techelectro.ru/prod/ties/nylonties/nss/sku_84806/" TargetMode="External"/><Relationship Id="rId5513" Type="http://schemas.openxmlformats.org/officeDocument/2006/relationships/hyperlink" Target="https://techelectro.ru/prod/metal-hose-fittings/hose/mrping-diesel_p/sku_88456/" TargetMode="External"/><Relationship Id="rId5720" Type="http://schemas.openxmlformats.org/officeDocument/2006/relationships/hyperlink" Target="https://techelectro.ru/prod/metal-hose-fittings/fittings/stmr/stmr38/" TargetMode="External"/><Relationship Id="rId192" Type="http://schemas.openxmlformats.org/officeDocument/2006/relationships/hyperlink" Target="https://techelectro.ru/prod/cable-lugs/cu/tmlr/sku_87452/" TargetMode="External"/><Relationship Id="rId1709" Type="http://schemas.openxmlformats.org/officeDocument/2006/relationships/hyperlink" Target="https://techelectro.ru/prod/cable-kits/muffs10kv/1pknt10/1pknt10-300-400/" TargetMode="External"/><Relationship Id="rId1916" Type="http://schemas.openxmlformats.org/officeDocument/2006/relationships/hyperlink" Target="https://techelectro.ru/prod/cable_kits_acs/trm/trm_135/" TargetMode="External"/><Relationship Id="rId3271" Type="http://schemas.openxmlformats.org/officeDocument/2006/relationships/hyperlink" Target="https://techelectro.ru/prod/wiring-tools/boxtools/mpo_square/sku_85311/" TargetMode="External"/><Relationship Id="rId4115" Type="http://schemas.openxmlformats.org/officeDocument/2006/relationships/hyperlink" Target="https://techelectro.ru/prod/protection-safety/bags_packs/sm12/sku_102647/" TargetMode="External"/><Relationship Id="rId4322" Type="http://schemas.openxmlformats.org/officeDocument/2006/relationships/hyperlink" Target="https://techelectro.ru/prod/digital_meters/multimeters/kt_125b/sku_86325/" TargetMode="External"/><Relationship Id="rId2080" Type="http://schemas.openxmlformats.org/officeDocument/2006/relationships/hyperlink" Target="https://techelectro.ru/prod/hstubes/hstube/tutng-color/sku_102210/" TargetMode="External"/><Relationship Id="rId3131" Type="http://schemas.openxmlformats.org/officeDocument/2006/relationships/hyperlink" Target="https://techelectro.ru/prod/wiring-tools/cutters_din/steelcutters/trk5k/sku_92124/" TargetMode="External"/><Relationship Id="rId2897" Type="http://schemas.openxmlformats.org/officeDocument/2006/relationships/hyperlink" Target="https://techelectro.ru/prod/wiring-tools/crimpers/mechcrimp/pkg50s/sku_106738/" TargetMode="External"/><Relationship Id="rId3948" Type="http://schemas.openxmlformats.org/officeDocument/2006/relationships/hyperlink" Target="https://techelectro.ru/prod/construction_hydraulics/jack/jack_hd/dgp/sku_84548/" TargetMode="External"/><Relationship Id="rId5096" Type="http://schemas.openxmlformats.org/officeDocument/2006/relationships/hyperlink" Target="https://techelectro.ru/prod/strength-ties/pipe-ties/thk/thk1/" TargetMode="External"/><Relationship Id="rId869" Type="http://schemas.openxmlformats.org/officeDocument/2006/relationships/hyperlink" Target="https://techelectro.ru/prod/insulugs/screw_clamp/shni/sku_87184/" TargetMode="External"/><Relationship Id="rId1499" Type="http://schemas.openxmlformats.org/officeDocument/2006/relationships/hyperlink" Target="https://techelectro.ru/prod/cable-kits/muffs1kv/4_5-pktp-1/sku_88738/" TargetMode="External"/><Relationship Id="rId5163" Type="http://schemas.openxmlformats.org/officeDocument/2006/relationships/hyperlink" Target="https://techelectro.ru/prod/cable_entry/cable_entry_metal/mgm/sku_87991/" TargetMode="External"/><Relationship Id="rId5370" Type="http://schemas.openxmlformats.org/officeDocument/2006/relationships/hyperlink" Target="https://techelectro.ru/prod/cable_entry/cable_entry_plastic/vk-vp-m/sku_88637/" TargetMode="External"/><Relationship Id="rId6007" Type="http://schemas.openxmlformats.org/officeDocument/2006/relationships/hyperlink" Target="https://techelectro.ru/prod/ground_wire/pzki/pzki-16-800/" TargetMode="External"/><Relationship Id="rId729" Type="http://schemas.openxmlformats.org/officeDocument/2006/relationships/hyperlink" Target="https://techelectro.ru/prod/insulugs/iplug/vrshipn/vrshipn_25/" TargetMode="External"/><Relationship Id="rId1359" Type="http://schemas.openxmlformats.org/officeDocument/2006/relationships/hyperlink" Target="https://techelectro.ru/prod/cable-kits/kits-ngls-1kv/pst-mini-ng_ls/sku_88061/" TargetMode="External"/><Relationship Id="rId2757" Type="http://schemas.openxmlformats.org/officeDocument/2006/relationships/hyperlink" Target="https://techelectro.ru/prod/insulating/xp/sku_85368/" TargetMode="External"/><Relationship Id="rId2964" Type="http://schemas.openxmlformats.org/officeDocument/2006/relationships/hyperlink" Target="https://techelectro.ru/prod/wiring-tools/crimpers_pgr/hdcrimp/matricy_nm300c/nm300c/" TargetMode="External"/><Relationship Id="rId3808" Type="http://schemas.openxmlformats.org/officeDocument/2006/relationships/hyperlink" Target="https://techelectro.ru/prod/metalworking-tools/ft_screwdrivers/screwdriversft/pz2_125ft/" TargetMode="External"/><Relationship Id="rId5023" Type="http://schemas.openxmlformats.org/officeDocument/2006/relationships/hyperlink" Target="https://techelectro.ru/prod/strength-ties/screw-ties/pl12-w2/pl-12_100-120_w2/" TargetMode="External"/><Relationship Id="rId5230" Type="http://schemas.openxmlformats.org/officeDocument/2006/relationships/hyperlink" Target="https://techelectro.ru/prod/cable_entry/cable_entry_metal/pgm-l/sku_88837/" TargetMode="External"/><Relationship Id="rId936" Type="http://schemas.openxmlformats.org/officeDocument/2006/relationships/hyperlink" Target="https://techelectro.ru/prod/e-connectors/nshvi/nshvi_1_5_18/" TargetMode="External"/><Relationship Id="rId1219" Type="http://schemas.openxmlformats.org/officeDocument/2006/relationships/hyperlink" Target="https://techelectro.ru/prod/bolt-lugs/wire300-800/3nbel/3nbe_500-630l/" TargetMode="External"/><Relationship Id="rId1566" Type="http://schemas.openxmlformats.org/officeDocument/2006/relationships/hyperlink" Target="https://techelectro.ru/prod/cable-kits/muffs1kv/3stp1sold/sku_88788/" TargetMode="External"/><Relationship Id="rId1773" Type="http://schemas.openxmlformats.org/officeDocument/2006/relationships/hyperlink" Target="https://techelectro.ru/prod/cable-kits/muffs10kv/3kntp-10/3kntp10-150-240_b/" TargetMode="External"/><Relationship Id="rId1980" Type="http://schemas.openxmlformats.org/officeDocument/2006/relationships/hyperlink" Target="https://techelectro.ru/prod/cable_kits_acs/kmpb/kmpb6/" TargetMode="External"/><Relationship Id="rId2617" Type="http://schemas.openxmlformats.org/officeDocument/2006/relationships/hyperlink" Target="https://techelectro.ru/prod/hstubes/highvoltagetube/tsta/tsta42_18/" TargetMode="External"/><Relationship Id="rId2824" Type="http://schemas.openxmlformats.org/officeDocument/2006/relationships/hyperlink" Target="https://techelectro.ru/prod/wiring-tools/crimpers/insulugs-crimp/sto/sku_90755/" TargetMode="External"/><Relationship Id="rId65" Type="http://schemas.openxmlformats.org/officeDocument/2006/relationships/hyperlink" Target="https://techelectro.ru/prod/cable-lugs/cu/tml/tml_70-10-13/" TargetMode="External"/><Relationship Id="rId1426" Type="http://schemas.openxmlformats.org/officeDocument/2006/relationships/hyperlink" Target="https://techelectro.ru/prod/cable-kits/kits-ngls-10kv/3pst10_ng-ls/3pst-10-150_240_b_ng-ls/" TargetMode="External"/><Relationship Id="rId1633" Type="http://schemas.openxmlformats.org/officeDocument/2006/relationships/hyperlink" Target="https://techelectro.ru/prod/cable-kits/muffs1kv/5pst-1/5pstb1-25-50_b/" TargetMode="External"/><Relationship Id="rId1840" Type="http://schemas.openxmlformats.org/officeDocument/2006/relationships/hyperlink" Target="https://techelectro.ru/prod/cable-kits/muffs-35kv/1pkt-35/1pkvt35-70-120b/" TargetMode="External"/><Relationship Id="rId4789" Type="http://schemas.openxmlformats.org/officeDocument/2006/relationships/hyperlink" Target="https://techelectro.ru/prod/steel-ties/steel_ties-labels/sks316/sks316-12x600/" TargetMode="External"/><Relationship Id="rId4996" Type="http://schemas.openxmlformats.org/officeDocument/2006/relationships/hyperlink" Target="https://techelectro.ru/prod/strength-ties/screw-ties/pl9-w4/pl9-12-20w4/" TargetMode="External"/><Relationship Id="rId1700" Type="http://schemas.openxmlformats.org/officeDocument/2006/relationships/hyperlink" Target="https://techelectro.ru/prod/cable-kits/muffs10kv/1pkvt-10/1pkvt10-35-50_b/" TargetMode="External"/><Relationship Id="rId3598" Type="http://schemas.openxmlformats.org/officeDocument/2006/relationships/hyperlink" Target="https://techelectro.ru/prod/vdetools/vde-screwdrivers/vde-screwdrivers-slim/sku_103010/" TargetMode="External"/><Relationship Id="rId4649" Type="http://schemas.openxmlformats.org/officeDocument/2006/relationships/hyperlink" Target="https://techelectro.ru/prod/ties/nylonties/ksz-uv/ksz-5x300/" TargetMode="External"/><Relationship Id="rId4856" Type="http://schemas.openxmlformats.org/officeDocument/2006/relationships/hyperlink" Target="https://techelectro.ru/prod/steel-ties/steel_ties-labels/sks316p/sku_103071/" TargetMode="External"/><Relationship Id="rId5907" Type="http://schemas.openxmlformats.org/officeDocument/2006/relationships/hyperlink" Target="https://techelectro.ru/prod/staples/spp/spp_5/" TargetMode="External"/><Relationship Id="rId3458" Type="http://schemas.openxmlformats.org/officeDocument/2006/relationships/hyperlink" Target="https://techelectro.ru/prod/wiring-tools/unwinding/fishtape/fgp3_5/fgp3_5-30r/" TargetMode="External"/><Relationship Id="rId3665" Type="http://schemas.openxmlformats.org/officeDocument/2006/relationships/hyperlink" Target="https://techelectro.ru/prod/vdetools/vde-sets/vde-wrench-sets/nii11/nii11/" TargetMode="External"/><Relationship Id="rId3872" Type="http://schemas.openxmlformats.org/officeDocument/2006/relationships/hyperlink" Target="https://techelectro.ru/prod/metalworking-tools/ft_wrench/ratchet-wrench-joint-piece/ratchet-wrench-joint-piece-15/" TargetMode="External"/><Relationship Id="rId4509" Type="http://schemas.openxmlformats.org/officeDocument/2006/relationships/hyperlink" Target="https://techelectro.ru/prod/ties/nylonties/kss-uv/kss9x760b/" TargetMode="External"/><Relationship Id="rId4716" Type="http://schemas.openxmlformats.org/officeDocument/2006/relationships/hyperlink" Target="https://techelectro.ru/prod/ties/dowel_clamps/dhp_12-6_black/dhp_12-6_black/" TargetMode="External"/><Relationship Id="rId6071" Type="http://schemas.openxmlformats.org/officeDocument/2006/relationships/hyperlink" Target="https://techelectro.ru/prod/ground_wire/thz_inox/thz_inox_1/" TargetMode="External"/><Relationship Id="rId379" Type="http://schemas.openxmlformats.org/officeDocument/2006/relationships/hyperlink" Target="https://techelectro.ru/prod/cable-lugs/cu/lugset-gml-p/sku_86560/" TargetMode="External"/><Relationship Id="rId586" Type="http://schemas.openxmlformats.org/officeDocument/2006/relationships/hyperlink" Target="https://techelectro.ru/prod/insulugs/ilugs/nvi/sku_108542/" TargetMode="External"/><Relationship Id="rId793" Type="http://schemas.openxmlformats.org/officeDocument/2006/relationships/hyperlink" Target="https://techelectro.ru/prod/insulugs/iquick/pk-t50/sku_83605/" TargetMode="External"/><Relationship Id="rId2267" Type="http://schemas.openxmlformats.org/officeDocument/2006/relationships/hyperlink" Target="https://techelectro.ru/prod/hstubes/hstube/tut-hf/sku_84974/" TargetMode="External"/><Relationship Id="rId2474" Type="http://schemas.openxmlformats.org/officeDocument/2006/relationships/hyperlink" Target="https://techelectro.ru/prod/hstubes/gluetube/ttk41/ttk41-52/" TargetMode="External"/><Relationship Id="rId2681" Type="http://schemas.openxmlformats.org/officeDocument/2006/relationships/hyperlink" Target="https://techelectro.ru/prod/insulating/pvc19master/sku_90816/" TargetMode="External"/><Relationship Id="rId3318" Type="http://schemas.openxmlformats.org/officeDocument/2006/relationships/hyperlink" Target="https://techelectro.ru/prod/wiring-tools/hdrtools/hdr_tools/pmr7003/pmr-7003/" TargetMode="External"/><Relationship Id="rId3525" Type="http://schemas.openxmlformats.org/officeDocument/2006/relationships/hyperlink" Target="https://techelectro.ru/prod/wiring-tools/bags_sets/nie5/nie-5/" TargetMode="External"/><Relationship Id="rId4923" Type="http://schemas.openxmlformats.org/officeDocument/2006/relationships/hyperlink" Target="https://techelectro.ru/prod/steel-ties/steel_ties-labels/skbp316/skbp9x451/" TargetMode="External"/><Relationship Id="rId239" Type="http://schemas.openxmlformats.org/officeDocument/2006/relationships/hyperlink" Target="https://techelectro.ru/prod/cable-lugs/cu/nshml/sku_87460/" TargetMode="External"/><Relationship Id="rId446" Type="http://schemas.openxmlformats.org/officeDocument/2006/relationships/hyperlink" Target="https://techelectro.ru/prod/cable-lugs/al/gam/sku_90856/" TargetMode="External"/><Relationship Id="rId653" Type="http://schemas.openxmlformats.org/officeDocument/2006/relationships/hyperlink" Target="https://techelectro.ru/prod/insulugs/iplug/rpip/sku_85158/" TargetMode="External"/><Relationship Id="rId1076" Type="http://schemas.openxmlformats.org/officeDocument/2006/relationships/hyperlink" Target="https://techelectro.ru/prod/e-connectors/nshviset3/set3-nshvi/" TargetMode="External"/><Relationship Id="rId1283" Type="http://schemas.openxmlformats.org/officeDocument/2006/relationships/hyperlink" Target="https://techelectro.ru/prod/cable-kits/kits-ngls-1kv/1pkt_ng_ls/1pkt1-800b_ng-ls/" TargetMode="External"/><Relationship Id="rId1490" Type="http://schemas.openxmlformats.org/officeDocument/2006/relationships/hyperlink" Target="https://techelectro.ru/prod/cable-kits/muffs1kv/3-pktp-1/3pktp_b-1-150_240/" TargetMode="External"/><Relationship Id="rId2127" Type="http://schemas.openxmlformats.org/officeDocument/2006/relationships/hyperlink" Target="https://techelectro.ru/prod/hstubes/hstube/tnt_hf/sku_82969/" TargetMode="External"/><Relationship Id="rId2334" Type="http://schemas.openxmlformats.org/officeDocument/2006/relationships/hyperlink" Target="https://techelectro.ru/prod/hstubes/hstube/t-box-color/tbox16b/" TargetMode="External"/><Relationship Id="rId3732" Type="http://schemas.openxmlformats.org/officeDocument/2006/relationships/hyperlink" Target="https://techelectro.ru/prod/electric-tools/batteries-chargers/b16-li20a/sku_104545/" TargetMode="External"/><Relationship Id="rId306" Type="http://schemas.openxmlformats.org/officeDocument/2006/relationships/hyperlink" Target="https://techelectro.ru/prod/cable-lugs/cu/gml/sku_86988/" TargetMode="External"/><Relationship Id="rId860" Type="http://schemas.openxmlformats.org/officeDocument/2006/relationships/hyperlink" Target="https://techelectro.ru/prod/insulugs/screw_clamp/kzvi/sku_87180/" TargetMode="External"/><Relationship Id="rId1143" Type="http://schemas.openxmlformats.org/officeDocument/2006/relationships/hyperlink" Target="https://techelectro.ru/prod/clamps_wago-smk/smk-2273/sku_90368/" TargetMode="External"/><Relationship Id="rId2541" Type="http://schemas.openxmlformats.org/officeDocument/2006/relationships/hyperlink" Target="https://techelectro.ru/prod/hstubes/hstubeset/germokomplekt/sku_86589/" TargetMode="External"/><Relationship Id="rId4299" Type="http://schemas.openxmlformats.org/officeDocument/2006/relationships/hyperlink" Target="https://techelectro.ru/prod/abcarm/abctools/rm-7k/sku_110324/" TargetMode="External"/><Relationship Id="rId5697" Type="http://schemas.openxmlformats.org/officeDocument/2006/relationships/hyperlink" Target="https://techelectro.ru/prod/metal-hose-fittings/fittings/stm-l/sku_88866/" TargetMode="External"/><Relationship Id="rId513" Type="http://schemas.openxmlformats.org/officeDocument/2006/relationships/hyperlink" Target="https://techelectro.ru/prod/insulugs/ilugs/nki_easyfix/sku_90891/" TargetMode="External"/><Relationship Id="rId720" Type="http://schemas.openxmlformats.org/officeDocument/2006/relationships/hyperlink" Target="https://techelectro.ru/prod/insulugs/iplug/rship/rship_15/" TargetMode="External"/><Relationship Id="rId1350" Type="http://schemas.openxmlformats.org/officeDocument/2006/relationships/hyperlink" Target="https://techelectro.ru/prod/cable-kits/kits-ngls-1kv/1pstb_ngls/1pstb1-300-400b_ngls1/" TargetMode="External"/><Relationship Id="rId2401" Type="http://schemas.openxmlformats.org/officeDocument/2006/relationships/hyperlink" Target="https://techelectro.ru/prod/hstubes/gluetube/ttk31_clear/ttk31-4t/" TargetMode="External"/><Relationship Id="rId4159" Type="http://schemas.openxmlformats.org/officeDocument/2006/relationships/hyperlink" Target="https://techelectro.ru/prod/protection-safety/flashlights/hl-6566/hl6566/" TargetMode="External"/><Relationship Id="rId5557" Type="http://schemas.openxmlformats.org/officeDocument/2006/relationships/hyperlink" Target="https://techelectro.ru/prod/metal-hose-fittings/hose/mrping-inox/mrnping-inox-15/" TargetMode="External"/><Relationship Id="rId5764" Type="http://schemas.openxmlformats.org/officeDocument/2006/relationships/hyperlink" Target="https://techelectro.ru/prod/metal-hose-fittings/fittings/krvt/krvt20/" TargetMode="External"/><Relationship Id="rId5971" Type="http://schemas.openxmlformats.org/officeDocument/2006/relationships/hyperlink" Target="https://techelectro.ru/prod/ground_wire/pz/pz_10-400/" TargetMode="External"/><Relationship Id="rId1003" Type="http://schemas.openxmlformats.org/officeDocument/2006/relationships/hyperlink" Target="https://techelectro.ru/prod/e-connectors/nshvi_euro/sku_108995/" TargetMode="External"/><Relationship Id="rId1210" Type="http://schemas.openxmlformats.org/officeDocument/2006/relationships/hyperlink" Target="https://techelectro.ru/prod/bolt-lugs/wire10-240/sbtk/sbtk_50-150/" TargetMode="External"/><Relationship Id="rId4366" Type="http://schemas.openxmlformats.org/officeDocument/2006/relationships/hyperlink" Target="https://techelectro.ru/prod/digital_meters/lan-tester/kt_858c/sku_86210/" TargetMode="External"/><Relationship Id="rId4573" Type="http://schemas.openxmlformats.org/officeDocument/2006/relationships/hyperlink" Target="https://techelectro.ru/prod/ties/nylonties/kss100-nord_white/kss_nord_5-250_white/" TargetMode="External"/><Relationship Id="rId4780" Type="http://schemas.openxmlformats.org/officeDocument/2006/relationships/hyperlink" Target="https://techelectro.ru/prod/steel-ties/steel_ties-labels/sks316/sks316-7x350/" TargetMode="External"/><Relationship Id="rId5417" Type="http://schemas.openxmlformats.org/officeDocument/2006/relationships/hyperlink" Target="https://techelectro.ru/prod/metal-hose-fittings/hose/mrping_nord/mrping100_nord/" TargetMode="External"/><Relationship Id="rId5624" Type="http://schemas.openxmlformats.org/officeDocument/2006/relationships/hyperlink" Target="https://techelectro.ru/prod/metal-hose-fittings/fittings/vm/vm10/" TargetMode="External"/><Relationship Id="rId5831" Type="http://schemas.openxmlformats.org/officeDocument/2006/relationships/hyperlink" Target="https://techelectro.ru/prod/staples/smop/smo-p_38-40/" TargetMode="External"/><Relationship Id="rId3175" Type="http://schemas.openxmlformats.org/officeDocument/2006/relationships/hyperlink" Target="https://techelectro.ru/prod/wiring-tools/strippers/wire-strip/wss02/sku_102399/" TargetMode="External"/><Relationship Id="rId3382" Type="http://schemas.openxmlformats.org/officeDocument/2006/relationships/hyperlink" Target="https://techelectro.ru/prod/wiring-tools/unwinding/hvltools/chms/sku_109877/" TargetMode="External"/><Relationship Id="rId4019" Type="http://schemas.openxmlformats.org/officeDocument/2006/relationships/hyperlink" Target="https://techelectro.ru/prod/construction_hydraulics/flange_spreaders/rg12/sku_87721/" TargetMode="External"/><Relationship Id="rId4226" Type="http://schemas.openxmlformats.org/officeDocument/2006/relationships/hyperlink" Target="https://techelectro.ru/prod/abcarm/anchor/ka/ka-1500/" TargetMode="External"/><Relationship Id="rId4433" Type="http://schemas.openxmlformats.org/officeDocument/2006/relationships/hyperlink" Target="https://techelectro.ru/prod/ties/nylonties/kss_multilock_white/sku_102302/" TargetMode="External"/><Relationship Id="rId4640" Type="http://schemas.openxmlformats.org/officeDocument/2006/relationships/hyperlink" Target="https://techelectro.ru/prod/ties/nylonties/ksz/sku_90332/" TargetMode="External"/><Relationship Id="rId2191" Type="http://schemas.openxmlformats.org/officeDocument/2006/relationships/hyperlink" Target="https://techelectro.ru/prod/hstubes/hstube/tnt_ng-ls_colors/tntng4020yg/" TargetMode="External"/><Relationship Id="rId3035" Type="http://schemas.openxmlformats.org/officeDocument/2006/relationships/hyperlink" Target="https://techelectro.ru/prod/wiring-tools/crimpers_pgr/hv-crimpers/matrix_pg100t/a-56-100t/" TargetMode="External"/><Relationship Id="rId3242" Type="http://schemas.openxmlformats.org/officeDocument/2006/relationships/hyperlink" Target="https://techelectro.ru/prod/wiring-tools/boxtools/singlempo/sku_87933/" TargetMode="External"/><Relationship Id="rId4500" Type="http://schemas.openxmlformats.org/officeDocument/2006/relationships/hyperlink" Target="https://techelectro.ru/prod/ties/nylonties/kss-uv/kss8x400b/" TargetMode="External"/><Relationship Id="rId163" Type="http://schemas.openxmlformats.org/officeDocument/2006/relationships/hyperlink" Target="https://techelectro.ru/prod/cable-lugs/cu/tmlu/sku_101403/" TargetMode="External"/><Relationship Id="rId370" Type="http://schemas.openxmlformats.org/officeDocument/2006/relationships/hyperlink" Target="https://techelectro.ru/prod/cable-lugs/cu/lugset-tmls/set-tmls25-8/" TargetMode="External"/><Relationship Id="rId2051" Type="http://schemas.openxmlformats.org/officeDocument/2006/relationships/hyperlink" Target="https://techelectro.ru/prod/hstubes/hstube/tutng-color/sku_102181/" TargetMode="External"/><Relationship Id="rId3102" Type="http://schemas.openxmlformats.org/officeDocument/2006/relationships/hyperlink" Target="https://techelectro.ru/prod/wiring-tools/cutters/sectioncutters/ns120/ns-120/" TargetMode="External"/><Relationship Id="rId230" Type="http://schemas.openxmlformats.org/officeDocument/2006/relationships/hyperlink" Target="https://techelectro.ru/prod/cable-lugs/cu/nsp/nshp_25_15/" TargetMode="External"/><Relationship Id="rId5067" Type="http://schemas.openxmlformats.org/officeDocument/2006/relationships/hyperlink" Target="https://techelectro.ru/prod/strength-ties/screw-ties/sr2/sr40-43w2/" TargetMode="External"/><Relationship Id="rId5274" Type="http://schemas.openxmlformats.org/officeDocument/2006/relationships/hyperlink" Target="https://techelectro.ru/prod/cable_entry/cable_entry_metal/mpl-m_reduce/sku_89602/" TargetMode="External"/><Relationship Id="rId2868" Type="http://schemas.openxmlformats.org/officeDocument/2006/relationships/hyperlink" Target="https://techelectro.ru/prod/wiring-tools/crimpers/insulugs-crimp/ctf/ctf-set/" TargetMode="External"/><Relationship Id="rId3919" Type="http://schemas.openxmlformats.org/officeDocument/2006/relationships/hyperlink" Target="https://techelectro.ru/prod/metalworking-tools/ft_cutters/nma250s/sku_102040/" TargetMode="External"/><Relationship Id="rId4083" Type="http://schemas.openxmlformats.org/officeDocument/2006/relationships/hyperlink" Target="https://techelectro.ru/prod/protection-safety/bags_packs/s5/s-05/" TargetMode="External"/><Relationship Id="rId5481" Type="http://schemas.openxmlformats.org/officeDocument/2006/relationships/hyperlink" Target="https://techelectro.ru/prod/metal-hose-fittings/hose/mrping_grey/sku_88286/" TargetMode="External"/><Relationship Id="rId1677" Type="http://schemas.openxmlformats.org/officeDocument/2006/relationships/hyperlink" Target="https://techelectro.ru/prod/cable-kits/muffs1kv/5pto-1/sku_101915/" TargetMode="External"/><Relationship Id="rId1884" Type="http://schemas.openxmlformats.org/officeDocument/2006/relationships/hyperlink" Target="https://techelectro.ru/prod/cable_kits_acs/tpi-mini/sku_84670/" TargetMode="External"/><Relationship Id="rId2728" Type="http://schemas.openxmlformats.org/officeDocument/2006/relationships/hyperlink" Target="https://techelectro.ru/prod/insulating/xh/sku_106115/" TargetMode="External"/><Relationship Id="rId2935" Type="http://schemas.openxmlformats.org/officeDocument/2006/relationships/hyperlink" Target="https://techelectro.ru/prod/wiring-tools/crimpers_pgr/hdcrimp/pgrs240a/pgrs-240a/" TargetMode="External"/><Relationship Id="rId4290" Type="http://schemas.openxmlformats.org/officeDocument/2006/relationships/hyperlink" Target="https://techelectro.ru/prod/abcarm/abctools/mkz/mkz-1/" TargetMode="External"/><Relationship Id="rId5134" Type="http://schemas.openxmlformats.org/officeDocument/2006/relationships/hyperlink" Target="https://techelectro.ru/prod/cable_entry/cable_entry_metal/mgm-inox/sku_85437/" TargetMode="External"/><Relationship Id="rId5341" Type="http://schemas.openxmlformats.org/officeDocument/2006/relationships/hyperlink" Target="https://techelectro.ru/prod/cable_entry/cable_entry_plastic/m/sku_88158/" TargetMode="External"/><Relationship Id="rId907" Type="http://schemas.openxmlformats.org/officeDocument/2006/relationships/hyperlink" Target="https://techelectro.ru/prod/insulugs/autoterminals/nk_2_5-6/sku_85674/" TargetMode="External"/><Relationship Id="rId1537" Type="http://schemas.openxmlformats.org/officeDocument/2006/relationships/hyperlink" Target="https://techelectro.ru/prod/cable-kits/muffs1kv/4rktp1/4rktp1-10-25b/" TargetMode="External"/><Relationship Id="rId1744" Type="http://schemas.openxmlformats.org/officeDocument/2006/relationships/hyperlink" Target="https://techelectro.ru/prod/cable-kits/muffs10kv/3rkntp-10/sku_88117/" TargetMode="External"/><Relationship Id="rId1951" Type="http://schemas.openxmlformats.org/officeDocument/2006/relationships/hyperlink" Target="https://techelectro.ru/prod/cable_kits_acs/pml/pml-25-1000/" TargetMode="External"/><Relationship Id="rId4150" Type="http://schemas.openxmlformats.org/officeDocument/2006/relationships/hyperlink" Target="https://techelectro.ru/prod/protection-safety/safety/sk21a/sk-21a/" TargetMode="External"/><Relationship Id="rId5201" Type="http://schemas.openxmlformats.org/officeDocument/2006/relationships/hyperlink" Target="https://techelectro.ru/prod/cable_entry/cable_entry_metal/pgm-inox/sku_83623/" TargetMode="External"/><Relationship Id="rId36" Type="http://schemas.openxmlformats.org/officeDocument/2006/relationships/hyperlink" Target="https://techelectro.ru/prod/cable-lugs/cu/tml/tml_25-4-26/" TargetMode="External"/><Relationship Id="rId1604" Type="http://schemas.openxmlformats.org/officeDocument/2006/relationships/hyperlink" Target="https://techelectro.ru/prod/cable-kits/muffs1kv/4_5pst-1/sku_88744/" TargetMode="External"/><Relationship Id="rId4010" Type="http://schemas.openxmlformats.org/officeDocument/2006/relationships/hyperlink" Target="https://techelectro.ru/prod/construction_hydraulics/hydraulic_pullers/sm-d/sm-110d/" TargetMode="External"/><Relationship Id="rId4967" Type="http://schemas.openxmlformats.org/officeDocument/2006/relationships/hyperlink" Target="https://techelectro.ru/prod/strength-ties/screw-ties/pl9-w1/sku_103909/" TargetMode="External"/><Relationship Id="rId1811" Type="http://schemas.openxmlformats.org/officeDocument/2006/relationships/hyperlink" Target="https://techelectro.ru/prod/cable-kits/muffs10kv/3stp10sold/sku_88767/" TargetMode="External"/><Relationship Id="rId3569" Type="http://schemas.openxmlformats.org/officeDocument/2006/relationships/hyperlink" Target="https://techelectro.ru/prod/vdetools/vde-screwdrivers/vde-screwdrivers-profi/profi_4-100/" TargetMode="External"/><Relationship Id="rId697" Type="http://schemas.openxmlformats.org/officeDocument/2006/relationships/hyperlink" Target="https://techelectro.ru/prod/insulugs/iplug/vrpip/sku_108621/" TargetMode="External"/><Relationship Id="rId2378" Type="http://schemas.openxmlformats.org/officeDocument/2006/relationships/hyperlink" Target="https://techelectro.ru/prod/hstubes/gluetube/ttk31_inrolls/sku_89_695/" TargetMode="External"/><Relationship Id="rId3429" Type="http://schemas.openxmlformats.org/officeDocument/2006/relationships/hyperlink" Target="https://techelectro.ru/prod/wiring-tools/unwinding/traction_winches/lta8/sku_92357/" TargetMode="External"/><Relationship Id="rId3776" Type="http://schemas.openxmlformats.org/officeDocument/2006/relationships/hyperlink" Target="https://techelectro.ru/prod/metalworking-tools/ft_pliers/longnoseft160new/longnoseft-160/" TargetMode="External"/><Relationship Id="rId3983" Type="http://schemas.openxmlformats.org/officeDocument/2006/relationships/hyperlink" Target="https://techelectro.ru/prod/construction_hydraulics/jack/jack_hd/da30p/sku_103857/" TargetMode="External"/><Relationship Id="rId4827" Type="http://schemas.openxmlformats.org/officeDocument/2006/relationships/hyperlink" Target="https://techelectro.ru/prod/steel-ties/steel_ties-labels/sks304_50pcs/sku_103083/" TargetMode="External"/><Relationship Id="rId6042" Type="http://schemas.openxmlformats.org/officeDocument/2006/relationships/hyperlink" Target="https://techelectro.ru/prod/ground_wire/kz-m/sku_88656/" TargetMode="External"/><Relationship Id="rId1187" Type="http://schemas.openxmlformats.org/officeDocument/2006/relationships/hyperlink" Target="https://techelectro.ru/prod/bolt-lugs/wire10-240/sbel/4sbe_25-50l/" TargetMode="External"/><Relationship Id="rId2585" Type="http://schemas.openxmlformats.org/officeDocument/2006/relationships/hyperlink" Target="https://techelectro.ru/prod/hstubes/hstubeset/set_glue22/sku_86821/" TargetMode="External"/><Relationship Id="rId2792" Type="http://schemas.openxmlformats.org/officeDocument/2006/relationships/hyperlink" Target="https://techelectro.ru/prod/insulating/xt/sku_85370/" TargetMode="External"/><Relationship Id="rId3636" Type="http://schemas.openxmlformats.org/officeDocument/2006/relationships/hyperlink" Target="https://techelectro.ru/prod/vdetools/vde-knives/nmi4/nmi-04/" TargetMode="External"/><Relationship Id="rId3843" Type="http://schemas.openxmlformats.org/officeDocument/2006/relationships/hyperlink" Target="https://techelectro.ru/prod/metalworking-tools/ft_pumpliers/adjustable_spanner_250praktik/sku_101545/" TargetMode="External"/><Relationship Id="rId557" Type="http://schemas.openxmlformats.org/officeDocument/2006/relationships/hyperlink" Target="https://techelectro.ru/prod/insulugs/ilugs/vnki/vnki_1_5_6/" TargetMode="External"/><Relationship Id="rId764" Type="http://schemas.openxmlformats.org/officeDocument/2006/relationships/hyperlink" Target="https://techelectro.ru/prod/insulugs/iquick/gsi/sku_108957/" TargetMode="External"/><Relationship Id="rId971" Type="http://schemas.openxmlformats.org/officeDocument/2006/relationships/hyperlink" Target="https://techelectro.ru/prod/e-connectors/nshvi/sku_108911/" TargetMode="External"/><Relationship Id="rId1394" Type="http://schemas.openxmlformats.org/officeDocument/2006/relationships/hyperlink" Target="https://techelectro.ru/prod/cable-kits/kits-ngls-10kv/3pkvntp-10_ng-ls/sku_92350/" TargetMode="External"/><Relationship Id="rId2238" Type="http://schemas.openxmlformats.org/officeDocument/2006/relationships/hyperlink" Target="https://techelectro.ru/prod/hstubes/hstube/tut_hf/sku_84489/" TargetMode="External"/><Relationship Id="rId2445" Type="http://schemas.openxmlformats.org/officeDocument/2006/relationships/hyperlink" Target="https://techelectro.ru/prod/hstubes/gluetube/ttk31_yellow/sku_102416/" TargetMode="External"/><Relationship Id="rId2652" Type="http://schemas.openxmlformats.org/officeDocument/2006/relationships/hyperlink" Target="https://techelectro.ru/prod/hstubes/specialtube/tt175/sku_84884/" TargetMode="External"/><Relationship Id="rId3703" Type="http://schemas.openxmlformats.org/officeDocument/2006/relationships/hyperlink" Target="https://techelectro.ru/prod/electric-tools/cordless-impact-wrenches/sb20-230/sku_102590/" TargetMode="External"/><Relationship Id="rId3910" Type="http://schemas.openxmlformats.org/officeDocument/2006/relationships/hyperlink" Target="https://techelectro.ru/prod/metalworking-tools/ft_knives/nsm2/nsm-02/" TargetMode="External"/><Relationship Id="rId417" Type="http://schemas.openxmlformats.org/officeDocument/2006/relationships/hyperlink" Target="https://techelectro.ru/prod/cable-lugs/al/gam/gam_16-10/" TargetMode="External"/><Relationship Id="rId624" Type="http://schemas.openxmlformats.org/officeDocument/2006/relationships/hyperlink" Target="https://techelectro.ru/prod/insulugs/ilugs/nkit/nkit_2_5_6/" TargetMode="External"/><Relationship Id="rId831" Type="http://schemas.openxmlformats.org/officeDocument/2006/relationships/hyperlink" Target="https://techelectro.ru/prod/insulugs/screw_clamp/zvi-u/sku_87155/" TargetMode="External"/><Relationship Id="rId1047" Type="http://schemas.openxmlformats.org/officeDocument/2006/relationships/hyperlink" Target="https://techelectro.ru/prod/e-connectors/nshvi2_euro/sku_108979/" TargetMode="External"/><Relationship Id="rId1254" Type="http://schemas.openxmlformats.org/officeDocument/2006/relationships/hyperlink" Target="https://techelectro.ru/prod/cable-kits/kits-ngls-1kv/4_5pktp-1_ngls/4pktp_bng-ls1-25-50/" TargetMode="External"/><Relationship Id="rId1461" Type="http://schemas.openxmlformats.org/officeDocument/2006/relationships/hyperlink" Target="https://techelectro.ru/prod/cable-kits/muffs1kv/3kvntp1sold/sku_88782/" TargetMode="External"/><Relationship Id="rId2305" Type="http://schemas.openxmlformats.org/officeDocument/2006/relationships/hyperlink" Target="https://techelectro.ru/prod/hstubes/hstube/tut-hf/tut_hf10-5_blue/" TargetMode="External"/><Relationship Id="rId2512" Type="http://schemas.openxmlformats.org/officeDocument/2006/relationships/hyperlink" Target="https://techelectro.ru/prod/hstubes/gluetube/nttk31/sku_79832/" TargetMode="External"/><Relationship Id="rId5668" Type="http://schemas.openxmlformats.org/officeDocument/2006/relationships/hyperlink" Target="https://techelectro.ru/prod/metal-hose-fittings/fittings/vmn/vmn15/" TargetMode="External"/><Relationship Id="rId5875" Type="http://schemas.openxmlformats.org/officeDocument/2006/relationships/hyperlink" Target="https://techelectro.ru/prod/staples/smr15/smr_48-15/" TargetMode="External"/><Relationship Id="rId1114" Type="http://schemas.openxmlformats.org/officeDocument/2006/relationships/hyperlink" Target="https://techelectro.ru/prod/clamps_wago-smk/smk_221-415/sku_109300/" TargetMode="External"/><Relationship Id="rId1321" Type="http://schemas.openxmlformats.org/officeDocument/2006/relationships/hyperlink" Target="https://techelectro.ru/prod/cable-kits/kits-ngls-1kv/4_5pst_ngls-1/4pst1-150-240_bngls/" TargetMode="External"/><Relationship Id="rId4477" Type="http://schemas.openxmlformats.org/officeDocument/2006/relationships/hyperlink" Target="https://techelectro.ru/prod/ties/nylonties/kss-uv/kss3x100b/" TargetMode="External"/><Relationship Id="rId4684" Type="http://schemas.openxmlformats.org/officeDocument/2006/relationships/hyperlink" Target="https://techelectro.ru/prod/ties/nylonties/ksk/ksk_8-380/" TargetMode="External"/><Relationship Id="rId4891" Type="http://schemas.openxmlformats.org/officeDocument/2006/relationships/hyperlink" Target="https://techelectro.ru/prod/steel-ties/steel_ties-labels/sksp304_50pcs/sku_103087/" TargetMode="External"/><Relationship Id="rId5528" Type="http://schemas.openxmlformats.org/officeDocument/2006/relationships/hyperlink" Target="https://techelectro.ru/prod/metal-hose-fittings/hose/mrping-p_termo/sku_88483/" TargetMode="External"/><Relationship Id="rId5735" Type="http://schemas.openxmlformats.org/officeDocument/2006/relationships/hyperlink" Target="https://techelectro.ru/prod/metal-hose-fittings/fittings/atk/sku_92329/" TargetMode="External"/><Relationship Id="rId3079" Type="http://schemas.openxmlformats.org/officeDocument/2006/relationships/hyperlink" Target="https://techelectro.ru/prod/wiring-tools/cutters/wirecutters/nk25/sku_101965/" TargetMode="External"/><Relationship Id="rId3286" Type="http://schemas.openxmlformats.org/officeDocument/2006/relationships/hyperlink" Target="https://techelectro.ru/prod/wiring-tools/bustools/shg150neo/shg-150neo/" TargetMode="External"/><Relationship Id="rId3493" Type="http://schemas.openxmlformats.org/officeDocument/2006/relationships/hyperlink" Target="https://techelectro.ru/prod/wiring-tools/hstools/x190/x-190/" TargetMode="External"/><Relationship Id="rId4337" Type="http://schemas.openxmlformats.org/officeDocument/2006/relationships/hyperlink" Target="https://techelectro.ru/prod/digital_meters/multimeters/kt208a/kt-208a/" TargetMode="External"/><Relationship Id="rId4544" Type="http://schemas.openxmlformats.org/officeDocument/2006/relationships/hyperlink" Target="https://techelectro.ru/prod/ties/nylonties/nss-black/sku_89925/" TargetMode="External"/><Relationship Id="rId5942" Type="http://schemas.openxmlformats.org/officeDocument/2006/relationships/hyperlink" Target="https://techelectro.ru/prod/staples/kmp/sku_89345/" TargetMode="External"/><Relationship Id="rId2095" Type="http://schemas.openxmlformats.org/officeDocument/2006/relationships/hyperlink" Target="https://techelectro.ru/prod/hstubes/hstube/tut_ng-ls_3_1/tut_3_1_ng_ls_-_12_4/" TargetMode="External"/><Relationship Id="rId3146" Type="http://schemas.openxmlformats.org/officeDocument/2006/relationships/hyperlink" Target="https://techelectro.ru/prod/wiring-tools/cutters_din/br-brg-cutters/brk250m/sku_92310/" TargetMode="External"/><Relationship Id="rId3353" Type="http://schemas.openxmlformats.org/officeDocument/2006/relationships/hyperlink" Target="https://techelectro.ru/prod/wiring-tools/unwinding/hvltools/dkzpg/dk3gp/" TargetMode="External"/><Relationship Id="rId4751" Type="http://schemas.openxmlformats.org/officeDocument/2006/relationships/hyperlink" Target="https://techelectro.ru/prod/ties/markers/universal350/sku_102087/" TargetMode="External"/><Relationship Id="rId5802" Type="http://schemas.openxmlformats.org/officeDocument/2006/relationships/hyperlink" Target="https://techelectro.ru/prod/staples/smo/smo_38_40/" TargetMode="External"/><Relationship Id="rId274" Type="http://schemas.openxmlformats.org/officeDocument/2006/relationships/hyperlink" Target="https://techelectro.ru/prod/cable-lugs/cu/tmls45/tmls_45_25-10/" TargetMode="External"/><Relationship Id="rId481" Type="http://schemas.openxmlformats.org/officeDocument/2006/relationships/hyperlink" Target="https://techelectro.ru/prod/cable-lugs/clamps/u871m/u-871m/" TargetMode="External"/><Relationship Id="rId2162" Type="http://schemas.openxmlformats.org/officeDocument/2006/relationships/hyperlink" Target="https://techelectro.ru/prod/hstubes/hstube/tnt_hf/sku_84997/" TargetMode="External"/><Relationship Id="rId3006" Type="http://schemas.openxmlformats.org/officeDocument/2006/relationships/hyperlink" Target="https://techelectro.ru/prod/wiring-tools/crimpers_pgr/hv-crimpers/matrix_pg60t/msh-40-5/" TargetMode="External"/><Relationship Id="rId3560" Type="http://schemas.openxmlformats.org/officeDocument/2006/relationships/hyperlink" Target="https://techelectro.ru/prod/vdetools/pliers/combpliersexp200/sku_87100/" TargetMode="External"/><Relationship Id="rId4404" Type="http://schemas.openxmlformats.org/officeDocument/2006/relationships/hyperlink" Target="https://techelectro.ru/prod/ties/nylonties/kss/sku_89895/" TargetMode="External"/><Relationship Id="rId4611" Type="http://schemas.openxmlformats.org/officeDocument/2006/relationships/hyperlink" Target="https://techelectro.ru/prod/ties/nylonties/kss100-nord_black/sku_89946/" TargetMode="External"/><Relationship Id="rId134" Type="http://schemas.openxmlformats.org/officeDocument/2006/relationships/hyperlink" Target="https://techelectro.ru/prod/cable-lugs/cu/tmldin/tml_din_35_8/" TargetMode="External"/><Relationship Id="rId3213" Type="http://schemas.openxmlformats.org/officeDocument/2006/relationships/hyperlink" Target="https://techelectro.ru/prod/wiring-tools/strippers/knives/nm6/nm-06/" TargetMode="External"/><Relationship Id="rId3420" Type="http://schemas.openxmlformats.org/officeDocument/2006/relationships/hyperlink" Target="https://techelectro.ru/prod/wiring-tools/unwinding/hvltools/chmt/sku_109909/" TargetMode="External"/><Relationship Id="rId341" Type="http://schemas.openxmlformats.org/officeDocument/2006/relationships/hyperlink" Target="https://techelectro.ru/prod/cable-lugs/cu/gmlo/gmlo_15/" TargetMode="External"/><Relationship Id="rId2022" Type="http://schemas.openxmlformats.org/officeDocument/2006/relationships/hyperlink" Target="https://techelectro.ru/prod/ukpt_ogt/ukpto/sku_89455/" TargetMode="External"/><Relationship Id="rId2979" Type="http://schemas.openxmlformats.org/officeDocument/2006/relationships/hyperlink" Target="https://techelectro.ru/prod/wiring-tools/crimpers_pgr/hv-crimpers/matrix_pg60t/a-51/" TargetMode="External"/><Relationship Id="rId5178" Type="http://schemas.openxmlformats.org/officeDocument/2006/relationships/hyperlink" Target="https://techelectro.ru/prod/cable_entry/cable_entry_metal/mgm-r/sku_88627/" TargetMode="External"/><Relationship Id="rId5385" Type="http://schemas.openxmlformats.org/officeDocument/2006/relationships/hyperlink" Target="https://techelectro.ru/prod/waterproof_connections/mg_box_s-4_ip68/sku_89511/" TargetMode="External"/><Relationship Id="rId5592" Type="http://schemas.openxmlformats.org/officeDocument/2006/relationships/hyperlink" Target="https://techelectro.ru/prod/metal-hose-fittings/hose/mrn-inox_p/sku_83662/" TargetMode="External"/><Relationship Id="rId201" Type="http://schemas.openxmlformats.org/officeDocument/2006/relationships/hyperlink" Target="https://techelectro.ru/prod/cable-lugs/cu/pm/pm_2_5_4/" TargetMode="External"/><Relationship Id="rId1788" Type="http://schemas.openxmlformats.org/officeDocument/2006/relationships/hyperlink" Target="https://techelectro.ru/prod/cable-kits/muffs10kv/1pst10/1pst10-150-240_b/" TargetMode="External"/><Relationship Id="rId1995" Type="http://schemas.openxmlformats.org/officeDocument/2006/relationships/hyperlink" Target="https://techelectro.ru/prod/ukpt_ogt/ogt-20_8/ogt20/" TargetMode="External"/><Relationship Id="rId2839" Type="http://schemas.openxmlformats.org/officeDocument/2006/relationships/hyperlink" Target="https://techelectro.ru/prod/wiring-tools/crimpers/insulugs-crimp/ctb/ctb07/" TargetMode="External"/><Relationship Id="rId4194" Type="http://schemas.openxmlformats.org/officeDocument/2006/relationships/hyperlink" Target="https://techelectro.ru/prod/abcarm/pierce/zpo4-35_4-35/sku_87398/" TargetMode="External"/><Relationship Id="rId5038" Type="http://schemas.openxmlformats.org/officeDocument/2006/relationships/hyperlink" Target="https://techelectro.ru/prod/strength-ties/screw-ties/sr/sr_44-47_w1/" TargetMode="External"/><Relationship Id="rId5245" Type="http://schemas.openxmlformats.org/officeDocument/2006/relationships/hyperlink" Target="https://techelectro.ru/prod/cable_entry/cable_entry_metal/vk-m-mr-inox/sku_88170/" TargetMode="External"/><Relationship Id="rId5452" Type="http://schemas.openxmlformats.org/officeDocument/2006/relationships/hyperlink" Target="https://techelectro.ru/prod/metal-hose-fittings/hose/r3cpnglsp/r3cpnglsp-32/" TargetMode="External"/><Relationship Id="rId1648" Type="http://schemas.openxmlformats.org/officeDocument/2006/relationships/hyperlink" Target="https://techelectro.ru/prod/cable-kits/muffs1kv/mks/mks2/" TargetMode="External"/><Relationship Id="rId4054" Type="http://schemas.openxmlformats.org/officeDocument/2006/relationships/hyperlink" Target="https://techelectro.ru/prod/maintenance_tools/rj-crimp/jt-05/sku_106407/" TargetMode="External"/><Relationship Id="rId4261" Type="http://schemas.openxmlformats.org/officeDocument/2006/relationships/hyperlink" Target="https://techelectro.ru/prod/abcarm/sealinslugs/gin-mjpt54n/sku_109217/" TargetMode="External"/><Relationship Id="rId5105" Type="http://schemas.openxmlformats.org/officeDocument/2006/relationships/hyperlink" Target="https://techelectro.ru/prod/strength-ties/pipe-ties/thk/thk6/" TargetMode="External"/><Relationship Id="rId5312" Type="http://schemas.openxmlformats.org/officeDocument/2006/relationships/hyperlink" Target="https://techelectro.ru/prod/cable_entry/cable_entry_plastic/pg_black/sku_88649/" TargetMode="External"/><Relationship Id="rId1508" Type="http://schemas.openxmlformats.org/officeDocument/2006/relationships/hyperlink" Target="https://techelectro.ru/prod/cable-kits/muffs1kv/4_5-pktp-1/4pktp_b-1-150_240/" TargetMode="External"/><Relationship Id="rId1855" Type="http://schemas.openxmlformats.org/officeDocument/2006/relationships/hyperlink" Target="https://techelectro.ru/prod/cable-kits/muffs-35kv/3pst-35/sku_110683/" TargetMode="External"/><Relationship Id="rId2906" Type="http://schemas.openxmlformats.org/officeDocument/2006/relationships/hyperlink" Target="https://techelectro.ru/prod/wiring-tools/crimpers/conn-crimp/pkvk10a/sku_101397/" TargetMode="External"/><Relationship Id="rId3070" Type="http://schemas.openxmlformats.org/officeDocument/2006/relationships/hyperlink" Target="https://techelectro.ru/prod/wiring-tools/cutters/wirecutters/mc3/mc-03/" TargetMode="External"/><Relationship Id="rId4121" Type="http://schemas.openxmlformats.org/officeDocument/2006/relationships/hyperlink" Target="https://techelectro.ru/prod/protection-safety/bags_packs/sk10/sk-10/" TargetMode="External"/><Relationship Id="rId1715" Type="http://schemas.openxmlformats.org/officeDocument/2006/relationships/hyperlink" Target="https://techelectro.ru/prod/cable-kits/muffs10kv/1pknt10/1pknt10-300-400_b/" TargetMode="External"/><Relationship Id="rId1922" Type="http://schemas.openxmlformats.org/officeDocument/2006/relationships/hyperlink" Target="https://techelectro.ru/prod/cable_kits_acs/trm/trm_55_12-600/" TargetMode="External"/><Relationship Id="rId3887" Type="http://schemas.openxmlformats.org/officeDocument/2006/relationships/hyperlink" Target="https://techelectro.ru/prod/metalworking-tools/ft_endheads/nai-10_216/sku_105776/" TargetMode="External"/><Relationship Id="rId4938" Type="http://schemas.openxmlformats.org/officeDocument/2006/relationships/hyperlink" Target="https://techelectro.ru/prod/steel-ties/steel_tape-brace/lks316/sku_87207/" TargetMode="External"/><Relationship Id="rId2489" Type="http://schemas.openxmlformats.org/officeDocument/2006/relationships/hyperlink" Target="https://techelectro.ru/prod/hstubes/gluetube/ttv/ttv90-1200/" TargetMode="External"/><Relationship Id="rId2696" Type="http://schemas.openxmlformats.org/officeDocument/2006/relationships/hyperlink" Target="https://techelectro.ru/prod/insulating/pvc19-heavy/sku_90821/" TargetMode="External"/><Relationship Id="rId3747" Type="http://schemas.openxmlformats.org/officeDocument/2006/relationships/hyperlink" Target="https://techelectro.ru/prod/electric-tools/accessories/crowns/sds_m16_drift_key/sku_102562/" TargetMode="External"/><Relationship Id="rId3954" Type="http://schemas.openxmlformats.org/officeDocument/2006/relationships/hyperlink" Target="https://techelectro.ru/prod/construction_hydraulics/jack/jack_hd/dgp/sku_84551/" TargetMode="External"/><Relationship Id="rId668" Type="http://schemas.openxmlformats.org/officeDocument/2006/relationships/hyperlink" Target="https://techelectro.ru/prod/insulugs/iplug/rpim/rpim_25_63/" TargetMode="External"/><Relationship Id="rId875" Type="http://schemas.openxmlformats.org/officeDocument/2006/relationships/hyperlink" Target="https://techelectro.ru/prod/insulugs/screw_clamp/shni-din/sku_87191/" TargetMode="External"/><Relationship Id="rId1298" Type="http://schemas.openxmlformats.org/officeDocument/2006/relationships/hyperlink" Target="https://techelectro.ru/prod/cable-kits/kits-ngls-1kv/3stp-ngls/3stpngls1-25-50_b/" TargetMode="External"/><Relationship Id="rId2349" Type="http://schemas.openxmlformats.org/officeDocument/2006/relationships/hyperlink" Target="https://techelectro.ru/prod/hstubes/gluetube/ttk21/ttk21-12b/" TargetMode="External"/><Relationship Id="rId2556" Type="http://schemas.openxmlformats.org/officeDocument/2006/relationships/hyperlink" Target="https://techelectro.ru/prod/hstubes/hstubeset/monohrom/monohrom-8-4/" TargetMode="External"/><Relationship Id="rId2763" Type="http://schemas.openxmlformats.org/officeDocument/2006/relationships/hyperlink" Target="https://techelectro.ru/prod/insulating/xp_bw/sku_102337/" TargetMode="External"/><Relationship Id="rId2970" Type="http://schemas.openxmlformats.org/officeDocument/2006/relationships/hyperlink" Target="https://techelectro.ru/prod/wiring-tools/crimpers_pgr/hv-crimpers/matrix_pg60t/a-31-5/" TargetMode="External"/><Relationship Id="rId3607" Type="http://schemas.openxmlformats.org/officeDocument/2006/relationships/hyperlink" Target="https://techelectro.ru/prod/vdetools/vde-screwdrivers/nio-2205-t/sku_88927/" TargetMode="External"/><Relationship Id="rId3814" Type="http://schemas.openxmlformats.org/officeDocument/2006/relationships/hyperlink" Target="https://techelectro.ru/prod/metalworking-tools/ft_screwdrivers/no04sft/sku_87105/" TargetMode="External"/><Relationship Id="rId6013" Type="http://schemas.openxmlformats.org/officeDocument/2006/relationships/hyperlink" Target="https://techelectro.ru/prod/ground_wire/pzu/pzu-6-300/" TargetMode="External"/><Relationship Id="rId528" Type="http://schemas.openxmlformats.org/officeDocument/2006/relationships/hyperlink" Target="https://techelectro.ru/prod/insulugs/ilugs/nki_easyfix/sku_108555/" TargetMode="External"/><Relationship Id="rId735" Type="http://schemas.openxmlformats.org/officeDocument/2006/relationships/hyperlink" Target="https://techelectro.ru/prod/insulugs/iplug/ov/ov3/" TargetMode="External"/><Relationship Id="rId942" Type="http://schemas.openxmlformats.org/officeDocument/2006/relationships/hyperlink" Target="https://techelectro.ru/prod/e-connectors/nshvi/nshvi_4_0_12/" TargetMode="External"/><Relationship Id="rId1158" Type="http://schemas.openxmlformats.org/officeDocument/2006/relationships/hyperlink" Target="https://techelectro.ru/prod/bolt-lugs/wire10-240/nb/sku_92055/" TargetMode="External"/><Relationship Id="rId1365" Type="http://schemas.openxmlformats.org/officeDocument/2006/relationships/hyperlink" Target="https://techelectro.ru/prod/cable-kits/kits-ngls-1kv/pst-mini-ng_ls/sku_88058/" TargetMode="External"/><Relationship Id="rId1572" Type="http://schemas.openxmlformats.org/officeDocument/2006/relationships/hyperlink" Target="https://techelectro.ru/prod/cable-kits/muffs1kv/2pst-1/2pst1-16-25/" TargetMode="External"/><Relationship Id="rId2209" Type="http://schemas.openxmlformats.org/officeDocument/2006/relationships/hyperlink" Target="https://techelectro.ru/prod/hstubes/hstube/tutng/tutng60/" TargetMode="External"/><Relationship Id="rId2416" Type="http://schemas.openxmlformats.org/officeDocument/2006/relationships/hyperlink" Target="https://techelectro.ru/prod/hstubes/gluetube/ttk31_red/sku_84874/" TargetMode="External"/><Relationship Id="rId2623" Type="http://schemas.openxmlformats.org/officeDocument/2006/relationships/hyperlink" Target="https://techelectro.ru/prod/hstubes/specialtube/tt-s_ng-ls/sku_83631/" TargetMode="External"/><Relationship Id="rId5779" Type="http://schemas.openxmlformats.org/officeDocument/2006/relationships/hyperlink" Target="https://techelectro.ru/prod/staples/smo_inox/smo_inox-31-32/" TargetMode="External"/><Relationship Id="rId1018" Type="http://schemas.openxmlformats.org/officeDocument/2006/relationships/hyperlink" Target="https://techelectro.ru/prod/e-connectors/nshvi2/nshvi2_1_5-12/" TargetMode="External"/><Relationship Id="rId1225" Type="http://schemas.openxmlformats.org/officeDocument/2006/relationships/hyperlink" Target="https://techelectro.ru/prod/bolt-lugs/wire300-800/nbe_gph_300-800/sku_105919/" TargetMode="External"/><Relationship Id="rId1432" Type="http://schemas.openxmlformats.org/officeDocument/2006/relationships/hyperlink" Target="https://techelectro.ru/prod/cable-kits/kits-ngls-10kv/3rst-10ng-_ls/sku_88142/" TargetMode="External"/><Relationship Id="rId2830" Type="http://schemas.openxmlformats.org/officeDocument/2006/relationships/hyperlink" Target="https://techelectro.ru/prod/wiring-tools/crimpers/insulugs-crimp/sto/sku_90761/" TargetMode="External"/><Relationship Id="rId4588" Type="http://schemas.openxmlformats.org/officeDocument/2006/relationships/hyperlink" Target="https://techelectro.ru/prod/ties/nylonties/kss100-nord_black/kss_nord_3-100_black/" TargetMode="External"/><Relationship Id="rId5639" Type="http://schemas.openxmlformats.org/officeDocument/2006/relationships/hyperlink" Target="https://techelectro.ru/prod/metal-hose-fittings/fittings/vm-m/sku_88908/" TargetMode="External"/><Relationship Id="rId5986" Type="http://schemas.openxmlformats.org/officeDocument/2006/relationships/hyperlink" Target="https://techelectro.ru/prod/ground_wire/pz/pz_25-150/" TargetMode="External"/><Relationship Id="rId71" Type="http://schemas.openxmlformats.org/officeDocument/2006/relationships/hyperlink" Target="https://techelectro.ru/prod/cable-lugs/cu/tml/sku_89405/" TargetMode="External"/><Relationship Id="rId802" Type="http://schemas.openxmlformats.org/officeDocument/2006/relationships/hyperlink" Target="https://techelectro.ru/prod/insulugs/iquick/iquicksets-pkt/sku_91014/" TargetMode="External"/><Relationship Id="rId3397" Type="http://schemas.openxmlformats.org/officeDocument/2006/relationships/hyperlink" Target="https://techelectro.ru/prod/wiring-tools/unwinding/hvltools/chm2s/sku_109863/" TargetMode="External"/><Relationship Id="rId4795" Type="http://schemas.openxmlformats.org/officeDocument/2006/relationships/hyperlink" Target="https://techelectro.ru/prod/steel-ties/steel_ties-labels/sks/sks4h200/" TargetMode="External"/><Relationship Id="rId5846" Type="http://schemas.openxmlformats.org/officeDocument/2006/relationships/hyperlink" Target="https://techelectro.ru/prod/staples/smo_withouthole/sku_86328/" TargetMode="External"/><Relationship Id="rId4448" Type="http://schemas.openxmlformats.org/officeDocument/2006/relationships/hyperlink" Target="https://techelectro.ru/prod/ties/nylonties/kss_outlock_white/sku_111518/" TargetMode="External"/><Relationship Id="rId4655" Type="http://schemas.openxmlformats.org/officeDocument/2006/relationships/hyperlink" Target="https://techelectro.ru/prod/ties/nylonties/ksu/ksu9x260/" TargetMode="External"/><Relationship Id="rId4862" Type="http://schemas.openxmlformats.org/officeDocument/2006/relationships/hyperlink" Target="https://techelectro.ru/prod/steel-ties/steel_ties-labels/sksp/sksp4h150/" TargetMode="External"/><Relationship Id="rId5706" Type="http://schemas.openxmlformats.org/officeDocument/2006/relationships/hyperlink" Target="https://techelectro.ru/prod/metal-hose-fittings/fittings/smm/smm25/" TargetMode="External"/><Relationship Id="rId5913" Type="http://schemas.openxmlformats.org/officeDocument/2006/relationships/hyperlink" Target="https://techelectro.ru/prod/staples/spp/sku_103945/" TargetMode="External"/><Relationship Id="rId178" Type="http://schemas.openxmlformats.org/officeDocument/2006/relationships/hyperlink" Target="https://techelectro.ru/prod/cable-lugs/cu/tmlr/sku_87471/" TargetMode="External"/><Relationship Id="rId3257" Type="http://schemas.openxmlformats.org/officeDocument/2006/relationships/hyperlink" Target="https://techelectro.ru/prod/wiring-tools/boxtools/singlempo/sku_85304/" TargetMode="External"/><Relationship Id="rId3464" Type="http://schemas.openxmlformats.org/officeDocument/2006/relationships/hyperlink" Target="https://techelectro.ru/prod/wiring-tools/unwinding/fishtape/fgp4_5/fgp4_5-50r/" TargetMode="External"/><Relationship Id="rId3671" Type="http://schemas.openxmlformats.org/officeDocument/2006/relationships/hyperlink" Target="https://techelectro.ru/prod/vdetools/vde-sets/vde-wrench-sets/nik-r14/sku_105735/" TargetMode="External"/><Relationship Id="rId4308" Type="http://schemas.openxmlformats.org/officeDocument/2006/relationships/hyperlink" Target="https://techelectro.ru/prod/abcarm/abctools/lr15/lr-15/" TargetMode="External"/><Relationship Id="rId4515" Type="http://schemas.openxmlformats.org/officeDocument/2006/relationships/hyperlink" Target="https://techelectro.ru/prod/ties/nylonties/kss-uv/kss12h750black/" TargetMode="External"/><Relationship Id="rId4722" Type="http://schemas.openxmlformats.org/officeDocument/2006/relationships/hyperlink" Target="https://techelectro.ru/prod/ties/montage-acs/pmo_22h16_white/pmo22x16/" TargetMode="External"/><Relationship Id="rId385" Type="http://schemas.openxmlformats.org/officeDocument/2006/relationships/hyperlink" Target="https://techelectro.ru/prod/cable-lugs/al/ta/ta_70-10-12/" TargetMode="External"/><Relationship Id="rId592" Type="http://schemas.openxmlformats.org/officeDocument/2006/relationships/hyperlink" Target="https://techelectro.ru/prod/insulugs/ilugs/nvi_easyfix/sku_90903/" TargetMode="External"/><Relationship Id="rId2066" Type="http://schemas.openxmlformats.org/officeDocument/2006/relationships/hyperlink" Target="https://techelectro.ru/prod/hstubes/hstube/tutng-color/sku_102196/" TargetMode="External"/><Relationship Id="rId2273" Type="http://schemas.openxmlformats.org/officeDocument/2006/relationships/hyperlink" Target="https://techelectro.ru/prod/hstubes/hstube/tut-hf/sku_84971/" TargetMode="External"/><Relationship Id="rId2480" Type="http://schemas.openxmlformats.org/officeDocument/2006/relationships/hyperlink" Target="https://techelectro.ru/prod/hstubes/gluetube/ttk41_inrolls/sku_106545/" TargetMode="External"/><Relationship Id="rId3117" Type="http://schemas.openxmlformats.org/officeDocument/2006/relationships/hyperlink" Target="https://techelectro.ru/prod/wiring-tools/cutters/hdcutters/ngo120/ngo-120/" TargetMode="External"/><Relationship Id="rId3324" Type="http://schemas.openxmlformats.org/officeDocument/2006/relationships/hyperlink" Target="https://techelectro.ru/prod/wiring-tools/hdrtools/hdr_tools/pmr7035/sku_85140/" TargetMode="External"/><Relationship Id="rId3531" Type="http://schemas.openxmlformats.org/officeDocument/2006/relationships/hyperlink" Target="https://techelectro.ru/prod/vdetools/pliers/longnose160ergoline/sku_105216/" TargetMode="External"/><Relationship Id="rId245" Type="http://schemas.openxmlformats.org/officeDocument/2006/relationships/hyperlink" Target="https://techelectro.ru/prod/cable-lugs/cu/nshml/sku_87466/" TargetMode="External"/><Relationship Id="rId452" Type="http://schemas.openxmlformats.org/officeDocument/2006/relationships/hyperlink" Target="https://techelectro.ru/prod/cable-lugs/al/nsham/nsham_50/" TargetMode="External"/><Relationship Id="rId1082" Type="http://schemas.openxmlformats.org/officeDocument/2006/relationships/hyperlink" Target="https://techelectro.ru/prod/e-connectors/nshviset-m2850-1/set-nshvi-m-2850-1/" TargetMode="External"/><Relationship Id="rId2133" Type="http://schemas.openxmlformats.org/officeDocument/2006/relationships/hyperlink" Target="https://techelectro.ru/prod/hstubes/hstube/tnt_hf/sku_82974/" TargetMode="External"/><Relationship Id="rId2340" Type="http://schemas.openxmlformats.org/officeDocument/2006/relationships/hyperlink" Target="https://techelectro.ru/prod/hstubes/hstube/t-box-color/tbox20g/" TargetMode="External"/><Relationship Id="rId5289" Type="http://schemas.openxmlformats.org/officeDocument/2006/relationships/hyperlink" Target="https://techelectro.ru/prod/cable_entry/cable_entry_metal/gpm/sku_88235/" TargetMode="External"/><Relationship Id="rId5496" Type="http://schemas.openxmlformats.org/officeDocument/2006/relationships/hyperlink" Target="https://techelectro.ru/prod/metal-hose-fittings/hose/mrping_p_grey/sku_88309/" TargetMode="External"/><Relationship Id="rId105" Type="http://schemas.openxmlformats.org/officeDocument/2006/relationships/hyperlink" Target="https://techelectro.ru/prod/cable-lugs/cu/tm/sku_86999/" TargetMode="External"/><Relationship Id="rId312" Type="http://schemas.openxmlformats.org/officeDocument/2006/relationships/hyperlink" Target="https://techelectro.ru/prod/cable-lugs/cu/gml/gml_95/" TargetMode="External"/><Relationship Id="rId2200" Type="http://schemas.openxmlformats.org/officeDocument/2006/relationships/hyperlink" Target="https://techelectro.ru/prod/hstubes/hstube/tutng/tutng10/" TargetMode="External"/><Relationship Id="rId4098" Type="http://schemas.openxmlformats.org/officeDocument/2006/relationships/hyperlink" Target="https://techelectro.ru/prod/protection-safety/bags_packs/s50/s-50/" TargetMode="External"/><Relationship Id="rId5149" Type="http://schemas.openxmlformats.org/officeDocument/2006/relationships/hyperlink" Target="https://techelectro.ru/prod/cable_entry/cable_entry_metal/mgm/sku_87978/" TargetMode="External"/><Relationship Id="rId5356" Type="http://schemas.openxmlformats.org/officeDocument/2006/relationships/hyperlink" Target="https://techelectro.ru/prod/cable_entry/cable_entry_plastic/m-l/sku_85476/" TargetMode="External"/><Relationship Id="rId5563" Type="http://schemas.openxmlformats.org/officeDocument/2006/relationships/hyperlink" Target="https://techelectro.ru/prod/metal-hose-fittings/hose/mrping-inox/mrnping-inox-32/" TargetMode="External"/><Relationship Id="rId1899" Type="http://schemas.openxmlformats.org/officeDocument/2006/relationships/hyperlink" Target="https://techelectro.ru/prod/cable_kits_acs/tpi/5tpi-70-120/" TargetMode="External"/><Relationship Id="rId4165" Type="http://schemas.openxmlformats.org/officeDocument/2006/relationships/hyperlink" Target="https://techelectro.ru/prod/protection-safety/flashlights/hl-57/hl57/" TargetMode="External"/><Relationship Id="rId4372" Type="http://schemas.openxmlformats.org/officeDocument/2006/relationships/hyperlink" Target="https://techelectro.ru/prod/digital_meters/ecotesters/kt61/sku_86327/" TargetMode="External"/><Relationship Id="rId5009" Type="http://schemas.openxmlformats.org/officeDocument/2006/relationships/hyperlink" Target="https://techelectro.ru/prod/strength-ties/screw-ties/pl9-w4/pl9-110-130w4/" TargetMode="External"/><Relationship Id="rId5216" Type="http://schemas.openxmlformats.org/officeDocument/2006/relationships/hyperlink" Target="https://techelectro.ru/prod/cable_entry/cable_entry_metal/pgm/pgm16/" TargetMode="External"/><Relationship Id="rId5770" Type="http://schemas.openxmlformats.org/officeDocument/2006/relationships/hyperlink" Target="https://techelectro.ru/prod/metal-hose-fittings/fittings/krvp/krvp50/" TargetMode="External"/><Relationship Id="rId1759" Type="http://schemas.openxmlformats.org/officeDocument/2006/relationships/hyperlink" Target="https://techelectro.ru/prod/cable-kits/muffs10kv/3kvtp-10/3kvtp10-25-50_b1/" TargetMode="External"/><Relationship Id="rId1966" Type="http://schemas.openxmlformats.org/officeDocument/2006/relationships/hyperlink" Target="https://techelectro.ru/prod/cable_kits_acs/atm/atm3/" TargetMode="External"/><Relationship Id="rId3181" Type="http://schemas.openxmlformats.org/officeDocument/2006/relationships/hyperlink" Target="https://techelectro.ru/prod/wiring-tools/strippers/wire-strip/ws12/ws-12/" TargetMode="External"/><Relationship Id="rId4025" Type="http://schemas.openxmlformats.org/officeDocument/2006/relationships/hyperlink" Target="https://techelectro.ru/prod/construction_hydraulics/flange_spreaders/rfa25/sku_110080/" TargetMode="External"/><Relationship Id="rId5423" Type="http://schemas.openxmlformats.org/officeDocument/2006/relationships/hyperlink" Target="https://techelectro.ru/prod/metal-hose-fittings/hose/mrping_nord-p/mrping_nord_20_p/" TargetMode="External"/><Relationship Id="rId5630" Type="http://schemas.openxmlformats.org/officeDocument/2006/relationships/hyperlink" Target="https://techelectro.ru/prod/metal-hose-fittings/fittings/vm/vm38/" TargetMode="External"/><Relationship Id="rId1619" Type="http://schemas.openxmlformats.org/officeDocument/2006/relationships/hyperlink" Target="https://techelectro.ru/prod/cable-kits/muffs1kv/4_5pst-1/sku_88747/" TargetMode="External"/><Relationship Id="rId1826" Type="http://schemas.openxmlformats.org/officeDocument/2006/relationships/hyperlink" Target="https://techelectro.ru/prod/cable-kits/muffs10kv/3p3bspt10/3p3bspt10-70-120b/" TargetMode="External"/><Relationship Id="rId4232" Type="http://schemas.openxmlformats.org/officeDocument/2006/relationships/hyperlink" Target="https://techelectro.ru/prod/abcarm/anchor/ppz4/ppz-4/" TargetMode="External"/><Relationship Id="rId3041" Type="http://schemas.openxmlformats.org/officeDocument/2006/relationships/hyperlink" Target="https://techelectro.ru/prod/wiring-tools/crimpers_pgr/hv-crimpers/matrix_pg100t/c-23-100t/" TargetMode="External"/><Relationship Id="rId3998" Type="http://schemas.openxmlformats.org/officeDocument/2006/relationships/hyperlink" Target="https://techelectro.ru/prod/construction_hydraulics/hydraulic_pullers/sga20/sga20/" TargetMode="External"/><Relationship Id="rId3858" Type="http://schemas.openxmlformats.org/officeDocument/2006/relationships/hyperlink" Target="https://techelectro.ru/prod/metalworking-tools/ft_wrench/wrench-piece/wrench-piece-6/" TargetMode="External"/><Relationship Id="rId4909" Type="http://schemas.openxmlformats.org/officeDocument/2006/relationships/hyperlink" Target="https://techelectro.ru/prod/steel-ties/steel_ties-labels/sks2-304/sks2-304-12x1000/" TargetMode="External"/><Relationship Id="rId6057" Type="http://schemas.openxmlformats.org/officeDocument/2006/relationships/hyperlink" Target="https://techelectro.ru/prod/ground_wire/uhz/uhz-60-80-w2/" TargetMode="External"/><Relationship Id="rId779" Type="http://schemas.openxmlformats.org/officeDocument/2006/relationships/hyperlink" Target="https://techelectro.ru/prod/insulugs/iquick/gsit/gsit_6/" TargetMode="External"/><Relationship Id="rId986" Type="http://schemas.openxmlformats.org/officeDocument/2006/relationships/hyperlink" Target="https://techelectro.ru/prod/e-connectors/nshvi_euro/sku_103197/" TargetMode="External"/><Relationship Id="rId2667" Type="http://schemas.openxmlformats.org/officeDocument/2006/relationships/hyperlink" Target="https://techelectro.ru/prod/hstubes/specialtube/ttmng/sku_102668/" TargetMode="External"/><Relationship Id="rId3718" Type="http://schemas.openxmlformats.org/officeDocument/2006/relationships/hyperlink" Target="https://techelectro.ru/prod/electric-tools/power-saws/ppr60n/sku_104870/" TargetMode="External"/><Relationship Id="rId5073" Type="http://schemas.openxmlformats.org/officeDocument/2006/relationships/hyperlink" Target="https://techelectro.ru/prod/strength-ties/screw-ties/sr2/sr64-67w2/" TargetMode="External"/><Relationship Id="rId5280" Type="http://schemas.openxmlformats.org/officeDocument/2006/relationships/hyperlink" Target="https://techelectro.ru/prod/cable_entry/cable_entry_metal/mpl-m_increase/sku_89598/" TargetMode="External"/><Relationship Id="rId639" Type="http://schemas.openxmlformats.org/officeDocument/2006/relationships/hyperlink" Target="https://techelectro.ru/prod/insulugs/ilugs/ilugsets-nki/sku_91000/" TargetMode="External"/><Relationship Id="rId1269" Type="http://schemas.openxmlformats.org/officeDocument/2006/relationships/hyperlink" Target="https://techelectro.ru/prod/cable-kits/kits-ngls-1kv/5pktp-1_ngls/5pktp_bng-ls1-16-25/" TargetMode="External"/><Relationship Id="rId1476" Type="http://schemas.openxmlformats.org/officeDocument/2006/relationships/hyperlink" Target="https://techelectro.ru/prod/cable-kits/muffs1kv/2-pktp-1/2pktp_b-1-16_25_b/" TargetMode="External"/><Relationship Id="rId2874" Type="http://schemas.openxmlformats.org/officeDocument/2006/relationships/hyperlink" Target="https://techelectro.ru/prod/wiring-tools/crimpers/insulugs-crimp/mpk1/mpk_01/" TargetMode="External"/><Relationship Id="rId3925" Type="http://schemas.openxmlformats.org/officeDocument/2006/relationships/hyperlink" Target="https://techelectro.ru/prod/metalworking-tools/ft_cutters/nmap270ll/sku_104428/" TargetMode="External"/><Relationship Id="rId5140" Type="http://schemas.openxmlformats.org/officeDocument/2006/relationships/hyperlink" Target="https://techelectro.ru/prod/cable_entry/cable_entry_metal/mgm-inox/sku_89027/" TargetMode="External"/><Relationship Id="rId846" Type="http://schemas.openxmlformats.org/officeDocument/2006/relationships/hyperlink" Target="https://techelectro.ru/prod/insulugs/screw_clamp/zvi-ng_white/sku_87170/" TargetMode="External"/><Relationship Id="rId1129" Type="http://schemas.openxmlformats.org/officeDocument/2006/relationships/hyperlink" Target="https://techelectro.ru/prod/clamps_wago-smk/smk_222-2413/sku_87637/" TargetMode="External"/><Relationship Id="rId1683" Type="http://schemas.openxmlformats.org/officeDocument/2006/relationships/hyperlink" Target="https://techelectro.ru/prod/cable-kits/muffs10kv/3rktp-6/sku_78355/" TargetMode="External"/><Relationship Id="rId1890" Type="http://schemas.openxmlformats.org/officeDocument/2006/relationships/hyperlink" Target="https://techelectro.ru/prod/cable_kits_acs/tpi/3tpi-25-50/" TargetMode="External"/><Relationship Id="rId2527" Type="http://schemas.openxmlformats.org/officeDocument/2006/relationships/hyperlink" Target="https://techelectro.ru/prod/hstubes/gluetube/tt6x/tt6x-235/" TargetMode="External"/><Relationship Id="rId2734" Type="http://schemas.openxmlformats.org/officeDocument/2006/relationships/hyperlink" Target="https://techelectro.ru/prod/insulating/xn/sku_106105/" TargetMode="External"/><Relationship Id="rId2941" Type="http://schemas.openxmlformats.org/officeDocument/2006/relationships/hyperlink" Target="https://techelectro.ru/prod/wiring-tools/crimpers_pgr/hdcrimp/pgrs400u/pgrs-400u/" TargetMode="External"/><Relationship Id="rId5000" Type="http://schemas.openxmlformats.org/officeDocument/2006/relationships/hyperlink" Target="https://techelectro.ru/prod/strength-ties/screw-ties/pl9-w4/pl9-20-32w4/" TargetMode="External"/><Relationship Id="rId706" Type="http://schemas.openxmlformats.org/officeDocument/2006/relationships/hyperlink" Target="https://techelectro.ru/prod/insulugs/iplug/rpipn/rpipn_6/" TargetMode="External"/><Relationship Id="rId913" Type="http://schemas.openxmlformats.org/officeDocument/2006/relationships/hyperlink" Target="https://techelectro.ru/prod/insulugs/autoterminals/rp-m_l_2_5_-_6_3/sku_109250/" TargetMode="External"/><Relationship Id="rId1336" Type="http://schemas.openxmlformats.org/officeDocument/2006/relationships/hyperlink" Target="https://techelectro.ru/prod/cable-kits/kits-ngls-1kv/5pst_ngls-1/5pst1-70-120_bngls/" TargetMode="External"/><Relationship Id="rId1543" Type="http://schemas.openxmlformats.org/officeDocument/2006/relationships/hyperlink" Target="https://techelectro.ru/prod/cable-kits/muffs1kv/pktp_mini/5pktp_mini_2-5_10/" TargetMode="External"/><Relationship Id="rId1750" Type="http://schemas.openxmlformats.org/officeDocument/2006/relationships/hyperlink" Target="https://techelectro.ru/prod/cable-kits/muffs10kv/3kvtp10sold/sku_88752/" TargetMode="External"/><Relationship Id="rId2801" Type="http://schemas.openxmlformats.org/officeDocument/2006/relationships/hyperlink" Target="https://techelectro.ru/prod/wiring-tools/crimpers/insulugs-crimp/ctk/ctk02/" TargetMode="External"/><Relationship Id="rId4699" Type="http://schemas.openxmlformats.org/officeDocument/2006/relationships/hyperlink" Target="https://techelectro.ru/prod/ties/nylonties/ksvp/ksvp20x300b/" TargetMode="External"/><Relationship Id="rId5957" Type="http://schemas.openxmlformats.org/officeDocument/2006/relationships/hyperlink" Target="https://techelectro.ru/prod/staples/u/u-1/" TargetMode="External"/><Relationship Id="rId42" Type="http://schemas.openxmlformats.org/officeDocument/2006/relationships/hyperlink" Target="https://techelectro.ru/prod/cable-lugs/cu/tml/tml_6-5-4/" TargetMode="External"/><Relationship Id="rId1403" Type="http://schemas.openxmlformats.org/officeDocument/2006/relationships/hyperlink" Target="https://techelectro.ru/prod/cable-kits/kits-ngls-10kv/3kvtp-10_ngls/3kvtp10-25-50_ngls/" TargetMode="External"/><Relationship Id="rId1610" Type="http://schemas.openxmlformats.org/officeDocument/2006/relationships/hyperlink" Target="https://techelectro.ru/prod/cable-kits/muffs1kv/4_5pst-1/4pstb1-16-25/" TargetMode="External"/><Relationship Id="rId4559" Type="http://schemas.openxmlformats.org/officeDocument/2006/relationships/hyperlink" Target="https://techelectro.ru/prod/ties/nylonties/nss-black/sku_84822/" TargetMode="External"/><Relationship Id="rId4766" Type="http://schemas.openxmlformats.org/officeDocument/2006/relationships/hyperlink" Target="https://techelectro.ru/prod/steel-ties/steel_ties-labels/sks316/sks316-4x150/" TargetMode="External"/><Relationship Id="rId4973" Type="http://schemas.openxmlformats.org/officeDocument/2006/relationships/hyperlink" Target="https://techelectro.ru/prod/strength-ties/screw-ties/pl9-w1/w1-150-170/" TargetMode="External"/><Relationship Id="rId5817" Type="http://schemas.openxmlformats.org/officeDocument/2006/relationships/hyperlink" Target="https://techelectro.ru/prod/staples/smd/smd_21-22/" TargetMode="External"/><Relationship Id="rId3368" Type="http://schemas.openxmlformats.org/officeDocument/2006/relationships/hyperlink" Target="https://techelectro.ru/prod/wiring-tools/unwinding/hvltools/vm-50/vm-50/" TargetMode="External"/><Relationship Id="rId3575" Type="http://schemas.openxmlformats.org/officeDocument/2006/relationships/hyperlink" Target="https://techelectro.ru/prod/vdetools/vde-screwdrivers/vde-screwdrivers-profi/profi_pz1-80/" TargetMode="External"/><Relationship Id="rId3782" Type="http://schemas.openxmlformats.org/officeDocument/2006/relationships/hyperlink" Target="https://techelectro.ru/prod/metalworking-tools/ft_pliers/intenscuttersftnew/intenscutterft-180/" TargetMode="External"/><Relationship Id="rId4419" Type="http://schemas.openxmlformats.org/officeDocument/2006/relationships/hyperlink" Target="https://techelectro.ru/prod/ties/nylonties/kss/sku_89896/" TargetMode="External"/><Relationship Id="rId4626" Type="http://schemas.openxmlformats.org/officeDocument/2006/relationships/hyperlink" Target="https://techelectro.ru/prod/ties/nylonties/kss-colors/kss5x300g/" TargetMode="External"/><Relationship Id="rId4833" Type="http://schemas.openxmlformats.org/officeDocument/2006/relationships/hyperlink" Target="https://techelectro.ru/prod/steel-ties/steel_ties-labels/sks316p/sks316p-4x300/" TargetMode="External"/><Relationship Id="rId289" Type="http://schemas.openxmlformats.org/officeDocument/2006/relationships/hyperlink" Target="https://techelectro.ru/prod/cable-lugs/cu/gm/sku_41632/" TargetMode="External"/><Relationship Id="rId496" Type="http://schemas.openxmlformats.org/officeDocument/2006/relationships/hyperlink" Target="https://techelectro.ru/prod/insulugs/ilugs/nki/sku_108513/" TargetMode="External"/><Relationship Id="rId2177" Type="http://schemas.openxmlformats.org/officeDocument/2006/relationships/hyperlink" Target="https://techelectro.ru/prod/hstubes/hstube/tnt_hf/sku_83004/" TargetMode="External"/><Relationship Id="rId2384" Type="http://schemas.openxmlformats.org/officeDocument/2006/relationships/hyperlink" Target="https://techelectro.ru/prod/hstubes/gluetube/ttk_flex_3_1/sku_85207/" TargetMode="External"/><Relationship Id="rId2591" Type="http://schemas.openxmlformats.org/officeDocument/2006/relationships/hyperlink" Target="https://techelectro.ru/prod/hstubes/highvoltagetube/ttsh10/sku_84892/" TargetMode="External"/><Relationship Id="rId3228" Type="http://schemas.openxmlformats.org/officeDocument/2006/relationships/hyperlink" Target="https://techelectro.ru/prod/wiring-tools/boxtools/pgpo60a/pgpo-60a/" TargetMode="External"/><Relationship Id="rId3435" Type="http://schemas.openxmlformats.org/officeDocument/2006/relationships/hyperlink" Target="https://techelectro.ru/prod/wiring-tools/unwinding/fishtape/stp4k/stp4_20k/" TargetMode="External"/><Relationship Id="rId3642" Type="http://schemas.openxmlformats.org/officeDocument/2006/relationships/hyperlink" Target="https://techelectro.ru/prod/vdetools/vde-knives/scissorspro215ergoline/sku_105898/" TargetMode="External"/><Relationship Id="rId149" Type="http://schemas.openxmlformats.org/officeDocument/2006/relationships/hyperlink" Target="https://techelectro.ru/prod/cable-lugs/cu/tmldin/tml_din_240_12/" TargetMode="External"/><Relationship Id="rId356" Type="http://schemas.openxmlformats.org/officeDocument/2006/relationships/hyperlink" Target="https://techelectro.ru/prod/cable-lugs/cu/gmls/sku_88086/" TargetMode="External"/><Relationship Id="rId563" Type="http://schemas.openxmlformats.org/officeDocument/2006/relationships/hyperlink" Target="https://techelectro.ru/prod/insulugs/ilugs/vnki/sku_108608/" TargetMode="External"/><Relationship Id="rId770" Type="http://schemas.openxmlformats.org/officeDocument/2006/relationships/hyperlink" Target="https://techelectro.ru/prod/insulugs/iquick/gsi_easyfix/sku_108486/" TargetMode="External"/><Relationship Id="rId1193" Type="http://schemas.openxmlformats.org/officeDocument/2006/relationships/hyperlink" Target="https://techelectro.ru/prod/bolt-lugs/wire10-240/nbe35/2nbe35_150-240/" TargetMode="External"/><Relationship Id="rId2037" Type="http://schemas.openxmlformats.org/officeDocument/2006/relationships/hyperlink" Target="https://techelectro.ru/prod/hstubes/hstube/tutng-color/sku_102167/" TargetMode="External"/><Relationship Id="rId2244" Type="http://schemas.openxmlformats.org/officeDocument/2006/relationships/hyperlink" Target="https://techelectro.ru/prod/hstubes/hstube/tut_hf/sku_83025/" TargetMode="External"/><Relationship Id="rId2451" Type="http://schemas.openxmlformats.org/officeDocument/2006/relationships/hyperlink" Target="https://techelectro.ru/prod/hstubes/gluetube/ttk31_blue/sku_102421/" TargetMode="External"/><Relationship Id="rId4900" Type="http://schemas.openxmlformats.org/officeDocument/2006/relationships/hyperlink" Target="https://techelectro.ru/prod/steel-ties/steel_ties-labels/sks2-316/sks2-316-7x1000/" TargetMode="External"/><Relationship Id="rId216" Type="http://schemas.openxmlformats.org/officeDocument/2006/relationships/hyperlink" Target="https://techelectro.ru/prod/cable-lugs/cu/pm/pm_35_8/" TargetMode="External"/><Relationship Id="rId423" Type="http://schemas.openxmlformats.org/officeDocument/2006/relationships/hyperlink" Target="https://techelectro.ru/prod/cable-lugs/al/gam/gam_35-25/" TargetMode="External"/><Relationship Id="rId1053" Type="http://schemas.openxmlformats.org/officeDocument/2006/relationships/hyperlink" Target="https://techelectro.ru/prod/e-connectors/nshvi2_euro/sku_108985/" TargetMode="External"/><Relationship Id="rId1260" Type="http://schemas.openxmlformats.org/officeDocument/2006/relationships/hyperlink" Target="https://techelectro.ru/prod/cable-kits/kits-ngls-1kv/4_5pktp-1_ngls/4pktp_bng-ls1-150-240_b/" TargetMode="External"/><Relationship Id="rId2104" Type="http://schemas.openxmlformats.org/officeDocument/2006/relationships/hyperlink" Target="https://techelectro.ru/prod/hstubes/hstube/tnt_hf/sku_84993/" TargetMode="External"/><Relationship Id="rId3502" Type="http://schemas.openxmlformats.org/officeDocument/2006/relationships/hyperlink" Target="https://techelectro.ru/prod/wiring-tools/hstools/gt16/sku_88072/" TargetMode="External"/><Relationship Id="rId630" Type="http://schemas.openxmlformats.org/officeDocument/2006/relationships/hyperlink" Target="https://techelectro.ru/prod/insulugs/ilugs/nkit/sku_108571_108572/" TargetMode="External"/><Relationship Id="rId2311" Type="http://schemas.openxmlformats.org/officeDocument/2006/relationships/hyperlink" Target="https://techelectro.ru/prod/hstubes/hstube/tut-hf/tut_hf40-20_blue/" TargetMode="External"/><Relationship Id="rId4069" Type="http://schemas.openxmlformats.org/officeDocument/2006/relationships/hyperlink" Target="https://techelectro.ru/prod/fixing_tools/sts3/sts-3/" TargetMode="External"/><Relationship Id="rId5467" Type="http://schemas.openxmlformats.org/officeDocument/2006/relationships/hyperlink" Target="https://techelectro.ru/prod/metal-hose-fittings/hose/mrping/sku_64856/" TargetMode="External"/><Relationship Id="rId5674" Type="http://schemas.openxmlformats.org/officeDocument/2006/relationships/hyperlink" Target="https://techelectro.ru/prod/metal-hose-fittings/fittings/vm-l/sku_88853/" TargetMode="External"/><Relationship Id="rId5881" Type="http://schemas.openxmlformats.org/officeDocument/2006/relationships/hyperlink" Target="https://techelectro.ru/prod/staples/smr15-inox/smr_inox_14-15/" TargetMode="External"/><Relationship Id="rId1120" Type="http://schemas.openxmlformats.org/officeDocument/2006/relationships/hyperlink" Target="https://techelectro.ru/prod/clamps_wago-smk/smk-222-414/sku_109303/" TargetMode="External"/><Relationship Id="rId4276" Type="http://schemas.openxmlformats.org/officeDocument/2006/relationships/hyperlink" Target="https://techelectro.ru/prod/abcarm/sealinslugs/nim-cptau95/sku_103168/" TargetMode="External"/><Relationship Id="rId4483" Type="http://schemas.openxmlformats.org/officeDocument/2006/relationships/hyperlink" Target="https://techelectro.ru/prod/ties/nylonties/kss-uv/kss4x150b/" TargetMode="External"/><Relationship Id="rId4690" Type="http://schemas.openxmlformats.org/officeDocument/2006/relationships/hyperlink" Target="https://techelectro.ru/prod/ties/nylonties/ksdp/ksdp8x175/" TargetMode="External"/><Relationship Id="rId5327" Type="http://schemas.openxmlformats.org/officeDocument/2006/relationships/hyperlink" Target="https://techelectro.ru/prod/cable_entry/cable_entry_plastic/pg/sku_88166/" TargetMode="External"/><Relationship Id="rId5534" Type="http://schemas.openxmlformats.org/officeDocument/2006/relationships/hyperlink" Target="https://techelectro.ru/prod/metal-hose-fittings/hose/mgpunglstitan/mg-pung-ls_50_titan/" TargetMode="External"/><Relationship Id="rId5741" Type="http://schemas.openxmlformats.org/officeDocument/2006/relationships/hyperlink" Target="https://techelectro.ru/prod/metal-hose-fittings/fittings/ozm/ozm_32/" TargetMode="External"/><Relationship Id="rId1937" Type="http://schemas.openxmlformats.org/officeDocument/2006/relationships/hyperlink" Target="https://techelectro.ru/prod/cable_kits_acs/trma/trm-a_135_35-600/" TargetMode="External"/><Relationship Id="rId3085" Type="http://schemas.openxmlformats.org/officeDocument/2006/relationships/hyperlink" Target="https://techelectro.ru/prod/wiring-tools/cutters/wirecutters/es1/es-01/" TargetMode="External"/><Relationship Id="rId3292" Type="http://schemas.openxmlformats.org/officeDocument/2006/relationships/hyperlink" Target="https://techelectro.ru/prod/wiring-tools/bustools/shda95-neo/sku_89730/" TargetMode="External"/><Relationship Id="rId4136" Type="http://schemas.openxmlformats.org/officeDocument/2006/relationships/hyperlink" Target="https://techelectro.ru/prod/protection-safety/protection/s46/s46xxl/" TargetMode="External"/><Relationship Id="rId4343" Type="http://schemas.openxmlformats.org/officeDocument/2006/relationships/hyperlink" Target="https://techelectro.ru/prod/digital_meters/testers_detectors/kt-5910/sku_87241/" TargetMode="External"/><Relationship Id="rId4550" Type="http://schemas.openxmlformats.org/officeDocument/2006/relationships/hyperlink" Target="https://techelectro.ru/prod/ties/nylonties/nss-black/sku_87784/" TargetMode="External"/><Relationship Id="rId5601" Type="http://schemas.openxmlformats.org/officeDocument/2006/relationships/hyperlink" Target="https://techelectro.ru/prod/metal-hose-fittings/hose/r3ch/sku_88340/" TargetMode="External"/><Relationship Id="rId3152" Type="http://schemas.openxmlformats.org/officeDocument/2006/relationships/hyperlink" Target="https://techelectro.ru/prod/wiring-tools/cutters_din/br-brg-cutters/br_900/br-900/" TargetMode="External"/><Relationship Id="rId4203" Type="http://schemas.openxmlformats.org/officeDocument/2006/relationships/hyperlink" Target="https://techelectro.ru/prod/abcarm/pierce/zpo/sku_108652/" TargetMode="External"/><Relationship Id="rId4410" Type="http://schemas.openxmlformats.org/officeDocument/2006/relationships/hyperlink" Target="https://techelectro.ru/prod/ties/nylonties/kss/kss5h450/" TargetMode="External"/><Relationship Id="rId280" Type="http://schemas.openxmlformats.org/officeDocument/2006/relationships/hyperlink" Target="https://techelectro.ru/prod/cable-lugs/cu/tmls45/tmls_45_70-12/" TargetMode="External"/><Relationship Id="rId3012" Type="http://schemas.openxmlformats.org/officeDocument/2006/relationships/hyperlink" Target="https://techelectro.ru/prod/wiring-tools/crimpers_pgr/hv-crimpers/matrix_pg60t/sku_84648/" TargetMode="External"/><Relationship Id="rId140" Type="http://schemas.openxmlformats.org/officeDocument/2006/relationships/hyperlink" Target="https://techelectro.ru/prod/cable-lugs/cu/tmldin/tml_din_70_12/" TargetMode="External"/><Relationship Id="rId3969" Type="http://schemas.openxmlformats.org/officeDocument/2006/relationships/hyperlink" Target="https://techelectro.ru/prod/construction_hydraulics/jack/jack_hd/dgpg/sku_84582/" TargetMode="External"/><Relationship Id="rId5184" Type="http://schemas.openxmlformats.org/officeDocument/2006/relationships/hyperlink" Target="https://techelectro.ru/prod/cable_entry/cable_entry_metal/mgm-xl/sku_88624/" TargetMode="External"/><Relationship Id="rId5391" Type="http://schemas.openxmlformats.org/officeDocument/2006/relationships/hyperlink" Target="https://techelectro.ru/prod/waterproof_connections/ffc-21_3p-ip68/sku_89664/" TargetMode="External"/><Relationship Id="rId6028" Type="http://schemas.openxmlformats.org/officeDocument/2006/relationships/hyperlink" Target="https://techelectro.ru/prod/ground_wire/pzu/pzu-10-500/" TargetMode="External"/><Relationship Id="rId6" Type="http://schemas.openxmlformats.org/officeDocument/2006/relationships/hyperlink" Target="https://techelectro.ru/prod/cable-lugs/cu/tmls/tmls_4_6/" TargetMode="External"/><Relationship Id="rId2778" Type="http://schemas.openxmlformats.org/officeDocument/2006/relationships/hyperlink" Target="https://techelectro.ru/prod/insulating/xs/sku_85379/" TargetMode="External"/><Relationship Id="rId2985" Type="http://schemas.openxmlformats.org/officeDocument/2006/relationships/hyperlink" Target="https://techelectro.ru/prod/wiring-tools/crimpers_pgr/hv-crimpers/matrix_pg60t/c-22/" TargetMode="External"/><Relationship Id="rId3829" Type="http://schemas.openxmlformats.org/officeDocument/2006/relationships/hyperlink" Target="https://techelectro.ru/prod/metalworking-tools/ft_pumpliers/pumpliersft250profi/pumpliersft-250profi/" TargetMode="External"/><Relationship Id="rId5044" Type="http://schemas.openxmlformats.org/officeDocument/2006/relationships/hyperlink" Target="https://techelectro.ru/prod/strength-ties/screw-ties/sr/sr_68-73_w1/" TargetMode="External"/><Relationship Id="rId957" Type="http://schemas.openxmlformats.org/officeDocument/2006/relationships/hyperlink" Target="https://techelectro.ru/prod/e-connectors/nshvi/sku_108895/" TargetMode="External"/><Relationship Id="rId1587" Type="http://schemas.openxmlformats.org/officeDocument/2006/relationships/hyperlink" Target="https://techelectro.ru/prod/cable-kits/muffs1kv/3pst-1/3pst1-150-240/" TargetMode="External"/><Relationship Id="rId1794" Type="http://schemas.openxmlformats.org/officeDocument/2006/relationships/hyperlink" Target="https://techelectro.ru/prod/cable-kits/muffs10kv/3pst10/3pst10-150-240/" TargetMode="External"/><Relationship Id="rId2638" Type="http://schemas.openxmlformats.org/officeDocument/2006/relationships/hyperlink" Target="https://techelectro.ru/prod/hstubes/specialtube/ttgsm/sku_84891/" TargetMode="External"/><Relationship Id="rId2845" Type="http://schemas.openxmlformats.org/officeDocument/2006/relationships/hyperlink" Target="https://techelectro.ru/prod/wiring-tools/crimpers/insulugs-crimp/ctb/sku_85447/" TargetMode="External"/><Relationship Id="rId5251" Type="http://schemas.openxmlformats.org/officeDocument/2006/relationships/hyperlink" Target="https://techelectro.ru/prod/cable_entry/cable_entry_metal/vk-m-mr/sku_87946/" TargetMode="External"/><Relationship Id="rId86" Type="http://schemas.openxmlformats.org/officeDocument/2006/relationships/hyperlink" Target="https://techelectro.ru/prod/cable-lugs/cu/tml/sku_89407/" TargetMode="External"/><Relationship Id="rId817" Type="http://schemas.openxmlformats.org/officeDocument/2006/relationships/hyperlink" Target="https://techelectro.ru/prod/insulugs/siz_kiz/sizk/sku_108952/" TargetMode="External"/><Relationship Id="rId1447" Type="http://schemas.openxmlformats.org/officeDocument/2006/relationships/hyperlink" Target="https://techelectro.ru/prod/cable-kits/muffs1kv/4_3-kvntp-1/4kvntp1-70-120_b/" TargetMode="External"/><Relationship Id="rId1654" Type="http://schemas.openxmlformats.org/officeDocument/2006/relationships/hyperlink" Target="https://techelectro.ru/prod/cable-kits/muffs1kv/mks/mks2b/" TargetMode="External"/><Relationship Id="rId1861" Type="http://schemas.openxmlformats.org/officeDocument/2006/relationships/hyperlink" Target="https://techelectro.ru/prod/cable_kits_acs/ekat-10/sku_89716/" TargetMode="External"/><Relationship Id="rId2705" Type="http://schemas.openxmlformats.org/officeDocument/2006/relationships/hyperlink" Target="https://techelectro.ru/prod/insulating/lo/lo_50-75/" TargetMode="External"/><Relationship Id="rId2912" Type="http://schemas.openxmlformats.org/officeDocument/2006/relationships/hyperlink" Target="https://techelectro.ru/prod/wiring-tools/crimpers/conn-crimp/pkvk16u/pkvk-16u/" TargetMode="External"/><Relationship Id="rId4060" Type="http://schemas.openxmlformats.org/officeDocument/2006/relationships/hyperlink" Target="https://techelectro.ru/prod/maintenance_tools/network_repair_tool/fos1/fos-01/" TargetMode="External"/><Relationship Id="rId5111" Type="http://schemas.openxmlformats.org/officeDocument/2006/relationships/hyperlink" Target="https://techelectro.ru/prod/strength-ties/pipe-ties/thn/th_inox_-1_1_4/" TargetMode="External"/><Relationship Id="rId1307" Type="http://schemas.openxmlformats.org/officeDocument/2006/relationships/hyperlink" Target="https://techelectro.ru/prod/cable-kits/kits-ngls-1kv/1pst_ngls/1pst1-10-25b_ngls/" TargetMode="External"/><Relationship Id="rId1514" Type="http://schemas.openxmlformats.org/officeDocument/2006/relationships/hyperlink" Target="https://techelectro.ru/prod/cable-kits/muffs1kv/4_5-pktp-1/sku_88741/" TargetMode="External"/><Relationship Id="rId1721" Type="http://schemas.openxmlformats.org/officeDocument/2006/relationships/hyperlink" Target="https://techelectro.ru/prod/cable-kits/muffs10kv/3pkvntp-10/3pkvtp10-35-50_b/" TargetMode="External"/><Relationship Id="rId4877" Type="http://schemas.openxmlformats.org/officeDocument/2006/relationships/hyperlink" Target="https://techelectro.ru/prod/steel-ties/steel_ties-labels/sksp/sksp7h400/" TargetMode="External"/><Relationship Id="rId5928" Type="http://schemas.openxmlformats.org/officeDocument/2006/relationships/hyperlink" Target="https://techelectro.ru/prod/staples/fastener_lock/krepezh-klipsa_s_zamkom_20/" TargetMode="External"/><Relationship Id="rId13" Type="http://schemas.openxmlformats.org/officeDocument/2006/relationships/hyperlink" Target="https://techelectro.ru/prod/cable-lugs/cu/tmls/sku_92334/" TargetMode="External"/><Relationship Id="rId3479" Type="http://schemas.openxmlformats.org/officeDocument/2006/relationships/hyperlink" Target="https://techelectro.ru/prod/wiring-tools/unwinding/fishtape/fgp6mk/fgp6-50_mk/" TargetMode="External"/><Relationship Id="rId3686" Type="http://schemas.openxmlformats.org/officeDocument/2006/relationships/hyperlink" Target="https://techelectro.ru/prod/electric-tools/cordless-drills/db16-10/sku_102587/" TargetMode="External"/><Relationship Id="rId2288" Type="http://schemas.openxmlformats.org/officeDocument/2006/relationships/hyperlink" Target="https://techelectro.ru/prod/hstubes/hstube/tut-hf/tut_hf4-2_red/" TargetMode="External"/><Relationship Id="rId2495" Type="http://schemas.openxmlformats.org/officeDocument/2006/relationships/hyperlink" Target="https://techelectro.ru/prod/hstubes/gluetube/sttk31/mttk12/" TargetMode="External"/><Relationship Id="rId3339" Type="http://schemas.openxmlformats.org/officeDocument/2006/relationships/hyperlink" Target="https://techelectro.ru/prod/wiring-tools/hdrtools/hdr_tools/pme7100k2/sku_91800/" TargetMode="External"/><Relationship Id="rId3893" Type="http://schemas.openxmlformats.org/officeDocument/2006/relationships/hyperlink" Target="https://techelectro.ru/prod/metalworking-tools/ft_hummers/ms600/ms-600/" TargetMode="External"/><Relationship Id="rId4737" Type="http://schemas.openxmlformats.org/officeDocument/2006/relationships/hyperlink" Target="https://techelectro.ru/prod/ties/markers/u_135/u_135/" TargetMode="External"/><Relationship Id="rId4944" Type="http://schemas.openxmlformats.org/officeDocument/2006/relationships/hyperlink" Target="https://techelectro.ru/prod/steel-ties/steel_tape-brace/sm316/sm316-16/" TargetMode="External"/><Relationship Id="rId467" Type="http://schemas.openxmlformats.org/officeDocument/2006/relationships/hyperlink" Target="https://techelectro.ru/prod/cable-lugs/al/sham/sham_25-13/" TargetMode="External"/><Relationship Id="rId1097" Type="http://schemas.openxmlformats.org/officeDocument/2006/relationships/hyperlink" Target="https://techelectro.ru/prod/clamps_wago-smk/smk_2273-248_paste/sku_87651/" TargetMode="External"/><Relationship Id="rId2148" Type="http://schemas.openxmlformats.org/officeDocument/2006/relationships/hyperlink" Target="https://techelectro.ru/prod/hstubes/hstube/tnt_hf/sku_82986/" TargetMode="External"/><Relationship Id="rId3546" Type="http://schemas.openxmlformats.org/officeDocument/2006/relationships/hyperlink" Target="https://techelectro.ru/prod/vdetools/pliers/combpliers200-multifunction/sku_87297/" TargetMode="External"/><Relationship Id="rId3753" Type="http://schemas.openxmlformats.org/officeDocument/2006/relationships/hyperlink" Target="https://techelectro.ru/prod/electric-tools/accessories/drill-bits/nss19k/sku_106205/" TargetMode="External"/><Relationship Id="rId3960" Type="http://schemas.openxmlformats.org/officeDocument/2006/relationships/hyperlink" Target="https://techelectro.ru/prod/construction_hydraulics/jack/jack_hd/dgp/sku_84615/" TargetMode="External"/><Relationship Id="rId4804" Type="http://schemas.openxmlformats.org/officeDocument/2006/relationships/hyperlink" Target="https://techelectro.ru/prod/steel-ties/steel_ties-labels/sks/sks7h150/" TargetMode="External"/><Relationship Id="rId674" Type="http://schemas.openxmlformats.org/officeDocument/2006/relationships/hyperlink" Target="https://techelectro.ru/prod/insulugs/iplug/rpim/sku_108590/" TargetMode="External"/><Relationship Id="rId881" Type="http://schemas.openxmlformats.org/officeDocument/2006/relationships/hyperlink" Target="https://techelectro.ru/prod/insulugs/lighting_clamps/nk-50/nk-50/" TargetMode="External"/><Relationship Id="rId2355" Type="http://schemas.openxmlformats.org/officeDocument/2006/relationships/hyperlink" Target="https://techelectro.ru/prod/hstubes/gluetube/ttk21/sku_84872/" TargetMode="External"/><Relationship Id="rId2562" Type="http://schemas.openxmlformats.org/officeDocument/2006/relationships/hyperlink" Target="https://techelectro.ru/prod/hstubes/hstubeset/elektrik_zhkh_multi/sku_87312/" TargetMode="External"/><Relationship Id="rId3406" Type="http://schemas.openxmlformats.org/officeDocument/2006/relationships/hyperlink" Target="https://techelectro.ru/prod/wiring-tools/unwinding/hvltools/chm2s/sku_109872/" TargetMode="External"/><Relationship Id="rId3613" Type="http://schemas.openxmlformats.org/officeDocument/2006/relationships/hyperlink" Target="https://techelectro.ru/prod/vdetools/vde-screwdrivers/nio-2208-s/sku_88926/" TargetMode="External"/><Relationship Id="rId3820" Type="http://schemas.openxmlformats.org/officeDocument/2006/relationships/hyperlink" Target="https://techelectro.ru/prod/metalworking-tools/ft_screwdrivers/nb13ft/nb-13ft/" TargetMode="External"/><Relationship Id="rId327" Type="http://schemas.openxmlformats.org/officeDocument/2006/relationships/hyperlink" Target="https://techelectro.ru/prod/cable-lugs/cu/gmldin/gmldin_185/" TargetMode="External"/><Relationship Id="rId534" Type="http://schemas.openxmlformats.org/officeDocument/2006/relationships/hyperlink" Target="https://techelectro.ru/prod/insulugs/ilugs/nki_easyfix/sku_108561/" TargetMode="External"/><Relationship Id="rId741" Type="http://schemas.openxmlformats.org/officeDocument/2006/relationships/hyperlink" Target="https://techelectro.ru/prod/insulugs/iplug/ovt/ovt3/" TargetMode="External"/><Relationship Id="rId1164" Type="http://schemas.openxmlformats.org/officeDocument/2006/relationships/hyperlink" Target="https://techelectro.ru/prod/bolt-lugs/wire10-240/sb/4sb_150-240/" TargetMode="External"/><Relationship Id="rId1371" Type="http://schemas.openxmlformats.org/officeDocument/2006/relationships/hyperlink" Target="https://techelectro.ru/prod/cable-kits/kits-ngls-1kv/pst-mini-ng_ls/sku_88064/" TargetMode="External"/><Relationship Id="rId2008" Type="http://schemas.openxmlformats.org/officeDocument/2006/relationships/hyperlink" Target="https://techelectro.ru/prod/ukpt_ogt/ukpt/ukpt140-36/" TargetMode="External"/><Relationship Id="rId2215" Type="http://schemas.openxmlformats.org/officeDocument/2006/relationships/hyperlink" Target="https://techelectro.ru/prod/hstubes/hstube/tutng/sku_84957/" TargetMode="External"/><Relationship Id="rId2422" Type="http://schemas.openxmlformats.org/officeDocument/2006/relationships/hyperlink" Target="https://techelectro.ru/prod/hstubes/gluetube/ttk31_white/ttk31-6w/" TargetMode="External"/><Relationship Id="rId5578" Type="http://schemas.openxmlformats.org/officeDocument/2006/relationships/hyperlink" Target="https://techelectro.ru/prod/metal-hose-fittings/hose/mrn-inox/mrn-inox-8/" TargetMode="External"/><Relationship Id="rId5785" Type="http://schemas.openxmlformats.org/officeDocument/2006/relationships/hyperlink" Target="https://techelectro.ru/prod/staples/smd_inox/smd_inox_16-17/" TargetMode="External"/><Relationship Id="rId5992" Type="http://schemas.openxmlformats.org/officeDocument/2006/relationships/hyperlink" Target="https://techelectro.ru/prod/ground_wire/pz/pz_25-800/" TargetMode="External"/><Relationship Id="rId601" Type="http://schemas.openxmlformats.org/officeDocument/2006/relationships/hyperlink" Target="https://techelectro.ru/prod/insulugs/ilugs/nvin/nvin_10_5/" TargetMode="External"/><Relationship Id="rId1024" Type="http://schemas.openxmlformats.org/officeDocument/2006/relationships/hyperlink" Target="https://techelectro.ru/prod/e-connectors/nshvi2/nshvi2_16-14/" TargetMode="External"/><Relationship Id="rId1231" Type="http://schemas.openxmlformats.org/officeDocument/2006/relationships/hyperlink" Target="https://techelectro.ru/prod/bolt-lugs/wire300-800/nbt/6nbt630/" TargetMode="External"/><Relationship Id="rId4387" Type="http://schemas.openxmlformats.org/officeDocument/2006/relationships/hyperlink" Target="https://techelectro.ru/prod/digital_meters/measuring_electrode/kt3001m4/sku_91915/" TargetMode="External"/><Relationship Id="rId4594" Type="http://schemas.openxmlformats.org/officeDocument/2006/relationships/hyperlink" Target="https://techelectro.ru/prod/ties/nylonties/kss100-nord_black/kss_nord_4-200_black/" TargetMode="External"/><Relationship Id="rId5438" Type="http://schemas.openxmlformats.org/officeDocument/2006/relationships/hyperlink" Target="https://techelectro.ru/prod/metal-hose-fittings/hose/r3cp-ngls/r3cpngls32/" TargetMode="External"/><Relationship Id="rId5645" Type="http://schemas.openxmlformats.org/officeDocument/2006/relationships/hyperlink" Target="https://techelectro.ru/prod/metal-hose-fittings/fittings/vm-m/sku_88914/" TargetMode="External"/><Relationship Id="rId5852" Type="http://schemas.openxmlformats.org/officeDocument/2006/relationships/hyperlink" Target="https://techelectro.ru/prod/staples/smo_withouthole/sku_89328/" TargetMode="External"/><Relationship Id="rId3196" Type="http://schemas.openxmlformats.org/officeDocument/2006/relationships/hyperlink" Target="https://techelectro.ru/prod/wiring-tools/strippers/cable-strip/ks35u/ks-35u/" TargetMode="External"/><Relationship Id="rId4247" Type="http://schemas.openxmlformats.org/officeDocument/2006/relationships/hyperlink" Target="https://techelectro.ru/prod/abcarm/sealinslugs/gif-mjpt25/sku_109222/" TargetMode="External"/><Relationship Id="rId4454" Type="http://schemas.openxmlformats.org/officeDocument/2006/relationships/hyperlink" Target="https://techelectro.ru/prod/ties/nylonties/nss/sku_87776/" TargetMode="External"/><Relationship Id="rId4661" Type="http://schemas.openxmlformats.org/officeDocument/2006/relationships/hyperlink" Target="https://techelectro.ru/prod/ties/nylonties/ksm/ksm3x200/" TargetMode="External"/><Relationship Id="rId5505" Type="http://schemas.openxmlformats.org/officeDocument/2006/relationships/hyperlink" Target="https://techelectro.ru/prod/metal-hose-fittings/hose/mrping-diesel_p/sku_88462/" TargetMode="External"/><Relationship Id="rId3056" Type="http://schemas.openxmlformats.org/officeDocument/2006/relationships/hyperlink" Target="https://techelectro.ru/prod/wiring-tools/crimpers_pgr/hv-crimpers/matrix_pg100t/sku_67868/" TargetMode="External"/><Relationship Id="rId3263" Type="http://schemas.openxmlformats.org/officeDocument/2006/relationships/hyperlink" Target="https://techelectro.ru/prod/wiring-tools/boxtools/mpo_square/mpo-25h25/" TargetMode="External"/><Relationship Id="rId3470" Type="http://schemas.openxmlformats.org/officeDocument/2006/relationships/hyperlink" Target="https://techelectro.ru/prod/wiring-tools/unwinding/fishtape/fgp3_5mk/fgp3_5r-50mk/" TargetMode="External"/><Relationship Id="rId4107" Type="http://schemas.openxmlformats.org/officeDocument/2006/relationships/hyperlink" Target="https://techelectro.ru/prod/protection-safety/bags_packs/sm_4/sku_83138/" TargetMode="External"/><Relationship Id="rId4314" Type="http://schemas.openxmlformats.org/officeDocument/2006/relationships/hyperlink" Target="https://techelectro.ru/prod/digital_meters/multimeters/kt113b/kt-113b/" TargetMode="External"/><Relationship Id="rId5712" Type="http://schemas.openxmlformats.org/officeDocument/2006/relationships/hyperlink" Target="https://techelectro.ru/prod/metal-hose-fittings/fittings/att/sku_92320/" TargetMode="External"/><Relationship Id="rId184" Type="http://schemas.openxmlformats.org/officeDocument/2006/relationships/hyperlink" Target="https://techelectro.ru/prod/cable-lugs/cu/tmlr/sku_87477/" TargetMode="External"/><Relationship Id="rId391" Type="http://schemas.openxmlformats.org/officeDocument/2006/relationships/hyperlink" Target="https://techelectro.ru/prod/cable-lugs/al/ta/ta_300-20-24/" TargetMode="External"/><Relationship Id="rId1908" Type="http://schemas.openxmlformats.org/officeDocument/2006/relationships/hyperlink" Target="https://techelectro.ru/prod/cable_kits_acs/roller_springs/ppd3/" TargetMode="External"/><Relationship Id="rId2072" Type="http://schemas.openxmlformats.org/officeDocument/2006/relationships/hyperlink" Target="https://techelectro.ru/prod/hstubes/hstube/tutng-color/sku_102202/" TargetMode="External"/><Relationship Id="rId3123" Type="http://schemas.openxmlformats.org/officeDocument/2006/relationships/hyperlink" Target="https://techelectro.ru/prod/wiring-tools/cutters/polymercutters/nkk110/nkk-110/" TargetMode="External"/><Relationship Id="rId4521" Type="http://schemas.openxmlformats.org/officeDocument/2006/relationships/hyperlink" Target="https://techelectro.ru/prod/ties/nylonties/kss_multilock_uv/sku_102319/" TargetMode="External"/><Relationship Id="rId251" Type="http://schemas.openxmlformats.org/officeDocument/2006/relationships/hyperlink" Target="https://techelectro.ru/prod/cable-lugs/cu/tmls90/tmls_90_16-6/" TargetMode="External"/><Relationship Id="rId3330" Type="http://schemas.openxmlformats.org/officeDocument/2006/relationships/hyperlink" Target="https://techelectro.ru/prod/wiring-tools/hdrtools/hdr_tools/pme7020/pme-7020/" TargetMode="External"/><Relationship Id="rId5088" Type="http://schemas.openxmlformats.org/officeDocument/2006/relationships/hyperlink" Target="https://techelectro.ru/prod/strength-ties/screw-ties/sr2/sr188-200w2/" TargetMode="External"/><Relationship Id="rId2889" Type="http://schemas.openxmlformats.org/officeDocument/2006/relationships/hyperlink" Target="https://techelectro.ru/prod/wiring-tools/crimpers/insulugs-crimp/mpk16/sku_90713/" TargetMode="External"/><Relationship Id="rId5295" Type="http://schemas.openxmlformats.org/officeDocument/2006/relationships/hyperlink" Target="https://techelectro.ru/prod/cable_entry/cable_entry_metal/gz-m/sku_88241/" TargetMode="External"/><Relationship Id="rId111" Type="http://schemas.openxmlformats.org/officeDocument/2006/relationships/hyperlink" Target="https://techelectro.ru/prod/cable-lugs/cu/tm/tm_70_12_13/" TargetMode="External"/><Relationship Id="rId1698" Type="http://schemas.openxmlformats.org/officeDocument/2006/relationships/hyperlink" Target="https://techelectro.ru/prod/cable-kits/muffs10kv/1pkvt-10/1pkvt10-500-630/" TargetMode="External"/><Relationship Id="rId2749" Type="http://schemas.openxmlformats.org/officeDocument/2006/relationships/hyperlink" Target="https://techelectro.ru/prod/insulating/xp/sku_85360/" TargetMode="External"/><Relationship Id="rId2956" Type="http://schemas.openxmlformats.org/officeDocument/2006/relationships/hyperlink" Target="https://techelectro.ru/prod/wiring-tools/crimpers_pgr/hdcrimp/pg630/pg-630/" TargetMode="External"/><Relationship Id="rId5155" Type="http://schemas.openxmlformats.org/officeDocument/2006/relationships/hyperlink" Target="https://techelectro.ru/prod/cable_entry/cable_entry_metal/mgm/mgm32/" TargetMode="External"/><Relationship Id="rId5362" Type="http://schemas.openxmlformats.org/officeDocument/2006/relationships/hyperlink" Target="https://techelectro.ru/prod/cable_entry/cable_entry_plastic/m-l/sku_85482/" TargetMode="External"/><Relationship Id="rId928" Type="http://schemas.openxmlformats.org/officeDocument/2006/relationships/hyperlink" Target="https://techelectro.ru/prod/e-connectors/nshvi/nshvi_0_5_8/" TargetMode="External"/><Relationship Id="rId1558" Type="http://schemas.openxmlformats.org/officeDocument/2006/relationships/hyperlink" Target="https://techelectro.ru/prod/cable-kits/muffs1kv/4stp1sold/sku_88780/" TargetMode="External"/><Relationship Id="rId1765" Type="http://schemas.openxmlformats.org/officeDocument/2006/relationships/hyperlink" Target="https://techelectro.ru/prod/cable-kits/muffs10kv/3kntp10sold/sku_88761/" TargetMode="External"/><Relationship Id="rId2609" Type="http://schemas.openxmlformats.org/officeDocument/2006/relationships/hyperlink" Target="https://techelectro.ru/prod/hstubes/highvoltagetube/ttsh35/ttsh35-150/" TargetMode="External"/><Relationship Id="rId4171" Type="http://schemas.openxmlformats.org/officeDocument/2006/relationships/hyperlink" Target="https://techelectro.ru/prod/plumbing-tools/battery_pipe_tool/pgra-szr-32/sku_106038/" TargetMode="External"/><Relationship Id="rId5015" Type="http://schemas.openxmlformats.org/officeDocument/2006/relationships/hyperlink" Target="https://techelectro.ru/prod/strength-ties/screw-ties/pl12-w2/pl-12_25-40_w2/" TargetMode="External"/><Relationship Id="rId5222" Type="http://schemas.openxmlformats.org/officeDocument/2006/relationships/hyperlink" Target="https://techelectro.ru/prod/cable_entry/cable_entry_metal/pgm/pgm42/" TargetMode="External"/><Relationship Id="rId57" Type="http://schemas.openxmlformats.org/officeDocument/2006/relationships/hyperlink" Target="https://techelectro.ru/prod/cable-lugs/cu/tml/tml_35-12-9/" TargetMode="External"/><Relationship Id="rId1418" Type="http://schemas.openxmlformats.org/officeDocument/2006/relationships/hyperlink" Target="https://techelectro.ru/prod/cable-kits/kits-ngls-10kv/1pst10ngls/1pst10-300-400_bngls/" TargetMode="External"/><Relationship Id="rId1972" Type="http://schemas.openxmlformats.org/officeDocument/2006/relationships/hyperlink" Target="https://techelectro.ru/prod/cable_kits_acs/kbm-s/sku_84302/" TargetMode="External"/><Relationship Id="rId2816" Type="http://schemas.openxmlformats.org/officeDocument/2006/relationships/hyperlink" Target="https://techelectro.ru/prod/wiring-tools/crimpers/insulugs-crimp/sto/sku_90747/" TargetMode="External"/><Relationship Id="rId4031" Type="http://schemas.openxmlformats.org/officeDocument/2006/relationships/hyperlink" Target="https://techelectro.ru/prod/construction_hydraulics/flange_spreaders/rfgn14max/sku_109357/" TargetMode="External"/><Relationship Id="rId1625" Type="http://schemas.openxmlformats.org/officeDocument/2006/relationships/hyperlink" Target="https://techelectro.ru/prod/cable-kits/muffs1kv/5pst-1/5pst1-25-50_b/" TargetMode="External"/><Relationship Id="rId1832" Type="http://schemas.openxmlformats.org/officeDocument/2006/relationships/hyperlink" Target="https://techelectro.ru/prod/cable-kits/muffs-35kv/1pknt-20/1pknt20-70-120b/" TargetMode="External"/><Relationship Id="rId4988" Type="http://schemas.openxmlformats.org/officeDocument/2006/relationships/hyperlink" Target="https://techelectro.ru/prod/strength-ties/screw-ties/pl9-w2/w2-80-100/" TargetMode="External"/><Relationship Id="rId3797" Type="http://schemas.openxmlformats.org/officeDocument/2006/relationships/hyperlink" Target="https://techelectro.ru/prod/metalworking-tools/ft_screwdrivers/nis-06/sku_92068/" TargetMode="External"/><Relationship Id="rId4848" Type="http://schemas.openxmlformats.org/officeDocument/2006/relationships/hyperlink" Target="https://techelectro.ru/prod/steel-ties/steel_ties-labels/sks316p/sks316p-7x800/" TargetMode="External"/><Relationship Id="rId6063" Type="http://schemas.openxmlformats.org/officeDocument/2006/relationships/hyperlink" Target="https://techelectro.ru/prod/ground_wire/uhz_inox/uhz_inox_25-40_w2/" TargetMode="External"/><Relationship Id="rId2399" Type="http://schemas.openxmlformats.org/officeDocument/2006/relationships/hyperlink" Target="https://techelectro.ru/prod/hstubes/gluetube/ttk2/sku_88180/" TargetMode="External"/><Relationship Id="rId3657" Type="http://schemas.openxmlformats.org/officeDocument/2006/relationships/hyperlink" Target="https://techelectro.ru/prod/vdetools/vde-sets/vde-sets-nii/nii19/nii-19/" TargetMode="External"/><Relationship Id="rId3864" Type="http://schemas.openxmlformats.org/officeDocument/2006/relationships/hyperlink" Target="https://techelectro.ru/prod/metalworking-tools/ft_wrench/ratchet-wrench-piece/ratchet-wrench-piece-8/" TargetMode="External"/><Relationship Id="rId4708" Type="http://schemas.openxmlformats.org/officeDocument/2006/relationships/hyperlink" Target="https://techelectro.ru/prod/ties/dowel_clamps/dh_11_18_black/dh11-18b/" TargetMode="External"/><Relationship Id="rId4915" Type="http://schemas.openxmlformats.org/officeDocument/2006/relationships/hyperlink" Target="https://techelectro.ru/prod/steel-ties/steel_ties-labels/sklp316/sklp7x400/" TargetMode="External"/><Relationship Id="rId578" Type="http://schemas.openxmlformats.org/officeDocument/2006/relationships/hyperlink" Target="https://techelectro.ru/prod/insulugs/ilugs/nvi/nvi_6_0_5/" TargetMode="External"/><Relationship Id="rId785" Type="http://schemas.openxmlformats.org/officeDocument/2006/relationships/hyperlink" Target="https://techelectro.ru/prod/insulugs/iquick/pk-t/pkt_2-5/" TargetMode="External"/><Relationship Id="rId992" Type="http://schemas.openxmlformats.org/officeDocument/2006/relationships/hyperlink" Target="https://techelectro.ru/prod/e-connectors/nshvi_euro/sku_103203/" TargetMode="External"/><Relationship Id="rId2259" Type="http://schemas.openxmlformats.org/officeDocument/2006/relationships/hyperlink" Target="https://techelectro.ru/prod/hstubes/hstube/tut-hf/sku_84970/" TargetMode="External"/><Relationship Id="rId2466" Type="http://schemas.openxmlformats.org/officeDocument/2006/relationships/hyperlink" Target="https://techelectro.ru/prod/hstubes/gluetube/ttk41/ttk41-6/" TargetMode="External"/><Relationship Id="rId2673" Type="http://schemas.openxmlformats.org/officeDocument/2006/relationships/hyperlink" Target="https://techelectro.ru/prod/insulating/pvc-15-0_13/sku_90808/" TargetMode="External"/><Relationship Id="rId2880" Type="http://schemas.openxmlformats.org/officeDocument/2006/relationships/hyperlink" Target="https://techelectro.ru/prod/wiring-tools/crimpers/insulugs-crimp/mpk7/mpk_07/" TargetMode="External"/><Relationship Id="rId3517" Type="http://schemas.openxmlformats.org/officeDocument/2006/relationships/hyperlink" Target="https://techelectro.ru/prod/wiring-tools/bags_sets/nim1/nim1/" TargetMode="External"/><Relationship Id="rId3724" Type="http://schemas.openxmlformats.org/officeDocument/2006/relationships/hyperlink" Target="https://techelectro.ru/prod/electric-tools/power-saws/ms255_1800/sku_109480/" TargetMode="External"/><Relationship Id="rId3931" Type="http://schemas.openxmlformats.org/officeDocument/2006/relationships/hyperlink" Target="https://techelectro.ru/prod/construction_hydraulics/jack/jack_hd/dnp50/dn-50p16/" TargetMode="External"/><Relationship Id="rId438" Type="http://schemas.openxmlformats.org/officeDocument/2006/relationships/hyperlink" Target="https://techelectro.ru/prod/cable-lugs/al/gam/gam_150-120/" TargetMode="External"/><Relationship Id="rId645" Type="http://schemas.openxmlformats.org/officeDocument/2006/relationships/hyperlink" Target="https://techelectro.ru/prod/insulugs/ilugs/ilugsets-nki/sku_91006/" TargetMode="External"/><Relationship Id="rId852" Type="http://schemas.openxmlformats.org/officeDocument/2006/relationships/hyperlink" Target="https://techelectro.ru/prod/insulugs/screw_clamp/zvi-ng_white/sku_87176/" TargetMode="External"/><Relationship Id="rId1068" Type="http://schemas.openxmlformats.org/officeDocument/2006/relationships/hyperlink" Target="https://techelectro.ru/prod/e-connectors/nshv/sku_108941/" TargetMode="External"/><Relationship Id="rId1275" Type="http://schemas.openxmlformats.org/officeDocument/2006/relationships/hyperlink" Target="https://techelectro.ru/prod/cable-kits/kits-ngls-1kv/5pktp-1_ngls/5pktp_bng-ls1-70-120_b/" TargetMode="External"/><Relationship Id="rId1482" Type="http://schemas.openxmlformats.org/officeDocument/2006/relationships/hyperlink" Target="https://techelectro.ru/prod/cable-kits/muffs1kv/3-pktp-1/3pktp-1-150_240/" TargetMode="External"/><Relationship Id="rId2119" Type="http://schemas.openxmlformats.org/officeDocument/2006/relationships/hyperlink" Target="https://techelectro.ru/prod/hstubes/hstube/tnt_hf/sku_84984/" TargetMode="External"/><Relationship Id="rId2326" Type="http://schemas.openxmlformats.org/officeDocument/2006/relationships/hyperlink" Target="https://techelectro.ru/prod/hstubes/hstube/t-box-color/tbox8r/" TargetMode="External"/><Relationship Id="rId2533" Type="http://schemas.openxmlformats.org/officeDocument/2006/relationships/hyperlink" Target="https://techelectro.ru/prod/hstubes/hstubeset/kolorit/kolorit-16-8/" TargetMode="External"/><Relationship Id="rId2740" Type="http://schemas.openxmlformats.org/officeDocument/2006/relationships/hyperlink" Target="https://techelectro.ru/prod/insulating/xn/sku_106112/" TargetMode="External"/><Relationship Id="rId5689" Type="http://schemas.openxmlformats.org/officeDocument/2006/relationships/hyperlink" Target="https://techelectro.ru/prod/metal-hose-fittings/fittings/stmr_inox/sku_83763/" TargetMode="External"/><Relationship Id="rId5896" Type="http://schemas.openxmlformats.org/officeDocument/2006/relationships/hyperlink" Target="https://techelectro.ru/prod/staples/spk/spk_5/" TargetMode="External"/><Relationship Id="rId505" Type="http://schemas.openxmlformats.org/officeDocument/2006/relationships/hyperlink" Target="https://techelectro.ru/prod/insulugs/ilugs/nki/sku_108522/" TargetMode="External"/><Relationship Id="rId712" Type="http://schemas.openxmlformats.org/officeDocument/2006/relationships/hyperlink" Target="https://techelectro.ru/prod/insulugs/iplug/rpimn/rpimn_60/" TargetMode="External"/><Relationship Id="rId1135" Type="http://schemas.openxmlformats.org/officeDocument/2006/relationships/hyperlink" Target="https://techelectro.ru/prod/clamps_wago-smk/smk_222-426/sku_109306/" TargetMode="External"/><Relationship Id="rId1342" Type="http://schemas.openxmlformats.org/officeDocument/2006/relationships/hyperlink" Target="https://techelectro.ru/prod/cable-kits/kits-ngls-1kv/5pst_ngls-1/5pstb1-16-25_bngls/" TargetMode="External"/><Relationship Id="rId4498" Type="http://schemas.openxmlformats.org/officeDocument/2006/relationships/hyperlink" Target="https://techelectro.ru/prod/ties/nylonties/kss-uv/kss8x300b/" TargetMode="External"/><Relationship Id="rId5549" Type="http://schemas.openxmlformats.org/officeDocument/2006/relationships/hyperlink" Target="https://techelectro.ru/prod/metal-hose-fittings/hose/mg-p/sku_88437/" TargetMode="External"/><Relationship Id="rId1202" Type="http://schemas.openxmlformats.org/officeDocument/2006/relationships/hyperlink" Target="https://techelectro.ru/prod/bolt-lugs/wire10-240/psbe/4psbe_2550-70120/" TargetMode="External"/><Relationship Id="rId2600" Type="http://schemas.openxmlformats.org/officeDocument/2006/relationships/hyperlink" Target="https://techelectro.ru/prod/hstubes/highvoltagetube/ttsh10/sku_84900/" TargetMode="External"/><Relationship Id="rId4358" Type="http://schemas.openxmlformats.org/officeDocument/2006/relationships/hyperlink" Target="https://techelectro.ru/prod/digital_meters/pyrometers/kt-641b/sku_87245/" TargetMode="External"/><Relationship Id="rId5409" Type="http://schemas.openxmlformats.org/officeDocument/2006/relationships/hyperlink" Target="https://techelectro.ru/prod/metal-hose-fittings/hose/mrping_nord/mrping20_nord/" TargetMode="External"/><Relationship Id="rId5756" Type="http://schemas.openxmlformats.org/officeDocument/2006/relationships/hyperlink" Target="https://techelectro.ru/prod/metal-hose-fittings/fittings/pipe_bushings/v54/" TargetMode="External"/><Relationship Id="rId5963" Type="http://schemas.openxmlformats.org/officeDocument/2006/relationships/hyperlink" Target="https://techelectro.ru/prod/staples/u/u-4/" TargetMode="External"/><Relationship Id="rId3167" Type="http://schemas.openxmlformats.org/officeDocument/2006/relationships/hyperlink" Target="https://techelectro.ru/prod/wiring-tools/strippers/wire-strip/ws20/ws-20/" TargetMode="External"/><Relationship Id="rId4565" Type="http://schemas.openxmlformats.org/officeDocument/2006/relationships/hyperlink" Target="https://techelectro.ru/prod/ties/nylonties/kss100-nord_white/sku_89932/" TargetMode="External"/><Relationship Id="rId4772" Type="http://schemas.openxmlformats.org/officeDocument/2006/relationships/hyperlink" Target="https://techelectro.ru/prod/steel-ties/steel_ties-labels/sks316/sks316-4x500/" TargetMode="External"/><Relationship Id="rId5616" Type="http://schemas.openxmlformats.org/officeDocument/2006/relationships/hyperlink" Target="https://techelectro.ru/prod/metal-hose-fittings/hose/r3ch_p/sku_87708/" TargetMode="External"/><Relationship Id="rId5823" Type="http://schemas.openxmlformats.org/officeDocument/2006/relationships/hyperlink" Target="https://techelectro.ru/prod/staples/smop-inox/sku_83796/" TargetMode="External"/><Relationship Id="rId295" Type="http://schemas.openxmlformats.org/officeDocument/2006/relationships/hyperlink" Target="https://techelectro.ru/prod/cable-lugs/cu/gm/sku_41636/" TargetMode="External"/><Relationship Id="rId3374" Type="http://schemas.openxmlformats.org/officeDocument/2006/relationships/hyperlink" Target="https://techelectro.ru/prod/wiring-tools/unwinding/hvltools/chm/chm-50/" TargetMode="External"/><Relationship Id="rId3581" Type="http://schemas.openxmlformats.org/officeDocument/2006/relationships/hyperlink" Target="https://techelectro.ru/prod/vdetools/vde-screwdrivers/nio06profi/nio-06_profi/" TargetMode="External"/><Relationship Id="rId4218" Type="http://schemas.openxmlformats.org/officeDocument/2006/relationships/hyperlink" Target="https://techelectro.ru/prod/abcarm/pierce/pza25-240/label_102573/" TargetMode="External"/><Relationship Id="rId4425" Type="http://schemas.openxmlformats.org/officeDocument/2006/relationships/hyperlink" Target="https://techelectro.ru/prod/ties/nylonties/kss/kss9h920/" TargetMode="External"/><Relationship Id="rId4632" Type="http://schemas.openxmlformats.org/officeDocument/2006/relationships/hyperlink" Target="https://techelectro.ru/prod/ties/nylonties/ksth/kst5x400/" TargetMode="External"/><Relationship Id="rId2183" Type="http://schemas.openxmlformats.org/officeDocument/2006/relationships/hyperlink" Target="https://techelectro.ru/prod/hstubes/hstube/tnt_ng-ls_colors/tntng63yg/" TargetMode="External"/><Relationship Id="rId2390" Type="http://schemas.openxmlformats.org/officeDocument/2006/relationships/hyperlink" Target="https://techelectro.ru/prod/hstubes/gluetube/ttk_flex_3_1/sku_85213/" TargetMode="External"/><Relationship Id="rId3027" Type="http://schemas.openxmlformats.org/officeDocument/2006/relationships/hyperlink" Target="https://techelectro.ru/prod/wiring-tools/crimpers_pgr/hv-crimpers/matrix_pg100t/a-39-5-100t/" TargetMode="External"/><Relationship Id="rId3234" Type="http://schemas.openxmlformats.org/officeDocument/2006/relationships/hyperlink" Target="https://techelectro.ru/prod/wiring-tools/boxtools/nmpopg/nmpo-pg/" TargetMode="External"/><Relationship Id="rId3441" Type="http://schemas.openxmlformats.org/officeDocument/2006/relationships/hyperlink" Target="https://techelectro.ru/prod/wiring-tools/unwinding/fishtape/pet1-4/pet4_15/" TargetMode="External"/><Relationship Id="rId155" Type="http://schemas.openxmlformats.org/officeDocument/2006/relationships/hyperlink" Target="https://techelectro.ru/prod/cable-lugs/cu/tmldin/tml_din_625_20/" TargetMode="External"/><Relationship Id="rId362" Type="http://schemas.openxmlformats.org/officeDocument/2006/relationships/hyperlink" Target="https://techelectro.ru/prod/cable-lugs/cu/ksm/ksm-6-25/" TargetMode="External"/><Relationship Id="rId2043" Type="http://schemas.openxmlformats.org/officeDocument/2006/relationships/hyperlink" Target="https://techelectro.ru/prod/hstubes/hstube/tutng-color/sku_102173/" TargetMode="External"/><Relationship Id="rId2250" Type="http://schemas.openxmlformats.org/officeDocument/2006/relationships/hyperlink" Target="https://techelectro.ru/prod/hstubes/hstube/tut-hf/tut_hf12-6_white/" TargetMode="External"/><Relationship Id="rId3301" Type="http://schemas.openxmlformats.org/officeDocument/2006/relationships/hyperlink" Target="https://techelectro.ru/prod/wiring-tools/bustools/mpsho-95_oval/mpsho-8-13/" TargetMode="External"/><Relationship Id="rId5199" Type="http://schemas.openxmlformats.org/officeDocument/2006/relationships/hyperlink" Target="https://techelectro.ru/prod/cable_entry/cable_entry_metal/pgm-inox/sku_83621/" TargetMode="External"/><Relationship Id="rId222" Type="http://schemas.openxmlformats.org/officeDocument/2006/relationships/hyperlink" Target="https://techelectro.ru/prod/cable-lugs/cu/pm/pm_120_10/" TargetMode="External"/><Relationship Id="rId2110" Type="http://schemas.openxmlformats.org/officeDocument/2006/relationships/hyperlink" Target="https://techelectro.ru/prod/hstubes/hstube/tnt_hf/sku_84323/" TargetMode="External"/><Relationship Id="rId5059" Type="http://schemas.openxmlformats.org/officeDocument/2006/relationships/hyperlink" Target="https://techelectro.ru/prod/strength-ties/screw-ties/sr/sr_227-239_w1/" TargetMode="External"/><Relationship Id="rId5266" Type="http://schemas.openxmlformats.org/officeDocument/2006/relationships/hyperlink" Target="https://techelectro.ru/prod/cable_entry/cable_entry_metal/vk-vm-m/sku_88244/" TargetMode="External"/><Relationship Id="rId5473" Type="http://schemas.openxmlformats.org/officeDocument/2006/relationships/hyperlink" Target="https://techelectro.ru/prod/metal-hose-fittings/hose/mrping_p/sku_87676/" TargetMode="External"/><Relationship Id="rId5680" Type="http://schemas.openxmlformats.org/officeDocument/2006/relationships/hyperlink" Target="https://techelectro.ru/prod/metal-hose-fittings/fittings/vm-l/sku_88859/" TargetMode="External"/><Relationship Id="rId4075" Type="http://schemas.openxmlformats.org/officeDocument/2006/relationships/hyperlink" Target="https://techelectro.ru/prod/fixing_tools/kp-40-7/sku_87965/" TargetMode="External"/><Relationship Id="rId4282" Type="http://schemas.openxmlformats.org/officeDocument/2006/relationships/hyperlink" Target="https://techelectro.ru/prod/abcarm/abctools/nis3/nis-3/" TargetMode="External"/><Relationship Id="rId5126" Type="http://schemas.openxmlformats.org/officeDocument/2006/relationships/hyperlink" Target="https://techelectro.ru/prod/strength-ties/pipe-ties/th/th5/" TargetMode="External"/><Relationship Id="rId5333" Type="http://schemas.openxmlformats.org/officeDocument/2006/relationships/hyperlink" Target="https://techelectro.ru/prod/cable_entry/cable_entry_plastic/mg/mg20/" TargetMode="External"/><Relationship Id="rId1669" Type="http://schemas.openxmlformats.org/officeDocument/2006/relationships/hyperlink" Target="https://techelectro.ru/prod/cable-kits/muffs1kv/4_5pto-1/sku_101911/" TargetMode="External"/><Relationship Id="rId1876" Type="http://schemas.openxmlformats.org/officeDocument/2006/relationships/hyperlink" Target="https://techelectro.ru/prod/cable_kits_acs/tping/4tping-25-50/" TargetMode="External"/><Relationship Id="rId2927" Type="http://schemas.openxmlformats.org/officeDocument/2006/relationships/hyperlink" Target="https://techelectro.ru/prod/wiring-tools/crimpers_pgr/hdcrimp/pgrs70m/sku_106482/" TargetMode="External"/><Relationship Id="rId3091" Type="http://schemas.openxmlformats.org/officeDocument/2006/relationships/hyperlink" Target="https://techelectro.ru/prod/wiring-tools/cutters/sectioncutters/nst40/nst-40/" TargetMode="External"/><Relationship Id="rId4142" Type="http://schemas.openxmlformats.org/officeDocument/2006/relationships/hyperlink" Target="https://techelectro.ru/prod/protection-safety/protection/np-25/np25/" TargetMode="External"/><Relationship Id="rId5540" Type="http://schemas.openxmlformats.org/officeDocument/2006/relationships/hyperlink" Target="https://techelectro.ru/prod/metal-hose-fittings/hose/m-g/sku_87884/" TargetMode="External"/><Relationship Id="rId1529" Type="http://schemas.openxmlformats.org/officeDocument/2006/relationships/hyperlink" Target="https://techelectro.ru/prod/cable-kits/muffs1kv/5-pktp-1/5pktp_b-1-70_120_b/" TargetMode="External"/><Relationship Id="rId1736" Type="http://schemas.openxmlformats.org/officeDocument/2006/relationships/hyperlink" Target="https://techelectro.ru/prod/cable-kits/muffs10kv/3rkvtp-10/sku_88109/" TargetMode="External"/><Relationship Id="rId1943" Type="http://schemas.openxmlformats.org/officeDocument/2006/relationships/hyperlink" Target="https://techelectro.ru/prod/cable_kits_acs/pml/pml-16-500_nk/" TargetMode="External"/><Relationship Id="rId5400" Type="http://schemas.openxmlformats.org/officeDocument/2006/relationships/hyperlink" Target="https://techelectro.ru/prod/waterproof_connections/ffc-34_3p-ip68/sku_89685/" TargetMode="External"/><Relationship Id="rId28" Type="http://schemas.openxmlformats.org/officeDocument/2006/relationships/hyperlink" Target="https://techelectro.ru/prod/cable-lugs/cu/tmls/tmls_150_12/" TargetMode="External"/><Relationship Id="rId1803" Type="http://schemas.openxmlformats.org/officeDocument/2006/relationships/hyperlink" Target="https://techelectro.ru/prod/cable-kits/muffs10kv/3rst-10/sku_88134/" TargetMode="External"/><Relationship Id="rId4002" Type="http://schemas.openxmlformats.org/officeDocument/2006/relationships/hyperlink" Target="https://techelectro.ru/prod/construction_hydraulics/hydraulic_pullers/sgsa10k/sku_91805/" TargetMode="External"/><Relationship Id="rId4959" Type="http://schemas.openxmlformats.org/officeDocument/2006/relationships/hyperlink" Target="https://techelectro.ru/prod/strength-ties/screw-ties/pl9-w1/w1-20-32/" TargetMode="External"/><Relationship Id="rId3768" Type="http://schemas.openxmlformats.org/officeDocument/2006/relationships/hyperlink" Target="https://techelectro.ru/prod/generators/inverter-generators/gsi2400/sku_110032/" TargetMode="External"/><Relationship Id="rId3975" Type="http://schemas.openxmlformats.org/officeDocument/2006/relationships/hyperlink" Target="https://techelectro.ru/prod/construction_hydraulics/jack/jack_hd/da-pn5/sku_87375/" TargetMode="External"/><Relationship Id="rId4819" Type="http://schemas.openxmlformats.org/officeDocument/2006/relationships/hyperlink" Target="https://techelectro.ru/prod/steel-ties/steel_ties-labels/sks/sks4h1007/" TargetMode="External"/><Relationship Id="rId689" Type="http://schemas.openxmlformats.org/officeDocument/2006/relationships/hyperlink" Target="https://techelectro.ru/prod/insulugs/iplug/rpio/rpio_25/" TargetMode="External"/><Relationship Id="rId896" Type="http://schemas.openxmlformats.org/officeDocument/2006/relationships/hyperlink" Target="https://techelectro.ru/prod/insulugs/autoterminals/rp-p_2_5_6_3/sku_109249/" TargetMode="External"/><Relationship Id="rId2577" Type="http://schemas.openxmlformats.org/officeDocument/2006/relationships/hyperlink" Target="https://techelectro.ru/prod/hstubes/hstubeset/set15/sku_85196/" TargetMode="External"/><Relationship Id="rId2784" Type="http://schemas.openxmlformats.org/officeDocument/2006/relationships/hyperlink" Target="https://techelectro.ru/prod/insulating/xs/sku_85385/" TargetMode="External"/><Relationship Id="rId3628" Type="http://schemas.openxmlformats.org/officeDocument/2006/relationships/hyperlink" Target="https://techelectro.ru/prod/vdetools/vde-screwdrivers/nio-4412t/sku_87128/" TargetMode="External"/><Relationship Id="rId5190" Type="http://schemas.openxmlformats.org/officeDocument/2006/relationships/hyperlink" Target="https://techelectro.ru/prod/cable_entry/cable_entry_metal/mgm-dl/sku_88635/" TargetMode="External"/><Relationship Id="rId6034" Type="http://schemas.openxmlformats.org/officeDocument/2006/relationships/hyperlink" Target="https://techelectro.ru/prod/ground_wire/pzu/pzu-16-700/" TargetMode="External"/><Relationship Id="rId549" Type="http://schemas.openxmlformats.org/officeDocument/2006/relationships/hyperlink" Target="https://techelectro.ru/prod/insulugs/ilugs/nkin/sku_108530/" TargetMode="External"/><Relationship Id="rId756" Type="http://schemas.openxmlformats.org/officeDocument/2006/relationships/hyperlink" Target="https://techelectro.ru/prod/insulugs/iplug/iplugnylonsets-rpimn/sku_91034/" TargetMode="External"/><Relationship Id="rId1179" Type="http://schemas.openxmlformats.org/officeDocument/2006/relationships/hyperlink" Target="https://techelectro.ru/prod/bolt-lugs/wire10-240/sbr/4sbr_25-50/" TargetMode="External"/><Relationship Id="rId1386" Type="http://schemas.openxmlformats.org/officeDocument/2006/relationships/hyperlink" Target="https://techelectro.ru/prod/cable-kits/kits-ngls-10kv/1pkvt10ngls/1pkvt10-800bngls/" TargetMode="External"/><Relationship Id="rId1593" Type="http://schemas.openxmlformats.org/officeDocument/2006/relationships/hyperlink" Target="https://techelectro.ru/prod/cable-kits/muffs1kv/3pst-1/sku_74661/" TargetMode="External"/><Relationship Id="rId2437" Type="http://schemas.openxmlformats.org/officeDocument/2006/relationships/hyperlink" Target="https://techelectro.ru/prod/hstubes/gluetube/ttk31_green/sku_102436/" TargetMode="External"/><Relationship Id="rId2991" Type="http://schemas.openxmlformats.org/officeDocument/2006/relationships/hyperlink" Target="https://techelectro.ru/prod/wiring-tools/crimpers_pgr/hv-crimpers/matrix_pg60t/c-29/" TargetMode="External"/><Relationship Id="rId3835" Type="http://schemas.openxmlformats.org/officeDocument/2006/relationships/hyperlink" Target="https://techelectro.ru/prod/metalworking-tools/ft_pumpliers/npk02/sku_92053/" TargetMode="External"/><Relationship Id="rId5050" Type="http://schemas.openxmlformats.org/officeDocument/2006/relationships/hyperlink" Target="https://techelectro.ru/prod/strength-ties/screw-ties/sr/sr_104-112_w1/" TargetMode="External"/><Relationship Id="rId409" Type="http://schemas.openxmlformats.org/officeDocument/2006/relationships/hyperlink" Target="https://techelectro.ru/prod/cable-lugs/al/tam/tam_70-12-12/" TargetMode="External"/><Relationship Id="rId963" Type="http://schemas.openxmlformats.org/officeDocument/2006/relationships/hyperlink" Target="https://techelectro.ru/prod/e-connectors/nshvi/sku_108901/" TargetMode="External"/><Relationship Id="rId1039" Type="http://schemas.openxmlformats.org/officeDocument/2006/relationships/hyperlink" Target="https://techelectro.ru/prod/e-connectors/nshvi2_euro/sku_103244/" TargetMode="External"/><Relationship Id="rId1246" Type="http://schemas.openxmlformats.org/officeDocument/2006/relationships/hyperlink" Target="https://techelectro.ru/prod/cable-kits/kits-ngls-1kv/4_5pktp-1_ngls/4pktpng-ls1-25-50/" TargetMode="External"/><Relationship Id="rId2644" Type="http://schemas.openxmlformats.org/officeDocument/2006/relationships/hyperlink" Target="https://techelectro.ru/prod/hstubes/specialtube/tt150/sku_104422/" TargetMode="External"/><Relationship Id="rId2851" Type="http://schemas.openxmlformats.org/officeDocument/2006/relationships/hyperlink" Target="https://techelectro.ru/prod/wiring-tools/crimpers/insulugs-crimp/sts-b_set/sku_85272/" TargetMode="External"/><Relationship Id="rId3902" Type="http://schemas.openxmlformats.org/officeDocument/2006/relationships/hyperlink" Target="https://techelectro.ru/prod/metalworking-tools/ft_hummers/mb50n/mb-50n/" TargetMode="External"/><Relationship Id="rId92" Type="http://schemas.openxmlformats.org/officeDocument/2006/relationships/hyperlink" Target="https://techelectro.ru/prod/cable-lugs/cu/tm/sku_86992/" TargetMode="External"/><Relationship Id="rId616" Type="http://schemas.openxmlformats.org/officeDocument/2006/relationships/hyperlink" Target="https://techelectro.ru/prod/insulugs/ilugs/nshki/nshki_2_5-12/" TargetMode="External"/><Relationship Id="rId823" Type="http://schemas.openxmlformats.org/officeDocument/2006/relationships/hyperlink" Target="https://techelectro.ru/prod/insulugs/siz_kiz/kiz/sku_108493/" TargetMode="External"/><Relationship Id="rId1453" Type="http://schemas.openxmlformats.org/officeDocument/2006/relationships/hyperlink" Target="https://techelectro.ru/prod/cable-kits/muffs1kv/4kvntp1sold/sku_88774/" TargetMode="External"/><Relationship Id="rId1660" Type="http://schemas.openxmlformats.org/officeDocument/2006/relationships/hyperlink" Target="https://techelectro.ru/prod/cable-kits/muffs1kv/mts/mts61_6-25/" TargetMode="External"/><Relationship Id="rId2504" Type="http://schemas.openxmlformats.org/officeDocument/2006/relationships/hyperlink" Target="https://techelectro.ru/prod/hstubes/gluetube/sttk31/sttk115/" TargetMode="External"/><Relationship Id="rId2711" Type="http://schemas.openxmlformats.org/officeDocument/2006/relationships/hyperlink" Target="https://techelectro.ru/prod/insulating/lse/sku_81973/" TargetMode="External"/><Relationship Id="rId5867" Type="http://schemas.openxmlformats.org/officeDocument/2006/relationships/hyperlink" Target="https://techelectro.ru/prod/staples/smr15/smr_24-15/" TargetMode="External"/><Relationship Id="rId1106" Type="http://schemas.openxmlformats.org/officeDocument/2006/relationships/hyperlink" Target="https://techelectro.ru/prod/clamps_wago-smk/smk_2273-205/sku_109315/" TargetMode="External"/><Relationship Id="rId1313" Type="http://schemas.openxmlformats.org/officeDocument/2006/relationships/hyperlink" Target="https://techelectro.ru/prod/cable-kits/kits-ngls-1kv/1pst_ngls/1pst1-800b_ngls/" TargetMode="External"/><Relationship Id="rId1520" Type="http://schemas.openxmlformats.org/officeDocument/2006/relationships/hyperlink" Target="https://techelectro.ru/prod/cable-kits/muffs1kv/5-pktp-1/5pktp-1-25_50_b/" TargetMode="External"/><Relationship Id="rId4469" Type="http://schemas.openxmlformats.org/officeDocument/2006/relationships/hyperlink" Target="https://techelectro.ru/prod/ties/nylonties/nss/sku_84808/" TargetMode="External"/><Relationship Id="rId4676" Type="http://schemas.openxmlformats.org/officeDocument/2006/relationships/hyperlink" Target="https://techelectro.ru/prod/ties/nylonties/tflex/tflex_300_green/" TargetMode="External"/><Relationship Id="rId4883" Type="http://schemas.openxmlformats.org/officeDocument/2006/relationships/hyperlink" Target="https://techelectro.ru/prod/steel-ties/steel_ties-labels/sksp/sksp4h502/" TargetMode="External"/><Relationship Id="rId5727" Type="http://schemas.openxmlformats.org/officeDocument/2006/relationships/hyperlink" Target="https://techelectro.ru/prod/metal-hose-fittings/fittings/vth/vth20/" TargetMode="External"/><Relationship Id="rId5934" Type="http://schemas.openxmlformats.org/officeDocument/2006/relationships/hyperlink" Target="https://techelectro.ru/prod/staples/fastener/krepezh-klipsa_32/" TargetMode="External"/><Relationship Id="rId3278" Type="http://schemas.openxmlformats.org/officeDocument/2006/relationships/hyperlink" Target="https://techelectro.ru/prod/wiring-tools/boxtools/kpo26/sku_92358/" TargetMode="External"/><Relationship Id="rId3485" Type="http://schemas.openxmlformats.org/officeDocument/2006/relationships/hyperlink" Target="https://techelectro.ru/prod/wiring-tools/unwinding/fishtape/fgp11mk/fgp11-200mk/" TargetMode="External"/><Relationship Id="rId3692" Type="http://schemas.openxmlformats.org/officeDocument/2006/relationships/hyperlink" Target="https://techelectro.ru/prod/electric-tools/hammer-drills/hb20-24/sku_102589/" TargetMode="External"/><Relationship Id="rId4329" Type="http://schemas.openxmlformats.org/officeDocument/2006/relationships/hyperlink" Target="https://techelectro.ru/prod/digital_meters/multimeters/kt200a/kt-200a/" TargetMode="External"/><Relationship Id="rId4536" Type="http://schemas.openxmlformats.org/officeDocument/2006/relationships/hyperlink" Target="https://techelectro.ru/prod/ties/nylonties/nss-black/sku_84813/" TargetMode="External"/><Relationship Id="rId4743" Type="http://schemas.openxmlformats.org/officeDocument/2006/relationships/hyperlink" Target="https://techelectro.ru/prod/ties/markers/u-domik-mini/sku_104907/" TargetMode="External"/><Relationship Id="rId4950" Type="http://schemas.openxmlformats.org/officeDocument/2006/relationships/hyperlink" Target="https://techelectro.ru/prod/steel-ties/steel_tape-brace/sm201/sm201-20/" TargetMode="External"/><Relationship Id="rId199" Type="http://schemas.openxmlformats.org/officeDocument/2006/relationships/hyperlink" Target="https://techelectro.ru/prod/cable-lugs/cu/pm/pm_154/" TargetMode="External"/><Relationship Id="rId2087" Type="http://schemas.openxmlformats.org/officeDocument/2006/relationships/hyperlink" Target="https://techelectro.ru/prod/hstubes/hstube/tutng-color/sku_102217/" TargetMode="External"/><Relationship Id="rId2294" Type="http://schemas.openxmlformats.org/officeDocument/2006/relationships/hyperlink" Target="https://techelectro.ru/prod/hstubes/hstube/tut-hf/tut_hf20-10_red/" TargetMode="External"/><Relationship Id="rId3138" Type="http://schemas.openxmlformats.org/officeDocument/2006/relationships/hyperlink" Target="https://techelectro.ru/prod/wiring-tools/cutters_din/steelcutters/tr12t/tr-12t/" TargetMode="External"/><Relationship Id="rId3345" Type="http://schemas.openxmlformats.org/officeDocument/2006/relationships/hyperlink" Target="https://techelectro.ru/prod/wiring-tools/hdrtools/jack_hd_acs/rvd3/rvd-3/" TargetMode="External"/><Relationship Id="rId3552" Type="http://schemas.openxmlformats.org/officeDocument/2006/relationships/hyperlink" Target="https://techelectro.ru/prod/vdetools/pliers/roundnose/roundnose-160/" TargetMode="External"/><Relationship Id="rId4603" Type="http://schemas.openxmlformats.org/officeDocument/2006/relationships/hyperlink" Target="https://techelectro.ru/prod/ties/nylonties/kss100-nord_black/kss_nord_5-400_black/" TargetMode="External"/><Relationship Id="rId266" Type="http://schemas.openxmlformats.org/officeDocument/2006/relationships/hyperlink" Target="https://techelectro.ru/prod/cable-lugs/cu/tmls90/tmls_90_150-12/" TargetMode="External"/><Relationship Id="rId473" Type="http://schemas.openxmlformats.org/officeDocument/2006/relationships/hyperlink" Target="https://techelectro.ru/prod/cable-lugs/clamps/u_733m/sku_108497/" TargetMode="External"/><Relationship Id="rId680" Type="http://schemas.openxmlformats.org/officeDocument/2006/relationships/hyperlink" Target="https://techelectro.ru/prod/insulugs/iplug/rppim/rppim_25-63/" TargetMode="External"/><Relationship Id="rId2154" Type="http://schemas.openxmlformats.org/officeDocument/2006/relationships/hyperlink" Target="https://techelectro.ru/prod/hstubes/hstube/tnt_hf/sku_82965/" TargetMode="External"/><Relationship Id="rId2361" Type="http://schemas.openxmlformats.org/officeDocument/2006/relationships/hyperlink" Target="https://techelectro.ru/prod/hstubes/gluetube/ttk31/sku_85084/" TargetMode="External"/><Relationship Id="rId3205" Type="http://schemas.openxmlformats.org/officeDocument/2006/relationships/hyperlink" Target="https://techelectro.ru/prod/wiring-tools/strippers/xlpe-strip/ksp70/ksp-70/" TargetMode="External"/><Relationship Id="rId3412" Type="http://schemas.openxmlformats.org/officeDocument/2006/relationships/hyperlink" Target="https://techelectro.ru/prod/wiring-tools/unwinding/hvltools/chmp/chmp-65/" TargetMode="External"/><Relationship Id="rId4810" Type="http://schemas.openxmlformats.org/officeDocument/2006/relationships/hyperlink" Target="https://techelectro.ru/prod/steel-ties/steel_ties-labels/sks/sks7h500/" TargetMode="External"/><Relationship Id="rId126" Type="http://schemas.openxmlformats.org/officeDocument/2006/relationships/hyperlink" Target="https://techelectro.ru/prod/cable-lugs/cu/tmldin/tml_din_10_6/" TargetMode="External"/><Relationship Id="rId333" Type="http://schemas.openxmlformats.org/officeDocument/2006/relationships/hyperlink" Target="https://techelectro.ru/prod/cable-lugs/cu/gmldin/gmldin800/" TargetMode="External"/><Relationship Id="rId540" Type="http://schemas.openxmlformats.org/officeDocument/2006/relationships/hyperlink" Target="https://techelectro.ru/prod/insulugs/ilugs/nkin/nkin_6_0_8/" TargetMode="External"/><Relationship Id="rId1170" Type="http://schemas.openxmlformats.org/officeDocument/2006/relationships/hyperlink" Target="https://techelectro.ru/prod/bolt-lugs/wire10-240/sbp/4sbp_70-120/" TargetMode="External"/><Relationship Id="rId2014" Type="http://schemas.openxmlformats.org/officeDocument/2006/relationships/hyperlink" Target="https://techelectro.ru/prod/ukpt_ogt/ukptr/ukptr75/" TargetMode="External"/><Relationship Id="rId2221" Type="http://schemas.openxmlformats.org/officeDocument/2006/relationships/hyperlink" Target="https://techelectro.ru/prod/hstubes/hstube/ygtutng/tutng8-4/" TargetMode="External"/><Relationship Id="rId5377" Type="http://schemas.openxmlformats.org/officeDocument/2006/relationships/hyperlink" Target="https://techelectro.ru/prod/cable_entry/cable_entry_plastic/kvp-m6-black/sku_88661/" TargetMode="External"/><Relationship Id="rId1030" Type="http://schemas.openxmlformats.org/officeDocument/2006/relationships/hyperlink" Target="https://techelectro.ru/prod/e-connectors/nshvi2/sku_108929/" TargetMode="External"/><Relationship Id="rId4186" Type="http://schemas.openxmlformats.org/officeDocument/2006/relationships/hyperlink" Target="https://techelectro.ru/prod/abcarm/pierce/zpo16-150_4-50/sku_87396/" TargetMode="External"/><Relationship Id="rId5584" Type="http://schemas.openxmlformats.org/officeDocument/2006/relationships/hyperlink" Target="https://techelectro.ru/prod/metal-hose-fittings/hose/mrn-inox/mrn-inox-20/" TargetMode="External"/><Relationship Id="rId5791" Type="http://schemas.openxmlformats.org/officeDocument/2006/relationships/hyperlink" Target="https://techelectro.ru/prod/staples/smd_inox/smd_inox_48-50/" TargetMode="External"/><Relationship Id="rId400" Type="http://schemas.openxmlformats.org/officeDocument/2006/relationships/hyperlink" Target="https://techelectro.ru/prod/cable-lugs/al/ga/ga_150/" TargetMode="External"/><Relationship Id="rId1987" Type="http://schemas.openxmlformats.org/officeDocument/2006/relationships/hyperlink" Target="https://techelectro.ru/prod/cable_kits_acs/ku/ku1/" TargetMode="External"/><Relationship Id="rId4393" Type="http://schemas.openxmlformats.org/officeDocument/2006/relationships/hyperlink" Target="https://techelectro.ru/prod/ties/nylonties/kss/kss3h100/" TargetMode="External"/><Relationship Id="rId5237" Type="http://schemas.openxmlformats.org/officeDocument/2006/relationships/hyperlink" Target="https://techelectro.ru/prod/cable_entry/cable_entry_metal/vkt-m/sku_88845/" TargetMode="External"/><Relationship Id="rId5444" Type="http://schemas.openxmlformats.org/officeDocument/2006/relationships/hyperlink" Target="https://techelectro.ru/prod/metal-hose-fittings/hose/r3cpnglsp/r3cpnglsp-10/" TargetMode="External"/><Relationship Id="rId5651" Type="http://schemas.openxmlformats.org/officeDocument/2006/relationships/hyperlink" Target="https://techelectro.ru/prod/metal-hose-fittings/fittings/rk-n/sku_87894/" TargetMode="External"/><Relationship Id="rId1847" Type="http://schemas.openxmlformats.org/officeDocument/2006/relationships/hyperlink" Target="https://techelectro.ru/prod/cable-kits/muffs-35kv/1pst-36/sku_101414/" TargetMode="External"/><Relationship Id="rId4046" Type="http://schemas.openxmlformats.org/officeDocument/2006/relationships/hyperlink" Target="https://techelectro.ru/prod/maintenance_tools/rj-crimp/jt-02m/sku_84825/" TargetMode="External"/><Relationship Id="rId4253" Type="http://schemas.openxmlformats.org/officeDocument/2006/relationships/hyperlink" Target="https://techelectro.ru/prod/abcarm/sealinslugs/gif-mjpt70/sku_109225/" TargetMode="External"/><Relationship Id="rId4460" Type="http://schemas.openxmlformats.org/officeDocument/2006/relationships/hyperlink" Target="https://techelectro.ru/prod/ties/nylonties/nss/sku_84805/" TargetMode="External"/><Relationship Id="rId5304" Type="http://schemas.openxmlformats.org/officeDocument/2006/relationships/hyperlink" Target="https://techelectro.ru/prod/cable_entry/cable_entry_plastic/pg_black/sku_88641/" TargetMode="External"/><Relationship Id="rId5511" Type="http://schemas.openxmlformats.org/officeDocument/2006/relationships/hyperlink" Target="https://techelectro.ru/prod/metal-hose-fittings/hose/mrping-diesel_p/sku_88468/" TargetMode="External"/><Relationship Id="rId1707" Type="http://schemas.openxmlformats.org/officeDocument/2006/relationships/hyperlink" Target="https://techelectro.ru/prod/cable-kits/muffs10kv/1pknt10/1pknt10-70-120/" TargetMode="External"/><Relationship Id="rId3062" Type="http://schemas.openxmlformats.org/officeDocument/2006/relationships/hyperlink" Target="https://techelectro.ru/prod/wiring-tools/crimpers_pgr/hv-crimpers/matrix_pg100t/msh-47-6a-100t/" TargetMode="External"/><Relationship Id="rId4113" Type="http://schemas.openxmlformats.org/officeDocument/2006/relationships/hyperlink" Target="https://techelectro.ru/prod/protection-safety/bags_packs/sm10/sku_91983/" TargetMode="External"/><Relationship Id="rId4320" Type="http://schemas.openxmlformats.org/officeDocument/2006/relationships/hyperlink" Target="https://techelectro.ru/prod/digital_meters/multimeters/kt-122/sku_87250/" TargetMode="External"/><Relationship Id="rId190" Type="http://schemas.openxmlformats.org/officeDocument/2006/relationships/hyperlink" Target="https://techelectro.ru/prod/cable-lugs/cu/tmlr/sku_87450/" TargetMode="External"/><Relationship Id="rId1914" Type="http://schemas.openxmlformats.org/officeDocument/2006/relationships/hyperlink" Target="https://techelectro.ru/prod/cable_kits_acs/trm/trm_75/" TargetMode="External"/><Relationship Id="rId3879" Type="http://schemas.openxmlformats.org/officeDocument/2006/relationships/hyperlink" Target="https://techelectro.ru/prod/metalworking-tools/ft_wrench/ntk-t-8/ntkt8/" TargetMode="External"/><Relationship Id="rId5094" Type="http://schemas.openxmlformats.org/officeDocument/2006/relationships/hyperlink" Target="https://techelectro.ru/prod/strength-ties/pipe-ties/thk/thk1_2/" TargetMode="External"/><Relationship Id="rId2688" Type="http://schemas.openxmlformats.org/officeDocument/2006/relationships/hyperlink" Target="https://techelectro.ru/prod/insulating/pvc19/pvc19black/" TargetMode="External"/><Relationship Id="rId2895" Type="http://schemas.openxmlformats.org/officeDocument/2006/relationships/hyperlink" Target="https://techelectro.ru/prod/wiring-tools/crimpers/mechcrimp/pk35m/pk-35m/" TargetMode="External"/><Relationship Id="rId3739" Type="http://schemas.openxmlformats.org/officeDocument/2006/relationships/hyperlink" Target="https://techelectro.ru/prod/electric-tools/accessories/crowns/eco-68_65_4t_master/sku_102555/" TargetMode="External"/><Relationship Id="rId3946" Type="http://schemas.openxmlformats.org/officeDocument/2006/relationships/hyperlink" Target="https://techelectro.ru/prod/construction_hydraulics/jack/jack_hd/dgp/sku_84547/" TargetMode="External"/><Relationship Id="rId5161" Type="http://schemas.openxmlformats.org/officeDocument/2006/relationships/hyperlink" Target="https://techelectro.ru/prod/cable_entry/cable_entry_metal/mgm/mgm50/" TargetMode="External"/><Relationship Id="rId6005" Type="http://schemas.openxmlformats.org/officeDocument/2006/relationships/hyperlink" Target="https://techelectro.ru/prod/ground_wire/pzki/pzki-16-500/" TargetMode="External"/><Relationship Id="rId867" Type="http://schemas.openxmlformats.org/officeDocument/2006/relationships/hyperlink" Target="https://techelectro.ru/prod/insulugs/screw_clamp/kzvi/sku_109275/" TargetMode="External"/><Relationship Id="rId1497" Type="http://schemas.openxmlformats.org/officeDocument/2006/relationships/hyperlink" Target="https://techelectro.ru/prod/cable-kits/muffs1kv/4_5-pktp-1/4pktp-1-_70_120/" TargetMode="External"/><Relationship Id="rId2548" Type="http://schemas.openxmlformats.org/officeDocument/2006/relationships/hyperlink" Target="https://techelectro.ru/prod/hstubes/hstubeset/hs-set-kvadro/sku_89784/" TargetMode="External"/><Relationship Id="rId2755" Type="http://schemas.openxmlformats.org/officeDocument/2006/relationships/hyperlink" Target="https://techelectro.ru/prod/insulating/xp/sku_85366/" TargetMode="External"/><Relationship Id="rId2962" Type="http://schemas.openxmlformats.org/officeDocument/2006/relationships/hyperlink" Target="https://techelectro.ru/prod/wiring-tools/crimpers_pgr/hdcrimp/matricy_nm300pm/nm300pm/" TargetMode="External"/><Relationship Id="rId3806" Type="http://schemas.openxmlformats.org/officeDocument/2006/relationships/hyperlink" Target="https://techelectro.ru/prod/metalworking-tools/ft_screwdrivers/screwdriversft/ph2_125ft/" TargetMode="External"/><Relationship Id="rId727" Type="http://schemas.openxmlformats.org/officeDocument/2006/relationships/hyperlink" Target="https://techelectro.ru/prod/insulugs/iplug/rshim/sku_108627/" TargetMode="External"/><Relationship Id="rId934" Type="http://schemas.openxmlformats.org/officeDocument/2006/relationships/hyperlink" Target="https://techelectro.ru/prod/e-connectors/nshvi/sku_92304/" TargetMode="External"/><Relationship Id="rId1357" Type="http://schemas.openxmlformats.org/officeDocument/2006/relationships/hyperlink" Target="https://techelectro.ru/prod/cable-kits/kits-ngls-1kv/pst-mini-ng_ls/sku_88059/" TargetMode="External"/><Relationship Id="rId1564" Type="http://schemas.openxmlformats.org/officeDocument/2006/relationships/hyperlink" Target="https://techelectro.ru/prod/cable-kits/muffs1kv/3stp-1/3stp1-70-120_b/" TargetMode="External"/><Relationship Id="rId1771" Type="http://schemas.openxmlformats.org/officeDocument/2006/relationships/hyperlink" Target="https://techelectro.ru/prod/cable-kits/muffs10kv/3kntp-10/3kntp10-25-50_b/" TargetMode="External"/><Relationship Id="rId2408" Type="http://schemas.openxmlformats.org/officeDocument/2006/relationships/hyperlink" Target="https://techelectro.ru/prod/hstubes/gluetube/ttk31_clear/sku_85068/" TargetMode="External"/><Relationship Id="rId2615" Type="http://schemas.openxmlformats.org/officeDocument/2006/relationships/hyperlink" Target="https://techelectro.ru/prod/hstubes/highvoltagetube/tsta/tsta2710/" TargetMode="External"/><Relationship Id="rId2822" Type="http://schemas.openxmlformats.org/officeDocument/2006/relationships/hyperlink" Target="https://techelectro.ru/prod/wiring-tools/crimpers/insulugs-crimp/sto/sku_90753/" TargetMode="External"/><Relationship Id="rId5021" Type="http://schemas.openxmlformats.org/officeDocument/2006/relationships/hyperlink" Target="https://techelectro.ru/prod/strength-ties/screw-ties/pl12-w2/pl-12_80-100_w2/" TargetMode="External"/><Relationship Id="rId5978" Type="http://schemas.openxmlformats.org/officeDocument/2006/relationships/hyperlink" Target="https://techelectro.ru/prod/ground_wire/pz/sku_88942/" TargetMode="External"/><Relationship Id="rId63" Type="http://schemas.openxmlformats.org/officeDocument/2006/relationships/hyperlink" Target="https://techelectro.ru/prod/cable-lugs/cu/tml/tml_50-12-11/" TargetMode="External"/><Relationship Id="rId1217" Type="http://schemas.openxmlformats.org/officeDocument/2006/relationships/hyperlink" Target="https://techelectro.ru/prod/bolt-lugs/wire300-800/6sbe/6sbe_800/" TargetMode="External"/><Relationship Id="rId1424" Type="http://schemas.openxmlformats.org/officeDocument/2006/relationships/hyperlink" Target="https://techelectro.ru/prod/cable-kits/kits-ngls-10kv/3pst10_ng-ls/3pst-10-70_120_b_ng-ls/" TargetMode="External"/><Relationship Id="rId1631" Type="http://schemas.openxmlformats.org/officeDocument/2006/relationships/hyperlink" Target="https://techelectro.ru/prod/cable-kits/muffs1kv/5pst-1/5pstb1-150-240/" TargetMode="External"/><Relationship Id="rId4787" Type="http://schemas.openxmlformats.org/officeDocument/2006/relationships/hyperlink" Target="https://techelectro.ru/prod/steel-ties/steel_ties-labels/sks316/sks316-12x300/" TargetMode="External"/><Relationship Id="rId4994" Type="http://schemas.openxmlformats.org/officeDocument/2006/relationships/hyperlink" Target="https://techelectro.ru/prod/strength-ties/screw-ties/pl9-w4/pl9-8-12w4/" TargetMode="External"/><Relationship Id="rId5838" Type="http://schemas.openxmlformats.org/officeDocument/2006/relationships/hyperlink" Target="https://techelectro.ru/prod/staples/smdp/smd-p_25-26/" TargetMode="External"/><Relationship Id="rId3389" Type="http://schemas.openxmlformats.org/officeDocument/2006/relationships/hyperlink" Target="https://techelectro.ru/prod/wiring-tools/unwinding/hvltools/chms/sku_109890/" TargetMode="External"/><Relationship Id="rId3596" Type="http://schemas.openxmlformats.org/officeDocument/2006/relationships/hyperlink" Target="https://techelectro.ru/prod/vdetools/vde-screwdrivers/vde-screwdrivers-slim/sku_103008/" TargetMode="External"/><Relationship Id="rId4647" Type="http://schemas.openxmlformats.org/officeDocument/2006/relationships/hyperlink" Target="https://techelectro.ru/prod/ties/nylonties/ksz-uv/ksz-4x200/" TargetMode="External"/><Relationship Id="rId2198" Type="http://schemas.openxmlformats.org/officeDocument/2006/relationships/hyperlink" Target="https://techelectro.ru/prod/hstubes/hstube/tutng/tutng6/" TargetMode="External"/><Relationship Id="rId3249" Type="http://schemas.openxmlformats.org/officeDocument/2006/relationships/hyperlink" Target="https://techelectro.ru/prod/wiring-tools/boxtools/singlempo/sku_85302/" TargetMode="External"/><Relationship Id="rId3456" Type="http://schemas.openxmlformats.org/officeDocument/2006/relationships/hyperlink" Target="https://techelectro.ru/prod/wiring-tools/unwinding/fishtape/fgp3_5/fgp3_5-15r/" TargetMode="External"/><Relationship Id="rId4854" Type="http://schemas.openxmlformats.org/officeDocument/2006/relationships/hyperlink" Target="https://techelectro.ru/prod/steel-ties/steel_ties-labels/sks316p/sks316p-12x800/" TargetMode="External"/><Relationship Id="rId5905" Type="http://schemas.openxmlformats.org/officeDocument/2006/relationships/hyperlink" Target="https://techelectro.ru/prod/staples/spk/sku_103941/" TargetMode="External"/><Relationship Id="rId377" Type="http://schemas.openxmlformats.org/officeDocument/2006/relationships/hyperlink" Target="https://techelectro.ru/prod/cable-lugs/cu/lugset-gml-p/sku_86558/" TargetMode="External"/><Relationship Id="rId584" Type="http://schemas.openxmlformats.org/officeDocument/2006/relationships/hyperlink" Target="https://techelectro.ru/prod/insulugs/ilugs/nvi/sku_108540/" TargetMode="External"/><Relationship Id="rId2058" Type="http://schemas.openxmlformats.org/officeDocument/2006/relationships/hyperlink" Target="https://techelectro.ru/prod/hstubes/hstube/tutng-color/sku_102188/" TargetMode="External"/><Relationship Id="rId2265" Type="http://schemas.openxmlformats.org/officeDocument/2006/relationships/hyperlink" Target="https://techelectro.ru/prod/hstubes/hstube/tut-hf/tut_hf16-8_yellow/" TargetMode="External"/><Relationship Id="rId3109" Type="http://schemas.openxmlformats.org/officeDocument/2006/relationships/hyperlink" Target="https://techelectro.ru/prod/wiring-tools/cutters/hdcutters/ngr40/ngr-40/" TargetMode="External"/><Relationship Id="rId3663" Type="http://schemas.openxmlformats.org/officeDocument/2006/relationships/hyperlink" Target="https://techelectro.ru/prod/vdetools/vde-sets/vde-wrench-sets/nii5/nii-05/" TargetMode="External"/><Relationship Id="rId3870" Type="http://schemas.openxmlformats.org/officeDocument/2006/relationships/hyperlink" Target="https://techelectro.ru/prod/metalworking-tools/ft_wrench/ratchet-wrench-joint-piece/ratchet-wrench-joint-piece-12/" TargetMode="External"/><Relationship Id="rId4507" Type="http://schemas.openxmlformats.org/officeDocument/2006/relationships/hyperlink" Target="https://techelectro.ru/prod/ties/nylonties/kss-uv/kss9h550black/" TargetMode="External"/><Relationship Id="rId4714" Type="http://schemas.openxmlformats.org/officeDocument/2006/relationships/hyperlink" Target="https://techelectro.ru/prod/ties/dowel_clamps/dhp_8-5_black/dhp_8-5_black/" TargetMode="External"/><Relationship Id="rId4921" Type="http://schemas.openxmlformats.org/officeDocument/2006/relationships/hyperlink" Target="https://techelectro.ru/prod/steel-ties/steel_ties-labels/skbp316/skbp9x330/" TargetMode="External"/><Relationship Id="rId237" Type="http://schemas.openxmlformats.org/officeDocument/2006/relationships/hyperlink" Target="https://techelectro.ru/prod/cable-lugs/cu/nsp/sku_92342/" TargetMode="External"/><Relationship Id="rId791" Type="http://schemas.openxmlformats.org/officeDocument/2006/relationships/hyperlink" Target="https://techelectro.ru/prod/insulugs/iquick/gsit100/sku_83608/" TargetMode="External"/><Relationship Id="rId1074" Type="http://schemas.openxmlformats.org/officeDocument/2006/relationships/hyperlink" Target="https://techelectro.ru/prod/e-connectors/nshviset1/set1-nshvi/" TargetMode="External"/><Relationship Id="rId2472" Type="http://schemas.openxmlformats.org/officeDocument/2006/relationships/hyperlink" Target="https://techelectro.ru/prod/hstubes/gluetube/ttk41/ttk41-32/" TargetMode="External"/><Relationship Id="rId3316" Type="http://schemas.openxmlformats.org/officeDocument/2006/relationships/hyperlink" Target="https://techelectro.ru/prod/wiring-tools/bustools/ssho150_neo/sku_85683/" TargetMode="External"/><Relationship Id="rId3523" Type="http://schemas.openxmlformats.org/officeDocument/2006/relationships/hyperlink" Target="https://techelectro.ru/prod/wiring-tools/bags_sets/nie3/nie-03/" TargetMode="External"/><Relationship Id="rId3730" Type="http://schemas.openxmlformats.org/officeDocument/2006/relationships/hyperlink" Target="https://techelectro.ru/prod/electric-tools/power-saws/cbs20-06_ncs/sku_106049/" TargetMode="External"/><Relationship Id="rId444" Type="http://schemas.openxmlformats.org/officeDocument/2006/relationships/hyperlink" Target="https://techelectro.ru/prod/cable-lugs/al/gam/gam_240-185/" TargetMode="External"/><Relationship Id="rId651" Type="http://schemas.openxmlformats.org/officeDocument/2006/relationships/hyperlink" Target="https://techelectro.ru/prod/insulugs/ilugs/ilugsets-nshki/sku_91012/" TargetMode="External"/><Relationship Id="rId1281" Type="http://schemas.openxmlformats.org/officeDocument/2006/relationships/hyperlink" Target="https://techelectro.ru/prod/cable-kits/kits-ngls-1kv/1pkt_ng_ls/1pkt1-300-400b_ng-ls/" TargetMode="External"/><Relationship Id="rId2125" Type="http://schemas.openxmlformats.org/officeDocument/2006/relationships/hyperlink" Target="https://techelectro.ru/prod/hstubes/hstube/tnt_hf/sku_82967/" TargetMode="External"/><Relationship Id="rId2332" Type="http://schemas.openxmlformats.org/officeDocument/2006/relationships/hyperlink" Target="https://techelectro.ru/prod/hstubes/hstube/t-box-color/tbox8b/" TargetMode="External"/><Relationship Id="rId5488" Type="http://schemas.openxmlformats.org/officeDocument/2006/relationships/hyperlink" Target="https://techelectro.ru/prod/metal-hose-fittings/hose/mrping_grey/sku_88301/" TargetMode="External"/><Relationship Id="rId5695" Type="http://schemas.openxmlformats.org/officeDocument/2006/relationships/hyperlink" Target="https://techelectro.ru/prod/metal-hose-fittings/fittings/stm-l/sku_88864/" TargetMode="External"/><Relationship Id="rId304" Type="http://schemas.openxmlformats.org/officeDocument/2006/relationships/hyperlink" Target="https://techelectro.ru/prod/cable-lugs/cu/gml/gml_10/" TargetMode="External"/><Relationship Id="rId511" Type="http://schemas.openxmlformats.org/officeDocument/2006/relationships/hyperlink" Target="https://techelectro.ru/prod/insulugs/ilugs/nki_easyfix/sku_90889/" TargetMode="External"/><Relationship Id="rId1141" Type="http://schemas.openxmlformats.org/officeDocument/2006/relationships/hyperlink" Target="https://techelectro.ru/prod/clamps_wago-smk/smk_2273/sku_90366/" TargetMode="External"/><Relationship Id="rId4297" Type="http://schemas.openxmlformats.org/officeDocument/2006/relationships/hyperlink" Target="https://techelectro.ru/prod/abcarm/abctools/rm-3/sku_102114/" TargetMode="External"/><Relationship Id="rId5348" Type="http://schemas.openxmlformats.org/officeDocument/2006/relationships/hyperlink" Target="https://techelectro.ru/prod/cable_entry/cable_entry_plastic/m/sku_88162/" TargetMode="External"/><Relationship Id="rId5555" Type="http://schemas.openxmlformats.org/officeDocument/2006/relationships/hyperlink" Target="https://techelectro.ru/prod/metal-hose-fittings/hose/mrping-inox/mrnping-inox-10/" TargetMode="External"/><Relationship Id="rId5762" Type="http://schemas.openxmlformats.org/officeDocument/2006/relationships/hyperlink" Target="https://techelectro.ru/prod/metal-hose-fittings/fittings/krv/krv32/" TargetMode="External"/><Relationship Id="rId1001" Type="http://schemas.openxmlformats.org/officeDocument/2006/relationships/hyperlink" Target="https://techelectro.ru/prod/e-connectors/nshvi_euro/sku_108993/" TargetMode="External"/><Relationship Id="rId4157" Type="http://schemas.openxmlformats.org/officeDocument/2006/relationships/hyperlink" Target="https://techelectro.ru/prod/protection-safety/safety/spikes/spike/" TargetMode="External"/><Relationship Id="rId4364" Type="http://schemas.openxmlformats.org/officeDocument/2006/relationships/hyperlink" Target="https://techelectro.ru/prod/digital_meters/lan-tester/kt_8209/sku_86208/" TargetMode="External"/><Relationship Id="rId4571" Type="http://schemas.openxmlformats.org/officeDocument/2006/relationships/hyperlink" Target="https://techelectro.ru/prod/ties/nylonties/kss100-nord_white/sku_89933/" TargetMode="External"/><Relationship Id="rId5208" Type="http://schemas.openxmlformats.org/officeDocument/2006/relationships/hyperlink" Target="https://techelectro.ru/prod/cable_entry/cable_entry_metal/pgm-inox/sku_83628/" TargetMode="External"/><Relationship Id="rId5415" Type="http://schemas.openxmlformats.org/officeDocument/2006/relationships/hyperlink" Target="https://techelectro.ru/prod/metal-hose-fittings/hose/mrping_nord/mrping60_nord/" TargetMode="External"/><Relationship Id="rId5622" Type="http://schemas.openxmlformats.org/officeDocument/2006/relationships/hyperlink" Target="https://techelectro.ru/prod/metal-hose-fittings/hose/r3ch_p/r3ch38_p/" TargetMode="External"/><Relationship Id="rId1958" Type="http://schemas.openxmlformats.org/officeDocument/2006/relationships/hyperlink" Target="https://techelectro.ru/prod/cable_kits_acs/tlk/sku_84910/" TargetMode="External"/><Relationship Id="rId3173" Type="http://schemas.openxmlformats.org/officeDocument/2006/relationships/hyperlink" Target="https://techelectro.ru/prod/wiring-tools/strippers/wire-strip/ws01f/sku_101541/" TargetMode="External"/><Relationship Id="rId3380" Type="http://schemas.openxmlformats.org/officeDocument/2006/relationships/hyperlink" Target="https://techelectro.ru/prod/wiring-tools/unwinding/hvltools/chm/sku_109878/" TargetMode="External"/><Relationship Id="rId4017" Type="http://schemas.openxmlformats.org/officeDocument/2006/relationships/hyperlink" Target="https://techelectro.ru/prod/construction_hydraulics/flange_spreaders/vfg9/sku_110081/" TargetMode="External"/><Relationship Id="rId4224" Type="http://schemas.openxmlformats.org/officeDocument/2006/relationships/hyperlink" Target="https://techelectro.ru/prod/abcarm/anchor/zan/zan-1500/" TargetMode="External"/><Relationship Id="rId4431" Type="http://schemas.openxmlformats.org/officeDocument/2006/relationships/hyperlink" Target="https://techelectro.ru/prod/ties/nylonties/kss/sku_89902/" TargetMode="External"/><Relationship Id="rId1818" Type="http://schemas.openxmlformats.org/officeDocument/2006/relationships/hyperlink" Target="https://techelectro.ru/prod/cable-kits/muffs10kv/3stp10/3stp10-70-120_b/" TargetMode="External"/><Relationship Id="rId3033" Type="http://schemas.openxmlformats.org/officeDocument/2006/relationships/hyperlink" Target="https://techelectro.ru/prod/wiring-tools/crimpers_pgr/hv-crimpers/matrix_pg100t/a-50-100t/" TargetMode="External"/><Relationship Id="rId3240" Type="http://schemas.openxmlformats.org/officeDocument/2006/relationships/hyperlink" Target="https://techelectro.ru/prod/wiring-tools/boxtools/singlempo/sku_61814/" TargetMode="External"/><Relationship Id="rId161" Type="http://schemas.openxmlformats.org/officeDocument/2006/relationships/hyperlink" Target="https://techelectro.ru/prod/cable-lugs/cu/tmlu/tmlu_70-6/" TargetMode="External"/><Relationship Id="rId6049" Type="http://schemas.openxmlformats.org/officeDocument/2006/relationships/hyperlink" Target="https://techelectro.ru/prod/ground_wire/lhz/sku_111044/" TargetMode="External"/><Relationship Id="rId2799" Type="http://schemas.openxmlformats.org/officeDocument/2006/relationships/hyperlink" Target="https://techelectro.ru/prod/insulating/xt/sku_106130/" TargetMode="External"/><Relationship Id="rId3100" Type="http://schemas.openxmlformats.org/officeDocument/2006/relationships/hyperlink" Target="https://techelectro.ru/prod/wiring-tools/cutters/sectioncutters/nsi90/sku_101939/" TargetMode="External"/><Relationship Id="rId978" Type="http://schemas.openxmlformats.org/officeDocument/2006/relationships/hyperlink" Target="https://techelectro.ru/prod/e-connectors/nshvi/sku_108918/" TargetMode="External"/><Relationship Id="rId2659" Type="http://schemas.openxmlformats.org/officeDocument/2006/relationships/hyperlink" Target="https://techelectro.ru/prod/hstubes/specialtube/tt200/sku_84886/" TargetMode="External"/><Relationship Id="rId2866" Type="http://schemas.openxmlformats.org/officeDocument/2006/relationships/hyperlink" Target="https://techelectro.ru/prod/wiring-tools/crimpers/insulugs-crimp/ckm3/sku_103137/" TargetMode="External"/><Relationship Id="rId3917" Type="http://schemas.openxmlformats.org/officeDocument/2006/relationships/hyperlink" Target="https://techelectro.ru/prod/metalworking-tools/ft_knives/nsm20/nsm-20/" TargetMode="External"/><Relationship Id="rId5065" Type="http://schemas.openxmlformats.org/officeDocument/2006/relationships/hyperlink" Target="https://techelectro.ru/prod/strength-ties/screw-ties/sr2/sr32-35w2/" TargetMode="External"/><Relationship Id="rId5272" Type="http://schemas.openxmlformats.org/officeDocument/2006/relationships/hyperlink" Target="https://techelectro.ru/prod/cable_entry/cable_entry_metal/kvmm8/sku_88247/" TargetMode="External"/><Relationship Id="rId838" Type="http://schemas.openxmlformats.org/officeDocument/2006/relationships/hyperlink" Target="https://techelectro.ru/prod/insulugs/screw_clamp/zvi-u/sku_109255/" TargetMode="External"/><Relationship Id="rId1468" Type="http://schemas.openxmlformats.org/officeDocument/2006/relationships/hyperlink" Target="https://techelectro.ru/prod/cable-kits/muffs1kv/2-pktp-1/2pktp-1-25_50/" TargetMode="External"/><Relationship Id="rId1675" Type="http://schemas.openxmlformats.org/officeDocument/2006/relationships/hyperlink" Target="https://techelectro.ru/prod/cable-kits/muffs1kv/5pto-1/sku_101916/" TargetMode="External"/><Relationship Id="rId1882" Type="http://schemas.openxmlformats.org/officeDocument/2006/relationships/hyperlink" Target="https://techelectro.ru/prod/cable_kits_acs/tping/5tping-150-240/" TargetMode="External"/><Relationship Id="rId2519" Type="http://schemas.openxmlformats.org/officeDocument/2006/relationships/hyperlink" Target="https://techelectro.ru/prod/hstubes/gluetube/tt6x/tt6x-19/" TargetMode="External"/><Relationship Id="rId2726" Type="http://schemas.openxmlformats.org/officeDocument/2006/relationships/hyperlink" Target="https://techelectro.ru/prod/insulating/xh/sku_106113/" TargetMode="External"/><Relationship Id="rId4081" Type="http://schemas.openxmlformats.org/officeDocument/2006/relationships/hyperlink" Target="https://techelectro.ru/prod/protection-safety/bags_packs/s3/s-03/" TargetMode="External"/><Relationship Id="rId5132" Type="http://schemas.openxmlformats.org/officeDocument/2006/relationships/hyperlink" Target="https://techelectro.ru/prod/cable_entry/cable_entry_metal/mgm-inox/sku_88015/" TargetMode="External"/><Relationship Id="rId1328" Type="http://schemas.openxmlformats.org/officeDocument/2006/relationships/hyperlink" Target="https://techelectro.ru/prod/cable-kits/kits-ngls-1kv/4_5pst_ngls-1/4pstb1-70-120_bngls/" TargetMode="External"/><Relationship Id="rId1535" Type="http://schemas.openxmlformats.org/officeDocument/2006/relationships/hyperlink" Target="https://techelectro.ru/prod/cable-kits/muffs1kv/4rktp1/4rktp1-35-50/" TargetMode="External"/><Relationship Id="rId2933" Type="http://schemas.openxmlformats.org/officeDocument/2006/relationships/hyperlink" Target="https://techelectro.ru/prod/wiring-tools/crimpers_pgr/hdcrimp/pgrs240/pgrs-240/" TargetMode="External"/><Relationship Id="rId905" Type="http://schemas.openxmlformats.org/officeDocument/2006/relationships/hyperlink" Target="https://techelectro.ru/prod/insulugs/autoterminals/nk_2_5-5/sku_85673/" TargetMode="External"/><Relationship Id="rId1742" Type="http://schemas.openxmlformats.org/officeDocument/2006/relationships/hyperlink" Target="https://techelectro.ru/prod/cable-kits/muffs10kv/3rkntp-10/sku_88115/" TargetMode="External"/><Relationship Id="rId4898" Type="http://schemas.openxmlformats.org/officeDocument/2006/relationships/hyperlink" Target="https://techelectro.ru/prod/steel-ties/steel_ties-labels/sks2-316/sks2-316-7x600/" TargetMode="External"/><Relationship Id="rId5949" Type="http://schemas.openxmlformats.org/officeDocument/2006/relationships/hyperlink" Target="https://techelectro.ru/prod/staples/kmp_white/sku_103950/" TargetMode="External"/><Relationship Id="rId34" Type="http://schemas.openxmlformats.org/officeDocument/2006/relationships/hyperlink" Target="https://techelectro.ru/prod/cable-lugs/cu/tmls/tmls_300-16/" TargetMode="External"/><Relationship Id="rId1602" Type="http://schemas.openxmlformats.org/officeDocument/2006/relationships/hyperlink" Target="https://techelectro.ru/prod/cable-kits/muffs1kv/4_5pst-1/4pst1-70-120/" TargetMode="External"/><Relationship Id="rId4758" Type="http://schemas.openxmlformats.org/officeDocument/2006/relationships/hyperlink" Target="https://techelectro.ru/prod/ties/markers/up/up255y/" TargetMode="External"/><Relationship Id="rId4965" Type="http://schemas.openxmlformats.org/officeDocument/2006/relationships/hyperlink" Target="https://techelectro.ru/prod/strength-ties/screw-ties/pl9-w1/w1-70-90/" TargetMode="External"/><Relationship Id="rId5809" Type="http://schemas.openxmlformats.org/officeDocument/2006/relationships/hyperlink" Target="https://techelectro.ru/prod/staples/sdk/label_102664/" TargetMode="External"/><Relationship Id="rId3567" Type="http://schemas.openxmlformats.org/officeDocument/2006/relationships/hyperlink" Target="https://techelectro.ru/prod/vdetools/vde-screwdrivers/vde-screwdrivers-profi/sku_102998/" TargetMode="External"/><Relationship Id="rId3774" Type="http://schemas.openxmlformats.org/officeDocument/2006/relationships/hyperlink" Target="https://techelectro.ru/prod/metalworking-tools/ft_pliers/combpliersft180new/pliersft-180/" TargetMode="External"/><Relationship Id="rId3981" Type="http://schemas.openxmlformats.org/officeDocument/2006/relationships/hyperlink" Target="https://techelectro.ru/prod/construction_hydraulics/jack/jack_hd/da10p/sku_103855/" TargetMode="External"/><Relationship Id="rId4618" Type="http://schemas.openxmlformats.org/officeDocument/2006/relationships/hyperlink" Target="https://techelectro.ru/prod/ties/nylonties/kss-colors/kss4x200y/" TargetMode="External"/><Relationship Id="rId4825" Type="http://schemas.openxmlformats.org/officeDocument/2006/relationships/hyperlink" Target="https://techelectro.ru/prod/steel-ties/steel_ties-labels/sks304_50pcs/sku_103081/" TargetMode="External"/><Relationship Id="rId488" Type="http://schemas.openxmlformats.org/officeDocument/2006/relationships/hyperlink" Target="https://techelectro.ru/prod/insulugs/ilugs/nki/nki_2_5_5/" TargetMode="External"/><Relationship Id="rId695" Type="http://schemas.openxmlformats.org/officeDocument/2006/relationships/hyperlink" Target="https://techelectro.ru/prod/insulugs/iplug/vrpip/sku_108619/" TargetMode="External"/><Relationship Id="rId2169" Type="http://schemas.openxmlformats.org/officeDocument/2006/relationships/hyperlink" Target="https://techelectro.ru/prod/hstubes/hstube/tnt_hf/sku_83000/" TargetMode="External"/><Relationship Id="rId2376" Type="http://schemas.openxmlformats.org/officeDocument/2006/relationships/hyperlink" Target="https://techelectro.ru/prod/hstubes/gluetube/ttk31_inrolls/sku_89_693/" TargetMode="External"/><Relationship Id="rId2583" Type="http://schemas.openxmlformats.org/officeDocument/2006/relationships/hyperlink" Target="https://techelectro.ru/prod/hstubes/hstubeset/set_glue20/sku_86582/" TargetMode="External"/><Relationship Id="rId2790" Type="http://schemas.openxmlformats.org/officeDocument/2006/relationships/hyperlink" Target="https://techelectro.ru/prod/insulating/xv/sku_90929/" TargetMode="External"/><Relationship Id="rId3427" Type="http://schemas.openxmlformats.org/officeDocument/2006/relationships/hyperlink" Target="https://techelectro.ru/prod/wiring-tools/unwinding/traction_winches/lta-3/sku_88396/" TargetMode="External"/><Relationship Id="rId3634" Type="http://schemas.openxmlformats.org/officeDocument/2006/relationships/hyperlink" Target="https://techelectro.ru/prod/vdetools/vde-knives/nmi2/nmi-02/" TargetMode="External"/><Relationship Id="rId3841" Type="http://schemas.openxmlformats.org/officeDocument/2006/relationships/hyperlink" Target="https://techelectro.ru/prod/metalworking-tools/ft_pumpliers/adjustable_pliers_250profi/sku_92362/" TargetMode="External"/><Relationship Id="rId6040" Type="http://schemas.openxmlformats.org/officeDocument/2006/relationships/hyperlink" Target="https://techelectro.ru/prod/ground_wire/kz-m/sku_88654/" TargetMode="External"/><Relationship Id="rId348" Type="http://schemas.openxmlformats.org/officeDocument/2006/relationships/hyperlink" Target="https://techelectro.ru/prod/cable-lugs/cu/gmls/sku_88078/" TargetMode="External"/><Relationship Id="rId555" Type="http://schemas.openxmlformats.org/officeDocument/2006/relationships/hyperlink" Target="https://techelectro.ru/prod/insulugs/ilugs/vnki/vnki_1_5-4/" TargetMode="External"/><Relationship Id="rId762" Type="http://schemas.openxmlformats.org/officeDocument/2006/relationships/hyperlink" Target="https://techelectro.ru/prod/insulugs/iquick/gsi/sku_108955/" TargetMode="External"/><Relationship Id="rId1185" Type="http://schemas.openxmlformats.org/officeDocument/2006/relationships/hyperlink" Target="https://techelectro.ru/prod/bolt-lugs/wire10-240/nbel/2nbe_150-240l/" TargetMode="External"/><Relationship Id="rId1392" Type="http://schemas.openxmlformats.org/officeDocument/2006/relationships/hyperlink" Target="https://techelectro.ru/prod/cable-kits/kits-ngls-10kv/3pkvntp-10_ng-ls/3pkvtp-10-150_240_b_ng-ls/" TargetMode="External"/><Relationship Id="rId2029" Type="http://schemas.openxmlformats.org/officeDocument/2006/relationships/hyperlink" Target="https://techelectro.ru/prod/ukpt_ogt/ukpto/sku_87838/" TargetMode="External"/><Relationship Id="rId2236" Type="http://schemas.openxmlformats.org/officeDocument/2006/relationships/hyperlink" Target="https://techelectro.ru/prod/hstubes/hstube/tut_hf/sku_83019/" TargetMode="External"/><Relationship Id="rId2443" Type="http://schemas.openxmlformats.org/officeDocument/2006/relationships/hyperlink" Target="https://techelectro.ru/prod/hstubes/gluetube/ttk31_yellow/sku_102414/" TargetMode="External"/><Relationship Id="rId2650" Type="http://schemas.openxmlformats.org/officeDocument/2006/relationships/hyperlink" Target="https://techelectro.ru/prod/hstubes/specialtube/tt175/tt175-9_6-4_8/" TargetMode="External"/><Relationship Id="rId3701" Type="http://schemas.openxmlformats.org/officeDocument/2006/relationships/hyperlink" Target="https://techelectro.ru/prod/electric-tools/cordless-impact-wrenches/sbr20-230/sku_107406/" TargetMode="External"/><Relationship Id="rId5599" Type="http://schemas.openxmlformats.org/officeDocument/2006/relationships/hyperlink" Target="https://techelectro.ru/prod/metal-hose-fittings/hose/r3ch/r3ch10/" TargetMode="External"/><Relationship Id="rId208" Type="http://schemas.openxmlformats.org/officeDocument/2006/relationships/hyperlink" Target="https://techelectro.ru/prod/cable-lugs/cu/pm/pm_6_8/" TargetMode="External"/><Relationship Id="rId415" Type="http://schemas.openxmlformats.org/officeDocument/2006/relationships/hyperlink" Target="https://techelectro.ru/prod/cable-lugs/al/tam/tam_300-16-24/" TargetMode="External"/><Relationship Id="rId622" Type="http://schemas.openxmlformats.org/officeDocument/2006/relationships/hyperlink" Target="https://techelectro.ru/prod/insulugs/ilugs/nkit/nki-t1_5_6/" TargetMode="External"/><Relationship Id="rId1045" Type="http://schemas.openxmlformats.org/officeDocument/2006/relationships/hyperlink" Target="https://techelectro.ru/prod/e-connectors/nshvi2_euro/sku_103250/" TargetMode="External"/><Relationship Id="rId1252" Type="http://schemas.openxmlformats.org/officeDocument/2006/relationships/hyperlink" Target="https://techelectro.ru/prod/cable-kits/kits-ngls-1kv/4_5pktp-1_ngls/4pktpng-ls1-150-240_b/" TargetMode="External"/><Relationship Id="rId2303" Type="http://schemas.openxmlformats.org/officeDocument/2006/relationships/hyperlink" Target="https://techelectro.ru/prod/hstubes/hstube/tut-hf/tut_hf6-3_blue/" TargetMode="External"/><Relationship Id="rId2510" Type="http://schemas.openxmlformats.org/officeDocument/2006/relationships/hyperlink" Target="https://techelectro.ru/prod/hstubes/gluetube/sttk31/sku_81092/" TargetMode="External"/><Relationship Id="rId5459" Type="http://schemas.openxmlformats.org/officeDocument/2006/relationships/hyperlink" Target="https://techelectro.ru/prod/metal-hose-fittings/hose/mrping/sku_87673/" TargetMode="External"/><Relationship Id="rId5666" Type="http://schemas.openxmlformats.org/officeDocument/2006/relationships/hyperlink" Target="https://techelectro.ru/prod/metal-hose-fittings/fittings/vmu/vmu32/" TargetMode="External"/><Relationship Id="rId1112" Type="http://schemas.openxmlformats.org/officeDocument/2006/relationships/hyperlink" Target="https://techelectro.ru/prod/clamps_wago-smk/smk_221-413/sku_109299/" TargetMode="External"/><Relationship Id="rId4268" Type="http://schemas.openxmlformats.org/officeDocument/2006/relationships/hyperlink" Target="https://techelectro.ru/prod/abcarm/sealinslugs/nim-cptau25/sku_103164/" TargetMode="External"/><Relationship Id="rId4475" Type="http://schemas.openxmlformats.org/officeDocument/2006/relationships/hyperlink" Target="https://techelectro.ru/prod/ties/nylonties/nss/sku_89921/" TargetMode="External"/><Relationship Id="rId5319" Type="http://schemas.openxmlformats.org/officeDocument/2006/relationships/hyperlink" Target="https://techelectro.ru/prod/cable_entry/cable_entry_plastic/pg/pg16/" TargetMode="External"/><Relationship Id="rId5873" Type="http://schemas.openxmlformats.org/officeDocument/2006/relationships/hyperlink" Target="https://techelectro.ru/prod/staples/smr15/smr_36-15/" TargetMode="External"/><Relationship Id="rId3077" Type="http://schemas.openxmlformats.org/officeDocument/2006/relationships/hyperlink" Target="https://techelectro.ru/prod/wiring-tools/cutters/wirecutters/cablecutter220master/sku_101854/" TargetMode="External"/><Relationship Id="rId3284" Type="http://schemas.openxmlformats.org/officeDocument/2006/relationships/hyperlink" Target="https://techelectro.ru/prod/wiring-tools/bustools/shr200neo/sku_85141/" TargetMode="External"/><Relationship Id="rId4128" Type="http://schemas.openxmlformats.org/officeDocument/2006/relationships/hyperlink" Target="https://techelectro.ru/prod/protection-safety/cases/k-6/k06/" TargetMode="External"/><Relationship Id="rId4682" Type="http://schemas.openxmlformats.org/officeDocument/2006/relationships/hyperlink" Target="https://techelectro.ru/prod/ties/nylonties/ksr-black/ksr7_5x300black/" TargetMode="External"/><Relationship Id="rId5526" Type="http://schemas.openxmlformats.org/officeDocument/2006/relationships/hyperlink" Target="https://techelectro.ru/prod/metal-hose-fittings/hose/mrping-p_termo/sku_88495/" TargetMode="External"/><Relationship Id="rId5733" Type="http://schemas.openxmlformats.org/officeDocument/2006/relationships/hyperlink" Target="https://techelectro.ru/prod/metal-hose-fittings/fittings/atk/sku_92327/" TargetMode="External"/><Relationship Id="rId5940" Type="http://schemas.openxmlformats.org/officeDocument/2006/relationships/hyperlink" Target="https://techelectro.ru/prod/staples/kmp/sku_89342/" TargetMode="External"/><Relationship Id="rId1929" Type="http://schemas.openxmlformats.org/officeDocument/2006/relationships/hyperlink" Target="https://techelectro.ru/prod/cable_kits_acs/trma/sku_89433/" TargetMode="External"/><Relationship Id="rId2093" Type="http://schemas.openxmlformats.org/officeDocument/2006/relationships/hyperlink" Target="https://techelectro.ru/prod/hstubes/hstube/tut_ng-ls_3_1/tut_3_1_ng_ls_-_6_2/" TargetMode="External"/><Relationship Id="rId3491" Type="http://schemas.openxmlformats.org/officeDocument/2006/relationships/hyperlink" Target="https://techelectro.ru/prod/wiring-tools/hstools/pburn/sku_57760/" TargetMode="External"/><Relationship Id="rId4335" Type="http://schemas.openxmlformats.org/officeDocument/2006/relationships/hyperlink" Target="https://techelectro.ru/prod/digital_meters/multimeters/kt207a/sku_91919/" TargetMode="External"/><Relationship Id="rId4542" Type="http://schemas.openxmlformats.org/officeDocument/2006/relationships/hyperlink" Target="https://techelectro.ru/prod/ties/nylonties/nss-black/sku_84816/" TargetMode="External"/><Relationship Id="rId5800" Type="http://schemas.openxmlformats.org/officeDocument/2006/relationships/hyperlink" Target="https://techelectro.ru/prod/staples/smo/smo_25_26/" TargetMode="External"/><Relationship Id="rId3144" Type="http://schemas.openxmlformats.org/officeDocument/2006/relationships/hyperlink" Target="https://techelectro.ru/prod/wiring-tools/cutters_din/br-brg-cutters/brk200m/sku_92308/" TargetMode="External"/><Relationship Id="rId3351" Type="http://schemas.openxmlformats.org/officeDocument/2006/relationships/hyperlink" Target="https://techelectro.ru/prod/wiring-tools/hdrtools/jack_hd_acs/kp-3_8/sku_85081/" TargetMode="External"/><Relationship Id="rId4402" Type="http://schemas.openxmlformats.org/officeDocument/2006/relationships/hyperlink" Target="https://techelectro.ru/prod/ties/nylonties/kss/kss4h300/" TargetMode="External"/><Relationship Id="rId272" Type="http://schemas.openxmlformats.org/officeDocument/2006/relationships/hyperlink" Target="https://techelectro.ru/prod/cable-lugs/cu/tmls45/tmls_45_16-8/" TargetMode="External"/><Relationship Id="rId2160" Type="http://schemas.openxmlformats.org/officeDocument/2006/relationships/hyperlink" Target="https://techelectro.ru/prod/hstubes/hstube/tnt_hf/sku_84994/" TargetMode="External"/><Relationship Id="rId3004" Type="http://schemas.openxmlformats.org/officeDocument/2006/relationships/hyperlink" Target="https://techelectro.ru/prod/wiring-tools/crimpers_pgr/hv-crimpers/matrix_pg60t/msh-34-6/" TargetMode="External"/><Relationship Id="rId3211" Type="http://schemas.openxmlformats.org/officeDocument/2006/relationships/hyperlink" Target="https://techelectro.ru/prod/wiring-tools/strippers/knives/nm_3/nm-03/" TargetMode="External"/><Relationship Id="rId132" Type="http://schemas.openxmlformats.org/officeDocument/2006/relationships/hyperlink" Target="https://techelectro.ru/prod/cable-lugs/cu/tmldin/tml_din_25_8/" TargetMode="External"/><Relationship Id="rId2020" Type="http://schemas.openxmlformats.org/officeDocument/2006/relationships/hyperlink" Target="https://techelectro.ru/prod/ukpt_ogt/ukpto/sku_87831/" TargetMode="External"/><Relationship Id="rId5176" Type="http://schemas.openxmlformats.org/officeDocument/2006/relationships/hyperlink" Target="https://techelectro.ru/prod/cable_entry/cable_entry_metal/mgm-l/sku_88620/" TargetMode="External"/><Relationship Id="rId5383" Type="http://schemas.openxmlformats.org/officeDocument/2006/relationships/hyperlink" Target="https://techelectro.ru/prod/waterproof_connections/mg_box_s-2_ip68/sku_89509/" TargetMode="External"/><Relationship Id="rId5590" Type="http://schemas.openxmlformats.org/officeDocument/2006/relationships/hyperlink" Target="https://techelectro.ru/prod/metal-hose-fittings/hose/mrn-inox_p/sku_82605/" TargetMode="External"/><Relationship Id="rId1579" Type="http://schemas.openxmlformats.org/officeDocument/2006/relationships/hyperlink" Target="https://techelectro.ru/prod/cable-kits/muffs1kv/2pst-1/2pstb1-25-50/" TargetMode="External"/><Relationship Id="rId2977" Type="http://schemas.openxmlformats.org/officeDocument/2006/relationships/hyperlink" Target="https://techelectro.ru/prod/wiring-tools/crimpers_pgr/hv-crimpers/matrix_pg60t/a-46/" TargetMode="External"/><Relationship Id="rId4192" Type="http://schemas.openxmlformats.org/officeDocument/2006/relationships/hyperlink" Target="https://techelectro.ru/prod/abcarm/pierce/zpo_6-95_1_5-10/sku_102572/" TargetMode="External"/><Relationship Id="rId5036" Type="http://schemas.openxmlformats.org/officeDocument/2006/relationships/hyperlink" Target="https://techelectro.ru/prod/strength-ties/screw-ties/sr/sr_36-39_w1/" TargetMode="External"/><Relationship Id="rId5243" Type="http://schemas.openxmlformats.org/officeDocument/2006/relationships/hyperlink" Target="https://techelectro.ru/prod/cable_entry/cable_entry_metal/vk-m-mr-inox/sku_89111/" TargetMode="External"/><Relationship Id="rId5450" Type="http://schemas.openxmlformats.org/officeDocument/2006/relationships/hyperlink" Target="https://techelectro.ru/prod/metal-hose-fittings/hose/r3cpnglsp/r3cpngls_22_s_protyazhkoj/" TargetMode="External"/><Relationship Id="rId949" Type="http://schemas.openxmlformats.org/officeDocument/2006/relationships/hyperlink" Target="https://techelectro.ru/prod/e-connectors/nshvi/nshvi_25_16/" TargetMode="External"/><Relationship Id="rId1786" Type="http://schemas.openxmlformats.org/officeDocument/2006/relationships/hyperlink" Target="https://techelectro.ru/prod/cable-kits/muffs10kv/1pst10/1pst10-35-50_b/" TargetMode="External"/><Relationship Id="rId1993" Type="http://schemas.openxmlformats.org/officeDocument/2006/relationships/hyperlink" Target="https://techelectro.ru/prod/cable_kits_acs/kzp/kzp/" TargetMode="External"/><Relationship Id="rId2837" Type="http://schemas.openxmlformats.org/officeDocument/2006/relationships/hyperlink" Target="https://techelectro.ru/prod/wiring-tools/crimpers/insulugs-crimp/ctb/ctb05/" TargetMode="External"/><Relationship Id="rId4052" Type="http://schemas.openxmlformats.org/officeDocument/2006/relationships/hyperlink" Target="https://techelectro.ru/prod/maintenance_tools/rj-crimp/jt4/jt-04/" TargetMode="External"/><Relationship Id="rId5103" Type="http://schemas.openxmlformats.org/officeDocument/2006/relationships/hyperlink" Target="https://techelectro.ru/prod/strength-ties/pipe-ties/thk/thk4/" TargetMode="External"/><Relationship Id="rId78" Type="http://schemas.openxmlformats.org/officeDocument/2006/relationships/hyperlink" Target="https://techelectro.ru/prod/cable-lugs/cu/tml/tml_150_16_19/" TargetMode="External"/><Relationship Id="rId809" Type="http://schemas.openxmlformats.org/officeDocument/2006/relationships/hyperlink" Target="https://techelectro.ru/prod/insulugs/siz_kiz/siz/sku_108947/" TargetMode="External"/><Relationship Id="rId1439" Type="http://schemas.openxmlformats.org/officeDocument/2006/relationships/hyperlink" Target="https://techelectro.ru/prod/cable-kits/kits-ngls-10kv/3stp10_ngls/3stp10-150-240_ngls/" TargetMode="External"/><Relationship Id="rId1646" Type="http://schemas.openxmlformats.org/officeDocument/2006/relationships/hyperlink" Target="https://techelectro.ru/prod/cable-kits/muffs1kv/pstk/pstk_410/" TargetMode="External"/><Relationship Id="rId1853" Type="http://schemas.openxmlformats.org/officeDocument/2006/relationships/hyperlink" Target="https://techelectro.ru/prod/cable-kits/muffs-35kv/3pkntp-35/sku_110681/" TargetMode="External"/><Relationship Id="rId2904" Type="http://schemas.openxmlformats.org/officeDocument/2006/relationships/hyperlink" Target="https://techelectro.ru/prod/wiring-tools/crimpers/conn-crimp/pkvk-6m/sku_85224/" TargetMode="External"/><Relationship Id="rId5310" Type="http://schemas.openxmlformats.org/officeDocument/2006/relationships/hyperlink" Target="https://techelectro.ru/prod/cable_entry/cable_entry_plastic/pg_black/sku_88647/" TargetMode="External"/><Relationship Id="rId1506" Type="http://schemas.openxmlformats.org/officeDocument/2006/relationships/hyperlink" Target="https://techelectro.ru/prod/cable-kits/muffs1kv/4_5-pktp-1/4pktp_b-1-25_50/" TargetMode="External"/><Relationship Id="rId1713" Type="http://schemas.openxmlformats.org/officeDocument/2006/relationships/hyperlink" Target="https://techelectro.ru/prod/cable-kits/muffs10kv/1pknt10/1pknt10-70-120_b/" TargetMode="External"/><Relationship Id="rId1920" Type="http://schemas.openxmlformats.org/officeDocument/2006/relationships/hyperlink" Target="https://techelectro.ru/prod/cable_kits_acs/trm/sku_89430/" TargetMode="External"/><Relationship Id="rId4869" Type="http://schemas.openxmlformats.org/officeDocument/2006/relationships/hyperlink" Target="https://techelectro.ru/prod/steel-ties/steel_ties-labels/sksp/sksp4x600/" TargetMode="External"/><Relationship Id="rId3678" Type="http://schemas.openxmlformats.org/officeDocument/2006/relationships/hyperlink" Target="https://techelectro.ru/prod/vdetools/vde-sets/vde-wrench-sets/nii25/sku_89751/" TargetMode="External"/><Relationship Id="rId3885" Type="http://schemas.openxmlformats.org/officeDocument/2006/relationships/hyperlink" Target="https://techelectro.ru/prod/metalworking-tools/ft_endheads/nai-08_110/nai08110/" TargetMode="External"/><Relationship Id="rId4729" Type="http://schemas.openxmlformats.org/officeDocument/2006/relationships/hyperlink" Target="https://techelectro.ru/prod/ties/montage-acs/pms_25h25_white/pms25x25/" TargetMode="External"/><Relationship Id="rId4936" Type="http://schemas.openxmlformats.org/officeDocument/2006/relationships/hyperlink" Target="https://techelectro.ru/prod/steel-ties/steel_tape-brace/lks/sku_87206/" TargetMode="External"/><Relationship Id="rId599" Type="http://schemas.openxmlformats.org/officeDocument/2006/relationships/hyperlink" Target="https://techelectro.ru/prod/insulugs/ilugs/nvi_easyfix/sku_108566/" TargetMode="External"/><Relationship Id="rId2487" Type="http://schemas.openxmlformats.org/officeDocument/2006/relationships/hyperlink" Target="https://techelectro.ru/prod/hstubes/gluetube/ttv/ttv4_1-75_22-1200/" TargetMode="External"/><Relationship Id="rId2694" Type="http://schemas.openxmlformats.org/officeDocument/2006/relationships/hyperlink" Target="https://techelectro.ru/prod/insulating/pvc19-heavy/sku_90819/" TargetMode="External"/><Relationship Id="rId3538" Type="http://schemas.openxmlformats.org/officeDocument/2006/relationships/hyperlink" Target="https://techelectro.ru/prod/vdetools/pliers/combplierspro180/plierspro-180/" TargetMode="External"/><Relationship Id="rId3745" Type="http://schemas.openxmlformats.org/officeDocument/2006/relationships/hyperlink" Target="https://techelectro.ru/prod/electric-tools/accessories/crowns/sf-68_65_6t_profi/sku_102559/" TargetMode="External"/><Relationship Id="rId459" Type="http://schemas.openxmlformats.org/officeDocument/2006/relationships/hyperlink" Target="https://techelectro.ru/prod/cable-lugs/al/nsham-p/sku_91877/" TargetMode="External"/><Relationship Id="rId666" Type="http://schemas.openxmlformats.org/officeDocument/2006/relationships/hyperlink" Target="https://techelectro.ru/prod/insulugs/iplug/rpim/rpim_15_63/" TargetMode="External"/><Relationship Id="rId873" Type="http://schemas.openxmlformats.org/officeDocument/2006/relationships/hyperlink" Target="https://techelectro.ru/prod/insulugs/screw_clamp/shni-din/sku_87189/" TargetMode="External"/><Relationship Id="rId1089" Type="http://schemas.openxmlformats.org/officeDocument/2006/relationships/hyperlink" Target="https://techelectro.ru/prod/clamps_wago-smk/smk_2273-242_paste/sku_87647/" TargetMode="External"/><Relationship Id="rId1296" Type="http://schemas.openxmlformats.org/officeDocument/2006/relationships/hyperlink" Target="https://techelectro.ru/prod/cable-kits/kits-ngls-1kv/3stp-ngls/3stpngls1-70-120/" TargetMode="External"/><Relationship Id="rId2347" Type="http://schemas.openxmlformats.org/officeDocument/2006/relationships/hyperlink" Target="https://techelectro.ru/prod/hstubes/gluetube/ttk21/ttk21-6b/" TargetMode="External"/><Relationship Id="rId2554" Type="http://schemas.openxmlformats.org/officeDocument/2006/relationships/hyperlink" Target="https://techelectro.ru/prod/hstubes/hstubeset/monohrom/monohrom-5-2_5/" TargetMode="External"/><Relationship Id="rId3952" Type="http://schemas.openxmlformats.org/officeDocument/2006/relationships/hyperlink" Target="https://techelectro.ru/prod/construction_hydraulics/jack/jack_hd/dgp/sku_84550/" TargetMode="External"/><Relationship Id="rId6011" Type="http://schemas.openxmlformats.org/officeDocument/2006/relationships/hyperlink" Target="https://techelectro.ru/prod/ground_wire/pzu/pzu-6-200/" TargetMode="External"/><Relationship Id="rId319" Type="http://schemas.openxmlformats.org/officeDocument/2006/relationships/hyperlink" Target="https://techelectro.ru/prod/cable-lugs/cu/gmldin/gmldin_16/" TargetMode="External"/><Relationship Id="rId526" Type="http://schemas.openxmlformats.org/officeDocument/2006/relationships/hyperlink" Target="https://techelectro.ru/prod/insulugs/ilugs/nki_easyfix/sku_108553/" TargetMode="External"/><Relationship Id="rId1156" Type="http://schemas.openxmlformats.org/officeDocument/2006/relationships/hyperlink" Target="https://techelectro.ru/prod/bolt-lugs/wire10-240/nb/sku_92054/" TargetMode="External"/><Relationship Id="rId1363" Type="http://schemas.openxmlformats.org/officeDocument/2006/relationships/hyperlink" Target="https://techelectro.ru/prod/cable-kits/kits-ngls-1kv/pst-mini-ng_ls/sku_88056/" TargetMode="External"/><Relationship Id="rId2207" Type="http://schemas.openxmlformats.org/officeDocument/2006/relationships/hyperlink" Target="https://techelectro.ru/prod/hstubes/hstube/tutng/tutng40/" TargetMode="External"/><Relationship Id="rId2761" Type="http://schemas.openxmlformats.org/officeDocument/2006/relationships/hyperlink" Target="https://techelectro.ru/prod/insulating/xp_bw/sku_102335/" TargetMode="External"/><Relationship Id="rId3605" Type="http://schemas.openxmlformats.org/officeDocument/2006/relationships/hyperlink" Target="https://techelectro.ru/prod/vdetools/vde-screwdrivers/nio-2202_pz-fl/sku_88930/" TargetMode="External"/><Relationship Id="rId3812" Type="http://schemas.openxmlformats.org/officeDocument/2006/relationships/hyperlink" Target="https://techelectro.ru/prod/metalworking-tools/ft_screwdrivers/no02-38/sku_92359/" TargetMode="External"/><Relationship Id="rId733" Type="http://schemas.openxmlformats.org/officeDocument/2006/relationships/hyperlink" Target="https://techelectro.ru/prod/insulugs/iplug/ov/ov1/" TargetMode="External"/><Relationship Id="rId940" Type="http://schemas.openxmlformats.org/officeDocument/2006/relationships/hyperlink" Target="https://techelectro.ru/prod/e-connectors/nshvi/nshvi_2_5_18/" TargetMode="External"/><Relationship Id="rId1016" Type="http://schemas.openxmlformats.org/officeDocument/2006/relationships/hyperlink" Target="https://techelectro.ru/prod/e-connectors/nshvi2/nshvi2_1_0-10/" TargetMode="External"/><Relationship Id="rId1570" Type="http://schemas.openxmlformats.org/officeDocument/2006/relationships/hyperlink" Target="https://techelectro.ru/prod/cable-kits/muffs1kv/3stp1sold/sku_88792/" TargetMode="External"/><Relationship Id="rId2414" Type="http://schemas.openxmlformats.org/officeDocument/2006/relationships/hyperlink" Target="https://techelectro.ru/prod/hstubes/gluetube/ttk31_red/ttk31-12r/" TargetMode="External"/><Relationship Id="rId2621" Type="http://schemas.openxmlformats.org/officeDocument/2006/relationships/hyperlink" Target="https://techelectro.ru/prod/hstubes/specialtube/tt-sng/ttsng9/" TargetMode="External"/><Relationship Id="rId5777" Type="http://schemas.openxmlformats.org/officeDocument/2006/relationships/hyperlink" Target="https://techelectro.ru/prod/staples/smo_inox/smo_inox-21-22/" TargetMode="External"/><Relationship Id="rId5984" Type="http://schemas.openxmlformats.org/officeDocument/2006/relationships/hyperlink" Target="https://techelectro.ru/prod/ground_wire/pz/pz_16-800/" TargetMode="External"/><Relationship Id="rId800" Type="http://schemas.openxmlformats.org/officeDocument/2006/relationships/hyperlink" Target="https://techelectro.ru/prod/insulugs/iquick/iquicksets-gsit/sku_91021/" TargetMode="External"/><Relationship Id="rId1223" Type="http://schemas.openxmlformats.org/officeDocument/2006/relationships/hyperlink" Target="https://techelectro.ru/prod/bolt-lugs/wire300-800/nbe35_300-800/3nbe35_300-400/" TargetMode="External"/><Relationship Id="rId1430" Type="http://schemas.openxmlformats.org/officeDocument/2006/relationships/hyperlink" Target="https://techelectro.ru/prod/cable-kits/kits-ngls-10kv/3rst-10ng-_ls/sku_88140/" TargetMode="External"/><Relationship Id="rId4379" Type="http://schemas.openxmlformats.org/officeDocument/2006/relationships/hyperlink" Target="https://techelectro.ru/prod/digital_meters/ecotesters/kt627/sku_90384/" TargetMode="External"/><Relationship Id="rId4586" Type="http://schemas.openxmlformats.org/officeDocument/2006/relationships/hyperlink" Target="https://techelectro.ru/prod/ties/nylonties/kss100-nord_white/kss_nord_9-760_white/" TargetMode="External"/><Relationship Id="rId4793" Type="http://schemas.openxmlformats.org/officeDocument/2006/relationships/hyperlink" Target="https://techelectro.ru/prod/steel-ties/steel_ties-labels/sks/sks4h100/" TargetMode="External"/><Relationship Id="rId5637" Type="http://schemas.openxmlformats.org/officeDocument/2006/relationships/hyperlink" Target="https://techelectro.ru/prod/metal-hose-fittings/fittings/vm-m/sku_88906/" TargetMode="External"/><Relationship Id="rId5844" Type="http://schemas.openxmlformats.org/officeDocument/2006/relationships/hyperlink" Target="https://techelectro.ru/prod/staples/smo_withouthole/sku_89326/" TargetMode="External"/><Relationship Id="rId3188" Type="http://schemas.openxmlformats.org/officeDocument/2006/relationships/hyperlink" Target="https://techelectro.ru/prod/wiring-tools/strippers/wire-strip/ws6/ws-06/" TargetMode="External"/><Relationship Id="rId3395" Type="http://schemas.openxmlformats.org/officeDocument/2006/relationships/hyperlink" Target="https://techelectro.ru/prod/wiring-tools/unwinding/hvltools/chm3/sku_109917/" TargetMode="External"/><Relationship Id="rId4239" Type="http://schemas.openxmlformats.org/officeDocument/2006/relationships/hyperlink" Target="https://techelectro.ru/prod/abcarm/sealinslugs/gia-mjpb16/sku_109213/" TargetMode="External"/><Relationship Id="rId4446" Type="http://schemas.openxmlformats.org/officeDocument/2006/relationships/hyperlink" Target="https://techelectro.ru/prod/ties/nylonties/kss_outlock_white/sku_111514/" TargetMode="External"/><Relationship Id="rId4653" Type="http://schemas.openxmlformats.org/officeDocument/2006/relationships/hyperlink" Target="https://techelectro.ru/prod/ties/nylonties/ksu/ksu6x180/" TargetMode="External"/><Relationship Id="rId4860" Type="http://schemas.openxmlformats.org/officeDocument/2006/relationships/hyperlink" Target="https://techelectro.ru/prod/steel-ties/steel_ties-labels/sks316p-red/sksp_316_7_9x800-red/" TargetMode="External"/><Relationship Id="rId5704" Type="http://schemas.openxmlformats.org/officeDocument/2006/relationships/hyperlink" Target="https://techelectro.ru/prod/metal-hose-fittings/fittings/smm/smm15/" TargetMode="External"/><Relationship Id="rId5911" Type="http://schemas.openxmlformats.org/officeDocument/2006/relationships/hyperlink" Target="https://techelectro.ru/prod/staples/spp/sku_103943/" TargetMode="External"/><Relationship Id="rId3048" Type="http://schemas.openxmlformats.org/officeDocument/2006/relationships/hyperlink" Target="https://techelectro.ru/prod/wiring-tools/crimpers_pgr/hv-crimpers/matrix_pg100t/msh-16-5a-100t/" TargetMode="External"/><Relationship Id="rId3255" Type="http://schemas.openxmlformats.org/officeDocument/2006/relationships/hyperlink" Target="https://techelectro.ru/prod/wiring-tools/boxtools/singlempo/sku_85303/" TargetMode="External"/><Relationship Id="rId3462" Type="http://schemas.openxmlformats.org/officeDocument/2006/relationships/hyperlink" Target="https://techelectro.ru/prod/wiring-tools/unwinding/fishtape/fgp4_5/fgp4_5-20r/" TargetMode="External"/><Relationship Id="rId4306" Type="http://schemas.openxmlformats.org/officeDocument/2006/relationships/hyperlink" Target="https://techelectro.ru/prod/abcarm/abctools/mi230u/mi-230u/" TargetMode="External"/><Relationship Id="rId4513" Type="http://schemas.openxmlformats.org/officeDocument/2006/relationships/hyperlink" Target="https://techelectro.ru/prod/ties/nylonties/kss-uv/sku_89911/" TargetMode="External"/><Relationship Id="rId4720" Type="http://schemas.openxmlformats.org/officeDocument/2006/relationships/hyperlink" Target="https://techelectro.ru/prod/ties/montage-acs/pmo_15h10_white/pmo15x10/" TargetMode="External"/><Relationship Id="rId176" Type="http://schemas.openxmlformats.org/officeDocument/2006/relationships/hyperlink" Target="https://techelectro.ru/prod/cable-lugs/cu/tmlr/sku_87469/" TargetMode="External"/><Relationship Id="rId383" Type="http://schemas.openxmlformats.org/officeDocument/2006/relationships/hyperlink" Target="https://techelectro.ru/prod/cable-lugs/al/ta/ta_35-10-8/" TargetMode="External"/><Relationship Id="rId590" Type="http://schemas.openxmlformats.org/officeDocument/2006/relationships/hyperlink" Target="https://techelectro.ru/prod/insulugs/ilugs/nvi_easyfix/sku_90901/" TargetMode="External"/><Relationship Id="rId2064" Type="http://schemas.openxmlformats.org/officeDocument/2006/relationships/hyperlink" Target="https://techelectro.ru/prod/hstubes/hstube/tutng-color/sku_102194/" TargetMode="External"/><Relationship Id="rId2271" Type="http://schemas.openxmlformats.org/officeDocument/2006/relationships/hyperlink" Target="https://techelectro.ru/prod/hstubes/hstube/tut-hf/tut_hf60-30_yellow/" TargetMode="External"/><Relationship Id="rId3115" Type="http://schemas.openxmlformats.org/officeDocument/2006/relationships/hyperlink" Target="https://techelectro.ru/prod/wiring-tools/cutters/hdcutters/ngo85/ngo-85/" TargetMode="External"/><Relationship Id="rId3322" Type="http://schemas.openxmlformats.org/officeDocument/2006/relationships/hyperlink" Target="https://techelectro.ru/prod/wiring-tools/hdrtools/hdr_tools/pmr7020/pmr-7020/" TargetMode="External"/><Relationship Id="rId243" Type="http://schemas.openxmlformats.org/officeDocument/2006/relationships/hyperlink" Target="https://techelectro.ru/prod/cable-lugs/cu/nshml/sku_87464/" TargetMode="External"/><Relationship Id="rId450" Type="http://schemas.openxmlformats.org/officeDocument/2006/relationships/hyperlink" Target="https://techelectro.ru/prod/cable-lugs/al/nsham/nsham_25/" TargetMode="External"/><Relationship Id="rId1080" Type="http://schemas.openxmlformats.org/officeDocument/2006/relationships/hyperlink" Target="https://techelectro.ru/prod/e-connectors/nshviset10/sku_83602/" TargetMode="External"/><Relationship Id="rId2131" Type="http://schemas.openxmlformats.org/officeDocument/2006/relationships/hyperlink" Target="https://techelectro.ru/prod/hstubes/hstube/tnt_hf/sku_82972/" TargetMode="External"/><Relationship Id="rId5287" Type="http://schemas.openxmlformats.org/officeDocument/2006/relationships/hyperlink" Target="https://techelectro.ru/prod/cable_entry/cable_entry_metal/gpm/sku_88233/" TargetMode="External"/><Relationship Id="rId5494" Type="http://schemas.openxmlformats.org/officeDocument/2006/relationships/hyperlink" Target="https://techelectro.ru/prod/metal-hose-fittings/hose/mrping_p_grey/sku_88307/" TargetMode="External"/><Relationship Id="rId103" Type="http://schemas.openxmlformats.org/officeDocument/2006/relationships/hyperlink" Target="https://techelectro.ru/prod/cable-lugs/cu/tm/sku_86998/" TargetMode="External"/><Relationship Id="rId310" Type="http://schemas.openxmlformats.org/officeDocument/2006/relationships/hyperlink" Target="https://techelectro.ru/prod/cable-lugs/cu/gml/gml_50/" TargetMode="External"/><Relationship Id="rId4096" Type="http://schemas.openxmlformats.org/officeDocument/2006/relationships/hyperlink" Target="https://techelectro.ru/prod/protection-safety/bags_packs/backpack-cruise/sku_102569/" TargetMode="External"/><Relationship Id="rId5147" Type="http://schemas.openxmlformats.org/officeDocument/2006/relationships/hyperlink" Target="https://techelectro.ru/prod/cable_entry/cable_entry_metal/mgm/sku_87976/" TargetMode="External"/><Relationship Id="rId1897" Type="http://schemas.openxmlformats.org/officeDocument/2006/relationships/hyperlink" Target="https://techelectro.ru/prod/cable_kits_acs/tpi/4tpi185-400/" TargetMode="External"/><Relationship Id="rId2948" Type="http://schemas.openxmlformats.org/officeDocument/2006/relationships/hyperlink" Target="https://techelectro.ru/prod/wiring-tools/crimpers_pgr/hdcrimp/pgra70/sku_91796/" TargetMode="External"/><Relationship Id="rId5354" Type="http://schemas.openxmlformats.org/officeDocument/2006/relationships/hyperlink" Target="https://techelectro.ru/prod/cable_entry/cable_entry_plastic/m/m63/" TargetMode="External"/><Relationship Id="rId5561" Type="http://schemas.openxmlformats.org/officeDocument/2006/relationships/hyperlink" Target="https://techelectro.ru/prod/metal-hose-fittings/hose/mrping-inox/sku_83050/" TargetMode="External"/><Relationship Id="rId1757" Type="http://schemas.openxmlformats.org/officeDocument/2006/relationships/hyperlink" Target="https://techelectro.ru/prod/cable-kits/muffs10kv/3kvtp-10/3kvtp10-70-121/" TargetMode="External"/><Relationship Id="rId1964" Type="http://schemas.openxmlformats.org/officeDocument/2006/relationships/hyperlink" Target="https://techelectro.ru/prod/cable_kits_acs/atm/atm1/" TargetMode="External"/><Relationship Id="rId2808" Type="http://schemas.openxmlformats.org/officeDocument/2006/relationships/hyperlink" Target="https://techelectro.ru/prod/wiring-tools/crimpers/insulugs-crimp/ctk/ctk10/" TargetMode="External"/><Relationship Id="rId4163" Type="http://schemas.openxmlformats.org/officeDocument/2006/relationships/hyperlink" Target="https://techelectro.ru/prod/protection-safety/flashlights/hl-6597/sku_88900/" TargetMode="External"/><Relationship Id="rId4370" Type="http://schemas.openxmlformats.org/officeDocument/2006/relationships/hyperlink" Target="https://techelectro.ru/prod/digital_meters/ecotesters/eco6/eco-6/" TargetMode="External"/><Relationship Id="rId5007" Type="http://schemas.openxmlformats.org/officeDocument/2006/relationships/hyperlink" Target="https://techelectro.ru/prod/strength-ties/screw-ties/pl9-w4/pl9-80-100w4/" TargetMode="External"/><Relationship Id="rId5214" Type="http://schemas.openxmlformats.org/officeDocument/2006/relationships/hyperlink" Target="https://techelectro.ru/prod/cable_entry/cable_entry_metal/pgm/pgm11/" TargetMode="External"/><Relationship Id="rId5421" Type="http://schemas.openxmlformats.org/officeDocument/2006/relationships/hyperlink" Target="https://techelectro.ru/prod/metal-hose-fittings/hose/mrping_nord-p/sku_87693/" TargetMode="External"/><Relationship Id="rId49" Type="http://schemas.openxmlformats.org/officeDocument/2006/relationships/hyperlink" Target="https://techelectro.ru/prod/cable-lugs/cu/tml/tml_16-8-6/" TargetMode="External"/><Relationship Id="rId1617" Type="http://schemas.openxmlformats.org/officeDocument/2006/relationships/hyperlink" Target="https://techelectro.ru/prod/cable-kits/muffs1kv/4_5pst-1/4pstb1-70-120_b/" TargetMode="External"/><Relationship Id="rId1824" Type="http://schemas.openxmlformats.org/officeDocument/2006/relationships/hyperlink" Target="https://techelectro.ru/prod/cable-kits/muffs10kv/psptp10/psptp10-150-240b/" TargetMode="External"/><Relationship Id="rId4023" Type="http://schemas.openxmlformats.org/officeDocument/2006/relationships/hyperlink" Target="https://techelectro.ru/prod/construction_hydraulics/flange_spreaders/rfg25/sku_110079/" TargetMode="External"/><Relationship Id="rId4230" Type="http://schemas.openxmlformats.org/officeDocument/2006/relationships/hyperlink" Target="https://techelectro.ru/prod/abcarm/anchor/ppz60/ppz-60/" TargetMode="External"/><Relationship Id="rId3789" Type="http://schemas.openxmlformats.org/officeDocument/2006/relationships/hyperlink" Target="https://techelectro.ru/prod/metalworking-tools/ft_pliers/minithinpliersft150/minithinpliersft-150/" TargetMode="External"/><Relationship Id="rId2598" Type="http://schemas.openxmlformats.org/officeDocument/2006/relationships/hyperlink" Target="https://techelectro.ru/prod/hstubes/highvoltagetube/ttsh10/sku_84898/" TargetMode="External"/><Relationship Id="rId3996" Type="http://schemas.openxmlformats.org/officeDocument/2006/relationships/hyperlink" Target="https://techelectro.ru/prod/construction_hydraulics/hydraulic_pullers/sga10/sga10/" TargetMode="External"/><Relationship Id="rId6055" Type="http://schemas.openxmlformats.org/officeDocument/2006/relationships/hyperlink" Target="https://techelectro.ru/prod/ground_wire/uhz/uhz-25-40-w2/" TargetMode="External"/><Relationship Id="rId3649" Type="http://schemas.openxmlformats.org/officeDocument/2006/relationships/hyperlink" Target="https://techelectro.ru/prod/vdetools/vde-knives/nki35/sku_101967/" TargetMode="External"/><Relationship Id="rId3856" Type="http://schemas.openxmlformats.org/officeDocument/2006/relationships/hyperlink" Target="https://techelectro.ru/prod/metalworking-tools/ft_wrench/ntksh6/sku_91950/" TargetMode="External"/><Relationship Id="rId4907" Type="http://schemas.openxmlformats.org/officeDocument/2006/relationships/hyperlink" Target="https://techelectro.ru/prod/steel-ties/steel_ties-labels/sks2-304/sks2-304-7x800/" TargetMode="External"/><Relationship Id="rId5071" Type="http://schemas.openxmlformats.org/officeDocument/2006/relationships/hyperlink" Target="https://techelectro.ru/prod/strength-ties/screw-ties/sr2/sr56-59w2/" TargetMode="External"/><Relationship Id="rId777" Type="http://schemas.openxmlformats.org/officeDocument/2006/relationships/hyperlink" Target="https://techelectro.ru/prod/insulugs/iquick/gsit/gsit_1_5/" TargetMode="External"/><Relationship Id="rId984" Type="http://schemas.openxmlformats.org/officeDocument/2006/relationships/hyperlink" Target="https://techelectro.ru/prod/e-connectors/nshvi/sku_108922/" TargetMode="External"/><Relationship Id="rId2458" Type="http://schemas.openxmlformats.org/officeDocument/2006/relationships/hyperlink" Target="https://techelectro.ru/prod/hstubes/gluetube/ttk31_blue/sku_102429/" TargetMode="External"/><Relationship Id="rId2665" Type="http://schemas.openxmlformats.org/officeDocument/2006/relationships/hyperlink" Target="https://techelectro.ru/prod/hstubes/specialtube/tt200_rolls/sku_90736/" TargetMode="External"/><Relationship Id="rId2872" Type="http://schemas.openxmlformats.org/officeDocument/2006/relationships/hyperlink" Target="https://techelectro.ru/prod/wiring-tools/crimpers/insulugs-crimp/pke02/sku_91853/" TargetMode="External"/><Relationship Id="rId3509" Type="http://schemas.openxmlformats.org/officeDocument/2006/relationships/hyperlink" Target="https://techelectro.ru/prod/wiring-tools/steeltiestools/tg5/tg-05/" TargetMode="External"/><Relationship Id="rId3716" Type="http://schemas.openxmlformats.org/officeDocument/2006/relationships/hyperlink" Target="https://techelectro.ru/prod/electric-tools/power-saws/cb20-140_ncs/sku_104540/" TargetMode="External"/><Relationship Id="rId3923" Type="http://schemas.openxmlformats.org/officeDocument/2006/relationships/hyperlink" Target="https://techelectro.ru/prod/metalworking-tools/ft_cutters/nmap250l/sku_102044/" TargetMode="External"/><Relationship Id="rId637" Type="http://schemas.openxmlformats.org/officeDocument/2006/relationships/hyperlink" Target="https://techelectro.ru/prod/insulugs/ilugs/ilugsets-nki/sku_90998/" TargetMode="External"/><Relationship Id="rId844" Type="http://schemas.openxmlformats.org/officeDocument/2006/relationships/hyperlink" Target="https://techelectro.ru/prod/insulugs/screw_clamp/zvi-u/sku_109261/" TargetMode="External"/><Relationship Id="rId1267" Type="http://schemas.openxmlformats.org/officeDocument/2006/relationships/hyperlink" Target="https://techelectro.ru/prod/cable-kits/kits-ngls-1kv/5pktp-1_ngls/5pktpng-ls1-70-120_b/" TargetMode="External"/><Relationship Id="rId1474" Type="http://schemas.openxmlformats.org/officeDocument/2006/relationships/hyperlink" Target="https://techelectro.ru/prod/cable-kits/muffs1kv/2-pktp-1/2pktp_b-1-25_50/" TargetMode="External"/><Relationship Id="rId1681" Type="http://schemas.openxmlformats.org/officeDocument/2006/relationships/hyperlink" Target="https://techelectro.ru/prod/cable-kits/muffs1kv/4_pktp_b_sip_1/4pktp_b-1-70-150_b/" TargetMode="External"/><Relationship Id="rId2318" Type="http://schemas.openxmlformats.org/officeDocument/2006/relationships/hyperlink" Target="https://techelectro.ru/prod/hstubes/hstube/tut-hf/sku_85118/" TargetMode="External"/><Relationship Id="rId2525" Type="http://schemas.openxmlformats.org/officeDocument/2006/relationships/hyperlink" Target="https://techelectro.ru/prod/hstubes/gluetube/tt6x/tt6x-119/" TargetMode="External"/><Relationship Id="rId2732" Type="http://schemas.openxmlformats.org/officeDocument/2006/relationships/hyperlink" Target="https://techelectro.ru/prod/insulating/xn/sku_106103/" TargetMode="External"/><Relationship Id="rId5888" Type="http://schemas.openxmlformats.org/officeDocument/2006/relationships/hyperlink" Target="https://techelectro.ru/prod/staples/smr15-inox/smr_inox_50-15/" TargetMode="External"/><Relationship Id="rId704" Type="http://schemas.openxmlformats.org/officeDocument/2006/relationships/hyperlink" Target="https://techelectro.ru/prod/insulugs/iplug/rpipn/rpipn_15/" TargetMode="External"/><Relationship Id="rId911" Type="http://schemas.openxmlformats.org/officeDocument/2006/relationships/hyperlink" Target="https://techelectro.ru/prod/insulugs/autoterminals/nak12/sku_85676/" TargetMode="External"/><Relationship Id="rId1127" Type="http://schemas.openxmlformats.org/officeDocument/2006/relationships/hyperlink" Target="https://techelectro.ru/prod/clamps_wago-smk/smk_222-2412/sku_87636/" TargetMode="External"/><Relationship Id="rId1334" Type="http://schemas.openxmlformats.org/officeDocument/2006/relationships/hyperlink" Target="https://techelectro.ru/prod/cable-kits/kits-ngls-1kv/5pst_ngls-1/5pst1-16-25_bngls/" TargetMode="External"/><Relationship Id="rId1541" Type="http://schemas.openxmlformats.org/officeDocument/2006/relationships/hyperlink" Target="https://techelectro.ru/prod/cable-kits/muffs1kv/pktp_mini/3pktp_mini_2-5_10/" TargetMode="External"/><Relationship Id="rId4697" Type="http://schemas.openxmlformats.org/officeDocument/2006/relationships/hyperlink" Target="https://techelectro.ru/prod/ties/nylonties/sv/sv16x210g/" TargetMode="External"/><Relationship Id="rId5748" Type="http://schemas.openxmlformats.org/officeDocument/2006/relationships/hyperlink" Target="https://techelectro.ru/prod/metal-hose-fittings/fittings/mvpng/mvpng25/" TargetMode="External"/><Relationship Id="rId5955" Type="http://schemas.openxmlformats.org/officeDocument/2006/relationships/hyperlink" Target="https://techelectro.ru/prod/staples/u/u-1_2/" TargetMode="External"/><Relationship Id="rId40" Type="http://schemas.openxmlformats.org/officeDocument/2006/relationships/hyperlink" Target="https://techelectro.ru/prod/cable-lugs/cu/tml/tml_4-6-3/" TargetMode="External"/><Relationship Id="rId1401" Type="http://schemas.openxmlformats.org/officeDocument/2006/relationships/hyperlink" Target="https://techelectro.ru/prod/cable-kits/kits-ngls-10kv/3rkvtp_ngls/sku_88129/" TargetMode="External"/><Relationship Id="rId3299" Type="http://schemas.openxmlformats.org/officeDocument/2006/relationships/hyperlink" Target="https://techelectro.ru/prod/wiring-tools/bustools/mpsho-95/mpsho-20/" TargetMode="External"/><Relationship Id="rId4557" Type="http://schemas.openxmlformats.org/officeDocument/2006/relationships/hyperlink" Target="https://techelectro.ru/prod/ties/nylonties/nss-black/sku_89928/" TargetMode="External"/><Relationship Id="rId4764" Type="http://schemas.openxmlformats.org/officeDocument/2006/relationships/hyperlink" Target="https://techelectro.ru/prod/ties/markers/fm2_5/fm-2-5/" TargetMode="External"/><Relationship Id="rId5608" Type="http://schemas.openxmlformats.org/officeDocument/2006/relationships/hyperlink" Target="https://techelectro.ru/prod/metal-hose-fittings/hose/r3ch/r3-ch-38/" TargetMode="External"/><Relationship Id="rId3159" Type="http://schemas.openxmlformats.org/officeDocument/2006/relationships/hyperlink" Target="https://techelectro.ru/prod/wiring-tools/cutters_din/br-brg-cutters/brm_1050/sku_92115/" TargetMode="External"/><Relationship Id="rId3366" Type="http://schemas.openxmlformats.org/officeDocument/2006/relationships/hyperlink" Target="https://techelectro.ru/prod/wiring-tools/unwinding/hvltools/vm-20/vm-20/" TargetMode="External"/><Relationship Id="rId3573" Type="http://schemas.openxmlformats.org/officeDocument/2006/relationships/hyperlink" Target="https://techelectro.ru/prod/vdetools/vde-screwdrivers/vde-screwdrivers-profi/profi_ph1x80/" TargetMode="External"/><Relationship Id="rId4417" Type="http://schemas.openxmlformats.org/officeDocument/2006/relationships/hyperlink" Target="https://techelectro.ru/prod/ties/nylonties/kss/kss8h450/" TargetMode="External"/><Relationship Id="rId4971" Type="http://schemas.openxmlformats.org/officeDocument/2006/relationships/hyperlink" Target="https://techelectro.ru/prod/strength-ties/screw-ties/pl9-w1/w1-130-150/" TargetMode="External"/><Relationship Id="rId5815" Type="http://schemas.openxmlformats.org/officeDocument/2006/relationships/hyperlink" Target="https://techelectro.ru/prod/staples/smd/smd_16-17/" TargetMode="External"/><Relationship Id="rId287" Type="http://schemas.openxmlformats.org/officeDocument/2006/relationships/hyperlink" Target="https://techelectro.ru/prod/cable-lugs/cu/gm/sku_45286/" TargetMode="External"/><Relationship Id="rId494" Type="http://schemas.openxmlformats.org/officeDocument/2006/relationships/hyperlink" Target="https://techelectro.ru/prod/insulugs/ilugs/nki/nki_6_0_8/" TargetMode="External"/><Relationship Id="rId2175" Type="http://schemas.openxmlformats.org/officeDocument/2006/relationships/hyperlink" Target="https://techelectro.ru/prod/hstubes/hstube/tnt_hf/sku_85004/" TargetMode="External"/><Relationship Id="rId2382" Type="http://schemas.openxmlformats.org/officeDocument/2006/relationships/hyperlink" Target="https://techelectro.ru/prod/hstubes/gluetube/ttk_flex_3_1/sku_85205/" TargetMode="External"/><Relationship Id="rId3019" Type="http://schemas.openxmlformats.org/officeDocument/2006/relationships/hyperlink" Target="https://techelectro.ru/prod/wiring-tools/crimpers_pgr/hv-crimpers/matrix_pg60t/msh-26-9/" TargetMode="External"/><Relationship Id="rId3226" Type="http://schemas.openxmlformats.org/officeDocument/2006/relationships/hyperlink" Target="https://techelectro.ru/prod/wiring-tools/boxtools/ppo-115/sku_85376/" TargetMode="External"/><Relationship Id="rId3780" Type="http://schemas.openxmlformats.org/officeDocument/2006/relationships/hyperlink" Target="https://techelectro.ru/prod/metalworking-tools/ft_pliers/roundnoseft160/roundnoseft-160/" TargetMode="External"/><Relationship Id="rId4624" Type="http://schemas.openxmlformats.org/officeDocument/2006/relationships/hyperlink" Target="https://techelectro.ru/prod/ties/nylonties/kss-colors/sku_90330/" TargetMode="External"/><Relationship Id="rId4831" Type="http://schemas.openxmlformats.org/officeDocument/2006/relationships/hyperlink" Target="https://techelectro.ru/prod/steel-ties/steel_ties-labels/sks316p/sks316p-4x200/" TargetMode="External"/><Relationship Id="rId147" Type="http://schemas.openxmlformats.org/officeDocument/2006/relationships/hyperlink" Target="https://techelectro.ru/prod/cable-lugs/cu/tmldin/tml_din_185_12/" TargetMode="External"/><Relationship Id="rId354" Type="http://schemas.openxmlformats.org/officeDocument/2006/relationships/hyperlink" Target="https://techelectro.ru/prod/cable-lugs/cu/gmls/sku_88084/" TargetMode="External"/><Relationship Id="rId1191" Type="http://schemas.openxmlformats.org/officeDocument/2006/relationships/hyperlink" Target="https://techelectro.ru/prod/bolt-lugs/wire10-240/sbe35/4sbe35_150-240/" TargetMode="External"/><Relationship Id="rId2035" Type="http://schemas.openxmlformats.org/officeDocument/2006/relationships/hyperlink" Target="https://techelectro.ru/prod/hstubes/hstube/tutng-color/sku_102165/" TargetMode="External"/><Relationship Id="rId3433" Type="http://schemas.openxmlformats.org/officeDocument/2006/relationships/hyperlink" Target="https://techelectro.ru/prod/wiring-tools/unwinding/fishtape/stp4/stp4_30/" TargetMode="External"/><Relationship Id="rId3640" Type="http://schemas.openxmlformats.org/officeDocument/2006/relationships/hyperlink" Target="https://techelectro.ru/prod/vdetools/vde-knives/nmi15/sku_86567/" TargetMode="External"/><Relationship Id="rId561" Type="http://schemas.openxmlformats.org/officeDocument/2006/relationships/hyperlink" Target="https://techelectro.ru/prod/insulugs/ilugs/vnki/vnki_6_0_6/" TargetMode="External"/><Relationship Id="rId2242" Type="http://schemas.openxmlformats.org/officeDocument/2006/relationships/hyperlink" Target="https://techelectro.ru/prod/hstubes/hstube/tut_hf/sku_83023/" TargetMode="External"/><Relationship Id="rId3500" Type="http://schemas.openxmlformats.org/officeDocument/2006/relationships/hyperlink" Target="https://techelectro.ru/prod/wiring-tools/hstools/gt14/sku_88070/" TargetMode="External"/><Relationship Id="rId5398" Type="http://schemas.openxmlformats.org/officeDocument/2006/relationships/hyperlink" Target="https://techelectro.ru/prod/waterproof_connections/ffc-32_3p-ip68/sku_89669/" TargetMode="External"/><Relationship Id="rId214" Type="http://schemas.openxmlformats.org/officeDocument/2006/relationships/hyperlink" Target="https://techelectro.ru/prod/cable-lugs/cu/pm/pm_25_8/" TargetMode="External"/><Relationship Id="rId421" Type="http://schemas.openxmlformats.org/officeDocument/2006/relationships/hyperlink" Target="https://techelectro.ru/prod/cable-lugs/al/gam/sku_90834/" TargetMode="External"/><Relationship Id="rId1051" Type="http://schemas.openxmlformats.org/officeDocument/2006/relationships/hyperlink" Target="https://techelectro.ru/prod/e-connectors/nshvi2_euro/sku_108983/" TargetMode="External"/><Relationship Id="rId2102" Type="http://schemas.openxmlformats.org/officeDocument/2006/relationships/hyperlink" Target="https://techelectro.ru/prod/hstubes/hstube/tut_ng-ls_3_1/sku_91899/" TargetMode="External"/><Relationship Id="rId5258" Type="http://schemas.openxmlformats.org/officeDocument/2006/relationships/hyperlink" Target="https://techelectro.ru/prod/cable_entry/cable_entry_metal/vk-m-mr/sku_89106/" TargetMode="External"/><Relationship Id="rId5465" Type="http://schemas.openxmlformats.org/officeDocument/2006/relationships/hyperlink" Target="https://techelectro.ru/prod/metal-hose-fittings/hose/mrping/sku_64854/" TargetMode="External"/><Relationship Id="rId5672" Type="http://schemas.openxmlformats.org/officeDocument/2006/relationships/hyperlink" Target="https://techelectro.ru/prod/metal-hose-fittings/fittings/vmn/vmn38/" TargetMode="External"/><Relationship Id="rId1868" Type="http://schemas.openxmlformats.org/officeDocument/2006/relationships/hyperlink" Target="https://techelectro.ru/prod/cable_kits_acs/rics/riks_150-300/" TargetMode="External"/><Relationship Id="rId4067" Type="http://schemas.openxmlformats.org/officeDocument/2006/relationships/hyperlink" Target="https://techelectro.ru/prod/fixing_tools/gcn90/sku_104524/" TargetMode="External"/><Relationship Id="rId4274" Type="http://schemas.openxmlformats.org/officeDocument/2006/relationships/hyperlink" Target="https://techelectro.ru/prod/abcarm/sealinslugs/nim-cptau70/sku_103167/" TargetMode="External"/><Relationship Id="rId4481" Type="http://schemas.openxmlformats.org/officeDocument/2006/relationships/hyperlink" Target="https://techelectro.ru/prod/ties/nylonties/kss-uv/sku_89903/" TargetMode="External"/><Relationship Id="rId5118" Type="http://schemas.openxmlformats.org/officeDocument/2006/relationships/hyperlink" Target="https://techelectro.ru/prod/strength-ties/pipe-ties/thn/th_inox_-6/" TargetMode="External"/><Relationship Id="rId5325" Type="http://schemas.openxmlformats.org/officeDocument/2006/relationships/hyperlink" Target="https://techelectro.ru/prod/cable_entry/cable_entry_plastic/pg/pg42/" TargetMode="External"/><Relationship Id="rId5532" Type="http://schemas.openxmlformats.org/officeDocument/2006/relationships/hyperlink" Target="https://techelectro.ru/prod/metal-hose-fittings/hose/mgpunglstitan/mg-pung-ls_25_titan/" TargetMode="External"/><Relationship Id="rId2919" Type="http://schemas.openxmlformats.org/officeDocument/2006/relationships/hyperlink" Target="https://techelectro.ru/prod/wiring-tools/crimpers/conn-crimp/pkv50/pkv-50/" TargetMode="External"/><Relationship Id="rId3083" Type="http://schemas.openxmlformats.org/officeDocument/2006/relationships/hyperlink" Target="https://techelectro.ru/prod/wiring-tools/cutters/wirecutters/nkm40/nkm-40/" TargetMode="External"/><Relationship Id="rId3290" Type="http://schemas.openxmlformats.org/officeDocument/2006/relationships/hyperlink" Target="https://techelectro.ru/prod/wiring-tools/bustools/shgr125neo/shgr-125neo/" TargetMode="External"/><Relationship Id="rId4134" Type="http://schemas.openxmlformats.org/officeDocument/2006/relationships/hyperlink" Target="https://techelectro.ru/prod/protection-safety/protection/s33/s-33m/" TargetMode="External"/><Relationship Id="rId4341" Type="http://schemas.openxmlformats.org/officeDocument/2006/relationships/hyperlink" Target="https://techelectro.ru/prod/digital_meters/testers_detectors/kt5203/sku_89638/" TargetMode="External"/><Relationship Id="rId1728" Type="http://schemas.openxmlformats.org/officeDocument/2006/relationships/hyperlink" Target="https://techelectro.ru/prod/cable-kits/muffs10kv/3pkntp-10/3pkntp10-150-240/" TargetMode="External"/><Relationship Id="rId1935" Type="http://schemas.openxmlformats.org/officeDocument/2006/relationships/hyperlink" Target="https://techelectro.ru/prod/cable_kits_acs/trma/trm-a_75_15-600/" TargetMode="External"/><Relationship Id="rId3150" Type="http://schemas.openxmlformats.org/officeDocument/2006/relationships/hyperlink" Target="https://techelectro.ru/prod/wiring-tools/cutters_din/br-brg-cutters/br_600/br-600/" TargetMode="External"/><Relationship Id="rId4201" Type="http://schemas.openxmlformats.org/officeDocument/2006/relationships/hyperlink" Target="https://techelectro.ru/prod/abcarm/pierce/zpon16-150_4-50/sku_108662/" TargetMode="External"/><Relationship Id="rId3010" Type="http://schemas.openxmlformats.org/officeDocument/2006/relationships/hyperlink" Target="https://techelectro.ru/prod/wiring-tools/crimpers_pgr/hv-crimpers/matrix_pg60t/sku_70487/" TargetMode="External"/><Relationship Id="rId3967" Type="http://schemas.openxmlformats.org/officeDocument/2006/relationships/hyperlink" Target="https://techelectro.ru/prod/construction_hydraulics/jack/jack_hd/dup/sku_84571/" TargetMode="External"/><Relationship Id="rId4" Type="http://schemas.openxmlformats.org/officeDocument/2006/relationships/hyperlink" Target="https://techelectro.ru/prod/cable-lugs/cu/tmls/tmls_2-5_6/" TargetMode="External"/><Relationship Id="rId888" Type="http://schemas.openxmlformats.org/officeDocument/2006/relationships/hyperlink" Target="https://techelectro.ru/prod/insulugs/lighting_clamps/ke10-504/sku_109236/" TargetMode="External"/><Relationship Id="rId2569" Type="http://schemas.openxmlformats.org/officeDocument/2006/relationships/hyperlink" Target="https://techelectro.ru/prod/hstubes/hstubeset/5_colors/sku_85295/" TargetMode="External"/><Relationship Id="rId2776" Type="http://schemas.openxmlformats.org/officeDocument/2006/relationships/hyperlink" Target="https://techelectro.ru/prod/insulating/xs/sku_106131/" TargetMode="External"/><Relationship Id="rId2983" Type="http://schemas.openxmlformats.org/officeDocument/2006/relationships/hyperlink" Target="https://techelectro.ru/prod/wiring-tools/crimpers_pgr/hv-crimpers/matrix_pg60t/c-20/" TargetMode="External"/><Relationship Id="rId3827" Type="http://schemas.openxmlformats.org/officeDocument/2006/relationships/hyperlink" Target="https://techelectro.ru/prod/metalworking-tools/ft_pumpliers/pumpliersft-150profi/sku_110477/" TargetMode="External"/><Relationship Id="rId5182" Type="http://schemas.openxmlformats.org/officeDocument/2006/relationships/hyperlink" Target="https://techelectro.ru/prod/cable_entry/cable_entry_metal/mgm-xl/sku_88622/" TargetMode="External"/><Relationship Id="rId6026" Type="http://schemas.openxmlformats.org/officeDocument/2006/relationships/hyperlink" Target="https://techelectro.ru/prod/ground_wire/pzu/pzu-10-350/" TargetMode="External"/><Relationship Id="rId748" Type="http://schemas.openxmlformats.org/officeDocument/2006/relationships/hyperlink" Target="https://techelectro.ru/prod/insulugs/iplug/iplugsets-rpim/sku_91025/" TargetMode="External"/><Relationship Id="rId955" Type="http://schemas.openxmlformats.org/officeDocument/2006/relationships/hyperlink" Target="https://techelectro.ru/prod/e-connectors/nshvi/nshvi_150_27/" TargetMode="External"/><Relationship Id="rId1378" Type="http://schemas.openxmlformats.org/officeDocument/2006/relationships/hyperlink" Target="https://techelectro.ru/prod/cable-kits/kits-ngls-10kv/1pkvt10ngls/1pkvt10-300-400ngls/" TargetMode="External"/><Relationship Id="rId1585" Type="http://schemas.openxmlformats.org/officeDocument/2006/relationships/hyperlink" Target="https://techelectro.ru/prod/cable-kits/muffs1kv/3pst-1/sku_74659/" TargetMode="External"/><Relationship Id="rId1792" Type="http://schemas.openxmlformats.org/officeDocument/2006/relationships/hyperlink" Target="https://techelectro.ru/prod/cable-kits/muffs10kv/3pst10/3pst10-35-50/" TargetMode="External"/><Relationship Id="rId2429" Type="http://schemas.openxmlformats.org/officeDocument/2006/relationships/hyperlink" Target="https://techelectro.ru/prod/hstubes/gluetube/ttk31_white/sku_106554/" TargetMode="External"/><Relationship Id="rId2636" Type="http://schemas.openxmlformats.org/officeDocument/2006/relationships/hyperlink" Target="https://techelectro.ru/prod/hstubes/specialtube/ttgsm/sku_84889/" TargetMode="External"/><Relationship Id="rId2843" Type="http://schemas.openxmlformats.org/officeDocument/2006/relationships/hyperlink" Target="https://techelectro.ru/prod/wiring-tools/crimpers/insulugs-crimp/ctb/ctb11/" TargetMode="External"/><Relationship Id="rId5042" Type="http://schemas.openxmlformats.org/officeDocument/2006/relationships/hyperlink" Target="https://techelectro.ru/prod/strength-ties/screw-ties/sr/sr_60-63_w1/" TargetMode="External"/><Relationship Id="rId5999" Type="http://schemas.openxmlformats.org/officeDocument/2006/relationships/hyperlink" Target="https://techelectro.ru/prod/ground_wire/pz/pz_35-600/" TargetMode="External"/><Relationship Id="rId84" Type="http://schemas.openxmlformats.org/officeDocument/2006/relationships/hyperlink" Target="https://techelectro.ru/prod/cable-lugs/cu/tml/tml_185_16_23/" TargetMode="External"/><Relationship Id="rId608" Type="http://schemas.openxmlformats.org/officeDocument/2006/relationships/hyperlink" Target="https://techelectro.ru/prod/insulugs/ilugs/nvin/sku_108548/" TargetMode="External"/><Relationship Id="rId815" Type="http://schemas.openxmlformats.org/officeDocument/2006/relationships/hyperlink" Target="https://techelectro.ru/prod/insulugs/siz_kiz/sizk/sizk7/" TargetMode="External"/><Relationship Id="rId1238" Type="http://schemas.openxmlformats.org/officeDocument/2006/relationships/hyperlink" Target="https://techelectro.ru/prod/cable-kits/kits-ngls-1kv/4_kvntp-1_ngls/4kvntpngls1-150-240_b/" TargetMode="External"/><Relationship Id="rId1445" Type="http://schemas.openxmlformats.org/officeDocument/2006/relationships/hyperlink" Target="https://techelectro.ru/prod/cable-kits/muffs1kv/4_3-kvntp-1/4kvntp1-150-240/" TargetMode="External"/><Relationship Id="rId1652" Type="http://schemas.openxmlformats.org/officeDocument/2006/relationships/hyperlink" Target="https://techelectro.ru/prod/cable-kits/muffs1kv/mks/sku_102651/" TargetMode="External"/><Relationship Id="rId1305" Type="http://schemas.openxmlformats.org/officeDocument/2006/relationships/hyperlink" Target="https://techelectro.ru/prod/cable-kits/kits-ngls-1kv/4_3stp_ngls/4stpngls1-70-120_b/" TargetMode="External"/><Relationship Id="rId2703" Type="http://schemas.openxmlformats.org/officeDocument/2006/relationships/hyperlink" Target="https://techelectro.ru/prod/insulating/lo/lo_35-50/" TargetMode="External"/><Relationship Id="rId2910" Type="http://schemas.openxmlformats.org/officeDocument/2006/relationships/hyperlink" Target="https://techelectro.ru/prod/wiring-tools/crimpers/conn-crimp/pkvsh10a/sku_101398/" TargetMode="External"/><Relationship Id="rId5859" Type="http://schemas.openxmlformats.org/officeDocument/2006/relationships/hyperlink" Target="https://techelectro.ru/prod/staples/smr15/smr_10-15/" TargetMode="External"/><Relationship Id="rId1512" Type="http://schemas.openxmlformats.org/officeDocument/2006/relationships/hyperlink" Target="https://techelectro.ru/prod/cable-kits/muffs1kv/4_5-pktp-1/4pktp_b-1-_70_120_b/" TargetMode="External"/><Relationship Id="rId4668" Type="http://schemas.openxmlformats.org/officeDocument/2006/relationships/hyperlink" Target="https://techelectro.ru/prod/ties/nylonties/kso-black/kso_4h110black/" TargetMode="External"/><Relationship Id="rId4875" Type="http://schemas.openxmlformats.org/officeDocument/2006/relationships/hyperlink" Target="https://techelectro.ru/prod/steel-ties/steel_ties-labels/sksp/sksp7h300/" TargetMode="External"/><Relationship Id="rId5719" Type="http://schemas.openxmlformats.org/officeDocument/2006/relationships/hyperlink" Target="https://techelectro.ru/prod/metal-hose-fittings/fittings/stmr/stmr32/" TargetMode="External"/><Relationship Id="rId5926" Type="http://schemas.openxmlformats.org/officeDocument/2006/relationships/hyperlink" Target="https://techelectro.ru/prod/staples/snk_black/sku_103933/" TargetMode="External"/><Relationship Id="rId11" Type="http://schemas.openxmlformats.org/officeDocument/2006/relationships/hyperlink" Target="https://techelectro.ru/prod/cable-lugs/cu/tmls/tmls_16_6/" TargetMode="External"/><Relationship Id="rId398" Type="http://schemas.openxmlformats.org/officeDocument/2006/relationships/hyperlink" Target="https://techelectro.ru/prod/cable-lugs/al/ga/ga_95/" TargetMode="External"/><Relationship Id="rId2079" Type="http://schemas.openxmlformats.org/officeDocument/2006/relationships/hyperlink" Target="https://techelectro.ru/prod/hstubes/hstube/tutng-color/sku_102209/" TargetMode="External"/><Relationship Id="rId3477" Type="http://schemas.openxmlformats.org/officeDocument/2006/relationships/hyperlink" Target="https://techelectro.ru/prod/wiring-tools/unwinding/fishtape/fgp6/fgp6-70/" TargetMode="External"/><Relationship Id="rId3684" Type="http://schemas.openxmlformats.org/officeDocument/2006/relationships/hyperlink" Target="https://techelectro.ru/prod/electric-tools/cordless-drills/dbr16-13/sku_106678/" TargetMode="External"/><Relationship Id="rId3891" Type="http://schemas.openxmlformats.org/officeDocument/2006/relationships/hyperlink" Target="https://techelectro.ru/prod/metalworking-tools/ft_hummers/ms400/ms-400/" TargetMode="External"/><Relationship Id="rId4528" Type="http://schemas.openxmlformats.org/officeDocument/2006/relationships/hyperlink" Target="https://techelectro.ru/prod/ties/nylonties/kss_multilock_uv/sku_102326/" TargetMode="External"/><Relationship Id="rId4735" Type="http://schemas.openxmlformats.org/officeDocument/2006/relationships/hyperlink" Target="https://techelectro.ru/prod/ties/montage-acs/ndp/sku_111263/" TargetMode="External"/><Relationship Id="rId4942" Type="http://schemas.openxmlformats.org/officeDocument/2006/relationships/hyperlink" Target="https://techelectro.ru/prod/steel-ties/steel_tape-brace/lksp316/lks_p316-1204/" TargetMode="External"/><Relationship Id="rId2286" Type="http://schemas.openxmlformats.org/officeDocument/2006/relationships/hyperlink" Target="https://techelectro.ru/prod/hstubes/hstube/tut-hf/sku_84968/" TargetMode="External"/><Relationship Id="rId2493" Type="http://schemas.openxmlformats.org/officeDocument/2006/relationships/hyperlink" Target="https://techelectro.ru/prod/hstubes/gluetube/ttv/ttv130-1200/" TargetMode="External"/><Relationship Id="rId3337" Type="http://schemas.openxmlformats.org/officeDocument/2006/relationships/hyperlink" Target="https://techelectro.ru/prod/wiring-tools/hdrtools/hdr_tools/pme7100/sku_91798/" TargetMode="External"/><Relationship Id="rId3544" Type="http://schemas.openxmlformats.org/officeDocument/2006/relationships/hyperlink" Target="https://techelectro.ru/prod/vdetools/pliers/combpliers180/pliers-180/" TargetMode="External"/><Relationship Id="rId3751" Type="http://schemas.openxmlformats.org/officeDocument/2006/relationships/hyperlink" Target="https://techelectro.ru/prod/electric-tools/accessories/crowns/m16-16_dust_remove/sku_102565/" TargetMode="External"/><Relationship Id="rId4802" Type="http://schemas.openxmlformats.org/officeDocument/2006/relationships/hyperlink" Target="https://techelectro.ru/prod/steel-ties/steel_ties-labels/sks/sks4h800/" TargetMode="External"/><Relationship Id="rId258" Type="http://schemas.openxmlformats.org/officeDocument/2006/relationships/hyperlink" Target="https://techelectro.ru/prod/cable-lugs/cu/tmls90/tmls_90_50-10/" TargetMode="External"/><Relationship Id="rId465" Type="http://schemas.openxmlformats.org/officeDocument/2006/relationships/hyperlink" Target="https://techelectro.ru/prod/cable-lugs/al/sham/sham_17-8-5/" TargetMode="External"/><Relationship Id="rId672" Type="http://schemas.openxmlformats.org/officeDocument/2006/relationships/hyperlink" Target="https://techelectro.ru/prod/insulugs/iplug/rpim/sku_108588/" TargetMode="External"/><Relationship Id="rId1095" Type="http://schemas.openxmlformats.org/officeDocument/2006/relationships/hyperlink" Target="https://techelectro.ru/prod/clamps_wago-smk/smk_2273-245_paste/sku_87650/" TargetMode="External"/><Relationship Id="rId2146" Type="http://schemas.openxmlformats.org/officeDocument/2006/relationships/hyperlink" Target="https://techelectro.ru/prod/hstubes/hstube/tnt_hf/sku_82984/" TargetMode="External"/><Relationship Id="rId2353" Type="http://schemas.openxmlformats.org/officeDocument/2006/relationships/hyperlink" Target="https://techelectro.ru/prod/hstubes/gluetube/ttk21/sku_85083/" TargetMode="External"/><Relationship Id="rId2560" Type="http://schemas.openxmlformats.org/officeDocument/2006/relationships/hyperlink" Target="https://techelectro.ru/prod/hstubes/hstubeset/monohrom/monohrom-20-10/" TargetMode="External"/><Relationship Id="rId3404" Type="http://schemas.openxmlformats.org/officeDocument/2006/relationships/hyperlink" Target="https://techelectro.ru/prod/wiring-tools/unwinding/hvltools/chm2s/sku_109870/" TargetMode="External"/><Relationship Id="rId3611" Type="http://schemas.openxmlformats.org/officeDocument/2006/relationships/hyperlink" Target="https://techelectro.ru/prod/vdetools/vde-screwdrivers/nio-2207_pz-fl/sku_103018/" TargetMode="External"/><Relationship Id="rId118" Type="http://schemas.openxmlformats.org/officeDocument/2006/relationships/hyperlink" Target="https://techelectro.ru/prod/cable-lugs/cu/tm/sku_87001/" TargetMode="External"/><Relationship Id="rId325" Type="http://schemas.openxmlformats.org/officeDocument/2006/relationships/hyperlink" Target="https://techelectro.ru/prod/cable-lugs/cu/gmldin/gmldin_120/" TargetMode="External"/><Relationship Id="rId532" Type="http://schemas.openxmlformats.org/officeDocument/2006/relationships/hyperlink" Target="https://techelectro.ru/prod/insulugs/ilugs/nki_easyfix/sku_108559/" TargetMode="External"/><Relationship Id="rId1162" Type="http://schemas.openxmlformats.org/officeDocument/2006/relationships/hyperlink" Target="https://techelectro.ru/prod/bolt-lugs/wire10-240/sb/sku_105211/" TargetMode="External"/><Relationship Id="rId2006" Type="http://schemas.openxmlformats.org/officeDocument/2006/relationships/hyperlink" Target="https://techelectro.ru/prod/ukpt_ogt/ukpt/ukpt120-28/" TargetMode="External"/><Relationship Id="rId2213" Type="http://schemas.openxmlformats.org/officeDocument/2006/relationships/hyperlink" Target="https://techelectro.ru/prod/hstubes/hstube/tutng/tutng120/" TargetMode="External"/><Relationship Id="rId2420" Type="http://schemas.openxmlformats.org/officeDocument/2006/relationships/hyperlink" Target="https://techelectro.ru/prod/hstubes/gluetube/ttk31_white/sku_84859/" TargetMode="External"/><Relationship Id="rId5369" Type="http://schemas.openxmlformats.org/officeDocument/2006/relationships/hyperlink" Target="https://techelectro.ru/prod/cable_entry/cable_entry_plastic/vk-vp-m/sku_88636/" TargetMode="External"/><Relationship Id="rId5576" Type="http://schemas.openxmlformats.org/officeDocument/2006/relationships/hyperlink" Target="https://techelectro.ru/prod/metal-hose-fittings/hose/mrping-inox_p/sku_104465/" TargetMode="External"/><Relationship Id="rId5783" Type="http://schemas.openxmlformats.org/officeDocument/2006/relationships/hyperlink" Target="https://techelectro.ru/prod/staples/smd_inox/smd_inox_12-13/" TargetMode="External"/><Relationship Id="rId1022" Type="http://schemas.openxmlformats.org/officeDocument/2006/relationships/hyperlink" Target="https://techelectro.ru/prod/e-connectors/nshvi2/nshvi2_6_0-14/" TargetMode="External"/><Relationship Id="rId4178" Type="http://schemas.openxmlformats.org/officeDocument/2006/relationships/hyperlink" Target="https://techelectro.ru/prod/plumbing-tools/battery_pipe_tool/u16-32/sku_89621/" TargetMode="External"/><Relationship Id="rId4385" Type="http://schemas.openxmlformats.org/officeDocument/2006/relationships/hyperlink" Target="https://techelectro.ru/prod/digital_meters/measuring_electrode/kt3001/sku_89656/" TargetMode="External"/><Relationship Id="rId4592" Type="http://schemas.openxmlformats.org/officeDocument/2006/relationships/hyperlink" Target="https://techelectro.ru/prod/ties/nylonties/kss100-nord_black/sku_89941/" TargetMode="External"/><Relationship Id="rId5229" Type="http://schemas.openxmlformats.org/officeDocument/2006/relationships/hyperlink" Target="https://techelectro.ru/prod/cable_entry/cable_entry_metal/pgm-l/sku_88835/" TargetMode="External"/><Relationship Id="rId5436" Type="http://schemas.openxmlformats.org/officeDocument/2006/relationships/hyperlink" Target="https://techelectro.ru/prod/metal-hose-fittings/hose/r3cp-ngls/r3cpngls_22/" TargetMode="External"/><Relationship Id="rId5990" Type="http://schemas.openxmlformats.org/officeDocument/2006/relationships/hyperlink" Target="https://techelectro.ru/prod/ground_wire/pz/pz_25-500/" TargetMode="External"/><Relationship Id="rId1979" Type="http://schemas.openxmlformats.org/officeDocument/2006/relationships/hyperlink" Target="https://techelectro.ru/prod/cable_kits_acs/kmpb/kmpb5/" TargetMode="External"/><Relationship Id="rId3194" Type="http://schemas.openxmlformats.org/officeDocument/2006/relationships/hyperlink" Target="https://techelectro.ru/prod/wiring-tools/strippers/cable-strip/ks28/ks-28/" TargetMode="External"/><Relationship Id="rId4038" Type="http://schemas.openxmlformats.org/officeDocument/2006/relationships/hyperlink" Target="https://techelectro.ru/prod/construction_hydraulics/glg-cutters/ur75/sku_89257/" TargetMode="External"/><Relationship Id="rId4245" Type="http://schemas.openxmlformats.org/officeDocument/2006/relationships/hyperlink" Target="https://techelectro.ru/prod/abcarm/sealinslugs/gif-mjpt16/sku_109221/" TargetMode="External"/><Relationship Id="rId5643" Type="http://schemas.openxmlformats.org/officeDocument/2006/relationships/hyperlink" Target="https://techelectro.ru/prod/metal-hose-fittings/fittings/vm-m/sku_88912/" TargetMode="External"/><Relationship Id="rId5850" Type="http://schemas.openxmlformats.org/officeDocument/2006/relationships/hyperlink" Target="https://techelectro.ru/prod/staples/smo_withouthole/sku_85586/" TargetMode="External"/><Relationship Id="rId1839" Type="http://schemas.openxmlformats.org/officeDocument/2006/relationships/hyperlink" Target="https://techelectro.ru/prod/cable-kits/muffs-35kv/1pst-20/sku_90351/" TargetMode="External"/><Relationship Id="rId3054" Type="http://schemas.openxmlformats.org/officeDocument/2006/relationships/hyperlink" Target="https://techelectro.ru/prod/wiring-tools/crimpers_pgr/hv-crimpers/matrix_pg100t/msh-31-2a-100t/" TargetMode="External"/><Relationship Id="rId4452" Type="http://schemas.openxmlformats.org/officeDocument/2006/relationships/hyperlink" Target="https://techelectro.ru/prod/ties/nylonties/nss/sku_89913/" TargetMode="External"/><Relationship Id="rId5503" Type="http://schemas.openxmlformats.org/officeDocument/2006/relationships/hyperlink" Target="https://techelectro.ru/prod/metal-hose-fittings/hose/mrping-diesel_p/sku_88460/" TargetMode="External"/><Relationship Id="rId5710" Type="http://schemas.openxmlformats.org/officeDocument/2006/relationships/hyperlink" Target="https://techelectro.ru/prod/metal-hose-fittings/fittings/att/sku_92318/" TargetMode="External"/><Relationship Id="rId182" Type="http://schemas.openxmlformats.org/officeDocument/2006/relationships/hyperlink" Target="https://techelectro.ru/prod/cable-lugs/cu/tmlr/sku_87475/" TargetMode="External"/><Relationship Id="rId1906" Type="http://schemas.openxmlformats.org/officeDocument/2006/relationships/hyperlink" Target="https://techelectro.ru/prod/cable_kits_acs/roller_springs/ppd1/" TargetMode="External"/><Relationship Id="rId3261" Type="http://schemas.openxmlformats.org/officeDocument/2006/relationships/hyperlink" Target="https://techelectro.ru/prod/wiring-tools/boxtools/singlempo/sku_85308/" TargetMode="External"/><Relationship Id="rId4105" Type="http://schemas.openxmlformats.org/officeDocument/2006/relationships/hyperlink" Target="https://techelectro.ru/prod/protection-safety/bags_packs/sm_2/sku_83136/" TargetMode="External"/><Relationship Id="rId4312" Type="http://schemas.openxmlformats.org/officeDocument/2006/relationships/hyperlink" Target="https://techelectro.ru/prod/digital_meters/multimeters/kt_108/sku_86324/" TargetMode="External"/><Relationship Id="rId2070" Type="http://schemas.openxmlformats.org/officeDocument/2006/relationships/hyperlink" Target="https://techelectro.ru/prod/hstubes/hstube/tutng-color/sku_102200/" TargetMode="External"/><Relationship Id="rId3121" Type="http://schemas.openxmlformats.org/officeDocument/2006/relationships/hyperlink" Target="https://techelectro.ru/prod/wiring-tools/cutters/hdcutters/ngpi105/ngpi-105/" TargetMode="External"/><Relationship Id="rId999" Type="http://schemas.openxmlformats.org/officeDocument/2006/relationships/hyperlink" Target="https://techelectro.ru/prod/e-connectors/nshvi_euro/sku_108991/" TargetMode="External"/><Relationship Id="rId2887" Type="http://schemas.openxmlformats.org/officeDocument/2006/relationships/hyperlink" Target="https://techelectro.ru/prod/wiring-tools/crimpers/insulugs-crimp/mpk14/mpk_14/" TargetMode="External"/><Relationship Id="rId5086" Type="http://schemas.openxmlformats.org/officeDocument/2006/relationships/hyperlink" Target="https://techelectro.ru/prod/strength-ties/screw-ties/sr2/sr162-174w2/" TargetMode="External"/><Relationship Id="rId5293" Type="http://schemas.openxmlformats.org/officeDocument/2006/relationships/hyperlink" Target="https://techelectro.ru/prod/cable_entry/cable_entry_metal/gz-m/sku_88239/" TargetMode="External"/><Relationship Id="rId859" Type="http://schemas.openxmlformats.org/officeDocument/2006/relationships/hyperlink" Target="https://techelectro.ru/prod/insulugs/screw_clamp/kzvi/sku_87179/" TargetMode="External"/><Relationship Id="rId1489" Type="http://schemas.openxmlformats.org/officeDocument/2006/relationships/hyperlink" Target="https://techelectro.ru/prod/cable-kits/muffs1kv/3-pktp-1/3pktp_b-1-_70_120/" TargetMode="External"/><Relationship Id="rId1696" Type="http://schemas.openxmlformats.org/officeDocument/2006/relationships/hyperlink" Target="https://techelectro.ru/prod/cable-kits/muffs10kv/1pkvt-10/1pkvt10-150-240/" TargetMode="External"/><Relationship Id="rId3938" Type="http://schemas.openxmlformats.org/officeDocument/2006/relationships/hyperlink" Target="https://techelectro.ru/prod/construction_hydraulics/jack/jack_hd/dnmt100/sku_84597/" TargetMode="External"/><Relationship Id="rId5153" Type="http://schemas.openxmlformats.org/officeDocument/2006/relationships/hyperlink" Target="https://techelectro.ru/prod/cable_entry/cable_entry_metal/mgm/sku_87982/" TargetMode="External"/><Relationship Id="rId5360" Type="http://schemas.openxmlformats.org/officeDocument/2006/relationships/hyperlink" Target="https://techelectro.ru/prod/cable_entry/cable_entry_plastic/m-l/sku_85480/" TargetMode="External"/><Relationship Id="rId1349" Type="http://schemas.openxmlformats.org/officeDocument/2006/relationships/hyperlink" Target="https://techelectro.ru/prod/cable-kits/kits-ngls-1kv/1pstb_ngls/1pstb1-150-240b_ngls/" TargetMode="External"/><Relationship Id="rId2747" Type="http://schemas.openxmlformats.org/officeDocument/2006/relationships/hyperlink" Target="https://techelectro.ru/prod/insulating/xp_mini/sku_90921/" TargetMode="External"/><Relationship Id="rId2954" Type="http://schemas.openxmlformats.org/officeDocument/2006/relationships/hyperlink" Target="https://techelectro.ru/prod/wiring-tools/crimpers_pgr/hdcrimp/pg240bma/sku_101938/" TargetMode="External"/><Relationship Id="rId5013" Type="http://schemas.openxmlformats.org/officeDocument/2006/relationships/hyperlink" Target="https://techelectro.ru/prod/strength-ties/screw-ties/pl12-w2/sku_103915/" TargetMode="External"/><Relationship Id="rId5220" Type="http://schemas.openxmlformats.org/officeDocument/2006/relationships/hyperlink" Target="https://techelectro.ru/prod/cable_entry/cable_entry_metal/pgm/pgm29/" TargetMode="External"/><Relationship Id="rId719" Type="http://schemas.openxmlformats.org/officeDocument/2006/relationships/hyperlink" Target="https://techelectro.ru/prod/insulugs/iplug/rfimn/sku_108607/" TargetMode="External"/><Relationship Id="rId926" Type="http://schemas.openxmlformats.org/officeDocument/2006/relationships/hyperlink" Target="https://techelectro.ru/prod/e-connectors/nshvi/nshvi_0_25-8/" TargetMode="External"/><Relationship Id="rId1556" Type="http://schemas.openxmlformats.org/officeDocument/2006/relationships/hyperlink" Target="https://techelectro.ru/prod/cable-kits/muffs1kv/4stp1sold/sku_88778/" TargetMode="External"/><Relationship Id="rId1763" Type="http://schemas.openxmlformats.org/officeDocument/2006/relationships/hyperlink" Target="https://techelectro.ru/prod/cable-kits/muffs10kv/3kntp10sold/sku_88759/" TargetMode="External"/><Relationship Id="rId1970" Type="http://schemas.openxmlformats.org/officeDocument/2006/relationships/hyperlink" Target="https://techelectro.ru/prod/cable_kits_acs/kbm-k/sku_84299/" TargetMode="External"/><Relationship Id="rId2607" Type="http://schemas.openxmlformats.org/officeDocument/2006/relationships/hyperlink" Target="https://techelectro.ru/prod/hstubes/highvoltagetube/ttsh35/ttsh35-65/" TargetMode="External"/><Relationship Id="rId2814" Type="http://schemas.openxmlformats.org/officeDocument/2006/relationships/hyperlink" Target="https://techelectro.ru/prod/wiring-tools/crimpers/insulugs-crimp/ctk/sku_90969/" TargetMode="External"/><Relationship Id="rId55" Type="http://schemas.openxmlformats.org/officeDocument/2006/relationships/hyperlink" Target="https://techelectro.ru/prod/cable-lugs/cu/tml/tml_35-8-9/" TargetMode="External"/><Relationship Id="rId1209" Type="http://schemas.openxmlformats.org/officeDocument/2006/relationships/hyperlink" Target="https://techelectro.ru/prod/bolt-lugs/wire10-240/sbtk/sbtk_25-70/" TargetMode="External"/><Relationship Id="rId1416" Type="http://schemas.openxmlformats.org/officeDocument/2006/relationships/hyperlink" Target="https://techelectro.ru/prod/cable-kits/kits-ngls-10kv/1pst10ngls/1pst10-70-120_bngls/" TargetMode="External"/><Relationship Id="rId1623" Type="http://schemas.openxmlformats.org/officeDocument/2006/relationships/hyperlink" Target="https://techelectro.ru/prod/cable-kits/muffs1kv/5pst-1/5pst1-150-240/" TargetMode="External"/><Relationship Id="rId1830" Type="http://schemas.openxmlformats.org/officeDocument/2006/relationships/hyperlink" Target="https://techelectro.ru/prod/cable-kits/muffs-35kv/1pkt-20/1pkvt20-300-400b/" TargetMode="External"/><Relationship Id="rId4779" Type="http://schemas.openxmlformats.org/officeDocument/2006/relationships/hyperlink" Target="https://techelectro.ru/prod/steel-ties/steel_ties-labels/sks316/sks316-7x300/" TargetMode="External"/><Relationship Id="rId4986" Type="http://schemas.openxmlformats.org/officeDocument/2006/relationships/hyperlink" Target="https://techelectro.ru/prod/strength-ties/screw-ties/pl9-w2/w2-60-80/" TargetMode="External"/><Relationship Id="rId3588" Type="http://schemas.openxmlformats.org/officeDocument/2006/relationships/hyperlink" Target="https://techelectro.ru/prod/vdetools/vde-screwdrivers/nio-15/sku_103015/" TargetMode="External"/><Relationship Id="rId3795" Type="http://schemas.openxmlformats.org/officeDocument/2006/relationships/hyperlink" Target="https://techelectro.ru/prod/metalworking-tools/ft_screwdrivers/nis-04/sku_92066/" TargetMode="External"/><Relationship Id="rId4639" Type="http://schemas.openxmlformats.org/officeDocument/2006/relationships/hyperlink" Target="https://techelectro.ru/prod/ties/nylonties/ksz/ksz4x200/" TargetMode="External"/><Relationship Id="rId4846" Type="http://schemas.openxmlformats.org/officeDocument/2006/relationships/hyperlink" Target="https://techelectro.ru/prod/steel-ties/steel_ties-labels/sks316p/sks316p-7x500/" TargetMode="External"/><Relationship Id="rId2397" Type="http://schemas.openxmlformats.org/officeDocument/2006/relationships/hyperlink" Target="https://techelectro.ru/prod/hstubes/gluetube/ttk2/sku_88178/" TargetMode="External"/><Relationship Id="rId3448" Type="http://schemas.openxmlformats.org/officeDocument/2006/relationships/hyperlink" Target="https://techelectro.ru/prod/wiring-tools/unwinding/fishtape/pet3-6/pet6_30/" TargetMode="External"/><Relationship Id="rId3655" Type="http://schemas.openxmlformats.org/officeDocument/2006/relationships/hyperlink" Target="https://techelectro.ru/prod/vdetools/vde-sets/vde-sets-nii/nii12/nii-12/" TargetMode="External"/><Relationship Id="rId3862" Type="http://schemas.openxmlformats.org/officeDocument/2006/relationships/hyperlink" Target="https://techelectro.ru/prod/metalworking-tools/ft_wrench/wrench-piece/wrench-piece-16/" TargetMode="External"/><Relationship Id="rId4706" Type="http://schemas.openxmlformats.org/officeDocument/2006/relationships/hyperlink" Target="https://techelectro.ru/prod/ties/dowel_clamps/dh_19_25/dh19-25/" TargetMode="External"/><Relationship Id="rId6061" Type="http://schemas.openxmlformats.org/officeDocument/2006/relationships/hyperlink" Target="https://techelectro.ru/prod/ground_wire/uhz_inox/sku_84642/" TargetMode="External"/><Relationship Id="rId369" Type="http://schemas.openxmlformats.org/officeDocument/2006/relationships/hyperlink" Target="https://techelectro.ru/prod/cable-lugs/cu/lugset-tmls/set-tmls16-6/" TargetMode="External"/><Relationship Id="rId576" Type="http://schemas.openxmlformats.org/officeDocument/2006/relationships/hyperlink" Target="https://techelectro.ru/prod/insulugs/ilugs/nvi/nvi_2_5_6/" TargetMode="External"/><Relationship Id="rId783" Type="http://schemas.openxmlformats.org/officeDocument/2006/relationships/hyperlink" Target="https://techelectro.ru/prod/insulugs/iquick/pk-t/sku_83601/" TargetMode="External"/><Relationship Id="rId990" Type="http://schemas.openxmlformats.org/officeDocument/2006/relationships/hyperlink" Target="https://techelectro.ru/prod/e-connectors/nshvi_euro/sku_103201/" TargetMode="External"/><Relationship Id="rId2257" Type="http://schemas.openxmlformats.org/officeDocument/2006/relationships/hyperlink" Target="https://techelectro.ru/prod/hstubes/hstube/tut-hf/sku_91710/" TargetMode="External"/><Relationship Id="rId2464" Type="http://schemas.openxmlformats.org/officeDocument/2006/relationships/hyperlink" Target="https://techelectro.ru/prod/hstubes/gluetube/ttk135/sku_104411/" TargetMode="External"/><Relationship Id="rId2671" Type="http://schemas.openxmlformats.org/officeDocument/2006/relationships/hyperlink" Target="https://techelectro.ru/prod/insulating/pvc-15-0_13/sku_90806/" TargetMode="External"/><Relationship Id="rId3308" Type="http://schemas.openxmlformats.org/officeDocument/2006/relationships/hyperlink" Target="https://techelectro.ru/prod/wiring-tools/bustools/mpsho-110/sku_85329/" TargetMode="External"/><Relationship Id="rId3515" Type="http://schemas.openxmlformats.org/officeDocument/2006/relationships/hyperlink" Target="https://techelectro.ru/prod/wiring-tools/ft_kesh/kesh5m/sku_84624/" TargetMode="External"/><Relationship Id="rId4913" Type="http://schemas.openxmlformats.org/officeDocument/2006/relationships/hyperlink" Target="https://techelectro.ru/prod/steel-ties/steel_ties-labels/sklp316/sklp7x200/" TargetMode="External"/><Relationship Id="rId229" Type="http://schemas.openxmlformats.org/officeDocument/2006/relationships/hyperlink" Target="https://techelectro.ru/prod/cable-lugs/cu/nsp/nshp_16_13/" TargetMode="External"/><Relationship Id="rId436" Type="http://schemas.openxmlformats.org/officeDocument/2006/relationships/hyperlink" Target="https://techelectro.ru/prod/cable-lugs/al/gam/sku_90849/" TargetMode="External"/><Relationship Id="rId643" Type="http://schemas.openxmlformats.org/officeDocument/2006/relationships/hyperlink" Target="https://techelectro.ru/prod/insulugs/ilugs/ilugsets-nki/sku_91004/" TargetMode="External"/><Relationship Id="rId1066" Type="http://schemas.openxmlformats.org/officeDocument/2006/relationships/hyperlink" Target="https://techelectro.ru/prod/e-connectors/nshv/sku_108939/" TargetMode="External"/><Relationship Id="rId1273" Type="http://schemas.openxmlformats.org/officeDocument/2006/relationships/hyperlink" Target="https://techelectro.ru/prod/cable-kits/kits-ngls-1kv/5pktp-1_ngls/5pktp_bng-ls1-16-25_b/" TargetMode="External"/><Relationship Id="rId1480" Type="http://schemas.openxmlformats.org/officeDocument/2006/relationships/hyperlink" Target="https://techelectro.ru/prod/cable-kits/muffs1kv/3-pktp-1/3pktp-1-35_50/" TargetMode="External"/><Relationship Id="rId2117" Type="http://schemas.openxmlformats.org/officeDocument/2006/relationships/hyperlink" Target="https://techelectro.ru/prod/hstubes/hstube/tnt_hf/sku_84982/" TargetMode="External"/><Relationship Id="rId2324" Type="http://schemas.openxmlformats.org/officeDocument/2006/relationships/hyperlink" Target="https://techelectro.ru/prod/hstubes/hstube/t-box-color/tbox16w/" TargetMode="External"/><Relationship Id="rId3722" Type="http://schemas.openxmlformats.org/officeDocument/2006/relationships/hyperlink" Target="https://techelectro.ru/prod/electric-tools/power-saws/sshn/sku_106938/" TargetMode="External"/><Relationship Id="rId850" Type="http://schemas.openxmlformats.org/officeDocument/2006/relationships/hyperlink" Target="https://techelectro.ru/prod/insulugs/screw_clamp/zvi-ng_white/sku_87174/" TargetMode="External"/><Relationship Id="rId1133" Type="http://schemas.openxmlformats.org/officeDocument/2006/relationships/hyperlink" Target="https://techelectro.ru/prod/clamps_wago-smk/smk_222-424/sku_109305/" TargetMode="External"/><Relationship Id="rId2531" Type="http://schemas.openxmlformats.org/officeDocument/2006/relationships/hyperlink" Target="https://techelectro.ru/prod/hstubes/hstubeset/kolorit/kolorit-10-5/" TargetMode="External"/><Relationship Id="rId4289" Type="http://schemas.openxmlformats.org/officeDocument/2006/relationships/hyperlink" Target="https://techelectro.ru/prod/abcarm/abctools/mz_sip_4_29-41/mz-29-41/" TargetMode="External"/><Relationship Id="rId5687" Type="http://schemas.openxmlformats.org/officeDocument/2006/relationships/hyperlink" Target="https://techelectro.ru/prod/metal-hose-fittings/fittings/stmr_inox/sku_83761/" TargetMode="External"/><Relationship Id="rId5894" Type="http://schemas.openxmlformats.org/officeDocument/2006/relationships/hyperlink" Target="https://techelectro.ru/prod/staples/lmp/sku_106596/" TargetMode="External"/><Relationship Id="rId503" Type="http://schemas.openxmlformats.org/officeDocument/2006/relationships/hyperlink" Target="https://techelectro.ru/prod/insulugs/ilugs/nki/sku_108520/" TargetMode="External"/><Relationship Id="rId710" Type="http://schemas.openxmlformats.org/officeDocument/2006/relationships/hyperlink" Target="https://techelectro.ru/prod/insulugs/iplug/rpimn/rpimn_15/" TargetMode="External"/><Relationship Id="rId1340" Type="http://schemas.openxmlformats.org/officeDocument/2006/relationships/hyperlink" Target="https://techelectro.ru/prod/cable-kits/kits-ngls-1kv/5pst_ngls-1/5pstb1-70-120ngls/" TargetMode="External"/><Relationship Id="rId3098" Type="http://schemas.openxmlformats.org/officeDocument/2006/relationships/hyperlink" Target="https://techelectro.ru/prod/wiring-tools/cutters/sectioncutters/nsi70/sku_91814/" TargetMode="External"/><Relationship Id="rId4496" Type="http://schemas.openxmlformats.org/officeDocument/2006/relationships/hyperlink" Target="https://techelectro.ru/prod/ties/nylonties/kss-uv/kss8x200b/" TargetMode="External"/><Relationship Id="rId5547" Type="http://schemas.openxmlformats.org/officeDocument/2006/relationships/hyperlink" Target="https://techelectro.ru/prod/metal-hose-fittings/hose/mg-p/sku_88436/" TargetMode="External"/><Relationship Id="rId5754" Type="http://schemas.openxmlformats.org/officeDocument/2006/relationships/hyperlink" Target="https://techelectro.ru/prod/metal-hose-fittings/fittings/pipe_bushings/v28/" TargetMode="External"/><Relationship Id="rId5961" Type="http://schemas.openxmlformats.org/officeDocument/2006/relationships/hyperlink" Target="https://techelectro.ru/prod/staples/u/u-2_1_2/" TargetMode="External"/><Relationship Id="rId1200" Type="http://schemas.openxmlformats.org/officeDocument/2006/relationships/hyperlink" Target="https://techelectro.ru/prod/bolt-lugs/wire10-240/sbe_gph/sku_105910/" TargetMode="External"/><Relationship Id="rId4149" Type="http://schemas.openxmlformats.org/officeDocument/2006/relationships/hyperlink" Target="https://techelectro.ru/prod/protection-safety/safety/sk21/sk-21/" TargetMode="External"/><Relationship Id="rId4356" Type="http://schemas.openxmlformats.org/officeDocument/2006/relationships/hyperlink" Target="https://techelectro.ru/prod/digital_meters/testers_detectors/kt_6818/sku_86214/" TargetMode="External"/><Relationship Id="rId4563" Type="http://schemas.openxmlformats.org/officeDocument/2006/relationships/hyperlink" Target="https://techelectro.ru/prod/ties/nylonties/kss100-nord_white/kss_nord_3-200_white/" TargetMode="External"/><Relationship Id="rId4770" Type="http://schemas.openxmlformats.org/officeDocument/2006/relationships/hyperlink" Target="https://techelectro.ru/prod/steel-ties/steel_ties-labels/sks316/sks316-4x350/" TargetMode="External"/><Relationship Id="rId5407" Type="http://schemas.openxmlformats.org/officeDocument/2006/relationships/hyperlink" Target="https://techelectro.ru/prod/metal-hose-fittings/hose/mrping_nord/sku_87692/" TargetMode="External"/><Relationship Id="rId5614" Type="http://schemas.openxmlformats.org/officeDocument/2006/relationships/hyperlink" Target="https://techelectro.ru/prod/metal-hose-fittings/hose/r3ch_p/r3ch12_p/" TargetMode="External"/><Relationship Id="rId5821" Type="http://schemas.openxmlformats.org/officeDocument/2006/relationships/hyperlink" Target="https://techelectro.ru/prod/staples/smd/smd_48-50/" TargetMode="External"/><Relationship Id="rId3165" Type="http://schemas.openxmlformats.org/officeDocument/2006/relationships/hyperlink" Target="https://techelectro.ru/prod/wiring-tools/strippers/wire-strip/ws5/ws-05/" TargetMode="External"/><Relationship Id="rId3372" Type="http://schemas.openxmlformats.org/officeDocument/2006/relationships/hyperlink" Target="https://techelectro.ru/prod/wiring-tools/unwinding/hvltools/chm/chm-30/" TargetMode="External"/><Relationship Id="rId4009" Type="http://schemas.openxmlformats.org/officeDocument/2006/relationships/hyperlink" Target="https://techelectro.ru/prod/construction_hydraulics/hydraulic_pullers/sgn100/sku_104344/" TargetMode="External"/><Relationship Id="rId4216" Type="http://schemas.openxmlformats.org/officeDocument/2006/relationships/hyperlink" Target="https://techelectro.ru/prod/abcarm/pierce/pza16-150/pza_16-150/" TargetMode="External"/><Relationship Id="rId4423" Type="http://schemas.openxmlformats.org/officeDocument/2006/relationships/hyperlink" Target="https://techelectro.ru/prod/ties/nylonties/kss/kss9h650/" TargetMode="External"/><Relationship Id="rId4630" Type="http://schemas.openxmlformats.org/officeDocument/2006/relationships/hyperlink" Target="https://techelectro.ru/prod/ties/nylonties/ksth/kst5x200/" TargetMode="External"/><Relationship Id="rId293" Type="http://schemas.openxmlformats.org/officeDocument/2006/relationships/hyperlink" Target="https://techelectro.ru/prod/cable-lugs/cu/gm/sku_41634/" TargetMode="External"/><Relationship Id="rId2181" Type="http://schemas.openxmlformats.org/officeDocument/2006/relationships/hyperlink" Target="https://techelectro.ru/prod/hstubes/hstube/tnt_ng-ls_colors/sku_84992/" TargetMode="External"/><Relationship Id="rId3025" Type="http://schemas.openxmlformats.org/officeDocument/2006/relationships/hyperlink" Target="https://techelectro.ru/prod/wiring-tools/crimpers_pgr/hv-crimpers/matrix_pg100t/a-31-5-100t/" TargetMode="External"/><Relationship Id="rId3232" Type="http://schemas.openxmlformats.org/officeDocument/2006/relationships/hyperlink" Target="https://techelectro.ru/prod/wiring-tools/boxtools/pgapo60a/pgapo-60a/" TargetMode="External"/><Relationship Id="rId153" Type="http://schemas.openxmlformats.org/officeDocument/2006/relationships/hyperlink" Target="https://techelectro.ru/prod/cable-lugs/cu/tmldin/tml_din_400_16/" TargetMode="External"/><Relationship Id="rId360" Type="http://schemas.openxmlformats.org/officeDocument/2006/relationships/hyperlink" Target="https://techelectro.ru/prod/cable-lugs/cu/gmls/sku_88090/" TargetMode="External"/><Relationship Id="rId2041" Type="http://schemas.openxmlformats.org/officeDocument/2006/relationships/hyperlink" Target="https://techelectro.ru/prod/hstubes/hstube/tutng-color/sku_102171/" TargetMode="External"/><Relationship Id="rId5197" Type="http://schemas.openxmlformats.org/officeDocument/2006/relationships/hyperlink" Target="https://techelectro.ru/prod/cable_entry/cable_entry_metal/mgm-emc/sku_89323/" TargetMode="External"/><Relationship Id="rId220" Type="http://schemas.openxmlformats.org/officeDocument/2006/relationships/hyperlink" Target="https://techelectro.ru/prod/cable-lugs/cu/pm/pm_70_10/" TargetMode="External"/><Relationship Id="rId2998" Type="http://schemas.openxmlformats.org/officeDocument/2006/relationships/hyperlink" Target="https://techelectro.ru/prod/wiring-tools/crimpers_pgr/hv-crimpers/matrix_pg60t/msh-23-4/" TargetMode="External"/><Relationship Id="rId5057" Type="http://schemas.openxmlformats.org/officeDocument/2006/relationships/hyperlink" Target="https://techelectro.ru/prod/strength-ties/screw-ties/sr/sr_201-213_w1/" TargetMode="External"/><Relationship Id="rId5264" Type="http://schemas.openxmlformats.org/officeDocument/2006/relationships/hyperlink" Target="https://techelectro.ru/prod/cable_entry/cable_entry_metal/vk-m-mr/sku_89109/" TargetMode="External"/><Relationship Id="rId2858" Type="http://schemas.openxmlformats.org/officeDocument/2006/relationships/hyperlink" Target="https://techelectro.ru/prod/wiring-tools/crimpers/insulugs-crimp/cto9/sku_90778/" TargetMode="External"/><Relationship Id="rId3909" Type="http://schemas.openxmlformats.org/officeDocument/2006/relationships/hyperlink" Target="https://techelectro.ru/prod/metalworking-tools/ft_knives/nsm1/nsm-01/" TargetMode="External"/><Relationship Id="rId4073" Type="http://schemas.openxmlformats.org/officeDocument/2006/relationships/hyperlink" Target="https://techelectro.ru/prod/fixing_tools/zr5/zr-5/" TargetMode="External"/><Relationship Id="rId5471" Type="http://schemas.openxmlformats.org/officeDocument/2006/relationships/hyperlink" Target="https://techelectro.ru/prod/metal-hose-fittings/hose/mrping_p/sku_65019/" TargetMode="External"/><Relationship Id="rId99" Type="http://schemas.openxmlformats.org/officeDocument/2006/relationships/hyperlink" Target="https://techelectro.ru/prod/cable-lugs/cu/tm/tm_16_8_6/" TargetMode="External"/><Relationship Id="rId1667" Type="http://schemas.openxmlformats.org/officeDocument/2006/relationships/hyperlink" Target="https://techelectro.ru/prod/cable-kits/muffs1kv/4_5pto-1/4pto1-16/" TargetMode="External"/><Relationship Id="rId1874" Type="http://schemas.openxmlformats.org/officeDocument/2006/relationships/hyperlink" Target="https://techelectro.ru/prod/cable_kits_acs/tping/3tping-150-240/" TargetMode="External"/><Relationship Id="rId2718" Type="http://schemas.openxmlformats.org/officeDocument/2006/relationships/hyperlink" Target="https://techelectro.ru/prod/insulating/bsp/sku_106071/" TargetMode="External"/><Relationship Id="rId2925" Type="http://schemas.openxmlformats.org/officeDocument/2006/relationships/hyperlink" Target="https://techelectro.ru/prod/wiring-tools/crimpers_pgr/hdcrimp/pgr70tr/sku_91808/" TargetMode="External"/><Relationship Id="rId4280" Type="http://schemas.openxmlformats.org/officeDocument/2006/relationships/hyperlink" Target="https://techelectro.ru/prod/abcarm/abctools/nis1/nis-1/" TargetMode="External"/><Relationship Id="rId5124" Type="http://schemas.openxmlformats.org/officeDocument/2006/relationships/hyperlink" Target="https://techelectro.ru/prod/strength-ties/pipe-ties/th/th1-1_4/" TargetMode="External"/><Relationship Id="rId5331" Type="http://schemas.openxmlformats.org/officeDocument/2006/relationships/hyperlink" Target="https://techelectro.ru/prod/cable_entry/cable_entry_plastic/mg/mg16/" TargetMode="External"/><Relationship Id="rId1527" Type="http://schemas.openxmlformats.org/officeDocument/2006/relationships/hyperlink" Target="https://techelectro.ru/prod/cable-kits/muffs1kv/5-pktp-1/5pktp_b-1-16_25_b/" TargetMode="External"/><Relationship Id="rId1734" Type="http://schemas.openxmlformats.org/officeDocument/2006/relationships/hyperlink" Target="https://techelectro.ru/prod/cable-kits/muffs10kv/3rkvtp-10/sku_88106/" TargetMode="External"/><Relationship Id="rId1941" Type="http://schemas.openxmlformats.org/officeDocument/2006/relationships/hyperlink" Target="https://techelectro.ru/prod/cable_kits_acs/pml/sku_84295/" TargetMode="External"/><Relationship Id="rId4140" Type="http://schemas.openxmlformats.org/officeDocument/2006/relationships/hyperlink" Target="https://techelectro.ru/prod/protection-safety/protection/om-04/om04/" TargetMode="External"/><Relationship Id="rId26" Type="http://schemas.openxmlformats.org/officeDocument/2006/relationships/hyperlink" Target="https://techelectro.ru/prod/cable-lugs/cu/tmls/tmls_120_10/" TargetMode="External"/><Relationship Id="rId3699" Type="http://schemas.openxmlformats.org/officeDocument/2006/relationships/hyperlink" Target="https://techelectro.ru/prod/electric-tools/grinders/gb20-125r/sku_104533/" TargetMode="External"/><Relationship Id="rId4000" Type="http://schemas.openxmlformats.org/officeDocument/2006/relationships/hyperlink" Target="https://techelectro.ru/prod/construction_hydraulics/hydraulic_pullers/sga50/sga50/" TargetMode="External"/><Relationship Id="rId1801" Type="http://schemas.openxmlformats.org/officeDocument/2006/relationships/hyperlink" Target="https://techelectro.ru/prod/cable-kits/muffs10kv/3rst-10/sku_88132/" TargetMode="External"/><Relationship Id="rId3559" Type="http://schemas.openxmlformats.org/officeDocument/2006/relationships/hyperlink" Target="https://techelectro.ru/prod/vdetools/pliers/combpliersexp180/pliersexp-180/" TargetMode="External"/><Relationship Id="rId4957" Type="http://schemas.openxmlformats.org/officeDocument/2006/relationships/hyperlink" Target="https://techelectro.ru/prod/strength-ties/screw-ties/pl9-w1/w1-16-25/" TargetMode="External"/><Relationship Id="rId687" Type="http://schemas.openxmlformats.org/officeDocument/2006/relationships/hyperlink" Target="https://techelectro.ru/prod/insulugs/iplug/rppim/sku_108597/" TargetMode="External"/><Relationship Id="rId2368" Type="http://schemas.openxmlformats.org/officeDocument/2006/relationships/hyperlink" Target="https://techelectro.ru/prod/hstubes/gluetube/ttk31/sku_84873/" TargetMode="External"/><Relationship Id="rId3766" Type="http://schemas.openxmlformats.org/officeDocument/2006/relationships/hyperlink" Target="https://techelectro.ru/prod/generators/inverter-generators/gsi1200/sku_110030/" TargetMode="External"/><Relationship Id="rId3973" Type="http://schemas.openxmlformats.org/officeDocument/2006/relationships/hyperlink" Target="https://techelectro.ru/prod/construction_hydraulics/jack/jack_hd/dgpg/sku_84587/" TargetMode="External"/><Relationship Id="rId4817" Type="http://schemas.openxmlformats.org/officeDocument/2006/relationships/hyperlink" Target="https://techelectro.ru/prod/steel-ties/steel_ties-labels/sks/sks4h1005/" TargetMode="External"/><Relationship Id="rId6032" Type="http://schemas.openxmlformats.org/officeDocument/2006/relationships/hyperlink" Target="https://techelectro.ru/prod/ground_wire/pzu/pzu-16-150/" TargetMode="External"/><Relationship Id="rId894" Type="http://schemas.openxmlformats.org/officeDocument/2006/relationships/hyperlink" Target="https://techelectro.ru/prod/insulugs/autoterminals/rp-p_1_5_4_8/sku_109248/" TargetMode="External"/><Relationship Id="rId1177" Type="http://schemas.openxmlformats.org/officeDocument/2006/relationships/hyperlink" Target="https://techelectro.ru/prod/bolt-lugs/wire10-240/sbe/4sbe70120/" TargetMode="External"/><Relationship Id="rId2575" Type="http://schemas.openxmlformats.org/officeDocument/2006/relationships/hyperlink" Target="https://techelectro.ru/prod/hstubes/hstubeset/5_colors/sku_85300/" TargetMode="External"/><Relationship Id="rId2782" Type="http://schemas.openxmlformats.org/officeDocument/2006/relationships/hyperlink" Target="https://techelectro.ru/prod/insulating/xs/sku_85383/" TargetMode="External"/><Relationship Id="rId3419" Type="http://schemas.openxmlformats.org/officeDocument/2006/relationships/hyperlink" Target="https://techelectro.ru/prod/wiring-tools/unwinding/hvltools/chmt/sku_109908/" TargetMode="External"/><Relationship Id="rId3626" Type="http://schemas.openxmlformats.org/officeDocument/2006/relationships/hyperlink" Target="https://techelectro.ru/prod/vdetools/vde-screwdrivers/nio4408/nio-4408/" TargetMode="External"/><Relationship Id="rId3833" Type="http://schemas.openxmlformats.org/officeDocument/2006/relationships/hyperlink" Target="https://techelectro.ru/prod/metalworking-tools/ft_pumpliers/pumpliersft-300-praktik/sku_85284/" TargetMode="External"/><Relationship Id="rId547" Type="http://schemas.openxmlformats.org/officeDocument/2006/relationships/hyperlink" Target="https://techelectro.ru/prod/insulugs/ilugs/nkin/sku_108528/" TargetMode="External"/><Relationship Id="rId754" Type="http://schemas.openxmlformats.org/officeDocument/2006/relationships/hyperlink" Target="https://techelectro.ru/prod/insulugs/iplug/iplugnylonsets-rpipn/sku_91032/" TargetMode="External"/><Relationship Id="rId961" Type="http://schemas.openxmlformats.org/officeDocument/2006/relationships/hyperlink" Target="https://techelectro.ru/prod/e-connectors/nshvi/sku_108899/" TargetMode="External"/><Relationship Id="rId1384" Type="http://schemas.openxmlformats.org/officeDocument/2006/relationships/hyperlink" Target="https://techelectro.ru/prod/cable-kits/kits-ngls-10kv/1pkvt10ngls/1pkvt10-300-400_bngls/" TargetMode="External"/><Relationship Id="rId1591" Type="http://schemas.openxmlformats.org/officeDocument/2006/relationships/hyperlink" Target="https://techelectro.ru/prod/cable-kits/muffs1kv/3pst-1/3pst1-150-240_b/" TargetMode="External"/><Relationship Id="rId2228" Type="http://schemas.openxmlformats.org/officeDocument/2006/relationships/hyperlink" Target="https://techelectro.ru/prod/hstubes/hstube/ygtutng/tutng40-20/" TargetMode="External"/><Relationship Id="rId2435" Type="http://schemas.openxmlformats.org/officeDocument/2006/relationships/hyperlink" Target="https://techelectro.ru/prod/hstubes/gluetube/ttk31_green/sku_102434/" TargetMode="External"/><Relationship Id="rId2642" Type="http://schemas.openxmlformats.org/officeDocument/2006/relationships/hyperlink" Target="https://techelectro.ru/prod/hstubes/specialtube/tt150/sku_104421/" TargetMode="External"/><Relationship Id="rId3900" Type="http://schemas.openxmlformats.org/officeDocument/2006/relationships/hyperlink" Target="https://techelectro.ru/prod/metalworking-tools/ft_hummers/mb30n/mb-30n/" TargetMode="External"/><Relationship Id="rId5798" Type="http://schemas.openxmlformats.org/officeDocument/2006/relationships/hyperlink" Target="https://techelectro.ru/prod/staples/smo/smo_19_20/" TargetMode="External"/><Relationship Id="rId90" Type="http://schemas.openxmlformats.org/officeDocument/2006/relationships/hyperlink" Target="https://techelectro.ru/prod/cable-lugs/cu/tm/sku_86990/" TargetMode="External"/><Relationship Id="rId407" Type="http://schemas.openxmlformats.org/officeDocument/2006/relationships/hyperlink" Target="https://techelectro.ru/prod/cable-lugs/al/tam/tam_35-10-8/" TargetMode="External"/><Relationship Id="rId614" Type="http://schemas.openxmlformats.org/officeDocument/2006/relationships/hyperlink" Target="https://techelectro.ru/prod/insulugs/ilugs/nshpi/sku_108579/" TargetMode="External"/><Relationship Id="rId821" Type="http://schemas.openxmlformats.org/officeDocument/2006/relationships/hyperlink" Target="https://techelectro.ru/prod/insulugs/siz_kiz/kiz/kiz2/" TargetMode="External"/><Relationship Id="rId1037" Type="http://schemas.openxmlformats.org/officeDocument/2006/relationships/hyperlink" Target="https://techelectro.ru/prod/e-connectors/nshvi2/sku_108936/" TargetMode="External"/><Relationship Id="rId1244" Type="http://schemas.openxmlformats.org/officeDocument/2006/relationships/hyperlink" Target="https://techelectro.ru/prod/cable-kits/kits-ngls-1kv/3_kvntp-1_ngls/3kvntpngls1-150-240_b/" TargetMode="External"/><Relationship Id="rId1451" Type="http://schemas.openxmlformats.org/officeDocument/2006/relationships/hyperlink" Target="https://techelectro.ru/prod/cable-kits/muffs1kv/4kvntp1sold/sku_88772/" TargetMode="External"/><Relationship Id="rId2502" Type="http://schemas.openxmlformats.org/officeDocument/2006/relationships/hyperlink" Target="https://techelectro.ru/prod/hstubes/gluetube/sttk31/cttk75-20/" TargetMode="External"/><Relationship Id="rId5658" Type="http://schemas.openxmlformats.org/officeDocument/2006/relationships/hyperlink" Target="https://techelectro.ru/prod/metal-hose-fittings/fittings/vm90/vm90-20/" TargetMode="External"/><Relationship Id="rId5865" Type="http://schemas.openxmlformats.org/officeDocument/2006/relationships/hyperlink" Target="https://techelectro.ru/prod/staples/smr15/smr_20-15/" TargetMode="External"/><Relationship Id="rId1104" Type="http://schemas.openxmlformats.org/officeDocument/2006/relationships/hyperlink" Target="https://techelectro.ru/prod/clamps_wago-smk/smk_2273-204/sku_109314/" TargetMode="External"/><Relationship Id="rId1311" Type="http://schemas.openxmlformats.org/officeDocument/2006/relationships/hyperlink" Target="https://techelectro.ru/prod/cable-kits/kits-ngls-1kv/1pst_ngls/1pst1-300-400b_ngls/" TargetMode="External"/><Relationship Id="rId4467" Type="http://schemas.openxmlformats.org/officeDocument/2006/relationships/hyperlink" Target="https://techelectro.ru/prod/ties/nylonties/nss/sku_85707/" TargetMode="External"/><Relationship Id="rId4674" Type="http://schemas.openxmlformats.org/officeDocument/2006/relationships/hyperlink" Target="https://techelectro.ru/prod/ties/nylonties/ksg/ksg8x400green/" TargetMode="External"/><Relationship Id="rId4881" Type="http://schemas.openxmlformats.org/officeDocument/2006/relationships/hyperlink" Target="https://techelectro.ru/prod/steel-ties/steel_ties-labels/sksp/sksp7h1000/" TargetMode="External"/><Relationship Id="rId5518" Type="http://schemas.openxmlformats.org/officeDocument/2006/relationships/hyperlink" Target="https://techelectro.ru/prod/metal-hose-fittings/hose/mrping-p_termo/sku_88487/" TargetMode="External"/><Relationship Id="rId5725" Type="http://schemas.openxmlformats.org/officeDocument/2006/relationships/hyperlink" Target="https://techelectro.ru/prod/metal-hose-fittings/fittings/stmv/stmv32/" TargetMode="External"/><Relationship Id="rId3069" Type="http://schemas.openxmlformats.org/officeDocument/2006/relationships/hyperlink" Target="https://techelectro.ru/prod/wiring-tools/cutters/wirecutters/mc02/sku_92317/" TargetMode="External"/><Relationship Id="rId3276" Type="http://schemas.openxmlformats.org/officeDocument/2006/relationships/hyperlink" Target="https://techelectro.ru/prod/wiring-tools/boxtools/mpo_rectangle/mpo-46h72/" TargetMode="External"/><Relationship Id="rId3483" Type="http://schemas.openxmlformats.org/officeDocument/2006/relationships/hyperlink" Target="https://techelectro.ru/prod/wiring-tools/unwinding/fishtape/fgp11mk/fgp11-100mk/" TargetMode="External"/><Relationship Id="rId3690" Type="http://schemas.openxmlformats.org/officeDocument/2006/relationships/hyperlink" Target="https://techelectro.ru/prod/electric-tools/cordless-drills/db20-160_ncs/sku_104539/" TargetMode="External"/><Relationship Id="rId4327" Type="http://schemas.openxmlformats.org/officeDocument/2006/relationships/hyperlink" Target="https://techelectro.ru/prod/digital_meters/multimeters/kt830l/kt-830l/" TargetMode="External"/><Relationship Id="rId4534" Type="http://schemas.openxmlformats.org/officeDocument/2006/relationships/hyperlink" Target="https://techelectro.ru/prod/ties/nylonties/nss-black/sku_84811/" TargetMode="External"/><Relationship Id="rId5932" Type="http://schemas.openxmlformats.org/officeDocument/2006/relationships/hyperlink" Target="https://techelectro.ru/prod/staples/fastener/krepezh-klipsa_20/" TargetMode="External"/><Relationship Id="rId197" Type="http://schemas.openxmlformats.org/officeDocument/2006/relationships/hyperlink" Target="https://techelectro.ru/prod/cable-lugs/cu/tmlr/sku_87458/" TargetMode="External"/><Relationship Id="rId2085" Type="http://schemas.openxmlformats.org/officeDocument/2006/relationships/hyperlink" Target="https://techelectro.ru/prod/hstubes/hstube/tutng-color/sku_102215/" TargetMode="External"/><Relationship Id="rId2292" Type="http://schemas.openxmlformats.org/officeDocument/2006/relationships/hyperlink" Target="https://techelectro.ru/prod/hstubes/hstube/tut-hf/tut_hf12-6_red/" TargetMode="External"/><Relationship Id="rId3136" Type="http://schemas.openxmlformats.org/officeDocument/2006/relationships/hyperlink" Target="https://techelectro.ru/prod/wiring-tools/cutters_din/steelcutters/tr14m/sku_101991/" TargetMode="External"/><Relationship Id="rId3343" Type="http://schemas.openxmlformats.org/officeDocument/2006/relationships/hyperlink" Target="https://techelectro.ru/prod/wiring-tools/hdrtools/jack_hd_acs/kgr4/sku_85077/" TargetMode="External"/><Relationship Id="rId4741" Type="http://schemas.openxmlformats.org/officeDocument/2006/relationships/hyperlink" Target="https://techelectro.ru/prod/ties/markers/u212m/u_212m/" TargetMode="External"/><Relationship Id="rId264" Type="http://schemas.openxmlformats.org/officeDocument/2006/relationships/hyperlink" Target="https://techelectro.ru/prod/cable-lugs/cu/tmls90/sku_92337/" TargetMode="External"/><Relationship Id="rId471" Type="http://schemas.openxmlformats.org/officeDocument/2006/relationships/hyperlink" Target="https://techelectro.ru/prod/cable-lugs/clamps/u_731m/sku_108496/" TargetMode="External"/><Relationship Id="rId2152" Type="http://schemas.openxmlformats.org/officeDocument/2006/relationships/hyperlink" Target="https://techelectro.ru/prod/hstubes/hstube/tnt_hf/sku_82989/" TargetMode="External"/><Relationship Id="rId3550" Type="http://schemas.openxmlformats.org/officeDocument/2006/relationships/hyperlink" Target="https://techelectro.ru/prod/vdetools/pliers/bentnose/bentnose-200/" TargetMode="External"/><Relationship Id="rId4601" Type="http://schemas.openxmlformats.org/officeDocument/2006/relationships/hyperlink" Target="https://techelectro.ru/prod/ties/nylonties/kss100-nord_black/kss_nord_5-300_black/" TargetMode="External"/><Relationship Id="rId124" Type="http://schemas.openxmlformats.org/officeDocument/2006/relationships/hyperlink" Target="https://techelectro.ru/prod/cable-lugs/cu/tmldin/tml_din_6_6/" TargetMode="External"/><Relationship Id="rId3203" Type="http://schemas.openxmlformats.org/officeDocument/2006/relationships/hyperlink" Target="https://techelectro.ru/prod/wiring-tools/strippers/xlpe-strip/ksp50/ksp-50/" TargetMode="External"/><Relationship Id="rId3410" Type="http://schemas.openxmlformats.org/officeDocument/2006/relationships/hyperlink" Target="https://techelectro.ru/prod/wiring-tools/unwinding/hvltools/chmp/chmp-40/" TargetMode="External"/><Relationship Id="rId331" Type="http://schemas.openxmlformats.org/officeDocument/2006/relationships/hyperlink" Target="https://techelectro.ru/prod/cable-lugs/cu/gmldin/gmldin_500/" TargetMode="External"/><Relationship Id="rId2012" Type="http://schemas.openxmlformats.org/officeDocument/2006/relationships/hyperlink" Target="https://techelectro.ru/prod/ukpt_ogt/ukpt/ukpt225/" TargetMode="External"/><Relationship Id="rId2969" Type="http://schemas.openxmlformats.org/officeDocument/2006/relationships/hyperlink" Target="https://techelectro.ru/prod/wiring-tools/crimpers_pgr/hv-crimpers/matrix_pg60t/a-29/" TargetMode="External"/><Relationship Id="rId5168" Type="http://schemas.openxmlformats.org/officeDocument/2006/relationships/hyperlink" Target="https://techelectro.ru/prod/cable_entry/cable_entry_metal/mgm/sku_87996/" TargetMode="External"/><Relationship Id="rId5375" Type="http://schemas.openxmlformats.org/officeDocument/2006/relationships/hyperlink" Target="https://techelectro.ru/prod/cable_entry/cable_entry_plastic/okp-m/sku_88675/" TargetMode="External"/><Relationship Id="rId5582" Type="http://schemas.openxmlformats.org/officeDocument/2006/relationships/hyperlink" Target="https://techelectro.ru/prod/metal-hose-fittings/hose/mrn-inox/sku_87705/" TargetMode="External"/><Relationship Id="rId1778" Type="http://schemas.openxmlformats.org/officeDocument/2006/relationships/hyperlink" Target="https://techelectro.ru/prod/cable-kits/muffs10kv/3pst6/3pst6-70-120_b/" TargetMode="External"/><Relationship Id="rId1985" Type="http://schemas.openxmlformats.org/officeDocument/2006/relationships/hyperlink" Target="https://techelectro.ru/prod/cable_kits_acs/kmle/kmle3/" TargetMode="External"/><Relationship Id="rId2829" Type="http://schemas.openxmlformats.org/officeDocument/2006/relationships/hyperlink" Target="https://techelectro.ru/prod/wiring-tools/crimpers/insulugs-crimp/sto/sku_90760/" TargetMode="External"/><Relationship Id="rId4184" Type="http://schemas.openxmlformats.org/officeDocument/2006/relationships/hyperlink" Target="https://techelectro.ru/prod/plumbing-tools/pipe_cutters/ntp42m/sku_104516/" TargetMode="External"/><Relationship Id="rId4391" Type="http://schemas.openxmlformats.org/officeDocument/2006/relationships/hyperlink" Target="https://techelectro.ru/prod/digital_meters/measuring_electrode/kt3102m4/sku_91913/" TargetMode="External"/><Relationship Id="rId5028" Type="http://schemas.openxmlformats.org/officeDocument/2006/relationships/hyperlink" Target="https://techelectro.ru/prod/strength-ties/screw-ties/pl12-w2/pl-12_170-190_w2/" TargetMode="External"/><Relationship Id="rId5235" Type="http://schemas.openxmlformats.org/officeDocument/2006/relationships/hyperlink" Target="https://techelectro.ru/prod/cable_entry/cable_entry_metal/vkt-m/sku_88844/" TargetMode="External"/><Relationship Id="rId5442" Type="http://schemas.openxmlformats.org/officeDocument/2006/relationships/hyperlink" Target="https://techelectro.ru/prod/metal-hose-fittings/hose/r3cp-ngls/r3cpngls75/" TargetMode="External"/><Relationship Id="rId1638" Type="http://schemas.openxmlformats.org/officeDocument/2006/relationships/hyperlink" Target="https://techelectro.ru/prod/cable-kits/muffs1kv/4rst1/4rst1-70-120/" TargetMode="External"/><Relationship Id="rId4044" Type="http://schemas.openxmlformats.org/officeDocument/2006/relationships/hyperlink" Target="https://techelectro.ru/prod/maintenance_tools/rj-crimp/jt-02a/sku_101929/" TargetMode="External"/><Relationship Id="rId4251" Type="http://schemas.openxmlformats.org/officeDocument/2006/relationships/hyperlink" Target="https://techelectro.ru/prod/abcarm/sealinslugs/gif-mjpt50/sku_109224/" TargetMode="External"/><Relationship Id="rId5302" Type="http://schemas.openxmlformats.org/officeDocument/2006/relationships/hyperlink" Target="https://techelectro.ru/prod/cable_entry/cable_entry_plastic/pg_black/sku_88639/" TargetMode="External"/><Relationship Id="rId1845" Type="http://schemas.openxmlformats.org/officeDocument/2006/relationships/hyperlink" Target="https://techelectro.ru/prod/cable-kits/muffs-35kv/1pknt-35/1pknt35-300-400b/" TargetMode="External"/><Relationship Id="rId3060" Type="http://schemas.openxmlformats.org/officeDocument/2006/relationships/hyperlink" Target="https://techelectro.ru/prod/wiring-tools/crimpers_pgr/hv-crimpers/matrix_pg100t/msh-44-2a-100t/" TargetMode="External"/><Relationship Id="rId4111" Type="http://schemas.openxmlformats.org/officeDocument/2006/relationships/hyperlink" Target="https://techelectro.ru/prod/protection-safety/bags_packs/sm08/sku_91981/" TargetMode="External"/><Relationship Id="rId1705" Type="http://schemas.openxmlformats.org/officeDocument/2006/relationships/hyperlink" Target="https://techelectro.ru/prod/cable-kits/muffs10kv/1pkvt-10/1pkvt10-800b/" TargetMode="External"/><Relationship Id="rId1912" Type="http://schemas.openxmlformats.org/officeDocument/2006/relationships/hyperlink" Target="https://techelectro.ru/prod/cable_kits_acs/trm/trm_43/" TargetMode="External"/><Relationship Id="rId6076" Type="http://schemas.openxmlformats.org/officeDocument/2006/relationships/vmlDrawing" Target="../drawings/vmlDrawing1.vml"/><Relationship Id="rId3877" Type="http://schemas.openxmlformats.org/officeDocument/2006/relationships/hyperlink" Target="https://techelectro.ru/prod/metalworking-tools/ft_wrench/kt9/kt-9/" TargetMode="External"/><Relationship Id="rId4928" Type="http://schemas.openxmlformats.org/officeDocument/2006/relationships/hyperlink" Target="https://techelectro.ru/prod/steel-ties/steel_tape-brace/lks201/lks201-2007/" TargetMode="External"/><Relationship Id="rId5092" Type="http://schemas.openxmlformats.org/officeDocument/2006/relationships/hyperlink" Target="https://techelectro.ru/prod/strength-ties/screw-ties/lk-9_w2/sku_86220/" TargetMode="External"/><Relationship Id="rId798" Type="http://schemas.openxmlformats.org/officeDocument/2006/relationships/hyperlink" Target="https://techelectro.ru/prod/insulugs/iquick/iquicksets-gsit/sku_91019/" TargetMode="External"/><Relationship Id="rId2479" Type="http://schemas.openxmlformats.org/officeDocument/2006/relationships/hyperlink" Target="https://techelectro.ru/prod/hstubes/gluetube/ttk41_inrolls/sku_106544/" TargetMode="External"/><Relationship Id="rId2686" Type="http://schemas.openxmlformats.org/officeDocument/2006/relationships/hyperlink" Target="https://techelectro.ru/prod/insulating/pvc19/pvc19red/" TargetMode="External"/><Relationship Id="rId2893" Type="http://schemas.openxmlformats.org/officeDocument/2006/relationships/hyperlink" Target="https://techelectro.ru/prod/wiring-tools/crimpers/mechcrimp/pk16u/sku_64702/" TargetMode="External"/><Relationship Id="rId3737" Type="http://schemas.openxmlformats.org/officeDocument/2006/relationships/hyperlink" Target="https://techelectro.ru/prod/electric-tools/batteries-chargers/b20-ch20a/sku_104544/" TargetMode="External"/><Relationship Id="rId3944" Type="http://schemas.openxmlformats.org/officeDocument/2006/relationships/hyperlink" Target="https://techelectro.ru/prod/construction_hydraulics/jack/jack_hd/dgp/sku_84546/" TargetMode="External"/><Relationship Id="rId658" Type="http://schemas.openxmlformats.org/officeDocument/2006/relationships/hyperlink" Target="https://techelectro.ru/prod/insulugs/iplug/rpip/sku_108580/" TargetMode="External"/><Relationship Id="rId865" Type="http://schemas.openxmlformats.org/officeDocument/2006/relationships/hyperlink" Target="https://techelectro.ru/prod/insulugs/screw_clamp/kzvi/sku_109273/" TargetMode="External"/><Relationship Id="rId1288" Type="http://schemas.openxmlformats.org/officeDocument/2006/relationships/hyperlink" Target="https://techelectro.ru/prod/cable-kits/kits-ngls-1kv/1pktb_ng_ls/1pktb1-300-400b_ng-ls/" TargetMode="External"/><Relationship Id="rId1495" Type="http://schemas.openxmlformats.org/officeDocument/2006/relationships/hyperlink" Target="https://techelectro.ru/prod/cable-kits/muffs1kv/4_5-pktp-1/4pktp1-16-25/" TargetMode="External"/><Relationship Id="rId2339" Type="http://schemas.openxmlformats.org/officeDocument/2006/relationships/hyperlink" Target="https://techelectro.ru/prod/hstubes/hstube/t-box-color/tbox12g/" TargetMode="External"/><Relationship Id="rId2546" Type="http://schemas.openxmlformats.org/officeDocument/2006/relationships/hyperlink" Target="https://techelectro.ru/prod/hstubes/hstubeset/hs-set-kvadro/sku_89782/" TargetMode="External"/><Relationship Id="rId2753" Type="http://schemas.openxmlformats.org/officeDocument/2006/relationships/hyperlink" Target="https://techelectro.ru/prod/insulating/xp/sku_85364/" TargetMode="External"/><Relationship Id="rId2960" Type="http://schemas.openxmlformats.org/officeDocument/2006/relationships/hyperlink" Target="https://techelectro.ru/prod/wiring-tools/crimpers_pgr/hdcrimp/matricy_nm300ta/nm300ta/" TargetMode="External"/><Relationship Id="rId3804" Type="http://schemas.openxmlformats.org/officeDocument/2006/relationships/hyperlink" Target="https://techelectro.ru/prod/metalworking-tools/ft_screwdrivers/screwdriversft/ph0_75ft/" TargetMode="External"/><Relationship Id="rId6003" Type="http://schemas.openxmlformats.org/officeDocument/2006/relationships/hyperlink" Target="https://techelectro.ru/prod/ground_wire/pzki/pzki-16-300/" TargetMode="External"/><Relationship Id="rId518" Type="http://schemas.openxmlformats.org/officeDocument/2006/relationships/hyperlink" Target="https://techelectro.ru/prod/insulugs/ilugs/nki_easyfix/sku_90896/" TargetMode="External"/><Relationship Id="rId725" Type="http://schemas.openxmlformats.org/officeDocument/2006/relationships/hyperlink" Target="https://techelectro.ru/prod/insulugs/iplug/rshim/rshim_25/" TargetMode="External"/><Relationship Id="rId932" Type="http://schemas.openxmlformats.org/officeDocument/2006/relationships/hyperlink" Target="https://techelectro.ru/prod/e-connectors/nshvi/nshvi_1_0_12/" TargetMode="External"/><Relationship Id="rId1148" Type="http://schemas.openxmlformats.org/officeDocument/2006/relationships/hyperlink" Target="https://techelectro.ru/prod/clamps_wago-smk/smk221/sku_90362/" TargetMode="External"/><Relationship Id="rId1355" Type="http://schemas.openxmlformats.org/officeDocument/2006/relationships/hyperlink" Target="https://techelectro.ru/prod/cable-kits/kits-ngls-1kv/pst-mini-ng_ls/3pstm-4_ngls/" TargetMode="External"/><Relationship Id="rId1562" Type="http://schemas.openxmlformats.org/officeDocument/2006/relationships/hyperlink" Target="https://techelectro.ru/prod/cable-kits/muffs1kv/3stp-1/3stp1-150-240/" TargetMode="External"/><Relationship Id="rId2406" Type="http://schemas.openxmlformats.org/officeDocument/2006/relationships/hyperlink" Target="https://techelectro.ru/prod/hstubes/gluetube/ttk31_clear/sku_85088/" TargetMode="External"/><Relationship Id="rId2613" Type="http://schemas.openxmlformats.org/officeDocument/2006/relationships/hyperlink" Target="https://techelectro.ru/prod/hstubes/highvoltagetube/tst/tst42_18/" TargetMode="External"/><Relationship Id="rId5769" Type="http://schemas.openxmlformats.org/officeDocument/2006/relationships/hyperlink" Target="https://techelectro.ru/prod/metal-hose-fittings/fittings/krvp/krvp38/" TargetMode="External"/><Relationship Id="rId1008" Type="http://schemas.openxmlformats.org/officeDocument/2006/relationships/hyperlink" Target="https://techelectro.ru/prod/e-connectors/nshvi_euro/sku_109000/" TargetMode="External"/><Relationship Id="rId1215" Type="http://schemas.openxmlformats.org/officeDocument/2006/relationships/hyperlink" Target="https://techelectro.ru/prod/bolt-lugs/wire300-800/6sbe/6sbe_300-400/" TargetMode="External"/><Relationship Id="rId1422" Type="http://schemas.openxmlformats.org/officeDocument/2006/relationships/hyperlink" Target="https://techelectro.ru/prod/cable-kits/kits-ngls-10kv/3pst10_ng-ls/3pst-10-35_50_b_ng-ls/" TargetMode="External"/><Relationship Id="rId2820" Type="http://schemas.openxmlformats.org/officeDocument/2006/relationships/hyperlink" Target="https://techelectro.ru/prod/wiring-tools/crimpers/insulugs-crimp/sto/sku_90751/" TargetMode="External"/><Relationship Id="rId4578" Type="http://schemas.openxmlformats.org/officeDocument/2006/relationships/hyperlink" Target="https://techelectro.ru/prod/ties/nylonties/kss100-nord_white/kss_nord_5-500_white/" TargetMode="External"/><Relationship Id="rId5976" Type="http://schemas.openxmlformats.org/officeDocument/2006/relationships/hyperlink" Target="https://techelectro.ru/prod/ground_wire/pz/pz_16-150/" TargetMode="External"/><Relationship Id="rId61" Type="http://schemas.openxmlformats.org/officeDocument/2006/relationships/hyperlink" Target="https://techelectro.ru/prod/cable-lugs/cu/tml/tml_50-8-11/" TargetMode="External"/><Relationship Id="rId3387" Type="http://schemas.openxmlformats.org/officeDocument/2006/relationships/hyperlink" Target="https://techelectro.ru/prod/wiring-tools/unwinding/hvltools/chms/sku_109885/" TargetMode="External"/><Relationship Id="rId4785" Type="http://schemas.openxmlformats.org/officeDocument/2006/relationships/hyperlink" Target="https://techelectro.ru/prod/steel-ties/steel_ties-labels/sks316/sks316-7x1000/" TargetMode="External"/><Relationship Id="rId4992" Type="http://schemas.openxmlformats.org/officeDocument/2006/relationships/hyperlink" Target="https://techelectro.ru/prod/strength-ties/screw-ties/pl9-w2/w2-130-150/" TargetMode="External"/><Relationship Id="rId5629" Type="http://schemas.openxmlformats.org/officeDocument/2006/relationships/hyperlink" Target="https://techelectro.ru/prod/metal-hose-fittings/fittings/vm/vm32/" TargetMode="External"/><Relationship Id="rId5836" Type="http://schemas.openxmlformats.org/officeDocument/2006/relationships/hyperlink" Target="https://techelectro.ru/prod/staples/smdp/smd-p_19-20/" TargetMode="External"/><Relationship Id="rId2196" Type="http://schemas.openxmlformats.org/officeDocument/2006/relationships/hyperlink" Target="https://techelectro.ru/prod/hstubes/hstube/tutng/tutng4/" TargetMode="External"/><Relationship Id="rId3594" Type="http://schemas.openxmlformats.org/officeDocument/2006/relationships/hyperlink" Target="https://techelectro.ru/prod/vdetools/vde-screwdrivers/vde-screwdrivers-slim/sku_103006/" TargetMode="External"/><Relationship Id="rId4438" Type="http://schemas.openxmlformats.org/officeDocument/2006/relationships/hyperlink" Target="https://techelectro.ru/prod/ties/nylonties/kss_multilock_white/sku_102307/" TargetMode="External"/><Relationship Id="rId4645" Type="http://schemas.openxmlformats.org/officeDocument/2006/relationships/hyperlink" Target="https://techelectro.ru/prod/ties/nylonties/ksz/ksz10x600/" TargetMode="External"/><Relationship Id="rId4852" Type="http://schemas.openxmlformats.org/officeDocument/2006/relationships/hyperlink" Target="https://techelectro.ru/prod/steel-ties/steel_ties-labels/sks316p/sks316p-12x400/" TargetMode="External"/><Relationship Id="rId5903" Type="http://schemas.openxmlformats.org/officeDocument/2006/relationships/hyperlink" Target="https://techelectro.ru/prod/staples/spk/spk_14/" TargetMode="External"/><Relationship Id="rId168" Type="http://schemas.openxmlformats.org/officeDocument/2006/relationships/hyperlink" Target="https://techelectro.ru/prod/cable-lugs/cu/tmlu/sku_101404/" TargetMode="External"/><Relationship Id="rId3247" Type="http://schemas.openxmlformats.org/officeDocument/2006/relationships/hyperlink" Target="https://techelectro.ru/prod/wiring-tools/boxtools/singlempo/sku_61821/" TargetMode="External"/><Relationship Id="rId3454" Type="http://schemas.openxmlformats.org/officeDocument/2006/relationships/hyperlink" Target="https://techelectro.ru/prod/wiring-tools/unwinding/fishtape/fgp3_5/fgp3_5-05r/" TargetMode="External"/><Relationship Id="rId3661" Type="http://schemas.openxmlformats.org/officeDocument/2006/relationships/hyperlink" Target="https://techelectro.ru/prod/vdetools/vde-sets/vde-wrench-sets/nii-15/nii-15/" TargetMode="External"/><Relationship Id="rId4505" Type="http://schemas.openxmlformats.org/officeDocument/2006/relationships/hyperlink" Target="https://techelectro.ru/prod/ties/nylonties/kss-uv/sku_89908/" TargetMode="External"/><Relationship Id="rId4712" Type="http://schemas.openxmlformats.org/officeDocument/2006/relationships/hyperlink" Target="https://techelectro.ru/prod/ties/dowel_clamps/dhp_12_6_white/dhp12x6/" TargetMode="External"/><Relationship Id="rId375" Type="http://schemas.openxmlformats.org/officeDocument/2006/relationships/hyperlink" Target="https://techelectro.ru/prod/cable-lugs/cu/lugset-gmlo/set-gmlo25/" TargetMode="External"/><Relationship Id="rId582" Type="http://schemas.openxmlformats.org/officeDocument/2006/relationships/hyperlink" Target="https://techelectro.ru/prod/insulugs/ilugs/nvi/sku_108538/" TargetMode="External"/><Relationship Id="rId2056" Type="http://schemas.openxmlformats.org/officeDocument/2006/relationships/hyperlink" Target="https://techelectro.ru/prod/hstubes/hstube/tutng-color/sku_102186/" TargetMode="External"/><Relationship Id="rId2263" Type="http://schemas.openxmlformats.org/officeDocument/2006/relationships/hyperlink" Target="https://techelectro.ru/prod/hstubes/hstube/tut-hf/tut_hf10-5_yellow/" TargetMode="External"/><Relationship Id="rId2470" Type="http://schemas.openxmlformats.org/officeDocument/2006/relationships/hyperlink" Target="https://techelectro.ru/prod/hstubes/gluetube/ttk41/sku_84879/" TargetMode="External"/><Relationship Id="rId3107" Type="http://schemas.openxmlformats.org/officeDocument/2006/relationships/hyperlink" Target="https://techelectro.ru/prod/wiring-tools/cutters/hdcutters/ngr20/ngr-20/" TargetMode="External"/><Relationship Id="rId3314" Type="http://schemas.openxmlformats.org/officeDocument/2006/relationships/hyperlink" Target="https://techelectro.ru/prod/wiring-tools/bustools/mpsho-110_oval/sku_85336/" TargetMode="External"/><Relationship Id="rId3521" Type="http://schemas.openxmlformats.org/officeDocument/2006/relationships/hyperlink" Target="https://techelectro.ru/prod/wiring-tools/bags_sets/nie1/nie-01/" TargetMode="External"/><Relationship Id="rId235" Type="http://schemas.openxmlformats.org/officeDocument/2006/relationships/hyperlink" Target="https://techelectro.ru/prod/cable-lugs/cu/nsp/sku_92340/" TargetMode="External"/><Relationship Id="rId442" Type="http://schemas.openxmlformats.org/officeDocument/2006/relationships/hyperlink" Target="https://techelectro.ru/prod/cable-lugs/al/gam/sku_90853/" TargetMode="External"/><Relationship Id="rId1072" Type="http://schemas.openxmlformats.org/officeDocument/2006/relationships/hyperlink" Target="https://techelectro.ru/prod/e-connectors/nshv/sku_108945/" TargetMode="External"/><Relationship Id="rId2123" Type="http://schemas.openxmlformats.org/officeDocument/2006/relationships/hyperlink" Target="https://techelectro.ru/prod/hstubes/hstube/tnt_hf/sku_84990/" TargetMode="External"/><Relationship Id="rId2330" Type="http://schemas.openxmlformats.org/officeDocument/2006/relationships/hyperlink" Target="https://techelectro.ru/prod/hstubes/hstube/t-box-color/tbox16y/" TargetMode="External"/><Relationship Id="rId5279" Type="http://schemas.openxmlformats.org/officeDocument/2006/relationships/hyperlink" Target="https://techelectro.ru/prod/cable_entry/cable_entry_metal/mpl-m_increase/sku_89597/" TargetMode="External"/><Relationship Id="rId5486" Type="http://schemas.openxmlformats.org/officeDocument/2006/relationships/hyperlink" Target="https://techelectro.ru/prod/metal-hose-fittings/hose/mrping_grey/sku_88298/" TargetMode="External"/><Relationship Id="rId5693" Type="http://schemas.openxmlformats.org/officeDocument/2006/relationships/hyperlink" Target="https://techelectro.ru/prod/metal-hose-fittings/fittings/stm-l/sku_88862/" TargetMode="External"/><Relationship Id="rId302" Type="http://schemas.openxmlformats.org/officeDocument/2006/relationships/hyperlink" Target="https://techelectro.ru/prod/cable-lugs/cu/gml/gml_4/" TargetMode="External"/><Relationship Id="rId4088" Type="http://schemas.openxmlformats.org/officeDocument/2006/relationships/hyperlink" Target="https://techelectro.ru/prod/protection-safety/bags_packs/s14/s-14/" TargetMode="External"/><Relationship Id="rId4295" Type="http://schemas.openxmlformats.org/officeDocument/2006/relationships/hyperlink" Target="https://techelectro.ru/prod/abcarm/abctools/rm1a/sku_102113/" TargetMode="External"/><Relationship Id="rId5139" Type="http://schemas.openxmlformats.org/officeDocument/2006/relationships/hyperlink" Target="https://techelectro.ru/prod/cable_entry/cable_entry_metal/mgm-inox/sku_89026/" TargetMode="External"/><Relationship Id="rId5346" Type="http://schemas.openxmlformats.org/officeDocument/2006/relationships/hyperlink" Target="https://techelectro.ru/prod/cable_entry/cable_entry_plastic/m/m20/" TargetMode="External"/><Relationship Id="rId5553" Type="http://schemas.openxmlformats.org/officeDocument/2006/relationships/hyperlink" Target="https://techelectro.ru/prod/metal-hose-fittings/hose/mrping-inox/mrnping-inox-6/" TargetMode="External"/><Relationship Id="rId1889" Type="http://schemas.openxmlformats.org/officeDocument/2006/relationships/hyperlink" Target="https://techelectro.ru/prod/cable_kits_acs/tpi/2tpi-150-240/" TargetMode="External"/><Relationship Id="rId4155" Type="http://schemas.openxmlformats.org/officeDocument/2006/relationships/hyperlink" Target="https://techelectro.ru/prod/protection-safety/safety/lu/lu-pin/" TargetMode="External"/><Relationship Id="rId4362" Type="http://schemas.openxmlformats.org/officeDocument/2006/relationships/hyperlink" Target="https://techelectro.ru/prod/digital_meters/pyrometers/kt-653/sku_87246/" TargetMode="External"/><Relationship Id="rId5206" Type="http://schemas.openxmlformats.org/officeDocument/2006/relationships/hyperlink" Target="https://techelectro.ru/prod/cable_entry/cable_entry_metal/pgm-inox/sku_88028/" TargetMode="External"/><Relationship Id="rId5760" Type="http://schemas.openxmlformats.org/officeDocument/2006/relationships/hyperlink" Target="https://techelectro.ru/prod/metal-hose-fittings/fittings/krv/krv20/" TargetMode="External"/><Relationship Id="rId1749" Type="http://schemas.openxmlformats.org/officeDocument/2006/relationships/hyperlink" Target="https://techelectro.ru/prod/cable-kits/muffs10kv/3rkntp-10/sku_88122/" TargetMode="External"/><Relationship Id="rId1956" Type="http://schemas.openxmlformats.org/officeDocument/2006/relationships/hyperlink" Target="https://techelectro.ru/prod/cable_kits_acs/tlk/sku_84908/" TargetMode="External"/><Relationship Id="rId3171" Type="http://schemas.openxmlformats.org/officeDocument/2006/relationships/hyperlink" Target="https://techelectro.ru/prod/wiring-tools/strippers/wire-strip/ws01c/ws-01c/" TargetMode="External"/><Relationship Id="rId4015" Type="http://schemas.openxmlformats.org/officeDocument/2006/relationships/hyperlink" Target="https://techelectro.ru/prod/construction_hydraulics/bending_tools/tgr2/sku_87568/" TargetMode="External"/><Relationship Id="rId5413" Type="http://schemas.openxmlformats.org/officeDocument/2006/relationships/hyperlink" Target="https://techelectro.ru/prod/metal-hose-fittings/hose/mrping_nord/mrping38_nord/" TargetMode="External"/><Relationship Id="rId5620" Type="http://schemas.openxmlformats.org/officeDocument/2006/relationships/hyperlink" Target="https://techelectro.ru/prod/metal-hose-fittings/hose/r3ch_p/r3ch25_p/" TargetMode="External"/><Relationship Id="rId1609" Type="http://schemas.openxmlformats.org/officeDocument/2006/relationships/hyperlink" Target="https://techelectro.ru/prod/cable-kits/muffs1kv/4_5pst-1/sku_88745/" TargetMode="External"/><Relationship Id="rId1816" Type="http://schemas.openxmlformats.org/officeDocument/2006/relationships/hyperlink" Target="https://techelectro.ru/prod/cable-kits/muffs10kv/3stp10/3stp10-150-240/" TargetMode="External"/><Relationship Id="rId4222" Type="http://schemas.openxmlformats.org/officeDocument/2006/relationships/hyperlink" Target="https://techelectro.ru/prod/abcarm/pierce/ki/ki-6/" TargetMode="External"/><Relationship Id="rId3031" Type="http://schemas.openxmlformats.org/officeDocument/2006/relationships/hyperlink" Target="https://techelectro.ru/prod/wiring-tools/crimpers_pgr/hv-crimpers/matrix_pg100t/a-45-100t/" TargetMode="External"/><Relationship Id="rId3988" Type="http://schemas.openxmlformats.org/officeDocument/2006/relationships/hyperlink" Target="https://techelectro.ru/prod/construction_hydraulics/hydraulic_pullers/sg20/sg20/" TargetMode="External"/><Relationship Id="rId2797" Type="http://schemas.openxmlformats.org/officeDocument/2006/relationships/hyperlink" Target="https://techelectro.ru/prod/insulating/xt/sku_85375/" TargetMode="External"/><Relationship Id="rId3848" Type="http://schemas.openxmlformats.org/officeDocument/2006/relationships/hyperlink" Target="https://techelectro.ru/prod/metalworking-tools/ft_pumpliers/rkp200/sku_92064/" TargetMode="External"/><Relationship Id="rId6047" Type="http://schemas.openxmlformats.org/officeDocument/2006/relationships/hyperlink" Target="https://techelectro.ru/prod/ground_wire/mzm-tng-ls/sku_89136/" TargetMode="External"/><Relationship Id="rId769" Type="http://schemas.openxmlformats.org/officeDocument/2006/relationships/hyperlink" Target="https://techelectro.ru/prod/insulugs/iquick/gsi_easyfix/sku_108632/" TargetMode="External"/><Relationship Id="rId976" Type="http://schemas.openxmlformats.org/officeDocument/2006/relationships/hyperlink" Target="https://techelectro.ru/prod/e-connectors/nshvi/sku_108916/" TargetMode="External"/><Relationship Id="rId1399" Type="http://schemas.openxmlformats.org/officeDocument/2006/relationships/hyperlink" Target="https://techelectro.ru/prod/cable-kits/kits-ngls-10kv/3rkvtp_ngls/sku_88127/" TargetMode="External"/><Relationship Id="rId2657" Type="http://schemas.openxmlformats.org/officeDocument/2006/relationships/hyperlink" Target="https://techelectro.ru/prod/hstubes/specialtube/tt200/tt-200-9_5-4_8/" TargetMode="External"/><Relationship Id="rId5063" Type="http://schemas.openxmlformats.org/officeDocument/2006/relationships/hyperlink" Target="https://techelectro.ru/prod/strength-ties/screw-ties/sr2/sr26-28w2/" TargetMode="External"/><Relationship Id="rId5270" Type="http://schemas.openxmlformats.org/officeDocument/2006/relationships/hyperlink" Target="https://techelectro.ru/prod/cable_entry/cable_entry_metal/kvm-m12_inox/sku_88849/" TargetMode="External"/><Relationship Id="rId629" Type="http://schemas.openxmlformats.org/officeDocument/2006/relationships/hyperlink" Target="https://techelectro.ru/prod/insulugs/ilugs/nkit/sku_108570/" TargetMode="External"/><Relationship Id="rId1259" Type="http://schemas.openxmlformats.org/officeDocument/2006/relationships/hyperlink" Target="https://techelectro.ru/prod/cable-kits/kits-ngls-1kv/4_5pktp-1_ngls/4pktp_bng-ls1-70-120_b/" TargetMode="External"/><Relationship Id="rId1466" Type="http://schemas.openxmlformats.org/officeDocument/2006/relationships/hyperlink" Target="https://techelectro.ru/prod/cable-kits/muffs1kv/3kvntp1sold/sku_88787/" TargetMode="External"/><Relationship Id="rId2864" Type="http://schemas.openxmlformats.org/officeDocument/2006/relationships/hyperlink" Target="https://techelectro.ru/prod/wiring-tools/crimpers/insulugs-crimp/skm1/sku_102351/" TargetMode="External"/><Relationship Id="rId3708" Type="http://schemas.openxmlformats.org/officeDocument/2006/relationships/hyperlink" Target="https://techelectro.ru/prod/electric-tools/cordless-impact-wrenches/wb20-350_ot/sku_104572/" TargetMode="External"/><Relationship Id="rId3915" Type="http://schemas.openxmlformats.org/officeDocument/2006/relationships/hyperlink" Target="https://techelectro.ru/prod/metalworking-tools/ft_knives/nsm13/nsm-13/" TargetMode="External"/><Relationship Id="rId5130" Type="http://schemas.openxmlformats.org/officeDocument/2006/relationships/hyperlink" Target="https://techelectro.ru/prod/cable_entry/cable_entry_metal/mgm-inox/sku_88013/" TargetMode="External"/><Relationship Id="rId836" Type="http://schemas.openxmlformats.org/officeDocument/2006/relationships/hyperlink" Target="https://techelectro.ru/prod/insulugs/screw_clamp/zvi-u/sku_109253/" TargetMode="External"/><Relationship Id="rId1119" Type="http://schemas.openxmlformats.org/officeDocument/2006/relationships/hyperlink" Target="https://techelectro.ru/prod/clamps_wago-smk/smk-222-414/sku_92364/" TargetMode="External"/><Relationship Id="rId1673" Type="http://schemas.openxmlformats.org/officeDocument/2006/relationships/hyperlink" Target="https://techelectro.ru/prod/cable-kits/muffs1kv/5pto-1/5pto1-16/" TargetMode="External"/><Relationship Id="rId1880" Type="http://schemas.openxmlformats.org/officeDocument/2006/relationships/hyperlink" Target="https://techelectro.ru/prod/cable_kits_acs/tping/5tping-25-50/" TargetMode="External"/><Relationship Id="rId2517" Type="http://schemas.openxmlformats.org/officeDocument/2006/relationships/hyperlink" Target="https://techelectro.ru/prod/hstubes/gluetube/nttk31/nttk31_130/" TargetMode="External"/><Relationship Id="rId2724" Type="http://schemas.openxmlformats.org/officeDocument/2006/relationships/hyperlink" Target="https://techelectro.ru/prod/insulating/xa/sku_106118/" TargetMode="External"/><Relationship Id="rId2931" Type="http://schemas.openxmlformats.org/officeDocument/2006/relationships/hyperlink" Target="https://techelectro.ru/prod/wiring-tools/crimpers_pgr/hdcrimp/pgrs120/pgrs-120/" TargetMode="External"/><Relationship Id="rId903" Type="http://schemas.openxmlformats.org/officeDocument/2006/relationships/hyperlink" Target="https://techelectro.ru/prod/insulugs/autoterminals/nk_1_5-4/sku_85672/" TargetMode="External"/><Relationship Id="rId1326" Type="http://schemas.openxmlformats.org/officeDocument/2006/relationships/hyperlink" Target="https://techelectro.ru/prod/cable-kits/kits-ngls-1kv/4_5pst_ngls-1/4pstb1-16-25_bngls/" TargetMode="External"/><Relationship Id="rId1533" Type="http://schemas.openxmlformats.org/officeDocument/2006/relationships/hyperlink" Target="https://techelectro.ru/prod/cable-kits/muffs1kv/kktng-ls/sku_82601/" TargetMode="External"/><Relationship Id="rId1740" Type="http://schemas.openxmlformats.org/officeDocument/2006/relationships/hyperlink" Target="https://techelectro.ru/prod/cable-kits/muffs10kv/3rkvtp-10/sku_88113/" TargetMode="External"/><Relationship Id="rId4689" Type="http://schemas.openxmlformats.org/officeDocument/2006/relationships/hyperlink" Target="https://techelectro.ru/prod/ties/nylonties/ksdp/ksdp4x190/" TargetMode="External"/><Relationship Id="rId4896" Type="http://schemas.openxmlformats.org/officeDocument/2006/relationships/hyperlink" Target="https://techelectro.ru/prod/steel-ties/steel_ties-labels/sksp304_50pcs/sku_103092/" TargetMode="External"/><Relationship Id="rId5947" Type="http://schemas.openxmlformats.org/officeDocument/2006/relationships/hyperlink" Target="https://techelectro.ru/prod/staples/kmp_black/sku_89340/" TargetMode="External"/><Relationship Id="rId32" Type="http://schemas.openxmlformats.org/officeDocument/2006/relationships/hyperlink" Target="https://techelectro.ru/prod/cable-lugs/cu/tmls/tmls_240_12/" TargetMode="External"/><Relationship Id="rId1600" Type="http://schemas.openxmlformats.org/officeDocument/2006/relationships/hyperlink" Target="https://techelectro.ru/prod/cable-kits/muffs1kv/4_5pst-1/4pst1-16-25/" TargetMode="External"/><Relationship Id="rId3498" Type="http://schemas.openxmlformats.org/officeDocument/2006/relationships/hyperlink" Target="https://techelectro.ru/prod/wiring-tools/hstools/gt12/sku_88068/" TargetMode="External"/><Relationship Id="rId4549" Type="http://schemas.openxmlformats.org/officeDocument/2006/relationships/hyperlink" Target="https://techelectro.ru/prod/ties/nylonties/nss-black/sku_84819/" TargetMode="External"/><Relationship Id="rId4756" Type="http://schemas.openxmlformats.org/officeDocument/2006/relationships/hyperlink" Target="https://techelectro.ru/prod/ties/markers/up/up255b/" TargetMode="External"/><Relationship Id="rId4963" Type="http://schemas.openxmlformats.org/officeDocument/2006/relationships/hyperlink" Target="https://techelectro.ru/prod/strength-ties/screw-ties/pl9-w1/w1-50-70/" TargetMode="External"/><Relationship Id="rId5807" Type="http://schemas.openxmlformats.org/officeDocument/2006/relationships/hyperlink" Target="https://techelectro.ru/prod/staples/sdk/label_102662/" TargetMode="External"/><Relationship Id="rId3358" Type="http://schemas.openxmlformats.org/officeDocument/2006/relationships/hyperlink" Target="https://techelectro.ru/prod/wiring-tools/unwinding/hvltools/dk5v/dk5v/" TargetMode="External"/><Relationship Id="rId3565" Type="http://schemas.openxmlformats.org/officeDocument/2006/relationships/hyperlink" Target="https://techelectro.ru/prod/vdetools/pliers/sidecuttersexp160/sidecutterexp-160/" TargetMode="External"/><Relationship Id="rId3772" Type="http://schemas.openxmlformats.org/officeDocument/2006/relationships/hyperlink" Target="https://techelectro.ru/prod/generators/inverter-generators/gfi8800aes/sku_110036/" TargetMode="External"/><Relationship Id="rId4409" Type="http://schemas.openxmlformats.org/officeDocument/2006/relationships/hyperlink" Target="https://techelectro.ru/prod/ties/nylonties/kss/kss5h400/" TargetMode="External"/><Relationship Id="rId4616" Type="http://schemas.openxmlformats.org/officeDocument/2006/relationships/hyperlink" Target="https://techelectro.ru/prod/ties/nylonties/kss-colors/kss5x300r/" TargetMode="External"/><Relationship Id="rId4823" Type="http://schemas.openxmlformats.org/officeDocument/2006/relationships/hyperlink" Target="https://techelectro.ru/prod/steel-ties/steel_ties-labels/sks304_50pcs/sku_103079/" TargetMode="External"/><Relationship Id="rId279" Type="http://schemas.openxmlformats.org/officeDocument/2006/relationships/hyperlink" Target="https://techelectro.ru/prod/cable-lugs/cu/tmls45/tmls_45_70-10/" TargetMode="External"/><Relationship Id="rId486" Type="http://schemas.openxmlformats.org/officeDocument/2006/relationships/hyperlink" Target="https://techelectro.ru/prod/insulugs/ilugs/nki/nki_1_5_6/" TargetMode="External"/><Relationship Id="rId693" Type="http://schemas.openxmlformats.org/officeDocument/2006/relationships/hyperlink" Target="https://techelectro.ru/prod/insulugs/iplug/vrpip/vrpip_25/" TargetMode="External"/><Relationship Id="rId2167" Type="http://schemas.openxmlformats.org/officeDocument/2006/relationships/hyperlink" Target="https://techelectro.ru/prod/hstubes/hstube/tnt_hf/sku_82998/" TargetMode="External"/><Relationship Id="rId2374" Type="http://schemas.openxmlformats.org/officeDocument/2006/relationships/hyperlink" Target="https://techelectro.ru/prod/hstubes/gluetube/ttk31_inrolls/sku_89_691/" TargetMode="External"/><Relationship Id="rId2581" Type="http://schemas.openxmlformats.org/officeDocument/2006/relationships/hyperlink" Target="https://techelectro.ru/prod/hstubes/hstubeset/set_glue12/sku_85193/" TargetMode="External"/><Relationship Id="rId3218" Type="http://schemas.openxmlformats.org/officeDocument/2006/relationships/hyperlink" Target="https://techelectro.ru/prod/wiring-tools/strippers/knives/kf02/sku_104519/" TargetMode="External"/><Relationship Id="rId3425" Type="http://schemas.openxmlformats.org/officeDocument/2006/relationships/hyperlink" Target="https://techelectro.ru/prod/wiring-tools/unwinding/traction_winches/lta1/sku_109769/" TargetMode="External"/><Relationship Id="rId3632" Type="http://schemas.openxmlformats.org/officeDocument/2006/relationships/hyperlink" Target="https://techelectro.ru/prod/vdetools/vde-screwdrivers/nio02t/nio-02t/" TargetMode="External"/><Relationship Id="rId139" Type="http://schemas.openxmlformats.org/officeDocument/2006/relationships/hyperlink" Target="https://techelectro.ru/prod/cable-lugs/cu/tmldin/tml_din_70_10/" TargetMode="External"/><Relationship Id="rId346" Type="http://schemas.openxmlformats.org/officeDocument/2006/relationships/hyperlink" Target="https://techelectro.ru/prod/cable-lugs/cu/gmls/sku_88075/" TargetMode="External"/><Relationship Id="rId553" Type="http://schemas.openxmlformats.org/officeDocument/2006/relationships/hyperlink" Target="https://techelectro.ru/prod/insulugs/ilugs/nkin/sku_108534/" TargetMode="External"/><Relationship Id="rId760" Type="http://schemas.openxmlformats.org/officeDocument/2006/relationships/hyperlink" Target="https://techelectro.ru/prod/insulugs/iquick/gsi/gsi_10/" TargetMode="External"/><Relationship Id="rId1183" Type="http://schemas.openxmlformats.org/officeDocument/2006/relationships/hyperlink" Target="https://techelectro.ru/prod/bolt-lugs/wire10-240/nbel/2nbe_25-50l/" TargetMode="External"/><Relationship Id="rId1390" Type="http://schemas.openxmlformats.org/officeDocument/2006/relationships/hyperlink" Target="https://techelectro.ru/prod/cable-kits/kits-ngls-10kv/3pkvntp-10_ng-ls/3pkvtp-10-70_120_b_ng-ls/" TargetMode="External"/><Relationship Id="rId2027" Type="http://schemas.openxmlformats.org/officeDocument/2006/relationships/hyperlink" Target="https://techelectro.ru/prod/ukpt_ogt/ukpto/sku_89456/" TargetMode="External"/><Relationship Id="rId2234" Type="http://schemas.openxmlformats.org/officeDocument/2006/relationships/hyperlink" Target="https://techelectro.ru/prod/hstubes/hstube/tut_hf/sku_83017/" TargetMode="External"/><Relationship Id="rId2441" Type="http://schemas.openxmlformats.org/officeDocument/2006/relationships/hyperlink" Target="https://techelectro.ru/prod/hstubes/gluetube/ttk31_yellow/sku_102412/" TargetMode="External"/><Relationship Id="rId5597" Type="http://schemas.openxmlformats.org/officeDocument/2006/relationships/hyperlink" Target="https://techelectro.ru/prod/metal-hose-fittings/hose/mrn-inox_p/sku_104467/" TargetMode="External"/><Relationship Id="rId206" Type="http://schemas.openxmlformats.org/officeDocument/2006/relationships/hyperlink" Target="https://techelectro.ru/prod/cable-lugs/cu/pm/pm_6_5/" TargetMode="External"/><Relationship Id="rId413" Type="http://schemas.openxmlformats.org/officeDocument/2006/relationships/hyperlink" Target="https://techelectro.ru/prod/cable-lugs/al/tam/tam_185-16-19/" TargetMode="External"/><Relationship Id="rId1043" Type="http://schemas.openxmlformats.org/officeDocument/2006/relationships/hyperlink" Target="https://techelectro.ru/prod/e-connectors/nshvi2_euro/sku_103248/" TargetMode="External"/><Relationship Id="rId4199" Type="http://schemas.openxmlformats.org/officeDocument/2006/relationships/hyperlink" Target="https://techelectro.ru/prod/abcarm/pierce/zpon25-150_25-150/sku_108664/" TargetMode="External"/><Relationship Id="rId620" Type="http://schemas.openxmlformats.org/officeDocument/2006/relationships/hyperlink" Target="https://techelectro.ru/prod/insulugs/ilugs/nshki/sku_108576/" TargetMode="External"/><Relationship Id="rId1250" Type="http://schemas.openxmlformats.org/officeDocument/2006/relationships/hyperlink" Target="https://techelectro.ru/prod/cable-kits/kits-ngls-1kv/4_5pktp-1_ngls/4pktpng-ls1-25-50_b/" TargetMode="External"/><Relationship Id="rId2301" Type="http://schemas.openxmlformats.org/officeDocument/2006/relationships/hyperlink" Target="https://techelectro.ru/prod/hstubes/hstube/tut-hf/sku_84973/" TargetMode="External"/><Relationship Id="rId4059" Type="http://schemas.openxmlformats.org/officeDocument/2006/relationships/hyperlink" Target="https://techelectro.ru/prod/maintenance_tools/network_repair_tool/lan8set/sku_90348/" TargetMode="External"/><Relationship Id="rId5457" Type="http://schemas.openxmlformats.org/officeDocument/2006/relationships/hyperlink" Target="https://techelectro.ru/prod/metal-hose-fittings/hose/mrping/sku_64849/" TargetMode="External"/><Relationship Id="rId5664" Type="http://schemas.openxmlformats.org/officeDocument/2006/relationships/hyperlink" Target="https://techelectro.ru/prod/metal-hose-fittings/fittings/vmu/vmu20/" TargetMode="External"/><Relationship Id="rId5871" Type="http://schemas.openxmlformats.org/officeDocument/2006/relationships/hyperlink" Target="https://techelectro.ru/prod/staples/smr15/smr_30-15/" TargetMode="External"/><Relationship Id="rId1110" Type="http://schemas.openxmlformats.org/officeDocument/2006/relationships/hyperlink" Target="https://techelectro.ru/prod/clamps_wago-smk/smk_221-412/sku_109298/" TargetMode="External"/><Relationship Id="rId4266" Type="http://schemas.openxmlformats.org/officeDocument/2006/relationships/hyperlink" Target="https://techelectro.ru/prod/abcarm/sealinslugs/nim-cptau16/sku_103163/" TargetMode="External"/><Relationship Id="rId4473" Type="http://schemas.openxmlformats.org/officeDocument/2006/relationships/hyperlink" Target="https://techelectro.ru/prod/ties/nylonties/nss/sku_89920/" TargetMode="External"/><Relationship Id="rId4680" Type="http://schemas.openxmlformats.org/officeDocument/2006/relationships/hyperlink" Target="https://techelectro.ru/prod/ties/nylonties/ksr-black/ksr7_5x200black/" TargetMode="External"/><Relationship Id="rId5317" Type="http://schemas.openxmlformats.org/officeDocument/2006/relationships/hyperlink" Target="https://techelectro.ru/prod/cable_entry/cable_entry_plastic/pg/pg11/" TargetMode="External"/><Relationship Id="rId5524" Type="http://schemas.openxmlformats.org/officeDocument/2006/relationships/hyperlink" Target="https://techelectro.ru/prod/metal-hose-fittings/hose/mrping-p_termo/sku_88493/" TargetMode="External"/><Relationship Id="rId5731" Type="http://schemas.openxmlformats.org/officeDocument/2006/relationships/hyperlink" Target="https://techelectro.ru/prod/metal-hose-fittings/fittings/atk/sku_92325/" TargetMode="External"/><Relationship Id="rId1927" Type="http://schemas.openxmlformats.org/officeDocument/2006/relationships/hyperlink" Target="https://techelectro.ru/prod/cable_kits_acs/trm/trm_200_50-600/" TargetMode="External"/><Relationship Id="rId3075" Type="http://schemas.openxmlformats.org/officeDocument/2006/relationships/hyperlink" Target="https://techelectro.ru/prod/wiring-tools/cutters/wirecutters/mc10/sku_103211/" TargetMode="External"/><Relationship Id="rId3282" Type="http://schemas.openxmlformats.org/officeDocument/2006/relationships/hyperlink" Target="https://techelectro.ru/prod/wiring-tools/bustools/shr150vneo/shr-150vneo/" TargetMode="External"/><Relationship Id="rId4126" Type="http://schemas.openxmlformats.org/officeDocument/2006/relationships/hyperlink" Target="https://techelectro.ru/prod/protection-safety/cases/k-3/k3/" TargetMode="External"/><Relationship Id="rId4333" Type="http://schemas.openxmlformats.org/officeDocument/2006/relationships/hyperlink" Target="https://techelectro.ru/prod/digital_meters/multimeters/kt206b/kt-206b/" TargetMode="External"/><Relationship Id="rId4540" Type="http://schemas.openxmlformats.org/officeDocument/2006/relationships/hyperlink" Target="https://techelectro.ru/prod/ties/nylonties/nss-black/sku_84814/" TargetMode="External"/><Relationship Id="rId2091" Type="http://schemas.openxmlformats.org/officeDocument/2006/relationships/hyperlink" Target="https://techelectro.ru/prod/hstubes/hstube/tut_ng-ls_3_1/sku_85104/" TargetMode="External"/><Relationship Id="rId3142" Type="http://schemas.openxmlformats.org/officeDocument/2006/relationships/hyperlink" Target="https://techelectro.ru/prod/wiring-tools/cutters_din/steelcutters/tgs48/sku_89256/" TargetMode="External"/><Relationship Id="rId4400" Type="http://schemas.openxmlformats.org/officeDocument/2006/relationships/hyperlink" Target="https://techelectro.ru/prod/ties/nylonties/kss/kss4h200/" TargetMode="External"/><Relationship Id="rId270" Type="http://schemas.openxmlformats.org/officeDocument/2006/relationships/hyperlink" Target="https://techelectro.ru/prod/cable-lugs/cu/tmls45/tmls_45_10-8/" TargetMode="External"/><Relationship Id="rId3002" Type="http://schemas.openxmlformats.org/officeDocument/2006/relationships/hyperlink" Target="https://techelectro.ru/prod/wiring-tools/crimpers_pgr/hv-crimpers/matrix_pg60t/msh-31-2/" TargetMode="External"/><Relationship Id="rId130" Type="http://schemas.openxmlformats.org/officeDocument/2006/relationships/hyperlink" Target="https://techelectro.ru/prod/cable-lugs/cu/tmldin/tml_din_16_10/" TargetMode="External"/><Relationship Id="rId3959" Type="http://schemas.openxmlformats.org/officeDocument/2006/relationships/hyperlink" Target="https://techelectro.ru/prod/construction_hydraulics/jack/jack_hd/dgp/sku_84614/" TargetMode="External"/><Relationship Id="rId5174" Type="http://schemas.openxmlformats.org/officeDocument/2006/relationships/hyperlink" Target="https://techelectro.ru/prod/cable_entry/cable_entry_metal/mgm-l/sku_88618/" TargetMode="External"/><Relationship Id="rId5381" Type="http://schemas.openxmlformats.org/officeDocument/2006/relationships/hyperlink" Target="https://techelectro.ru/prod/cable_entry/cable_entry_plastic/kvp-m8-white/sku_88851/" TargetMode="External"/><Relationship Id="rId6018" Type="http://schemas.openxmlformats.org/officeDocument/2006/relationships/hyperlink" Target="https://techelectro.ru/prod/ground_wire/pzu/pzu-6-650/" TargetMode="External"/><Relationship Id="rId2768" Type="http://schemas.openxmlformats.org/officeDocument/2006/relationships/hyperlink" Target="https://techelectro.ru/prod/insulating/xp_bw/sku_102342/" TargetMode="External"/><Relationship Id="rId2975" Type="http://schemas.openxmlformats.org/officeDocument/2006/relationships/hyperlink" Target="https://techelectro.ru/prod/wiring-tools/crimpers_pgr/hv-crimpers/matrix_pg60t/a-44/" TargetMode="External"/><Relationship Id="rId3819" Type="http://schemas.openxmlformats.org/officeDocument/2006/relationships/hyperlink" Target="https://techelectro.ru/prod/metalworking-tools/ft_screwdrivers/nb4ft/nb-4ft/" TargetMode="External"/><Relationship Id="rId5034" Type="http://schemas.openxmlformats.org/officeDocument/2006/relationships/hyperlink" Target="https://techelectro.ru/prod/strength-ties/screw-ties/sr/sr_29-31_w1/" TargetMode="External"/><Relationship Id="rId947" Type="http://schemas.openxmlformats.org/officeDocument/2006/relationships/hyperlink" Target="https://techelectro.ru/prod/e-connectors/nshvi/nshvi_10_12/" TargetMode="External"/><Relationship Id="rId1577" Type="http://schemas.openxmlformats.org/officeDocument/2006/relationships/hyperlink" Target="https://techelectro.ru/prod/cable-kits/muffs1kv/2pst-1/2pst1-70-120_b/" TargetMode="External"/><Relationship Id="rId1784" Type="http://schemas.openxmlformats.org/officeDocument/2006/relationships/hyperlink" Target="https://techelectro.ru/prod/cable-kits/muffs10kv/1pst10/1pst10-500-630/" TargetMode="External"/><Relationship Id="rId1991" Type="http://schemas.openxmlformats.org/officeDocument/2006/relationships/hyperlink" Target="https://techelectro.ru/prod/cable_kits_acs/kti/kti1/" TargetMode="External"/><Relationship Id="rId2628" Type="http://schemas.openxmlformats.org/officeDocument/2006/relationships/hyperlink" Target="https://techelectro.ru/prod/hstubes/specialtube/tt-s_ng-ls/sku_83641/" TargetMode="External"/><Relationship Id="rId2835" Type="http://schemas.openxmlformats.org/officeDocument/2006/relationships/hyperlink" Target="https://techelectro.ru/prod/wiring-tools/crimpers/insulugs-crimp/ctb/ctb03/" TargetMode="External"/><Relationship Id="rId4190" Type="http://schemas.openxmlformats.org/officeDocument/2006/relationships/hyperlink" Target="https://techelectro.ru/prod/abcarm/pierce/zpo16-95_1-5-16/sku_87395/" TargetMode="External"/><Relationship Id="rId5241" Type="http://schemas.openxmlformats.org/officeDocument/2006/relationships/hyperlink" Target="https://techelectro.ru/prod/cable_entry/cable_entry_metal/vk-m-mr-inox/sku_88168/" TargetMode="External"/><Relationship Id="rId76" Type="http://schemas.openxmlformats.org/officeDocument/2006/relationships/hyperlink" Target="https://techelectro.ru/prod/cable-lugs/cu/tml/sku_89406/" TargetMode="External"/><Relationship Id="rId807" Type="http://schemas.openxmlformats.org/officeDocument/2006/relationships/hyperlink" Target="https://techelectro.ru/prod/insulugs/siz_kiz/siz/siz4/" TargetMode="External"/><Relationship Id="rId1437" Type="http://schemas.openxmlformats.org/officeDocument/2006/relationships/hyperlink" Target="https://techelectro.ru/prod/cable-kits/kits-ngls-10kv/3stp10_ngls/3stp10-25-50_ngls/" TargetMode="External"/><Relationship Id="rId1644" Type="http://schemas.openxmlformats.org/officeDocument/2006/relationships/hyperlink" Target="https://techelectro.ru/prod/cable-kits/muffs1kv/pstk/pstk_414/" TargetMode="External"/><Relationship Id="rId1851" Type="http://schemas.openxmlformats.org/officeDocument/2006/relationships/hyperlink" Target="https://techelectro.ru/prod/cable-kits/muffs-35kv/3pkvtp-35/sku_110679/" TargetMode="External"/><Relationship Id="rId2902" Type="http://schemas.openxmlformats.org/officeDocument/2006/relationships/hyperlink" Target="https://techelectro.ru/prod/wiring-tools/crimpers/conn-crimp/pkvk6mini/sku_89787/" TargetMode="External"/><Relationship Id="rId4050" Type="http://schemas.openxmlformats.org/officeDocument/2006/relationships/hyperlink" Target="https://techelectro.ru/prod/maintenance_tools/rj-crimp/jt03t/sku_84493/" TargetMode="External"/><Relationship Id="rId5101" Type="http://schemas.openxmlformats.org/officeDocument/2006/relationships/hyperlink" Target="https://techelectro.ru/prod/strength-ties/pipe-ties/thk/thk3/" TargetMode="External"/><Relationship Id="rId1504" Type="http://schemas.openxmlformats.org/officeDocument/2006/relationships/hyperlink" Target="https://techelectro.ru/prod/cable-kits/muffs1kv/4_5-pktp-1/sku_88739/" TargetMode="External"/><Relationship Id="rId1711" Type="http://schemas.openxmlformats.org/officeDocument/2006/relationships/hyperlink" Target="https://techelectro.ru/prod/cable-kits/muffs10kv/1pknt10/sku_82797/" TargetMode="External"/><Relationship Id="rId4867" Type="http://schemas.openxmlformats.org/officeDocument/2006/relationships/hyperlink" Target="https://techelectro.ru/prod/steel-ties/steel_ties-labels/sksp/sksp4h400/" TargetMode="External"/><Relationship Id="rId3469" Type="http://schemas.openxmlformats.org/officeDocument/2006/relationships/hyperlink" Target="https://techelectro.ru/prod/wiring-tools/unwinding/fishtape/fgp3_5mk/fgp3_5r-30mk/" TargetMode="External"/><Relationship Id="rId3676" Type="http://schemas.openxmlformats.org/officeDocument/2006/relationships/hyperlink" Target="https://techelectro.ru/prod/vdetools/vde-sets/vde-wrench-sets/nik-n10/sku_105672/" TargetMode="External"/><Relationship Id="rId5918" Type="http://schemas.openxmlformats.org/officeDocument/2006/relationships/hyperlink" Target="https://techelectro.ru/prod/staples/snk/snk-12/" TargetMode="External"/><Relationship Id="rId597" Type="http://schemas.openxmlformats.org/officeDocument/2006/relationships/hyperlink" Target="https://techelectro.ru/prod/insulugs/ilugs/nvi_easyfix/sku_108564/" TargetMode="External"/><Relationship Id="rId2278" Type="http://schemas.openxmlformats.org/officeDocument/2006/relationships/hyperlink" Target="https://techelectro.ru/prod/hstubes/hstube/tut-hf/tut_hf12-6_green/" TargetMode="External"/><Relationship Id="rId2485" Type="http://schemas.openxmlformats.org/officeDocument/2006/relationships/hyperlink" Target="https://techelectro.ru/prod/hstubes/gluetube/ttk41_inrolls/sku_106550/" TargetMode="External"/><Relationship Id="rId3329" Type="http://schemas.openxmlformats.org/officeDocument/2006/relationships/hyperlink" Target="https://techelectro.ru/prod/wiring-tools/hdrtools/hdr_tools/pmn7012ua/pmn-7012ua/" TargetMode="External"/><Relationship Id="rId3883" Type="http://schemas.openxmlformats.org/officeDocument/2006/relationships/hyperlink" Target="https://techelectro.ru/prod/metalworking-tools/ft_endheads/nai-06_82/nai0682/" TargetMode="External"/><Relationship Id="rId4727" Type="http://schemas.openxmlformats.org/officeDocument/2006/relationships/hyperlink" Target="https://techelectro.ru/prod/ties/montage-acs/pms_20h20_white/pms20x20/" TargetMode="External"/><Relationship Id="rId4934" Type="http://schemas.openxmlformats.org/officeDocument/2006/relationships/hyperlink" Target="https://techelectro.ru/prod/steel-ties/steel_tape-brace/lks201-2007/sku_101756/" TargetMode="External"/><Relationship Id="rId457" Type="http://schemas.openxmlformats.org/officeDocument/2006/relationships/hyperlink" Target="https://techelectro.ru/prod/cable-lugs/al/nsham/sku_89238/" TargetMode="External"/><Relationship Id="rId1087" Type="http://schemas.openxmlformats.org/officeDocument/2006/relationships/hyperlink" Target="https://techelectro.ru/prod/e-connectors/nshviset-k1200-1/set_nshvi_k1200-1/" TargetMode="External"/><Relationship Id="rId1294" Type="http://schemas.openxmlformats.org/officeDocument/2006/relationships/hyperlink" Target="https://techelectro.ru/prod/cable-kits/kits-ngls-1kv/pktp_mini_ngls/5pktp_b_mini_-_2_5_10_ng-ls/" TargetMode="External"/><Relationship Id="rId2138" Type="http://schemas.openxmlformats.org/officeDocument/2006/relationships/hyperlink" Target="https://techelectro.ru/prod/hstubes/hstube/tnt_hf/sku_82978/" TargetMode="External"/><Relationship Id="rId2692" Type="http://schemas.openxmlformats.org/officeDocument/2006/relationships/hyperlink" Target="https://techelectro.ru/prod/insulating/pvc19-heavy/pvc19heavyblue/" TargetMode="External"/><Relationship Id="rId3536" Type="http://schemas.openxmlformats.org/officeDocument/2006/relationships/hyperlink" Target="https://techelectro.ru/prod/vdetools/pliers/sidecutters200ergoline_multifunction/sku_107206/" TargetMode="External"/><Relationship Id="rId3743" Type="http://schemas.openxmlformats.org/officeDocument/2006/relationships/hyperlink" Target="https://techelectro.ru/prod/electric-tools/accessories/crowns/sf-68_65_5t_sds-plus/sku_102561/" TargetMode="External"/><Relationship Id="rId3950" Type="http://schemas.openxmlformats.org/officeDocument/2006/relationships/hyperlink" Target="https://techelectro.ru/prod/construction_hydraulics/jack/jack_hd/dgp/sku_84549/" TargetMode="External"/><Relationship Id="rId664" Type="http://schemas.openxmlformats.org/officeDocument/2006/relationships/hyperlink" Target="https://techelectro.ru/prod/insulugs/iplug/rpim/rpim_15_28/" TargetMode="External"/><Relationship Id="rId871" Type="http://schemas.openxmlformats.org/officeDocument/2006/relationships/hyperlink" Target="https://techelectro.ru/prod/insulugs/screw_clamp/shni/sku_87187/" TargetMode="External"/><Relationship Id="rId2345" Type="http://schemas.openxmlformats.org/officeDocument/2006/relationships/hyperlink" Target="https://techelectro.ru/prod/hstubes/gluetube/ttk21/sku_84871/" TargetMode="External"/><Relationship Id="rId2552" Type="http://schemas.openxmlformats.org/officeDocument/2006/relationships/hyperlink" Target="https://techelectro.ru/prod/hstubes/hstubeset/monohrom/monohrom-3-1_5/" TargetMode="External"/><Relationship Id="rId3603" Type="http://schemas.openxmlformats.org/officeDocument/2006/relationships/hyperlink" Target="https://techelectro.ru/prod/vdetools/vde-screwdrivers/vde-screwdrivers-slim/slim_pz2-100/" TargetMode="External"/><Relationship Id="rId3810" Type="http://schemas.openxmlformats.org/officeDocument/2006/relationships/hyperlink" Target="https://techelectro.ru/prod/metalworking-tools/ft_screwdrivers/no08ft/no-08ft/" TargetMode="External"/><Relationship Id="rId317" Type="http://schemas.openxmlformats.org/officeDocument/2006/relationships/hyperlink" Target="https://techelectro.ru/prod/cable-lugs/cu/gmldin/gmldin_6/" TargetMode="External"/><Relationship Id="rId524" Type="http://schemas.openxmlformats.org/officeDocument/2006/relationships/hyperlink" Target="https://techelectro.ru/prod/insulugs/ilugs/nki_easyfix/sku_108551/" TargetMode="External"/><Relationship Id="rId731" Type="http://schemas.openxmlformats.org/officeDocument/2006/relationships/hyperlink" Target="https://techelectro.ru/prod/insulugs/iplug/vrshimn/vrshimn_15/" TargetMode="External"/><Relationship Id="rId1154" Type="http://schemas.openxmlformats.org/officeDocument/2006/relationships/hyperlink" Target="https://techelectro.ru/prod/bolt-lugs/wire10-240/nb/sku_105210/" TargetMode="External"/><Relationship Id="rId1361" Type="http://schemas.openxmlformats.org/officeDocument/2006/relationships/hyperlink" Target="https://techelectro.ru/prod/cable-kits/kits-ngls-1kv/pst-mini-ng_ls/5pstm-4_ngls/" TargetMode="External"/><Relationship Id="rId2205" Type="http://schemas.openxmlformats.org/officeDocument/2006/relationships/hyperlink" Target="https://techelectro.ru/prod/hstubes/hstube/tutng/tutng25/" TargetMode="External"/><Relationship Id="rId2412" Type="http://schemas.openxmlformats.org/officeDocument/2006/relationships/hyperlink" Target="https://techelectro.ru/prod/hstubes/gluetube/ttk31_red/ttk31-6r/" TargetMode="External"/><Relationship Id="rId5568" Type="http://schemas.openxmlformats.org/officeDocument/2006/relationships/hyperlink" Target="https://techelectro.ru/prod/metal-hose-fittings/hose/mrping-inox_p/sku_82613/" TargetMode="External"/><Relationship Id="rId5775" Type="http://schemas.openxmlformats.org/officeDocument/2006/relationships/hyperlink" Target="https://techelectro.ru/prod/staples/smo_inox/smo_inox-16-17/" TargetMode="External"/><Relationship Id="rId5982" Type="http://schemas.openxmlformats.org/officeDocument/2006/relationships/hyperlink" Target="https://techelectro.ru/prod/ground_wire/pz/pz_16-500/" TargetMode="External"/><Relationship Id="rId1014" Type="http://schemas.openxmlformats.org/officeDocument/2006/relationships/hyperlink" Target="https://techelectro.ru/prod/e-connectors/nshvi2/nshvi2_0_75-10/" TargetMode="External"/><Relationship Id="rId1221" Type="http://schemas.openxmlformats.org/officeDocument/2006/relationships/hyperlink" Target="https://techelectro.ru/prod/bolt-lugs/wire300-800/6sbel/6sbe_500-630l/" TargetMode="External"/><Relationship Id="rId4377" Type="http://schemas.openxmlformats.org/officeDocument/2006/relationships/hyperlink" Target="https://techelectro.ru/prod/digital_meters/ecotesters/kt620l/kt-620l/" TargetMode="External"/><Relationship Id="rId4584" Type="http://schemas.openxmlformats.org/officeDocument/2006/relationships/hyperlink" Target="https://techelectro.ru/prod/ties/nylonties/kss100-nord_white/sku_89937/" TargetMode="External"/><Relationship Id="rId4791" Type="http://schemas.openxmlformats.org/officeDocument/2006/relationships/hyperlink" Target="https://techelectro.ru/prod/steel-ties/steel_ties-labels/sks316/sks316-12x1000/" TargetMode="External"/><Relationship Id="rId5428" Type="http://schemas.openxmlformats.org/officeDocument/2006/relationships/hyperlink" Target="https://techelectro.ru/prod/metal-hose-fittings/hose/mrping_nord-p/mrping_nord_50_p/" TargetMode="External"/><Relationship Id="rId5635" Type="http://schemas.openxmlformats.org/officeDocument/2006/relationships/hyperlink" Target="https://techelectro.ru/prod/metal-hose-fittings/fittings/vm-m/sku_88904/" TargetMode="External"/><Relationship Id="rId5842" Type="http://schemas.openxmlformats.org/officeDocument/2006/relationships/hyperlink" Target="https://techelectro.ru/prod/staples/smdp/smd-p_60-63/" TargetMode="External"/><Relationship Id="rId3186" Type="http://schemas.openxmlformats.org/officeDocument/2006/relationships/hyperlink" Target="https://techelectro.ru/prod/wiring-tools/strippers/wire-strip/ws14/ws-14/" TargetMode="External"/><Relationship Id="rId3393" Type="http://schemas.openxmlformats.org/officeDocument/2006/relationships/hyperlink" Target="https://techelectro.ru/prod/wiring-tools/unwinding/hvltools/chm3/sku_109915/" TargetMode="External"/><Relationship Id="rId4237" Type="http://schemas.openxmlformats.org/officeDocument/2006/relationships/hyperlink" Target="https://techelectro.ru/prod/abcarm/sealinslugs/gia-mjpb10-16/sku_109212/" TargetMode="External"/><Relationship Id="rId4444" Type="http://schemas.openxmlformats.org/officeDocument/2006/relationships/hyperlink" Target="https://techelectro.ru/prod/ties/nylonties/kss_multilock_white/sku_102313/" TargetMode="External"/><Relationship Id="rId4651" Type="http://schemas.openxmlformats.org/officeDocument/2006/relationships/hyperlink" Target="https://techelectro.ru/prod/ties/nylonties/ksz-uv/ksz-8x400/" TargetMode="External"/><Relationship Id="rId3046" Type="http://schemas.openxmlformats.org/officeDocument/2006/relationships/hyperlink" Target="https://techelectro.ru/prod/wiring-tools/crimpers_pgr/hv-crimpers/matrix_pg100t/c-30-100t/" TargetMode="External"/><Relationship Id="rId3253" Type="http://schemas.openxmlformats.org/officeDocument/2006/relationships/hyperlink" Target="https://techelectro.ru/prod/wiring-tools/boxtools/singlempo/sku_61827/" TargetMode="External"/><Relationship Id="rId3460" Type="http://schemas.openxmlformats.org/officeDocument/2006/relationships/hyperlink" Target="https://techelectro.ru/prod/wiring-tools/unwinding/fishtape/fgp4_5/fgp4_5-10r/" TargetMode="External"/><Relationship Id="rId4304" Type="http://schemas.openxmlformats.org/officeDocument/2006/relationships/hyperlink" Target="https://techelectro.ru/prod/abcarm/abctools/rkn140/rkn140/" TargetMode="External"/><Relationship Id="rId5702" Type="http://schemas.openxmlformats.org/officeDocument/2006/relationships/hyperlink" Target="https://techelectro.ru/prod/metal-hose-fittings/fittings/stm/stm38/" TargetMode="External"/><Relationship Id="rId174" Type="http://schemas.openxmlformats.org/officeDocument/2006/relationships/hyperlink" Target="https://techelectro.ru/prod/cable-lugs/cu/tmlu/sku_101406/" TargetMode="External"/><Relationship Id="rId381" Type="http://schemas.openxmlformats.org/officeDocument/2006/relationships/hyperlink" Target="https://techelectro.ru/prod/cable-lugs/al/ta/ta_16-8-54/" TargetMode="External"/><Relationship Id="rId2062" Type="http://schemas.openxmlformats.org/officeDocument/2006/relationships/hyperlink" Target="https://techelectro.ru/prod/hstubes/hstube/tutng-color/sku_102192/" TargetMode="External"/><Relationship Id="rId3113" Type="http://schemas.openxmlformats.org/officeDocument/2006/relationships/hyperlink" Target="https://techelectro.ru/prod/wiring-tools/cutters/hdcutters/ng65/ng-65/" TargetMode="External"/><Relationship Id="rId4511" Type="http://schemas.openxmlformats.org/officeDocument/2006/relationships/hyperlink" Target="https://techelectro.ru/prod/ties/nylonties/kss-uv/kss9x1020b/" TargetMode="External"/><Relationship Id="rId241" Type="http://schemas.openxmlformats.org/officeDocument/2006/relationships/hyperlink" Target="https://techelectro.ru/prod/cable-lugs/cu/nshml/sku_87462/" TargetMode="External"/><Relationship Id="rId3320" Type="http://schemas.openxmlformats.org/officeDocument/2006/relationships/hyperlink" Target="https://techelectro.ru/prod/wiring-tools/hdrtools/hdr_tools/pmr7009a/pmr-7009a/" TargetMode="External"/><Relationship Id="rId5078" Type="http://schemas.openxmlformats.org/officeDocument/2006/relationships/hyperlink" Target="https://techelectro.ru/prod/strength-ties/screw-ties/sr2/sr92-97w2/" TargetMode="External"/><Relationship Id="rId2879" Type="http://schemas.openxmlformats.org/officeDocument/2006/relationships/hyperlink" Target="https://techelectro.ru/prod/wiring-tools/crimpers/insulugs-crimp/mpk6/mpk_06/" TargetMode="External"/><Relationship Id="rId5285" Type="http://schemas.openxmlformats.org/officeDocument/2006/relationships/hyperlink" Target="https://techelectro.ru/prod/cable_entry/cable_entry_metal/gpm/sku_88231/" TargetMode="External"/><Relationship Id="rId5492" Type="http://schemas.openxmlformats.org/officeDocument/2006/relationships/hyperlink" Target="https://techelectro.ru/prod/metal-hose-fittings/hose/mrping_p_grey/sku_88305/" TargetMode="External"/><Relationship Id="rId101" Type="http://schemas.openxmlformats.org/officeDocument/2006/relationships/hyperlink" Target="https://techelectro.ru/prod/cable-lugs/cu/tm/tm_25_8_7/" TargetMode="External"/><Relationship Id="rId1688" Type="http://schemas.openxmlformats.org/officeDocument/2006/relationships/hyperlink" Target="https://techelectro.ru/prod/cable-kits/muffs10kv/3pktp-6/3pktp6-25-50/" TargetMode="External"/><Relationship Id="rId1895" Type="http://schemas.openxmlformats.org/officeDocument/2006/relationships/hyperlink" Target="https://techelectro.ru/prod/cable_kits_acs/tpi/4tpi-70-120/" TargetMode="External"/><Relationship Id="rId2739" Type="http://schemas.openxmlformats.org/officeDocument/2006/relationships/hyperlink" Target="https://techelectro.ru/prod/insulating/xn/sku_106111/" TargetMode="External"/><Relationship Id="rId2946" Type="http://schemas.openxmlformats.org/officeDocument/2006/relationships/hyperlink" Target="https://techelectro.ru/prod/wiring-tools/crimpers_pgr/hdcrimp/pgra16/sku_109774/" TargetMode="External"/><Relationship Id="rId4094" Type="http://schemas.openxmlformats.org/officeDocument/2006/relationships/hyperlink" Target="https://techelectro.ru/prod/protection-safety/bags_packs/backpack-urban/sku_102567/" TargetMode="External"/><Relationship Id="rId5145" Type="http://schemas.openxmlformats.org/officeDocument/2006/relationships/hyperlink" Target="https://techelectro.ru/prod/cable_entry/cable_entry_metal/mgm/sku_88157/" TargetMode="External"/><Relationship Id="rId5352" Type="http://schemas.openxmlformats.org/officeDocument/2006/relationships/hyperlink" Target="https://techelectro.ru/prod/cable_entry/cable_entry_plastic/m/m40/" TargetMode="External"/><Relationship Id="rId918" Type="http://schemas.openxmlformats.org/officeDocument/2006/relationships/hyperlink" Target="https://techelectro.ru/prod/insulugs/autoterminals/rga/sku_89504/" TargetMode="External"/><Relationship Id="rId1548" Type="http://schemas.openxmlformats.org/officeDocument/2006/relationships/hyperlink" Target="https://techelectro.ru/prod/cable-kits/muffs1kv/4_3stp-1/4stp1-25-50/" TargetMode="External"/><Relationship Id="rId1755" Type="http://schemas.openxmlformats.org/officeDocument/2006/relationships/hyperlink" Target="https://techelectro.ru/prod/cable-kits/muffs10kv/3kvtp10sold/sku_88757/" TargetMode="External"/><Relationship Id="rId4161" Type="http://schemas.openxmlformats.org/officeDocument/2006/relationships/hyperlink" Target="https://techelectro.ru/prod/protection-safety/flashlights/hl_-6570/hl6570/" TargetMode="External"/><Relationship Id="rId5005" Type="http://schemas.openxmlformats.org/officeDocument/2006/relationships/hyperlink" Target="https://techelectro.ru/prod/strength-ties/screw-ties/pl9-w4/pl9-60-80w4/" TargetMode="External"/><Relationship Id="rId5212" Type="http://schemas.openxmlformats.org/officeDocument/2006/relationships/hyperlink" Target="https://techelectro.ru/prod/cable_entry/cable_entry_metal/pgm/pgm7/" TargetMode="External"/><Relationship Id="rId1408" Type="http://schemas.openxmlformats.org/officeDocument/2006/relationships/hyperlink" Target="https://techelectro.ru/prod/cable-kits/kits-ngls-10kv/3kvtp-10_ngls/3kvtp10-150-240_b_ngls/" TargetMode="External"/><Relationship Id="rId1962" Type="http://schemas.openxmlformats.org/officeDocument/2006/relationships/hyperlink" Target="https://techelectro.ru/prod/cable_kits_acs/kt/kt-m/" TargetMode="External"/><Relationship Id="rId2806" Type="http://schemas.openxmlformats.org/officeDocument/2006/relationships/hyperlink" Target="https://techelectro.ru/prod/wiring-tools/crimpers/insulugs-crimp/ctk/sku_56545/" TargetMode="External"/><Relationship Id="rId4021" Type="http://schemas.openxmlformats.org/officeDocument/2006/relationships/hyperlink" Target="https://techelectro.ru/prod/construction_hydraulics/flange_spreaders/rf10-54/sku_87723/" TargetMode="External"/><Relationship Id="rId47" Type="http://schemas.openxmlformats.org/officeDocument/2006/relationships/hyperlink" Target="https://techelectro.ru/prod/cable-lugs/cu/tml/tml_10-8-5/" TargetMode="External"/><Relationship Id="rId1615" Type="http://schemas.openxmlformats.org/officeDocument/2006/relationships/hyperlink" Target="https://techelectro.ru/prod/cable-kits/muffs1kv/4_5pst-1/4pstb1-16-25_b/" TargetMode="External"/><Relationship Id="rId1822" Type="http://schemas.openxmlformats.org/officeDocument/2006/relationships/hyperlink" Target="https://techelectro.ru/prod/cable-kits/muffs10kv/3stpr10/3stpr10-150-240_b/" TargetMode="External"/><Relationship Id="rId4978" Type="http://schemas.openxmlformats.org/officeDocument/2006/relationships/hyperlink" Target="https://techelectro.ru/prod/strength-ties/screw-ties/pl9-w2/sku_103910/" TargetMode="External"/><Relationship Id="rId3787" Type="http://schemas.openxmlformats.org/officeDocument/2006/relationships/hyperlink" Target="https://techelectro.ru/prod/metalworking-tools/ft_pliers/minibentnoseft125/minibentnoseft-125/" TargetMode="External"/><Relationship Id="rId3994" Type="http://schemas.openxmlformats.org/officeDocument/2006/relationships/hyperlink" Target="https://techelectro.ru/prod/construction_hydraulics/hydraulic_pullers/sgs30k/sku_91803/" TargetMode="External"/><Relationship Id="rId4838" Type="http://schemas.openxmlformats.org/officeDocument/2006/relationships/hyperlink" Target="https://techelectro.ru/prod/steel-ties/steel_ties-labels/sks316p/sks316p-4x800/" TargetMode="External"/><Relationship Id="rId6053" Type="http://schemas.openxmlformats.org/officeDocument/2006/relationships/hyperlink" Target="https://techelectro.ru/prod/ground_wire/uhz/sku_84645/" TargetMode="External"/><Relationship Id="rId2389" Type="http://schemas.openxmlformats.org/officeDocument/2006/relationships/hyperlink" Target="https://techelectro.ru/prod/hstubes/gluetube/ttk_flex_3_1/sku_85212/" TargetMode="External"/><Relationship Id="rId2596" Type="http://schemas.openxmlformats.org/officeDocument/2006/relationships/hyperlink" Target="https://techelectro.ru/prod/hstubes/highvoltagetube/ttsh10/sku_84896/" TargetMode="External"/><Relationship Id="rId3647" Type="http://schemas.openxmlformats.org/officeDocument/2006/relationships/hyperlink" Target="https://techelectro.ru/prod/vdetools/vde-knives/nki16/nki-16/" TargetMode="External"/><Relationship Id="rId3854" Type="http://schemas.openxmlformats.org/officeDocument/2006/relationships/hyperlink" Target="https://techelectro.ru/prod/metalworking-tools/ft_wrench/ntk6/sku_91948/" TargetMode="External"/><Relationship Id="rId4905" Type="http://schemas.openxmlformats.org/officeDocument/2006/relationships/hyperlink" Target="https://techelectro.ru/prod/steel-ties/steel_ties-labels/sks2-304/sks2-304-7x400/" TargetMode="External"/><Relationship Id="rId568" Type="http://schemas.openxmlformats.org/officeDocument/2006/relationships/hyperlink" Target="https://techelectro.ru/prod/insulugs/ilugs/vnki/sku_108613/" TargetMode="External"/><Relationship Id="rId775" Type="http://schemas.openxmlformats.org/officeDocument/2006/relationships/hyperlink" Target="https://techelectro.ru/prod/insulugs/iquick/gsin/sku_108629/" TargetMode="External"/><Relationship Id="rId982" Type="http://schemas.openxmlformats.org/officeDocument/2006/relationships/hyperlink" Target="https://techelectro.ru/prod/e-connectors/nshvi/sku_108925/" TargetMode="External"/><Relationship Id="rId1198" Type="http://schemas.openxmlformats.org/officeDocument/2006/relationships/hyperlink" Target="https://techelectro.ru/prod/bolt-lugs/wire10-240/sbe_gph/sku_105908/" TargetMode="External"/><Relationship Id="rId2249" Type="http://schemas.openxmlformats.org/officeDocument/2006/relationships/hyperlink" Target="https://techelectro.ru/prod/hstubes/hstube/tut-hf/tut_hf10-5_white/" TargetMode="External"/><Relationship Id="rId2456" Type="http://schemas.openxmlformats.org/officeDocument/2006/relationships/hyperlink" Target="https://techelectro.ru/prod/hstubes/gluetube/ttk31_blue/sku_102426/" TargetMode="External"/><Relationship Id="rId2663" Type="http://schemas.openxmlformats.org/officeDocument/2006/relationships/hyperlink" Target="https://techelectro.ru/prod/hstubes/specialtube/tt200_rolls/sku_90734/" TargetMode="External"/><Relationship Id="rId2870" Type="http://schemas.openxmlformats.org/officeDocument/2006/relationships/hyperlink" Target="https://techelectro.ru/prod/wiring-tools/crimpers/insulugs-crimp/pkp-01/sku_85396/" TargetMode="External"/><Relationship Id="rId3507" Type="http://schemas.openxmlformats.org/officeDocument/2006/relationships/hyperlink" Target="https://techelectro.ru/prod/wiring-tools/steeltiestools/tg2/tg-02/" TargetMode="External"/><Relationship Id="rId3714" Type="http://schemas.openxmlformats.org/officeDocument/2006/relationships/hyperlink" Target="https://techelectro.ru/prod/electric-tools/cordless-impact-wrenches/wb20-2000_ncs/sku_106054/" TargetMode="External"/><Relationship Id="rId3921" Type="http://schemas.openxmlformats.org/officeDocument/2006/relationships/hyperlink" Target="https://techelectro.ru/prod/metalworking-tools/ft_cutters/nma250r/sku_102041/" TargetMode="External"/><Relationship Id="rId428" Type="http://schemas.openxmlformats.org/officeDocument/2006/relationships/hyperlink" Target="https://techelectro.ru/prod/cable-lugs/al/gam/sku_90842/" TargetMode="External"/><Relationship Id="rId635" Type="http://schemas.openxmlformats.org/officeDocument/2006/relationships/hyperlink" Target="https://techelectro.ru/prod/insulugs/ilugs/iset-m950-1/iset-m-950-1/" TargetMode="External"/><Relationship Id="rId842" Type="http://schemas.openxmlformats.org/officeDocument/2006/relationships/hyperlink" Target="https://techelectro.ru/prod/insulugs/screw_clamp/zvi-u/sku_109259/" TargetMode="External"/><Relationship Id="rId1058" Type="http://schemas.openxmlformats.org/officeDocument/2006/relationships/hyperlink" Target="https://techelectro.ru/prod/e-connectors/nshv/nshv_2_5_8/" TargetMode="External"/><Relationship Id="rId1265" Type="http://schemas.openxmlformats.org/officeDocument/2006/relationships/hyperlink" Target="https://techelectro.ru/prod/cable-kits/kits-ngls-1kv/5pktp-1_ngls/5pktpng-ls1-16-25_b/" TargetMode="External"/><Relationship Id="rId1472" Type="http://schemas.openxmlformats.org/officeDocument/2006/relationships/hyperlink" Target="https://techelectro.ru/prod/cable-kits/muffs1kv/2-pktp-1/2pktp-1-_70_120_b/" TargetMode="External"/><Relationship Id="rId2109" Type="http://schemas.openxmlformats.org/officeDocument/2006/relationships/hyperlink" Target="https://techelectro.ru/prod/hstubes/hstube/tnt_hf/sku_84322/" TargetMode="External"/><Relationship Id="rId2316" Type="http://schemas.openxmlformats.org/officeDocument/2006/relationships/hyperlink" Target="https://techelectro.ru/prod/hstubes/hstube/tut-hf/tut_hf12-6_transparent/" TargetMode="External"/><Relationship Id="rId2523" Type="http://schemas.openxmlformats.org/officeDocument/2006/relationships/hyperlink" Target="https://techelectro.ru/prod/hstubes/gluetube/tt6x/tt6x-69/" TargetMode="External"/><Relationship Id="rId2730" Type="http://schemas.openxmlformats.org/officeDocument/2006/relationships/hyperlink" Target="https://techelectro.ru/prod/insulating/xn/sku_106101/" TargetMode="External"/><Relationship Id="rId5679" Type="http://schemas.openxmlformats.org/officeDocument/2006/relationships/hyperlink" Target="https://techelectro.ru/prod/metal-hose-fittings/fittings/vm-l/sku_88858/" TargetMode="External"/><Relationship Id="rId5886" Type="http://schemas.openxmlformats.org/officeDocument/2006/relationships/hyperlink" Target="https://techelectro.ru/prod/staples/smr15-inox/smr_inox_38-15/" TargetMode="External"/><Relationship Id="rId702" Type="http://schemas.openxmlformats.org/officeDocument/2006/relationships/hyperlink" Target="https://techelectro.ru/prod/insulugs/iplug/vrpim/sku_108617/" TargetMode="External"/><Relationship Id="rId1125" Type="http://schemas.openxmlformats.org/officeDocument/2006/relationships/hyperlink" Target="https://techelectro.ru/prod/clamps_wago-smk/smk_222-2411/sku_87635/" TargetMode="External"/><Relationship Id="rId1332" Type="http://schemas.openxmlformats.org/officeDocument/2006/relationships/hyperlink" Target="https://techelectro.ru/prod/cable-kits/kits-ngls-1kv/5pst_ngls-1/5pst1-70-120ngls/" TargetMode="External"/><Relationship Id="rId4488" Type="http://schemas.openxmlformats.org/officeDocument/2006/relationships/hyperlink" Target="https://techelectro.ru/prod/ties/nylonties/kss-uv/sku_89905/" TargetMode="External"/><Relationship Id="rId4695" Type="http://schemas.openxmlformats.org/officeDocument/2006/relationships/hyperlink" Target="https://techelectro.ru/prod/ties/nylonties/sv/ksv16x310r/" TargetMode="External"/><Relationship Id="rId5539" Type="http://schemas.openxmlformats.org/officeDocument/2006/relationships/hyperlink" Target="https://techelectro.ru/prod/metal-hose-fittings/hose/m-g/sku_87883/" TargetMode="External"/><Relationship Id="rId3297" Type="http://schemas.openxmlformats.org/officeDocument/2006/relationships/hyperlink" Target="https://techelectro.ru/prod/wiring-tools/bustools/mpsho-95/mpsho-12/" TargetMode="External"/><Relationship Id="rId4348" Type="http://schemas.openxmlformats.org/officeDocument/2006/relationships/hyperlink" Target="https://techelectro.ru/prod/digital_meters/testers_detectors/kt86a/sku_89640/" TargetMode="External"/><Relationship Id="rId5746" Type="http://schemas.openxmlformats.org/officeDocument/2006/relationships/hyperlink" Target="https://techelectro.ru/prod/metal-hose-fittings/fittings/mvpng/mvpng15/" TargetMode="External"/><Relationship Id="rId5953" Type="http://schemas.openxmlformats.org/officeDocument/2006/relationships/hyperlink" Target="https://techelectro.ru/prod/staples/pipe_clamp/pipetie_25/" TargetMode="External"/><Relationship Id="rId3157" Type="http://schemas.openxmlformats.org/officeDocument/2006/relationships/hyperlink" Target="https://techelectro.ru/prod/wiring-tools/cutters_din/br-brg-cutters/brm_750/sku_92113/" TargetMode="External"/><Relationship Id="rId4555" Type="http://schemas.openxmlformats.org/officeDocument/2006/relationships/hyperlink" Target="https://techelectro.ru/prod/ties/nylonties/nss-black/sku_89927/" TargetMode="External"/><Relationship Id="rId4762" Type="http://schemas.openxmlformats.org/officeDocument/2006/relationships/hyperlink" Target="https://techelectro.ru/prod/ties/markers/fm/fm0-75/" TargetMode="External"/><Relationship Id="rId5606" Type="http://schemas.openxmlformats.org/officeDocument/2006/relationships/hyperlink" Target="https://techelectro.ru/prod/metal-hose-fittings/hose/r3ch/r3-ch-25/" TargetMode="External"/><Relationship Id="rId5813" Type="http://schemas.openxmlformats.org/officeDocument/2006/relationships/hyperlink" Target="https://techelectro.ru/prod/staples/smd/smd_12-13/" TargetMode="External"/><Relationship Id="rId285" Type="http://schemas.openxmlformats.org/officeDocument/2006/relationships/hyperlink" Target="https://techelectro.ru/prod/cable-lugs/cu/gm/sku_46839/" TargetMode="External"/><Relationship Id="rId3364" Type="http://schemas.openxmlformats.org/officeDocument/2006/relationships/hyperlink" Target="https://techelectro.ru/prod/wiring-tools/unwinding/hvltools/vm-5/vm-5/" TargetMode="External"/><Relationship Id="rId3571" Type="http://schemas.openxmlformats.org/officeDocument/2006/relationships/hyperlink" Target="https://techelectro.ru/prod/vdetools/vde-screwdrivers/vde-screwdrivers-profi/sku_102999/" TargetMode="External"/><Relationship Id="rId4208" Type="http://schemas.openxmlformats.org/officeDocument/2006/relationships/hyperlink" Target="https://techelectro.ru/prod/abcarm/pierce/zpo25-25/zpo_25-25/" TargetMode="External"/><Relationship Id="rId4415" Type="http://schemas.openxmlformats.org/officeDocument/2006/relationships/hyperlink" Target="https://techelectro.ru/prod/ties/nylonties/kss/kss8h350/" TargetMode="External"/><Relationship Id="rId4622" Type="http://schemas.openxmlformats.org/officeDocument/2006/relationships/hyperlink" Target="https://techelectro.ru/prod/ties/nylonties/kss-colors/kss4x200b/" TargetMode="External"/><Relationship Id="rId492" Type="http://schemas.openxmlformats.org/officeDocument/2006/relationships/hyperlink" Target="https://techelectro.ru/prod/insulugs/ilugs/nki/nki_6_0_5/" TargetMode="External"/><Relationship Id="rId2173" Type="http://schemas.openxmlformats.org/officeDocument/2006/relationships/hyperlink" Target="https://techelectro.ru/prod/hstubes/hstube/tnt_hf/sku_85002/" TargetMode="External"/><Relationship Id="rId2380" Type="http://schemas.openxmlformats.org/officeDocument/2006/relationships/hyperlink" Target="https://techelectro.ru/prod/hstubes/gluetube/ttk31_inrolls/sku_89_697/" TargetMode="External"/><Relationship Id="rId3017" Type="http://schemas.openxmlformats.org/officeDocument/2006/relationships/hyperlink" Target="https://techelectro.ru/prod/wiring-tools/crimpers_pgr/hv-crimpers/matrix_pg60t/sku_69231/" TargetMode="External"/><Relationship Id="rId3224" Type="http://schemas.openxmlformats.org/officeDocument/2006/relationships/hyperlink" Target="https://techelectro.ru/prod/wiring-tools/boxtools/ppo-60/sku_85393/" TargetMode="External"/><Relationship Id="rId3431" Type="http://schemas.openxmlformats.org/officeDocument/2006/relationships/hyperlink" Target="https://techelectro.ru/prod/wiring-tools/unwinding/fishtape/stp4/stp4_15/" TargetMode="External"/><Relationship Id="rId145" Type="http://schemas.openxmlformats.org/officeDocument/2006/relationships/hyperlink" Target="https://techelectro.ru/prod/cable-lugs/cu/tmldin/tml_din_150_10/" TargetMode="External"/><Relationship Id="rId352" Type="http://schemas.openxmlformats.org/officeDocument/2006/relationships/hyperlink" Target="https://techelectro.ru/prod/cable-lugs/cu/gmls/sku_88082/" TargetMode="External"/><Relationship Id="rId2033" Type="http://schemas.openxmlformats.org/officeDocument/2006/relationships/hyperlink" Target="https://techelectro.ru/prod/hstubes/hstube/tutng-color/sku_102163/" TargetMode="External"/><Relationship Id="rId2240" Type="http://schemas.openxmlformats.org/officeDocument/2006/relationships/hyperlink" Target="https://techelectro.ru/prod/hstubes/hstube/tut_hf/sku_85121/" TargetMode="External"/><Relationship Id="rId5189" Type="http://schemas.openxmlformats.org/officeDocument/2006/relationships/hyperlink" Target="https://techelectro.ru/prod/cable_entry/cable_entry_metal/mgm-dl/sku_88634/" TargetMode="External"/><Relationship Id="rId5396" Type="http://schemas.openxmlformats.org/officeDocument/2006/relationships/hyperlink" Target="https://techelectro.ru/prod/waterproof_connections/ffc-26_2p-ip68/sku_101767/" TargetMode="External"/><Relationship Id="rId212" Type="http://schemas.openxmlformats.org/officeDocument/2006/relationships/hyperlink" Target="https://techelectro.ru/prod/cable-lugs/cu/pm/pm_16_8/" TargetMode="External"/><Relationship Id="rId1799" Type="http://schemas.openxmlformats.org/officeDocument/2006/relationships/hyperlink" Target="https://techelectro.ru/prod/cable-kits/muffs10kv/3pst10/sku_92352/" TargetMode="External"/><Relationship Id="rId2100" Type="http://schemas.openxmlformats.org/officeDocument/2006/relationships/hyperlink" Target="https://techelectro.ru/prod/hstubes/hstube/tut_ng-ls_3_1/sku_84905/" TargetMode="External"/><Relationship Id="rId5049" Type="http://schemas.openxmlformats.org/officeDocument/2006/relationships/hyperlink" Target="https://techelectro.ru/prod/strength-ties/screw-ties/sr/sr_98-103_w1/" TargetMode="External"/><Relationship Id="rId5256" Type="http://schemas.openxmlformats.org/officeDocument/2006/relationships/hyperlink" Target="https://techelectro.ru/prod/cable_entry/cable_entry_metal/vk-m-mr/sku_89196/" TargetMode="External"/><Relationship Id="rId5463" Type="http://schemas.openxmlformats.org/officeDocument/2006/relationships/hyperlink" Target="https://techelectro.ru/prod/metal-hose-fittings/hose/mrping/sku_64852/" TargetMode="External"/><Relationship Id="rId5670" Type="http://schemas.openxmlformats.org/officeDocument/2006/relationships/hyperlink" Target="https://techelectro.ru/prod/metal-hose-fittings/fittings/vmn/vmn25/" TargetMode="External"/><Relationship Id="rId4065" Type="http://schemas.openxmlformats.org/officeDocument/2006/relationships/hyperlink" Target="https://techelectro.ru/prod/fixing_tools/gsn40/sku_102360/" TargetMode="External"/><Relationship Id="rId4272" Type="http://schemas.openxmlformats.org/officeDocument/2006/relationships/hyperlink" Target="https://techelectro.ru/prod/abcarm/sealinslugs/nim-cptau50/sku_103166/" TargetMode="External"/><Relationship Id="rId5116" Type="http://schemas.openxmlformats.org/officeDocument/2006/relationships/hyperlink" Target="https://techelectro.ru/prod/strength-ties/pipe-ties/thn/th_inox_-4/" TargetMode="External"/><Relationship Id="rId5323" Type="http://schemas.openxmlformats.org/officeDocument/2006/relationships/hyperlink" Target="https://techelectro.ru/prod/cable_entry/cable_entry_plastic/pg/pg29/" TargetMode="External"/><Relationship Id="rId1659" Type="http://schemas.openxmlformats.org/officeDocument/2006/relationships/hyperlink" Target="https://techelectro.ru/prod/cable-kits/muffs1kv/mts/mts61_1-6/" TargetMode="External"/><Relationship Id="rId1866" Type="http://schemas.openxmlformats.org/officeDocument/2006/relationships/hyperlink" Target="https://techelectro.ru/prod/cable_kits_acs/rics-10/sku_92307/" TargetMode="External"/><Relationship Id="rId2917" Type="http://schemas.openxmlformats.org/officeDocument/2006/relationships/hyperlink" Target="https://techelectro.ru/prod/wiring-tools/crimpers/conn-crimp/pkvk16t/pkvk-16t/" TargetMode="External"/><Relationship Id="rId3081" Type="http://schemas.openxmlformats.org/officeDocument/2006/relationships/hyperlink" Target="https://techelectro.ru/prod/wiring-tools/cutters/wirecutters/nk50/sku_101858/" TargetMode="External"/><Relationship Id="rId4132" Type="http://schemas.openxmlformats.org/officeDocument/2006/relationships/hyperlink" Target="https://techelectro.ru/prod/protection-safety/protection/s32/s-32m/" TargetMode="External"/><Relationship Id="rId5530" Type="http://schemas.openxmlformats.org/officeDocument/2006/relationships/hyperlink" Target="https://techelectro.ru/prod/metal-hose-fittings/hose/mgpunglstitan/mgpungls_15_titan/" TargetMode="External"/><Relationship Id="rId1519" Type="http://schemas.openxmlformats.org/officeDocument/2006/relationships/hyperlink" Target="https://techelectro.ru/prod/cable-kits/muffs1kv/5-pktp-1/5pktp-1-16_25_b/" TargetMode="External"/><Relationship Id="rId1726" Type="http://schemas.openxmlformats.org/officeDocument/2006/relationships/hyperlink" Target="https://techelectro.ru/prod/cable-kits/muffs10kv/3pkntp-10/3pkntp10-35-50/" TargetMode="External"/><Relationship Id="rId1933" Type="http://schemas.openxmlformats.org/officeDocument/2006/relationships/hyperlink" Target="https://techelectro.ru/prod/cable_kits_acs/trma/trma_200/" TargetMode="External"/><Relationship Id="rId18" Type="http://schemas.openxmlformats.org/officeDocument/2006/relationships/hyperlink" Target="https://techelectro.ru/prod/cable-lugs/cu/tmls/tmls_35_10/" TargetMode="External"/><Relationship Id="rId3898" Type="http://schemas.openxmlformats.org/officeDocument/2006/relationships/hyperlink" Target="https://techelectro.ru/prod/metalworking-tools/ft_hummers/kv1000/kv-1000/" TargetMode="External"/><Relationship Id="rId4949" Type="http://schemas.openxmlformats.org/officeDocument/2006/relationships/hyperlink" Target="https://techelectro.ru/prod/steel-ties/steel_tape-brace/sm/sku_101757/" TargetMode="External"/><Relationship Id="rId3758" Type="http://schemas.openxmlformats.org/officeDocument/2006/relationships/hyperlink" Target="https://techelectro.ru/prod/electric-tools/accessories/direct-fastening/ggn-nails_mg/sku_106199/" TargetMode="External"/><Relationship Id="rId3965" Type="http://schemas.openxmlformats.org/officeDocument/2006/relationships/hyperlink" Target="https://techelectro.ru/prod/construction_hydraulics/jack/jack_hd/dpp/sku_84591/" TargetMode="External"/><Relationship Id="rId4809" Type="http://schemas.openxmlformats.org/officeDocument/2006/relationships/hyperlink" Target="https://techelectro.ru/prod/steel-ties/steel_ties-labels/sks/sks7h400/" TargetMode="External"/><Relationship Id="rId679" Type="http://schemas.openxmlformats.org/officeDocument/2006/relationships/hyperlink" Target="https://techelectro.ru/prod/insulugs/iplug/rppim/rppim_25-48/" TargetMode="External"/><Relationship Id="rId886" Type="http://schemas.openxmlformats.org/officeDocument/2006/relationships/hyperlink" Target="https://techelectro.ru/prod/insulugs/lighting_clamps/ke10-3/sku_109235/" TargetMode="External"/><Relationship Id="rId2567" Type="http://schemas.openxmlformats.org/officeDocument/2006/relationships/hyperlink" Target="https://techelectro.ru/prod/hstubes/hstubeset/5_colors/sku_85293/" TargetMode="External"/><Relationship Id="rId2774" Type="http://schemas.openxmlformats.org/officeDocument/2006/relationships/hyperlink" Target="https://techelectro.ru/prod/insulating/xs-mini/sku_90926/" TargetMode="External"/><Relationship Id="rId3618" Type="http://schemas.openxmlformats.org/officeDocument/2006/relationships/hyperlink" Target="https://techelectro.ru/prod/vdetools/vde-screwdrivers/nio3309/nio-3309/" TargetMode="External"/><Relationship Id="rId5180" Type="http://schemas.openxmlformats.org/officeDocument/2006/relationships/hyperlink" Target="https://techelectro.ru/prod/cable_entry/cable_entry_metal/mgm-r/sku_88629/" TargetMode="External"/><Relationship Id="rId6024" Type="http://schemas.openxmlformats.org/officeDocument/2006/relationships/hyperlink" Target="https://techelectro.ru/prod/ground_wire/pzu/pzu-10-200/" TargetMode="External"/><Relationship Id="rId2" Type="http://schemas.openxmlformats.org/officeDocument/2006/relationships/hyperlink" Target="https://techelectro.ru/prod/cable-lugs/cu/tmls/tmls_1-5_5/" TargetMode="External"/><Relationship Id="rId539" Type="http://schemas.openxmlformats.org/officeDocument/2006/relationships/hyperlink" Target="https://techelectro.ru/prod/insulugs/ilugs/nkin/nkin_6_0_6/" TargetMode="External"/><Relationship Id="rId746" Type="http://schemas.openxmlformats.org/officeDocument/2006/relationships/hyperlink" Target="https://techelectro.ru/prod/insulugs/iplug/iplugsets-rpip/sku_91022/" TargetMode="External"/><Relationship Id="rId1169" Type="http://schemas.openxmlformats.org/officeDocument/2006/relationships/hyperlink" Target="https://techelectro.ru/prod/bolt-lugs/wire10-240/sbp/sku_67039/" TargetMode="External"/><Relationship Id="rId1376" Type="http://schemas.openxmlformats.org/officeDocument/2006/relationships/hyperlink" Target="https://techelectro.ru/prod/cable-kits/kits-ngls-10kv/1pkvt10ngls/1pkvt10-70-120ngls/" TargetMode="External"/><Relationship Id="rId1583" Type="http://schemas.openxmlformats.org/officeDocument/2006/relationships/hyperlink" Target="https://techelectro.ru/prod/cable-kits/muffs1kv/2pst-1/2pstb1-70-120_b/" TargetMode="External"/><Relationship Id="rId2427" Type="http://schemas.openxmlformats.org/officeDocument/2006/relationships/hyperlink" Target="https://techelectro.ru/prod/hstubes/gluetube/ttk31_white/sku_84877/" TargetMode="External"/><Relationship Id="rId2981" Type="http://schemas.openxmlformats.org/officeDocument/2006/relationships/hyperlink" Target="https://techelectro.ru/prod/wiring-tools/crimpers_pgr/hv-crimpers/matrix_pg60t/a-57/" TargetMode="External"/><Relationship Id="rId3825" Type="http://schemas.openxmlformats.org/officeDocument/2006/relationships/hyperlink" Target="https://techelectro.ru/prod/metalworking-tools/ft_screwdrivers/nb79ft/nb-79/" TargetMode="External"/><Relationship Id="rId5040" Type="http://schemas.openxmlformats.org/officeDocument/2006/relationships/hyperlink" Target="https://techelectro.ru/prod/strength-ties/screw-ties/sr/sr_52-55_w1/" TargetMode="External"/><Relationship Id="rId953" Type="http://schemas.openxmlformats.org/officeDocument/2006/relationships/hyperlink" Target="https://techelectro.ru/prod/e-connectors/nshvi/nshvi_95_25/" TargetMode="External"/><Relationship Id="rId1029" Type="http://schemas.openxmlformats.org/officeDocument/2006/relationships/hyperlink" Target="https://techelectro.ru/prod/e-connectors/nshvi2/sku_108928/" TargetMode="External"/><Relationship Id="rId1236" Type="http://schemas.openxmlformats.org/officeDocument/2006/relationships/hyperlink" Target="https://techelectro.ru/prod/cable-kits/kits-ngls-1kv/4_kvntp-1_ngls/4kvntpngls1-25-50_b/" TargetMode="External"/><Relationship Id="rId1790" Type="http://schemas.openxmlformats.org/officeDocument/2006/relationships/hyperlink" Target="https://techelectro.ru/prod/cable-kits/muffs10kv/1pst10/1pst10-500-630_b/" TargetMode="External"/><Relationship Id="rId2634" Type="http://schemas.openxmlformats.org/officeDocument/2006/relationships/hyperlink" Target="https://techelectro.ru/prod/hstubes/specialtube/ttgsm/ttgsm-12_7-6_4/" TargetMode="External"/><Relationship Id="rId2841" Type="http://schemas.openxmlformats.org/officeDocument/2006/relationships/hyperlink" Target="https://techelectro.ru/prod/wiring-tools/crimpers/insulugs-crimp/ctb/ctb09/" TargetMode="External"/><Relationship Id="rId5997" Type="http://schemas.openxmlformats.org/officeDocument/2006/relationships/hyperlink" Target="https://techelectro.ru/prod/ground_wire/pz/pz_35-400/" TargetMode="External"/><Relationship Id="rId82" Type="http://schemas.openxmlformats.org/officeDocument/2006/relationships/hyperlink" Target="https://techelectro.ru/prod/cable-lugs/cu/tml/tml_185_16_21/" TargetMode="External"/><Relationship Id="rId606" Type="http://schemas.openxmlformats.org/officeDocument/2006/relationships/hyperlink" Target="https://techelectro.ru/prod/insulugs/ilugs/nvin/sku_108546/" TargetMode="External"/><Relationship Id="rId813" Type="http://schemas.openxmlformats.org/officeDocument/2006/relationships/hyperlink" Target="https://techelectro.ru/prod/insulugs/siz_kiz/siz/sku_108951/" TargetMode="External"/><Relationship Id="rId1443" Type="http://schemas.openxmlformats.org/officeDocument/2006/relationships/hyperlink" Target="https://techelectro.ru/prod/cable-kits/muffs1kv/4_3-kvntp-1/4kvntp1-25-50/" TargetMode="External"/><Relationship Id="rId1650" Type="http://schemas.openxmlformats.org/officeDocument/2006/relationships/hyperlink" Target="https://techelectro.ru/prod/cable-kits/muffs1kv/mks/mksb1/" TargetMode="External"/><Relationship Id="rId2701" Type="http://schemas.openxmlformats.org/officeDocument/2006/relationships/hyperlink" Target="https://techelectro.ru/prod/insulating/slp/sku_91604/" TargetMode="External"/><Relationship Id="rId4599" Type="http://schemas.openxmlformats.org/officeDocument/2006/relationships/hyperlink" Target="https://techelectro.ru/prod/ties/nylonties/kss100-nord_black/kss_nord_5-200_black/" TargetMode="External"/><Relationship Id="rId5857" Type="http://schemas.openxmlformats.org/officeDocument/2006/relationships/hyperlink" Target="https://techelectro.ru/prod/staples/smr15/smr_6-15/" TargetMode="External"/><Relationship Id="rId1303" Type="http://schemas.openxmlformats.org/officeDocument/2006/relationships/hyperlink" Target="https://techelectro.ru/prod/cable-kits/kits-ngls-1kv/4_3stp_ngls/4stpngls1-150-240/" TargetMode="External"/><Relationship Id="rId1510" Type="http://schemas.openxmlformats.org/officeDocument/2006/relationships/hyperlink" Target="https://techelectro.ru/prod/cable-kits/muffs1kv/4_5-pktp-1/4pktp_b-1-16_25_b/" TargetMode="External"/><Relationship Id="rId4459" Type="http://schemas.openxmlformats.org/officeDocument/2006/relationships/hyperlink" Target="https://techelectro.ru/prod/ties/nylonties/nss/sku_89916/" TargetMode="External"/><Relationship Id="rId4666" Type="http://schemas.openxmlformats.org/officeDocument/2006/relationships/hyperlink" Target="https://techelectro.ru/prod/ties/nylonties/ksov/kso_5h220/" TargetMode="External"/><Relationship Id="rId4873" Type="http://schemas.openxmlformats.org/officeDocument/2006/relationships/hyperlink" Target="https://techelectro.ru/prod/steel-ties/steel_ties-labels/sksp/sksp7h200/" TargetMode="External"/><Relationship Id="rId5717" Type="http://schemas.openxmlformats.org/officeDocument/2006/relationships/hyperlink" Target="https://techelectro.ru/prod/metal-hose-fittings/fittings/stmr/stmr20/" TargetMode="External"/><Relationship Id="rId5924" Type="http://schemas.openxmlformats.org/officeDocument/2006/relationships/hyperlink" Target="https://techelectro.ru/prod/staples/snk_black/sku_103931/" TargetMode="External"/><Relationship Id="rId3268" Type="http://schemas.openxmlformats.org/officeDocument/2006/relationships/hyperlink" Target="https://techelectro.ru/prod/wiring-tools/boxtools/mpo_square/mpo-72h72/" TargetMode="External"/><Relationship Id="rId3475" Type="http://schemas.openxmlformats.org/officeDocument/2006/relationships/hyperlink" Target="https://techelectro.ru/prod/wiring-tools/unwinding/fishtape/fgp6/sku_79040/" TargetMode="External"/><Relationship Id="rId3682" Type="http://schemas.openxmlformats.org/officeDocument/2006/relationships/hyperlink" Target="https://techelectro.ru/prod/vdetools/vde-sets/vde-wrench-sets/inswrench/wrench-30/" TargetMode="External"/><Relationship Id="rId4319" Type="http://schemas.openxmlformats.org/officeDocument/2006/relationships/hyperlink" Target="https://techelectro.ru/prod/digital_meters/multimeters/kt-121/sku_87249/" TargetMode="External"/><Relationship Id="rId4526" Type="http://schemas.openxmlformats.org/officeDocument/2006/relationships/hyperlink" Target="https://techelectro.ru/prod/ties/nylonties/kss_multilock_uv/sku_102324/" TargetMode="External"/><Relationship Id="rId4733" Type="http://schemas.openxmlformats.org/officeDocument/2006/relationships/hyperlink" Target="https://techelectro.ru/prod/ties/montage-acs/psk1/psk1_black/" TargetMode="External"/><Relationship Id="rId4940" Type="http://schemas.openxmlformats.org/officeDocument/2006/relationships/hyperlink" Target="https://techelectro.ru/prod/steel-ties/steel_tape-brace/lksp304/lks_p304-1504/" TargetMode="External"/><Relationship Id="rId189" Type="http://schemas.openxmlformats.org/officeDocument/2006/relationships/hyperlink" Target="https://techelectro.ru/prod/cable-lugs/cu/tmlr/sku_87482/" TargetMode="External"/><Relationship Id="rId396" Type="http://schemas.openxmlformats.org/officeDocument/2006/relationships/hyperlink" Target="https://techelectro.ru/prod/cable-lugs/al/ga/ga_50/" TargetMode="External"/><Relationship Id="rId2077" Type="http://schemas.openxmlformats.org/officeDocument/2006/relationships/hyperlink" Target="https://techelectro.ru/prod/hstubes/hstube/tutng-color/sku_102207/" TargetMode="External"/><Relationship Id="rId2284" Type="http://schemas.openxmlformats.org/officeDocument/2006/relationships/hyperlink" Target="https://techelectro.ru/prod/hstubes/hstube/tut-hf/sku_84979/" TargetMode="External"/><Relationship Id="rId2491" Type="http://schemas.openxmlformats.org/officeDocument/2006/relationships/hyperlink" Target="https://techelectro.ru/prod/hstubes/gluetube/ttv/ttv120-1200/" TargetMode="External"/><Relationship Id="rId3128" Type="http://schemas.openxmlformats.org/officeDocument/2006/relationships/hyperlink" Target="https://techelectro.ru/prod/wiring-tools/cutters_sidecutters/mc01d/sku_86593/" TargetMode="External"/><Relationship Id="rId3335" Type="http://schemas.openxmlformats.org/officeDocument/2006/relationships/hyperlink" Target="https://techelectro.ru/prod/wiring-tools/hdrtools/hdr_tools/pme7050-k2/pme-7050-k2/" TargetMode="External"/><Relationship Id="rId3542" Type="http://schemas.openxmlformats.org/officeDocument/2006/relationships/hyperlink" Target="https://techelectro.ru/prod/vdetools/pliers/intenscutterspro/sidecutterpro-180/" TargetMode="External"/><Relationship Id="rId256" Type="http://schemas.openxmlformats.org/officeDocument/2006/relationships/hyperlink" Target="https://techelectro.ru/prod/cable-lugs/cu/tmls90/tmls_90_35-10/" TargetMode="External"/><Relationship Id="rId463" Type="http://schemas.openxmlformats.org/officeDocument/2006/relationships/hyperlink" Target="https://techelectro.ru/prod/cable-lugs/al/nsham-p/sku_91881/" TargetMode="External"/><Relationship Id="rId670" Type="http://schemas.openxmlformats.org/officeDocument/2006/relationships/hyperlink" Target="https://techelectro.ru/prod/insulugs/iplug/rpim/sku_108586/" TargetMode="External"/><Relationship Id="rId1093" Type="http://schemas.openxmlformats.org/officeDocument/2006/relationships/hyperlink" Target="https://techelectro.ru/prod/clamps_wago-smk/smk_2273-244_paste/sku_87649/" TargetMode="External"/><Relationship Id="rId2144" Type="http://schemas.openxmlformats.org/officeDocument/2006/relationships/hyperlink" Target="https://techelectro.ru/prod/hstubes/hstube/tnt_hf/sku_82963/" TargetMode="External"/><Relationship Id="rId2351" Type="http://schemas.openxmlformats.org/officeDocument/2006/relationships/hyperlink" Target="https://techelectro.ru/prod/hstubes/gluetube/ttk21/ttk21-25b/" TargetMode="External"/><Relationship Id="rId3402" Type="http://schemas.openxmlformats.org/officeDocument/2006/relationships/hyperlink" Target="https://techelectro.ru/prod/wiring-tools/unwinding/hvltools/chm2s/sku_109868/" TargetMode="External"/><Relationship Id="rId4800" Type="http://schemas.openxmlformats.org/officeDocument/2006/relationships/hyperlink" Target="https://techelectro.ru/prod/steel-ties/steel_ties-labels/sks/sks4h500/" TargetMode="External"/><Relationship Id="rId116" Type="http://schemas.openxmlformats.org/officeDocument/2006/relationships/hyperlink" Target="https://techelectro.ru/prod/cable-lugs/cu/tm/tm_150_12_19/" TargetMode="External"/><Relationship Id="rId323" Type="http://schemas.openxmlformats.org/officeDocument/2006/relationships/hyperlink" Target="https://techelectro.ru/prod/cable-lugs/cu/gmldin/gmldin_70/" TargetMode="External"/><Relationship Id="rId530" Type="http://schemas.openxmlformats.org/officeDocument/2006/relationships/hyperlink" Target="https://techelectro.ru/prod/insulugs/ilugs/nki_easyfix/sku_108557/" TargetMode="External"/><Relationship Id="rId1160" Type="http://schemas.openxmlformats.org/officeDocument/2006/relationships/hyperlink" Target="https://techelectro.ru/prod/bolt-lugs/wire10-240/sb/sku_83824/" TargetMode="External"/><Relationship Id="rId2004" Type="http://schemas.openxmlformats.org/officeDocument/2006/relationships/hyperlink" Target="https://techelectro.ru/prod/ukpt_ogt/ukpt/ukpt100-22/" TargetMode="External"/><Relationship Id="rId2211" Type="http://schemas.openxmlformats.org/officeDocument/2006/relationships/hyperlink" Target="https://techelectro.ru/prod/hstubes/hstube/tutng/tutng80/" TargetMode="External"/><Relationship Id="rId5367" Type="http://schemas.openxmlformats.org/officeDocument/2006/relationships/hyperlink" Target="https://techelectro.ru/prod/cable_entry/cable_entry_plastic/pg-r/sku_88651/" TargetMode="External"/><Relationship Id="rId4176" Type="http://schemas.openxmlformats.org/officeDocument/2006/relationships/hyperlink" Target="https://techelectro.ru/prod/plumbing-tools/battery_pipe_tool/nr32mlcp/sku_89619/" TargetMode="External"/><Relationship Id="rId5574" Type="http://schemas.openxmlformats.org/officeDocument/2006/relationships/hyperlink" Target="https://techelectro.ru/prod/metal-hose-fittings/hose/mrping-inox_p/sku_104463/" TargetMode="External"/><Relationship Id="rId5781" Type="http://schemas.openxmlformats.org/officeDocument/2006/relationships/hyperlink" Target="https://techelectro.ru/prod/staples/smo_inox/smo_inox-60-63/" TargetMode="External"/><Relationship Id="rId1020" Type="http://schemas.openxmlformats.org/officeDocument/2006/relationships/hyperlink" Target="https://techelectro.ru/prod/e-connectors/nshvi2/nshvi2_2_5-13/" TargetMode="External"/><Relationship Id="rId1977" Type="http://schemas.openxmlformats.org/officeDocument/2006/relationships/hyperlink" Target="https://techelectro.ru/prod/cable_kits_acs/kmpb/kmpb3/" TargetMode="External"/><Relationship Id="rId4383" Type="http://schemas.openxmlformats.org/officeDocument/2006/relationships/hyperlink" Target="https://techelectro.ru/prod/digital_meters/ecotesters/kt820/sku_101565/" TargetMode="External"/><Relationship Id="rId4590" Type="http://schemas.openxmlformats.org/officeDocument/2006/relationships/hyperlink" Target="https://techelectro.ru/prod/ties/nylonties/kss100-nord_black/kss_nord_3-200_black/" TargetMode="External"/><Relationship Id="rId5227" Type="http://schemas.openxmlformats.org/officeDocument/2006/relationships/hyperlink" Target="https://techelectro.ru/prod/cable_entry/cable_entry_metal/pgm-l/sku_88833/" TargetMode="External"/><Relationship Id="rId5434" Type="http://schemas.openxmlformats.org/officeDocument/2006/relationships/hyperlink" Target="https://techelectro.ru/prod/metal-hose-fittings/hose/r3cp-ngls/r3cpngls_18/" TargetMode="External"/><Relationship Id="rId5641" Type="http://schemas.openxmlformats.org/officeDocument/2006/relationships/hyperlink" Target="https://techelectro.ru/prod/metal-hose-fittings/fittings/vm-m/sku_88910/" TargetMode="External"/><Relationship Id="rId1837" Type="http://schemas.openxmlformats.org/officeDocument/2006/relationships/hyperlink" Target="https://techelectro.ru/prod/cable-kits/muffs-35kv/1pst-20/1pst20-150-240b/" TargetMode="External"/><Relationship Id="rId3192" Type="http://schemas.openxmlformats.org/officeDocument/2006/relationships/hyperlink" Target="https://techelectro.ru/prod/wiring-tools/strippers/cable-strip/kso/kso/" TargetMode="External"/><Relationship Id="rId4036" Type="http://schemas.openxmlformats.org/officeDocument/2006/relationships/hyperlink" Target="https://techelectro.ru/prod/construction_hydraulics/glg-cutters/glg-5060/sku_84600/" TargetMode="External"/><Relationship Id="rId4243" Type="http://schemas.openxmlformats.org/officeDocument/2006/relationships/hyperlink" Target="https://techelectro.ru/prod/abcarm/sealinslugs/gia-mjpb25/sku_109215/" TargetMode="External"/><Relationship Id="rId4450" Type="http://schemas.openxmlformats.org/officeDocument/2006/relationships/hyperlink" Target="https://techelectro.ru/prod/ties/nylonties/nss/sku_84800/" TargetMode="External"/><Relationship Id="rId5501" Type="http://schemas.openxmlformats.org/officeDocument/2006/relationships/hyperlink" Target="https://techelectro.ru/prod/metal-hose-fittings/hose/mrping_p_grey/sku_88314/" TargetMode="External"/><Relationship Id="rId3052" Type="http://schemas.openxmlformats.org/officeDocument/2006/relationships/hyperlink" Target="https://techelectro.ru/prod/wiring-tools/crimpers_pgr/hv-crimpers/matrix_pg100t/msh-26a-100t/" TargetMode="External"/><Relationship Id="rId4103" Type="http://schemas.openxmlformats.org/officeDocument/2006/relationships/hyperlink" Target="https://techelectro.ru/prod/protection-safety/bags_packs/zp004/sku_105470/" TargetMode="External"/><Relationship Id="rId4310" Type="http://schemas.openxmlformats.org/officeDocument/2006/relationships/hyperlink" Target="https://techelectro.ru/prod/abcarm/abctools/lr30/lr-30/" TargetMode="External"/><Relationship Id="rId180" Type="http://schemas.openxmlformats.org/officeDocument/2006/relationships/hyperlink" Target="https://techelectro.ru/prod/cable-lugs/cu/tmlr/sku_87473/" TargetMode="External"/><Relationship Id="rId1904" Type="http://schemas.openxmlformats.org/officeDocument/2006/relationships/hyperlink" Target="https://techelectro.ru/prod/cable_kits_acs/tpi-a/sku_83595/" TargetMode="External"/><Relationship Id="rId6068" Type="http://schemas.openxmlformats.org/officeDocument/2006/relationships/hyperlink" Target="https://techelectro.ru/prod/ground_wire/uhz_inox/uhz_inox_110-130_w2/" TargetMode="External"/><Relationship Id="rId3869" Type="http://schemas.openxmlformats.org/officeDocument/2006/relationships/hyperlink" Target="https://techelectro.ru/prod/metalworking-tools/ft_wrench/ratchet-wrench-joint-piece/ratchet-wrench-joint-piece-8/" TargetMode="External"/><Relationship Id="rId5084" Type="http://schemas.openxmlformats.org/officeDocument/2006/relationships/hyperlink" Target="https://techelectro.ru/prod/strength-ties/screw-ties/sr2/sr140-148w2/" TargetMode="External"/><Relationship Id="rId5291" Type="http://schemas.openxmlformats.org/officeDocument/2006/relationships/hyperlink" Target="https://techelectro.ru/prod/cable_entry/cable_entry_metal/gz-m/sku_88237/" TargetMode="External"/><Relationship Id="rId997" Type="http://schemas.openxmlformats.org/officeDocument/2006/relationships/hyperlink" Target="https://techelectro.ru/prod/e-connectors/nshvi_euro/sku_103208/" TargetMode="External"/><Relationship Id="rId2678" Type="http://schemas.openxmlformats.org/officeDocument/2006/relationships/hyperlink" Target="https://techelectro.ru/prod/insulating/pvc19master/sku_90813/" TargetMode="External"/><Relationship Id="rId2885" Type="http://schemas.openxmlformats.org/officeDocument/2006/relationships/hyperlink" Target="https://techelectro.ru/prod/wiring-tools/crimpers/insulugs-crimp/mpk12/mpk_12/" TargetMode="External"/><Relationship Id="rId3729" Type="http://schemas.openxmlformats.org/officeDocument/2006/relationships/hyperlink" Target="https://techelectro.ru/prod/electric-tools/power-saws/cbs20-06/sku_106048/" TargetMode="External"/><Relationship Id="rId3936" Type="http://schemas.openxmlformats.org/officeDocument/2006/relationships/hyperlink" Target="https://techelectro.ru/prod/construction_hydraulics/jack/jack_hd/dnmt30/sku_84595/" TargetMode="External"/><Relationship Id="rId5151" Type="http://schemas.openxmlformats.org/officeDocument/2006/relationships/hyperlink" Target="https://techelectro.ru/prod/cable_entry/cable_entry_metal/mgm/mgm25/" TargetMode="External"/><Relationship Id="rId857" Type="http://schemas.openxmlformats.org/officeDocument/2006/relationships/hyperlink" Target="https://techelectro.ru/prod/insulugs/screw_clamp/zvi-ng_black/sku_87168/" TargetMode="External"/><Relationship Id="rId1487" Type="http://schemas.openxmlformats.org/officeDocument/2006/relationships/hyperlink" Target="https://techelectro.ru/prod/cable-kits/muffs1kv/3-pktp-1/3pktp_b-1-16_25/" TargetMode="External"/><Relationship Id="rId1694" Type="http://schemas.openxmlformats.org/officeDocument/2006/relationships/hyperlink" Target="https://techelectro.ru/prod/cable-kits/muffs10kv/1pkvt-10/1pkvt10-35-50/" TargetMode="External"/><Relationship Id="rId2538" Type="http://schemas.openxmlformats.org/officeDocument/2006/relationships/hyperlink" Target="https://techelectro.ru/prod/hstubes/hstubeset/germokomplekt/germokomplekt-6-2/" TargetMode="External"/><Relationship Id="rId2745" Type="http://schemas.openxmlformats.org/officeDocument/2006/relationships/hyperlink" Target="https://techelectro.ru/prod/insulating/xp_mini/sku_90919/" TargetMode="External"/><Relationship Id="rId2952" Type="http://schemas.openxmlformats.org/officeDocument/2006/relationships/hyperlink" Target="https://techelectro.ru/prod/wiring-tools/crimpers_pgr/hdcrimp/pgra400/pgra-400/" TargetMode="External"/><Relationship Id="rId717" Type="http://schemas.openxmlformats.org/officeDocument/2006/relationships/hyperlink" Target="https://techelectro.ru/prod/insulugs/iplug/rfimn/rfimn_25/" TargetMode="External"/><Relationship Id="rId924" Type="http://schemas.openxmlformats.org/officeDocument/2006/relationships/hyperlink" Target="https://techelectro.ru/prod/insulugs/autoterminals/rga-wired/sku_89507/" TargetMode="External"/><Relationship Id="rId1347" Type="http://schemas.openxmlformats.org/officeDocument/2006/relationships/hyperlink" Target="https://techelectro.ru/prod/cable-kits/kits-ngls-1kv/1pstb_ngls/1pstb1-25-50b_ngls/" TargetMode="External"/><Relationship Id="rId1554" Type="http://schemas.openxmlformats.org/officeDocument/2006/relationships/hyperlink" Target="https://techelectro.ru/prod/cable-kits/muffs1kv/4stp1sold/sku_88776/" TargetMode="External"/><Relationship Id="rId1761" Type="http://schemas.openxmlformats.org/officeDocument/2006/relationships/hyperlink" Target="https://techelectro.ru/prod/cable-kits/muffs10kv/3kvtp-10/3kvtp10-150-240_b1/" TargetMode="External"/><Relationship Id="rId2605" Type="http://schemas.openxmlformats.org/officeDocument/2006/relationships/hyperlink" Target="https://techelectro.ru/prod/hstubes/highvoltagetube/ttsh35/ttsh35-25/" TargetMode="External"/><Relationship Id="rId2812" Type="http://schemas.openxmlformats.org/officeDocument/2006/relationships/hyperlink" Target="https://techelectro.ru/prod/wiring-tools/crimpers/insulugs-crimp/ctk/ctk14/" TargetMode="External"/><Relationship Id="rId5011" Type="http://schemas.openxmlformats.org/officeDocument/2006/relationships/hyperlink" Target="https://techelectro.ru/prod/strength-ties/screw-ties/pl12-w2/pl-12_12-20_w2/" TargetMode="External"/><Relationship Id="rId5968" Type="http://schemas.openxmlformats.org/officeDocument/2006/relationships/hyperlink" Target="https://techelectro.ru/prod/ground_wire/pz/sku_88940/" TargetMode="External"/><Relationship Id="rId53" Type="http://schemas.openxmlformats.org/officeDocument/2006/relationships/hyperlink" Target="https://techelectro.ru/prod/cable-lugs/cu/tml/tml_25-8-8/" TargetMode="External"/><Relationship Id="rId1207" Type="http://schemas.openxmlformats.org/officeDocument/2006/relationships/hyperlink" Target="https://techelectro.ru/prod/bolt-lugs/wire10-240/nbtk/nbtk_120-300/" TargetMode="External"/><Relationship Id="rId1414" Type="http://schemas.openxmlformats.org/officeDocument/2006/relationships/hyperlink" Target="https://techelectro.ru/prod/cable-kits/kits-ngls-10kv/1pst10ngls/sku_82909/" TargetMode="External"/><Relationship Id="rId1621" Type="http://schemas.openxmlformats.org/officeDocument/2006/relationships/hyperlink" Target="https://techelectro.ru/prod/cable-kits/muffs1kv/5pst-1/5pst1-25-50/" TargetMode="External"/><Relationship Id="rId4777" Type="http://schemas.openxmlformats.org/officeDocument/2006/relationships/hyperlink" Target="https://techelectro.ru/prod/steel-ties/steel_ties-labels/sks316/sks316-7x200/" TargetMode="External"/><Relationship Id="rId4984" Type="http://schemas.openxmlformats.org/officeDocument/2006/relationships/hyperlink" Target="https://techelectro.ru/prod/strength-ties/screw-ties/pl9-w2/w2-40-60/" TargetMode="External"/><Relationship Id="rId5828" Type="http://schemas.openxmlformats.org/officeDocument/2006/relationships/hyperlink" Target="https://techelectro.ru/prod/staples/smop/smo-p_21-22/" TargetMode="External"/><Relationship Id="rId3379" Type="http://schemas.openxmlformats.org/officeDocument/2006/relationships/hyperlink" Target="https://techelectro.ru/prod/wiring-tools/unwinding/hvltools/chm/sku_109877/" TargetMode="External"/><Relationship Id="rId3586" Type="http://schemas.openxmlformats.org/officeDocument/2006/relationships/hyperlink" Target="https://techelectro.ru/prod/vdetools/vde-screwdrivers/nio09profi/nio-09_profi/" TargetMode="External"/><Relationship Id="rId3793" Type="http://schemas.openxmlformats.org/officeDocument/2006/relationships/hyperlink" Target="https://techelectro.ru/prod/metalworking-tools/ft_pliers/mini-bentnose115profi/sku_92057/" TargetMode="External"/><Relationship Id="rId4637" Type="http://schemas.openxmlformats.org/officeDocument/2006/relationships/hyperlink" Target="https://techelectro.ru/prod/ties/nylonties/kss_magnetic/kss_magnetic_5_300/" TargetMode="External"/><Relationship Id="rId2188" Type="http://schemas.openxmlformats.org/officeDocument/2006/relationships/hyperlink" Target="https://techelectro.ru/prod/hstubes/hstube/tnt_ng-ls_colors/tntng2010yg/" TargetMode="External"/><Relationship Id="rId2395" Type="http://schemas.openxmlformats.org/officeDocument/2006/relationships/hyperlink" Target="https://techelectro.ru/prod/hstubes/gluetube/ttk2/sku_88176/" TargetMode="External"/><Relationship Id="rId3239" Type="http://schemas.openxmlformats.org/officeDocument/2006/relationships/hyperlink" Target="https://techelectro.ru/prod/wiring-tools/boxtools/singlempo/sku_61813/" TargetMode="External"/><Relationship Id="rId3446" Type="http://schemas.openxmlformats.org/officeDocument/2006/relationships/hyperlink" Target="https://techelectro.ru/prod/wiring-tools/unwinding/fishtape/pet1-4k/pet4_30k/" TargetMode="External"/><Relationship Id="rId4844" Type="http://schemas.openxmlformats.org/officeDocument/2006/relationships/hyperlink" Target="https://techelectro.ru/prod/steel-ties/steel_ties-labels/sks316p/sks316p-7x350/" TargetMode="External"/><Relationship Id="rId367" Type="http://schemas.openxmlformats.org/officeDocument/2006/relationships/hyperlink" Target="https://techelectro.ru/prod/cable-lugs/cu/lugset-tmls/set-tmls6-6/" TargetMode="External"/><Relationship Id="rId574" Type="http://schemas.openxmlformats.org/officeDocument/2006/relationships/hyperlink" Target="https://techelectro.ru/prod/insulugs/ilugs/nvi/nvi_2_5_4/" TargetMode="External"/><Relationship Id="rId2048" Type="http://schemas.openxmlformats.org/officeDocument/2006/relationships/hyperlink" Target="https://techelectro.ru/prod/hstubes/hstube/tutng-color/sku_102178/" TargetMode="External"/><Relationship Id="rId2255" Type="http://schemas.openxmlformats.org/officeDocument/2006/relationships/hyperlink" Target="https://techelectro.ru/prod/hstubes/hstube/tut-hf/sku_91708/" TargetMode="External"/><Relationship Id="rId3653" Type="http://schemas.openxmlformats.org/officeDocument/2006/relationships/hyperlink" Target="https://techelectro.ru/prod/vdetools/vde-sets/vde-sets-nii/nii3/nii-03/" TargetMode="External"/><Relationship Id="rId3860" Type="http://schemas.openxmlformats.org/officeDocument/2006/relationships/hyperlink" Target="https://techelectro.ru/prod/metalworking-tools/ft_wrench/wrench-piece/wrench-piece-11/" TargetMode="External"/><Relationship Id="rId4704" Type="http://schemas.openxmlformats.org/officeDocument/2006/relationships/hyperlink" Target="https://techelectro.ru/prod/ties/dowel_clamps/dh_5_10/dh5-10/" TargetMode="External"/><Relationship Id="rId4911" Type="http://schemas.openxmlformats.org/officeDocument/2006/relationships/hyperlink" Target="https://techelectro.ru/prod/steel-ties/steel_ties-labels/sks2-304/sks2-304-12x1400/" TargetMode="External"/><Relationship Id="rId227" Type="http://schemas.openxmlformats.org/officeDocument/2006/relationships/hyperlink" Target="https://techelectro.ru/prod/cable-lugs/cu/nsp/nshp_60_12/" TargetMode="External"/><Relationship Id="rId781" Type="http://schemas.openxmlformats.org/officeDocument/2006/relationships/hyperlink" Target="https://techelectro.ru/prod/insulugs/iquick/gsit/sku_108959/" TargetMode="External"/><Relationship Id="rId2462" Type="http://schemas.openxmlformats.org/officeDocument/2006/relationships/hyperlink" Target="https://techelectro.ru/prod/hstubes/gluetube/ttk135/sku_104409/" TargetMode="External"/><Relationship Id="rId3306" Type="http://schemas.openxmlformats.org/officeDocument/2006/relationships/hyperlink" Target="https://techelectro.ru/prod/wiring-tools/bustools/mpsho-110/sku_85355/" TargetMode="External"/><Relationship Id="rId3513" Type="http://schemas.openxmlformats.org/officeDocument/2006/relationships/hyperlink" Target="https://techelectro.ru/prod/wiring-tools/steeltiestools/nm20/nm-20/" TargetMode="External"/><Relationship Id="rId3720" Type="http://schemas.openxmlformats.org/officeDocument/2006/relationships/hyperlink" Target="https://techelectro.ru/prod/electric-tools/power-saws/ppr60/sku_104871/" TargetMode="External"/><Relationship Id="rId434" Type="http://schemas.openxmlformats.org/officeDocument/2006/relationships/hyperlink" Target="https://techelectro.ru/prod/cable-lugs/al/gam/sku_90848/" TargetMode="External"/><Relationship Id="rId641" Type="http://schemas.openxmlformats.org/officeDocument/2006/relationships/hyperlink" Target="https://techelectro.ru/prod/insulugs/ilugs/ilugsets-nki/sku_91002/" TargetMode="External"/><Relationship Id="rId1064" Type="http://schemas.openxmlformats.org/officeDocument/2006/relationships/hyperlink" Target="https://techelectro.ru/prod/e-connectors/nshv/sku_108937/" TargetMode="External"/><Relationship Id="rId1271" Type="http://schemas.openxmlformats.org/officeDocument/2006/relationships/hyperlink" Target="https://techelectro.ru/prod/cable-kits/kits-ngls-1kv/5pktp-1_ngls/5pktp_bng-ls1-70-120/" TargetMode="External"/><Relationship Id="rId2115" Type="http://schemas.openxmlformats.org/officeDocument/2006/relationships/hyperlink" Target="https://techelectro.ru/prod/hstubes/hstube/tnt_hf/sku_85006/" TargetMode="External"/><Relationship Id="rId2322" Type="http://schemas.openxmlformats.org/officeDocument/2006/relationships/hyperlink" Target="https://techelectro.ru/prod/hstubes/hstube/t-box/tbox20/" TargetMode="External"/><Relationship Id="rId5478" Type="http://schemas.openxmlformats.org/officeDocument/2006/relationships/hyperlink" Target="https://techelectro.ru/prod/metal-hose-fittings/hose/mrping_p/sku_65023/" TargetMode="External"/><Relationship Id="rId5685" Type="http://schemas.openxmlformats.org/officeDocument/2006/relationships/hyperlink" Target="https://techelectro.ru/prod/metal-hose-fittings/fittings/stm_inox/sku_106748/" TargetMode="External"/><Relationship Id="rId5892" Type="http://schemas.openxmlformats.org/officeDocument/2006/relationships/hyperlink" Target="https://techelectro.ru/prod/staples/lmp/lmpv12/" TargetMode="External"/><Relationship Id="rId501" Type="http://schemas.openxmlformats.org/officeDocument/2006/relationships/hyperlink" Target="https://techelectro.ru/prod/insulugs/ilugs/nki/sku_108518/" TargetMode="External"/><Relationship Id="rId1131" Type="http://schemas.openxmlformats.org/officeDocument/2006/relationships/hyperlink" Target="https://techelectro.ru/prod/clamps_wago-smk/smk_223-2412/sku_87638/" TargetMode="External"/><Relationship Id="rId4287" Type="http://schemas.openxmlformats.org/officeDocument/2006/relationships/hyperlink" Target="https://techelectro.ru/prod/abcarm/abctools/mz32/mz-32/" TargetMode="External"/><Relationship Id="rId4494" Type="http://schemas.openxmlformats.org/officeDocument/2006/relationships/hyperlink" Target="https://techelectro.ru/prod/ties/nylonties/kss-uv/kss5x450b/" TargetMode="External"/><Relationship Id="rId5338" Type="http://schemas.openxmlformats.org/officeDocument/2006/relationships/hyperlink" Target="https://techelectro.ru/prod/cable_entry/cable_entry_plastic/mg/mg40/" TargetMode="External"/><Relationship Id="rId5545" Type="http://schemas.openxmlformats.org/officeDocument/2006/relationships/hyperlink" Target="https://techelectro.ru/prod/metal-hose-fittings/hose/mg-p/sku_88403/" TargetMode="External"/><Relationship Id="rId5752" Type="http://schemas.openxmlformats.org/officeDocument/2006/relationships/hyperlink" Target="https://techelectro.ru/prod/metal-hose-fittings/fittings/pipe_bushings/v17/" TargetMode="External"/><Relationship Id="rId3096" Type="http://schemas.openxmlformats.org/officeDocument/2006/relationships/hyperlink" Target="https://techelectro.ru/prod/wiring-tools/cutters/sectioncutters/ns70/ns-70/" TargetMode="External"/><Relationship Id="rId4147" Type="http://schemas.openxmlformats.org/officeDocument/2006/relationships/hyperlink" Target="https://techelectro.ru/prod/protection-safety/safety/sl21/sl-21/" TargetMode="External"/><Relationship Id="rId4354" Type="http://schemas.openxmlformats.org/officeDocument/2006/relationships/hyperlink" Target="https://techelectro.ru/prod/digital_meters/testers_detectors/kt662/sku_89641/" TargetMode="External"/><Relationship Id="rId4561" Type="http://schemas.openxmlformats.org/officeDocument/2006/relationships/hyperlink" Target="https://techelectro.ru/prod/ties/nylonties/kss100-nord_white/kss_nord_3-100_white/" TargetMode="External"/><Relationship Id="rId5405" Type="http://schemas.openxmlformats.org/officeDocument/2006/relationships/hyperlink" Target="https://techelectro.ru/prod/metal-hose-fittings/hose/mrping_nord/mrping12_nord/" TargetMode="External"/><Relationship Id="rId5612" Type="http://schemas.openxmlformats.org/officeDocument/2006/relationships/hyperlink" Target="https://techelectro.ru/prod/metal-hose-fittings/hose/r3ch/sku_88342/" TargetMode="External"/><Relationship Id="rId1948" Type="http://schemas.openxmlformats.org/officeDocument/2006/relationships/hyperlink" Target="https://techelectro.ru/prod/cable_kits_acs/pml/pml-25-800_nk/" TargetMode="External"/><Relationship Id="rId3163" Type="http://schemas.openxmlformats.org/officeDocument/2006/relationships/hyperlink" Target="https://techelectro.ru/prod/wiring-tools/cutters_din/din-cutters/dr1/dr-01/" TargetMode="External"/><Relationship Id="rId3370" Type="http://schemas.openxmlformats.org/officeDocument/2006/relationships/hyperlink" Target="https://techelectro.ru/prod/wiring-tools/unwinding/hvltools/chm/chm-10/" TargetMode="External"/><Relationship Id="rId4007" Type="http://schemas.openxmlformats.org/officeDocument/2006/relationships/hyperlink" Target="https://techelectro.ru/prod/construction_hydraulics/hydraulic_pullers/sgn30/sku_84632/" TargetMode="External"/><Relationship Id="rId4214" Type="http://schemas.openxmlformats.org/officeDocument/2006/relationships/hyperlink" Target="https://techelectro.ru/prod/abcarm/pierce/pza16-70/pza_16-70/" TargetMode="External"/><Relationship Id="rId4421" Type="http://schemas.openxmlformats.org/officeDocument/2006/relationships/hyperlink" Target="https://techelectro.ru/prod/ties/nylonties/kss/sku_89898/" TargetMode="External"/><Relationship Id="rId291" Type="http://schemas.openxmlformats.org/officeDocument/2006/relationships/hyperlink" Target="https://techelectro.ru/prod/cable-lugs/cu/gm/sku_86989/" TargetMode="External"/><Relationship Id="rId1808" Type="http://schemas.openxmlformats.org/officeDocument/2006/relationships/hyperlink" Target="https://techelectro.ru/prod/cable-kits/muffs10kv/3stp10sold/sku_88764/" TargetMode="External"/><Relationship Id="rId3023" Type="http://schemas.openxmlformats.org/officeDocument/2006/relationships/hyperlink" Target="https://techelectro.ru/prod/wiring-tools/crimpers_pgr/hv-crimpers/matrix_pg100t/a-28-100t/" TargetMode="External"/><Relationship Id="rId151" Type="http://schemas.openxmlformats.org/officeDocument/2006/relationships/hyperlink" Target="https://techelectro.ru/prod/cable-lugs/cu/tmldin/sku_89392/" TargetMode="External"/><Relationship Id="rId3230" Type="http://schemas.openxmlformats.org/officeDocument/2006/relationships/hyperlink" Target="https://techelectro.ru/prod/wiring-tools/boxtools/pgrou60a/pgrou-60a/" TargetMode="External"/><Relationship Id="rId5195" Type="http://schemas.openxmlformats.org/officeDocument/2006/relationships/hyperlink" Target="https://techelectro.ru/prod/cable_entry/cable_entry_metal/mgm-emc/sku_89321/" TargetMode="External"/><Relationship Id="rId6039" Type="http://schemas.openxmlformats.org/officeDocument/2006/relationships/hyperlink" Target="https://techelectro.ru/prod/ground_wire/kz-m/sku_88653/" TargetMode="External"/><Relationship Id="rId2789" Type="http://schemas.openxmlformats.org/officeDocument/2006/relationships/hyperlink" Target="https://techelectro.ru/prod/insulating/xv/sku_90928/" TargetMode="External"/><Relationship Id="rId2996" Type="http://schemas.openxmlformats.org/officeDocument/2006/relationships/hyperlink" Target="https://techelectro.ru/prod/wiring-tools/crimpers_pgr/hv-crimpers/matrix_pg60t/msh-18-2/" TargetMode="External"/><Relationship Id="rId968" Type="http://schemas.openxmlformats.org/officeDocument/2006/relationships/hyperlink" Target="https://techelectro.ru/prod/e-connectors/nshvi/sku_108908/" TargetMode="External"/><Relationship Id="rId1598" Type="http://schemas.openxmlformats.org/officeDocument/2006/relationships/hyperlink" Target="https://techelectro.ru/prod/cable-kits/muffs1kv/3pst-1/3pstb1-70-120_b/" TargetMode="External"/><Relationship Id="rId2649" Type="http://schemas.openxmlformats.org/officeDocument/2006/relationships/hyperlink" Target="https://techelectro.ru/prod/hstubes/specialtube/tt175/tt175-6_4-3_2/" TargetMode="External"/><Relationship Id="rId2856" Type="http://schemas.openxmlformats.org/officeDocument/2006/relationships/hyperlink" Target="https://techelectro.ru/prod/wiring-tools/crimpers/insulugs-crimp/ctkset9/set_ctk9/" TargetMode="External"/><Relationship Id="rId3907" Type="http://schemas.openxmlformats.org/officeDocument/2006/relationships/hyperlink" Target="https://techelectro.ru/prod/metalworking-tools/ft_ringassemblies/nks6/sku_92036/" TargetMode="External"/><Relationship Id="rId5055" Type="http://schemas.openxmlformats.org/officeDocument/2006/relationships/hyperlink" Target="https://techelectro.ru/prod/strength-ties/screw-ties/sr/sr_149-161_w1/" TargetMode="External"/><Relationship Id="rId5262" Type="http://schemas.openxmlformats.org/officeDocument/2006/relationships/hyperlink" Target="https://techelectro.ru/prod/cable_entry/cable_entry_metal/vk-m-mr/sku_87955/" TargetMode="External"/><Relationship Id="rId97" Type="http://schemas.openxmlformats.org/officeDocument/2006/relationships/hyperlink" Target="https://techelectro.ru/prod/cable-lugs/cu/tm/sku_86996/" TargetMode="External"/><Relationship Id="rId828" Type="http://schemas.openxmlformats.org/officeDocument/2006/relationships/hyperlink" Target="https://techelectro.ru/prod/insulugs/screw_clamp/zvi-u/sku_87152/" TargetMode="External"/><Relationship Id="rId1458" Type="http://schemas.openxmlformats.org/officeDocument/2006/relationships/hyperlink" Target="https://techelectro.ru/prod/cable-kits/muffs1kv/3-kvntp-1/3kvntp1-25-50_b/" TargetMode="External"/><Relationship Id="rId1665" Type="http://schemas.openxmlformats.org/officeDocument/2006/relationships/hyperlink" Target="https://techelectro.ru/prod/cable-kits/muffs1kv/mko/sku_102571/" TargetMode="External"/><Relationship Id="rId1872" Type="http://schemas.openxmlformats.org/officeDocument/2006/relationships/hyperlink" Target="https://techelectro.ru/prod/cable_kits_acs/tping/3tping-25-50/" TargetMode="External"/><Relationship Id="rId2509" Type="http://schemas.openxmlformats.org/officeDocument/2006/relationships/hyperlink" Target="https://techelectro.ru/prod/hstubes/gluetube/sttk31/sttk200/" TargetMode="External"/><Relationship Id="rId2716" Type="http://schemas.openxmlformats.org/officeDocument/2006/relationships/hyperlink" Target="https://techelectro.ru/prod/insulating/bsp/sku_106070/" TargetMode="External"/><Relationship Id="rId4071" Type="http://schemas.openxmlformats.org/officeDocument/2006/relationships/hyperlink" Target="https://techelectro.ru/prod/fixing_tools/as1/as-1/" TargetMode="External"/><Relationship Id="rId5122" Type="http://schemas.openxmlformats.org/officeDocument/2006/relationships/hyperlink" Target="https://techelectro.ru/prod/strength-ties/pipe-ties/th/th3_8/" TargetMode="External"/><Relationship Id="rId1318" Type="http://schemas.openxmlformats.org/officeDocument/2006/relationships/hyperlink" Target="https://techelectro.ru/prod/cable-kits/kits-ngls-1kv/4_5pst_ngls-1/4pst1-16-25_bngls/" TargetMode="External"/><Relationship Id="rId1525" Type="http://schemas.openxmlformats.org/officeDocument/2006/relationships/hyperlink" Target="https://techelectro.ru/prod/cable-kits/muffs1kv/5-pktp-1/5pktp_b-1-70_120/" TargetMode="External"/><Relationship Id="rId2923" Type="http://schemas.openxmlformats.org/officeDocument/2006/relationships/hyperlink" Target="https://techelectro.ru/prod/wiring-tools/crimpers_pgr/hdcrimp/pgr70/pgr-70/" TargetMode="External"/><Relationship Id="rId1732" Type="http://schemas.openxmlformats.org/officeDocument/2006/relationships/hyperlink" Target="https://techelectro.ru/prod/cable-kits/muffs10kv/3pkntp-10/sku_92347/" TargetMode="External"/><Relationship Id="rId4888" Type="http://schemas.openxmlformats.org/officeDocument/2006/relationships/hyperlink" Target="https://techelectro.ru/prod/steel-ties/steel_ties-labels/sksp/sku_103076/" TargetMode="External"/><Relationship Id="rId5939" Type="http://schemas.openxmlformats.org/officeDocument/2006/relationships/hyperlink" Target="https://techelectro.ru/prod/staples/kmp/sku_89341/" TargetMode="External"/><Relationship Id="rId24" Type="http://schemas.openxmlformats.org/officeDocument/2006/relationships/hyperlink" Target="https://techelectro.ru/prod/cable-lugs/cu/tmls/tmls_95_10/" TargetMode="External"/><Relationship Id="rId2299" Type="http://schemas.openxmlformats.org/officeDocument/2006/relationships/hyperlink" Target="https://techelectro.ru/prod/hstubes/hstube/tut-hf/tut_hf60-30_red/" TargetMode="External"/><Relationship Id="rId3697" Type="http://schemas.openxmlformats.org/officeDocument/2006/relationships/hyperlink" Target="https://techelectro.ru/prod/electric-tools/grinders/gb20-125/sku_102595/" TargetMode="External"/><Relationship Id="rId4748" Type="http://schemas.openxmlformats.org/officeDocument/2006/relationships/hyperlink" Target="https://techelectro.ru/prod/ties/markers/u134r/u-134r/" TargetMode="External"/><Relationship Id="rId4955" Type="http://schemas.openxmlformats.org/officeDocument/2006/relationships/hyperlink" Target="https://techelectro.ru/prod/strength-ties/screw-ties/pl9-w1/w1-12-20/" TargetMode="External"/><Relationship Id="rId3557" Type="http://schemas.openxmlformats.org/officeDocument/2006/relationships/hyperlink" Target="https://techelectro.ru/prod/vdetools/pliers/pumpliers/pumplier-250/" TargetMode="External"/><Relationship Id="rId3764" Type="http://schemas.openxmlformats.org/officeDocument/2006/relationships/hyperlink" Target="https://techelectro.ru/prod/electric-tools/accessories/direct-fastening/ggn-nails/sku_110473/" TargetMode="External"/><Relationship Id="rId3971" Type="http://schemas.openxmlformats.org/officeDocument/2006/relationships/hyperlink" Target="https://techelectro.ru/prod/construction_hydraulics/jack/jack_hd/dgpg/dg-50p150g/" TargetMode="External"/><Relationship Id="rId4608" Type="http://schemas.openxmlformats.org/officeDocument/2006/relationships/hyperlink" Target="https://techelectro.ru/prod/ties/nylonties/kss100-nord_black/kss_nord_8-400_black/" TargetMode="External"/><Relationship Id="rId4815" Type="http://schemas.openxmlformats.org/officeDocument/2006/relationships/hyperlink" Target="https://techelectro.ru/prod/steel-ties/steel_ties-labels/sks/sks4h1002/" TargetMode="External"/><Relationship Id="rId478" Type="http://schemas.openxmlformats.org/officeDocument/2006/relationships/hyperlink" Target="https://techelectro.ru/prod/cable-lugs/clamps/u859m/u-859m/" TargetMode="External"/><Relationship Id="rId685" Type="http://schemas.openxmlformats.org/officeDocument/2006/relationships/hyperlink" Target="https://techelectro.ru/prod/insulugs/iplug/rppim/sku_108595/" TargetMode="External"/><Relationship Id="rId892" Type="http://schemas.openxmlformats.org/officeDocument/2006/relationships/hyperlink" Target="https://techelectro.ru/prod/insulugs/autoterminals/rp-p_1_0_2_8/sku_109247/" TargetMode="External"/><Relationship Id="rId2159" Type="http://schemas.openxmlformats.org/officeDocument/2006/relationships/hyperlink" Target="https://techelectro.ru/prod/hstubes/hstube/tnt_hf/sku_82966/" TargetMode="External"/><Relationship Id="rId2366" Type="http://schemas.openxmlformats.org/officeDocument/2006/relationships/hyperlink" Target="https://techelectro.ru/prod/hstubes/gluetube/ttk31/ttk31-50b/" TargetMode="External"/><Relationship Id="rId2573" Type="http://schemas.openxmlformats.org/officeDocument/2006/relationships/hyperlink" Target="https://techelectro.ru/prod/hstubes/hstubeset/5_colors/sku_85298/" TargetMode="External"/><Relationship Id="rId2780" Type="http://schemas.openxmlformats.org/officeDocument/2006/relationships/hyperlink" Target="https://techelectro.ru/prod/insulating/xs/sku_85381/" TargetMode="External"/><Relationship Id="rId3417" Type="http://schemas.openxmlformats.org/officeDocument/2006/relationships/hyperlink" Target="https://techelectro.ru/prod/wiring-tools/unwinding/hvltools/chmp/sku_109906/" TargetMode="External"/><Relationship Id="rId3624" Type="http://schemas.openxmlformats.org/officeDocument/2006/relationships/hyperlink" Target="https://techelectro.ru/prod/vdetools/vde-screwdrivers/nio-07mini/sku_109333/" TargetMode="External"/><Relationship Id="rId3831" Type="http://schemas.openxmlformats.org/officeDocument/2006/relationships/hyperlink" Target="https://techelectro.ru/prod/metalworking-tools/ft_pumpliers/pumpliersft-180-praktik/sku_85282/" TargetMode="External"/><Relationship Id="rId6030" Type="http://schemas.openxmlformats.org/officeDocument/2006/relationships/hyperlink" Target="https://techelectro.ru/prod/ground_wire/pzu/pzu-10-700/" TargetMode="External"/><Relationship Id="rId338" Type="http://schemas.openxmlformats.org/officeDocument/2006/relationships/hyperlink" Target="https://techelectro.ru/prod/cable-lugs/cu/gmlp/gmlp16/" TargetMode="External"/><Relationship Id="rId545" Type="http://schemas.openxmlformats.org/officeDocument/2006/relationships/hyperlink" Target="https://techelectro.ru/prod/insulugs/ilugs/nkin/sku_108526/" TargetMode="External"/><Relationship Id="rId752" Type="http://schemas.openxmlformats.org/officeDocument/2006/relationships/hyperlink" Target="https://techelectro.ru/prod/insulugs/iplug/iplugsets-rppim/sku_91030/" TargetMode="External"/><Relationship Id="rId1175" Type="http://schemas.openxmlformats.org/officeDocument/2006/relationships/hyperlink" Target="https://techelectro.ru/prod/bolt-lugs/wire10-240/nbe/2nbe150240/" TargetMode="External"/><Relationship Id="rId1382" Type="http://schemas.openxmlformats.org/officeDocument/2006/relationships/hyperlink" Target="https://techelectro.ru/prod/cable-kits/kits-ngls-10kv/1pkvt10ngls/1pkvt10-70-120_bngls/" TargetMode="External"/><Relationship Id="rId2019" Type="http://schemas.openxmlformats.org/officeDocument/2006/relationships/hyperlink" Target="https://techelectro.ru/prod/ukpt_ogt/ukpto/sku_87830/" TargetMode="External"/><Relationship Id="rId2226" Type="http://schemas.openxmlformats.org/officeDocument/2006/relationships/hyperlink" Target="https://techelectro.ru/prod/hstubes/hstube/ygtutng/sku_84960/" TargetMode="External"/><Relationship Id="rId2433" Type="http://schemas.openxmlformats.org/officeDocument/2006/relationships/hyperlink" Target="https://techelectro.ru/prod/hstubes/gluetube/ttk31_green/sku_102432/" TargetMode="External"/><Relationship Id="rId2640" Type="http://schemas.openxmlformats.org/officeDocument/2006/relationships/hyperlink" Target="https://techelectro.ru/prod/hstubes/specialtube/tt150/sku_104419/" TargetMode="External"/><Relationship Id="rId5589" Type="http://schemas.openxmlformats.org/officeDocument/2006/relationships/hyperlink" Target="https://techelectro.ru/prod/metal-hose-fittings/hose/mrn-inox/mrn-inox-50/" TargetMode="External"/><Relationship Id="rId5796" Type="http://schemas.openxmlformats.org/officeDocument/2006/relationships/hyperlink" Target="https://techelectro.ru/prod/staples/smo/smo_14_15/" TargetMode="External"/><Relationship Id="rId405" Type="http://schemas.openxmlformats.org/officeDocument/2006/relationships/hyperlink" Target="https://techelectro.ru/prod/cable-lugs/al/tam/tam_16-8-54/" TargetMode="External"/><Relationship Id="rId612" Type="http://schemas.openxmlformats.org/officeDocument/2006/relationships/hyperlink" Target="https://techelectro.ru/prod/insulugs/ilugs/nshpi/sku_108577/" TargetMode="External"/><Relationship Id="rId1035" Type="http://schemas.openxmlformats.org/officeDocument/2006/relationships/hyperlink" Target="https://techelectro.ru/prod/e-connectors/nshvi2/sku_108934/" TargetMode="External"/><Relationship Id="rId1242" Type="http://schemas.openxmlformats.org/officeDocument/2006/relationships/hyperlink" Target="https://techelectro.ru/prod/cable-kits/kits-ngls-1kv/3_kvntp-1_ngls/3kvntpngls1-25-50_b/" TargetMode="External"/><Relationship Id="rId2500" Type="http://schemas.openxmlformats.org/officeDocument/2006/relationships/hyperlink" Target="https://techelectro.ru/prod/hstubes/gluetube/sttk31/mttk40/" TargetMode="External"/><Relationship Id="rId4398" Type="http://schemas.openxmlformats.org/officeDocument/2006/relationships/hyperlink" Target="https://techelectro.ru/prod/ties/nylonties/kss/sku_89894/" TargetMode="External"/><Relationship Id="rId5449" Type="http://schemas.openxmlformats.org/officeDocument/2006/relationships/hyperlink" Target="https://techelectro.ru/prod/metal-hose-fittings/hose/r3cpnglsp/r3cpnglsp-20/" TargetMode="External"/><Relationship Id="rId5656" Type="http://schemas.openxmlformats.org/officeDocument/2006/relationships/hyperlink" Target="https://techelectro.ru/prod/metal-hose-fittings/fittings/rk-n/sku_87899/" TargetMode="External"/><Relationship Id="rId1102" Type="http://schemas.openxmlformats.org/officeDocument/2006/relationships/hyperlink" Target="https://techelectro.ru/prod/clamps_wago-smk/smk_2273-203/sku_109313/" TargetMode="External"/><Relationship Id="rId4258" Type="http://schemas.openxmlformats.org/officeDocument/2006/relationships/hyperlink" Target="https://techelectro.ru/prod/abcarm/sealinslugs/gin-mjpt50n/sku_103155/" TargetMode="External"/><Relationship Id="rId4465" Type="http://schemas.openxmlformats.org/officeDocument/2006/relationships/hyperlink" Target="https://techelectro.ru/prod/ties/nylonties/nss/sku_87779/" TargetMode="External"/><Relationship Id="rId5309" Type="http://schemas.openxmlformats.org/officeDocument/2006/relationships/hyperlink" Target="https://techelectro.ru/prod/cable_entry/cable_entry_plastic/pg_black/sku_88646/" TargetMode="External"/><Relationship Id="rId5863" Type="http://schemas.openxmlformats.org/officeDocument/2006/relationships/hyperlink" Target="https://techelectro.ru/prod/staples/smr15/smr_16-15/" TargetMode="External"/><Relationship Id="rId3067" Type="http://schemas.openxmlformats.org/officeDocument/2006/relationships/hyperlink" Target="https://techelectro.ru/prod/wiring-tools/crimpers_pgr/hv-crimpers/matrix_pg100t/msh-26c-100t/" TargetMode="External"/><Relationship Id="rId3274" Type="http://schemas.openxmlformats.org/officeDocument/2006/relationships/hyperlink" Target="https://techelectro.ru/prod/wiring-tools/boxtools/mpo_rectangle/sku_87658/" TargetMode="External"/><Relationship Id="rId4118" Type="http://schemas.openxmlformats.org/officeDocument/2006/relationships/hyperlink" Target="https://techelectro.ru/prod/protection-safety/bags_packs/sm_clip_bag/sku_83140/" TargetMode="External"/><Relationship Id="rId4672" Type="http://schemas.openxmlformats.org/officeDocument/2006/relationships/hyperlink" Target="https://techelectro.ru/prod/ties/nylonties/ksg/ksg8x400red/" TargetMode="External"/><Relationship Id="rId5516" Type="http://schemas.openxmlformats.org/officeDocument/2006/relationships/hyperlink" Target="https://techelectro.ru/prod/metal-hose-fittings/hose/mrping-p_termo/sku_88485/" TargetMode="External"/><Relationship Id="rId5723" Type="http://schemas.openxmlformats.org/officeDocument/2006/relationships/hyperlink" Target="https://techelectro.ru/prod/metal-hose-fittings/fittings/stmv/stmv20/" TargetMode="External"/><Relationship Id="rId5930" Type="http://schemas.openxmlformats.org/officeDocument/2006/relationships/hyperlink" Target="https://techelectro.ru/prod/staples/fastener_lock/krepezh-klipsa_s_zamkom_32/" TargetMode="External"/><Relationship Id="rId195" Type="http://schemas.openxmlformats.org/officeDocument/2006/relationships/hyperlink" Target="https://techelectro.ru/prod/cable-lugs/cu/tmlr/sku_87456/" TargetMode="External"/><Relationship Id="rId1919" Type="http://schemas.openxmlformats.org/officeDocument/2006/relationships/hyperlink" Target="https://techelectro.ru/prod/cable_kits_acs/trm/sku_89431/" TargetMode="External"/><Relationship Id="rId3481" Type="http://schemas.openxmlformats.org/officeDocument/2006/relationships/hyperlink" Target="https://techelectro.ru/prod/wiring-tools/unwinding/fishtape/fgp11/fgp11-100/" TargetMode="External"/><Relationship Id="rId4325" Type="http://schemas.openxmlformats.org/officeDocument/2006/relationships/hyperlink" Target="https://techelectro.ru/prod/digital_meters/multimeters/kt132a/sku_91917/" TargetMode="External"/><Relationship Id="rId4532" Type="http://schemas.openxmlformats.org/officeDocument/2006/relationships/hyperlink" Target="https://techelectro.ru/prod/ties/nylonties/kss_outlock_black/sku_111520/" TargetMode="External"/><Relationship Id="rId2083" Type="http://schemas.openxmlformats.org/officeDocument/2006/relationships/hyperlink" Target="https://techelectro.ru/prod/hstubes/hstube/tutng-color/sku_102213/" TargetMode="External"/><Relationship Id="rId2290" Type="http://schemas.openxmlformats.org/officeDocument/2006/relationships/hyperlink" Target="https://techelectro.ru/prod/hstubes/hstube/tut-hf/tut_hf8-4_red/" TargetMode="External"/><Relationship Id="rId3134" Type="http://schemas.openxmlformats.org/officeDocument/2006/relationships/hyperlink" Target="https://techelectro.ru/prod/wiring-tools/cutters_din/steelcutters/tr14/tr-14/" TargetMode="External"/><Relationship Id="rId3341" Type="http://schemas.openxmlformats.org/officeDocument/2006/relationships/hyperlink" Target="https://techelectro.ru/prod/wiring-tools/hdrtools/jack_hd_acs/kgr-2/sku_85076/" TargetMode="External"/><Relationship Id="rId262" Type="http://schemas.openxmlformats.org/officeDocument/2006/relationships/hyperlink" Target="https://techelectro.ru/prod/cable-lugs/cu/tmls90/tmls_90_95-10/" TargetMode="External"/><Relationship Id="rId2150" Type="http://schemas.openxmlformats.org/officeDocument/2006/relationships/hyperlink" Target="https://techelectro.ru/prod/hstubes/hstube/tnt_hf/sku_82987/" TargetMode="External"/><Relationship Id="rId3201" Type="http://schemas.openxmlformats.org/officeDocument/2006/relationships/hyperlink" Target="https://techelectro.ru/prod/wiring-tools/strippers/xlpe-strip/fbs_ims_ufs/sku_109779/" TargetMode="External"/><Relationship Id="rId5099" Type="http://schemas.openxmlformats.org/officeDocument/2006/relationships/hyperlink" Target="https://techelectro.ru/prod/strength-ties/pipe-ties/thk/thk2/" TargetMode="External"/><Relationship Id="rId122" Type="http://schemas.openxmlformats.org/officeDocument/2006/relationships/hyperlink" Target="https://techelectro.ru/prod/cable-lugs/cu/tm/sku_87002/" TargetMode="External"/><Relationship Id="rId2010" Type="http://schemas.openxmlformats.org/officeDocument/2006/relationships/hyperlink" Target="https://techelectro.ru/prod/ukpt_ogt/ukpt/sku_89454/" TargetMode="External"/><Relationship Id="rId5166" Type="http://schemas.openxmlformats.org/officeDocument/2006/relationships/hyperlink" Target="https://techelectro.ru/prod/cable_entry/cable_entry_metal/mgm/sku_87994/" TargetMode="External"/><Relationship Id="rId5373" Type="http://schemas.openxmlformats.org/officeDocument/2006/relationships/hyperlink" Target="https://techelectro.ru/prod/cable_entry/cable_entry_plastic/okp-m/sku_88673/" TargetMode="External"/><Relationship Id="rId5580" Type="http://schemas.openxmlformats.org/officeDocument/2006/relationships/hyperlink" Target="https://techelectro.ru/prod/metal-hose-fittings/hose/mrn-inox/sku_83711/" TargetMode="External"/><Relationship Id="rId1569" Type="http://schemas.openxmlformats.org/officeDocument/2006/relationships/hyperlink" Target="https://techelectro.ru/prod/cable-kits/muffs1kv/3stp1sold/sku_88791/" TargetMode="External"/><Relationship Id="rId2967" Type="http://schemas.openxmlformats.org/officeDocument/2006/relationships/hyperlink" Target="https://techelectro.ru/prod/wiring-tools/crimpers_pgr/hv-crimpers/matrix_pg60t/a-26/" TargetMode="External"/><Relationship Id="rId4182" Type="http://schemas.openxmlformats.org/officeDocument/2006/relationships/hyperlink" Target="https://techelectro.ru/prod/plumbing-tools/pipe_cutters/ntp42u/ntp-42u/" TargetMode="External"/><Relationship Id="rId5026" Type="http://schemas.openxmlformats.org/officeDocument/2006/relationships/hyperlink" Target="https://techelectro.ru/prod/strength-ties/screw-ties/pl12-w2/pl-12_130-150_w2/" TargetMode="External"/><Relationship Id="rId5233" Type="http://schemas.openxmlformats.org/officeDocument/2006/relationships/hyperlink" Target="https://techelectro.ru/prod/cable_entry/cable_entry_metal/vkt-m/sku_88249/" TargetMode="External"/><Relationship Id="rId5440" Type="http://schemas.openxmlformats.org/officeDocument/2006/relationships/hyperlink" Target="https://techelectro.ru/prod/metal-hose-fittings/hose/r3cp-ngls/r3cpngls50/" TargetMode="External"/><Relationship Id="rId939" Type="http://schemas.openxmlformats.org/officeDocument/2006/relationships/hyperlink" Target="https://techelectro.ru/prod/e-connectors/nshvi/nshvi_2_5_12/" TargetMode="External"/><Relationship Id="rId1776" Type="http://schemas.openxmlformats.org/officeDocument/2006/relationships/hyperlink" Target="https://techelectro.ru/prod/cable-kits/muffs10kv/3pst6/3pst6-150-240/" TargetMode="External"/><Relationship Id="rId1983" Type="http://schemas.openxmlformats.org/officeDocument/2006/relationships/hyperlink" Target="https://techelectro.ru/prod/cable_kits_acs/kmle/kmle1/" TargetMode="External"/><Relationship Id="rId2827" Type="http://schemas.openxmlformats.org/officeDocument/2006/relationships/hyperlink" Target="https://techelectro.ru/prod/wiring-tools/crimpers/insulugs-crimp/sto/sku_90758/" TargetMode="External"/><Relationship Id="rId4042" Type="http://schemas.openxmlformats.org/officeDocument/2006/relationships/hyperlink" Target="https://techelectro.ru/prod/maintenance_tools/rj-crimp/jt01b/jt-01b/" TargetMode="External"/><Relationship Id="rId68" Type="http://schemas.openxmlformats.org/officeDocument/2006/relationships/hyperlink" Target="https://techelectro.ru/prod/cable-lugs/cu/tml/tml_95-12-15/" TargetMode="External"/><Relationship Id="rId1429" Type="http://schemas.openxmlformats.org/officeDocument/2006/relationships/hyperlink" Target="https://techelectro.ru/prod/cable-kits/kits-ngls-10kv/3rst-10ng-_ls/sku_88139/" TargetMode="External"/><Relationship Id="rId1636" Type="http://schemas.openxmlformats.org/officeDocument/2006/relationships/hyperlink" Target="https://techelectro.ru/prod/cable-kits/muffs1kv/4rst1/4rst1-10-25/" TargetMode="External"/><Relationship Id="rId1843" Type="http://schemas.openxmlformats.org/officeDocument/2006/relationships/hyperlink" Target="https://techelectro.ru/prod/cable-kits/muffs-35kv/1pknt-35/1pknt35-70-120b/" TargetMode="External"/><Relationship Id="rId4999" Type="http://schemas.openxmlformats.org/officeDocument/2006/relationships/hyperlink" Target="https://techelectro.ru/prod/strength-ties/screw-ties/pl9-w4/pl9-16-27w4/" TargetMode="External"/><Relationship Id="rId5300" Type="http://schemas.openxmlformats.org/officeDocument/2006/relationships/hyperlink" Target="https://techelectro.ru/prod/cable_entry/cable_entry_metal/okm-m/sku_88667/" TargetMode="External"/><Relationship Id="rId1703" Type="http://schemas.openxmlformats.org/officeDocument/2006/relationships/hyperlink" Target="https://techelectro.ru/prod/cable-kits/muffs10kv/1pkvt-10/1pkvt10-300-400_b/" TargetMode="External"/><Relationship Id="rId1910" Type="http://schemas.openxmlformats.org/officeDocument/2006/relationships/hyperlink" Target="https://techelectro.ru/prod/cable_kits_acs/roller_springs/ppd5/" TargetMode="External"/><Relationship Id="rId4859" Type="http://schemas.openxmlformats.org/officeDocument/2006/relationships/hyperlink" Target="https://techelectro.ru/prod/steel-ties/steel_ties-labels/sks316p-red/sksp_316_7_9x400-red/" TargetMode="External"/><Relationship Id="rId3668" Type="http://schemas.openxmlformats.org/officeDocument/2006/relationships/hyperlink" Target="https://techelectro.ru/prod/vdetools/vde-sets/vde-wrench-sets/nik-sh05t/sku_105636/" TargetMode="External"/><Relationship Id="rId3875" Type="http://schemas.openxmlformats.org/officeDocument/2006/relationships/hyperlink" Target="https://techelectro.ru/prod/metalworking-tools/ft_wrench/ft-ksh9/ksh9/" TargetMode="External"/><Relationship Id="rId4719" Type="http://schemas.openxmlformats.org/officeDocument/2006/relationships/hyperlink" Target="https://techelectro.ru/prod/ties/dowel_clamps/bd/bd8x45/" TargetMode="External"/><Relationship Id="rId4926" Type="http://schemas.openxmlformats.org/officeDocument/2006/relationships/hyperlink" Target="https://techelectro.ru/prod/steel-ties/steel_ties-labels/mbs304-89-20/sku_71879/" TargetMode="External"/><Relationship Id="rId6074" Type="http://schemas.openxmlformats.org/officeDocument/2006/relationships/hyperlink" Target="https://techelectro.ru/prod/ground_wire/thz_inox/thz_inox_2/" TargetMode="External"/><Relationship Id="rId589" Type="http://schemas.openxmlformats.org/officeDocument/2006/relationships/hyperlink" Target="https://techelectro.ru/prod/insulugs/ilugs/nvi_easyfix/sku_90900/" TargetMode="External"/><Relationship Id="rId796" Type="http://schemas.openxmlformats.org/officeDocument/2006/relationships/hyperlink" Target="https://techelectro.ru/prod/insulugs/iquick/iquicksets-gsi/sku_91017/" TargetMode="External"/><Relationship Id="rId2477" Type="http://schemas.openxmlformats.org/officeDocument/2006/relationships/hyperlink" Target="https://techelectro.ru/prod/hstubes/gluetube/ttk41_inrolls/sku_106542/" TargetMode="External"/><Relationship Id="rId2684" Type="http://schemas.openxmlformats.org/officeDocument/2006/relationships/hyperlink" Target="https://techelectro.ru/prod/insulating/pvc19/pvc19yellow/" TargetMode="External"/><Relationship Id="rId3528" Type="http://schemas.openxmlformats.org/officeDocument/2006/relationships/hyperlink" Target="https://techelectro.ru/prod/vdetools/pliers/pliers180ergoline/sku_105212/" TargetMode="External"/><Relationship Id="rId3735" Type="http://schemas.openxmlformats.org/officeDocument/2006/relationships/hyperlink" Target="https://techelectro.ru/prod/electric-tools/batteries-chargers/b20-li60a/sku_106057/" TargetMode="External"/><Relationship Id="rId5090" Type="http://schemas.openxmlformats.org/officeDocument/2006/relationships/hyperlink" Target="https://techelectro.ru/prod/strength-ties/screw-ties/sr2/sr227-239w2/" TargetMode="External"/><Relationship Id="rId449" Type="http://schemas.openxmlformats.org/officeDocument/2006/relationships/hyperlink" Target="https://techelectro.ru/prod/cable-lugs/al/nsham/nsham_16/" TargetMode="External"/><Relationship Id="rId656" Type="http://schemas.openxmlformats.org/officeDocument/2006/relationships/hyperlink" Target="https://techelectro.ru/prod/insulugs/iplug/rpip/rpip_25/" TargetMode="External"/><Relationship Id="rId863" Type="http://schemas.openxmlformats.org/officeDocument/2006/relationships/hyperlink" Target="https://techelectro.ru/prod/insulugs/screw_clamp/kzvi/sku_109271/" TargetMode="External"/><Relationship Id="rId1079" Type="http://schemas.openxmlformats.org/officeDocument/2006/relationships/hyperlink" Target="https://techelectro.ru/prod/e-connectors/nshviset8/sku_82885/" TargetMode="External"/><Relationship Id="rId1286" Type="http://schemas.openxmlformats.org/officeDocument/2006/relationships/hyperlink" Target="https://techelectro.ru/prod/cable-kits/kits-ngls-1kv/1pktb_ng_ls/1pktb1-70-120b_ngls/" TargetMode="External"/><Relationship Id="rId1493" Type="http://schemas.openxmlformats.org/officeDocument/2006/relationships/hyperlink" Target="https://techelectro.ru/prod/cable-kits/muffs1kv/3-pktp-1/3pktp_b-1-_70_120_b/" TargetMode="External"/><Relationship Id="rId2337" Type="http://schemas.openxmlformats.org/officeDocument/2006/relationships/hyperlink" Target="https://techelectro.ru/prod/hstubes/hstube/t-box-color/tbox6g/" TargetMode="External"/><Relationship Id="rId2544" Type="http://schemas.openxmlformats.org/officeDocument/2006/relationships/hyperlink" Target="https://techelectro.ru/prod/hstubes/hstubeset/hs-set-kvadro/sku_89780/" TargetMode="External"/><Relationship Id="rId2891" Type="http://schemas.openxmlformats.org/officeDocument/2006/relationships/hyperlink" Target="https://techelectro.ru/prod/wiring-tools/crimpers/mechcrimp/pk6m/pk-6m/" TargetMode="External"/><Relationship Id="rId3942" Type="http://schemas.openxmlformats.org/officeDocument/2006/relationships/hyperlink" Target="https://techelectro.ru/prod/construction_hydraulics/jack/jack_hd/dgp/sku_84545/" TargetMode="External"/><Relationship Id="rId6001" Type="http://schemas.openxmlformats.org/officeDocument/2006/relationships/hyperlink" Target="https://techelectro.ru/prod/ground_wire/pz/sku_88371/" TargetMode="External"/><Relationship Id="rId309" Type="http://schemas.openxmlformats.org/officeDocument/2006/relationships/hyperlink" Target="https://techelectro.ru/prod/cable-lugs/cu/gml/sku_92332/" TargetMode="External"/><Relationship Id="rId516" Type="http://schemas.openxmlformats.org/officeDocument/2006/relationships/hyperlink" Target="https://techelectro.ru/prod/insulugs/ilugs/nki_easyfix/sku_90894/" TargetMode="External"/><Relationship Id="rId1146" Type="http://schemas.openxmlformats.org/officeDocument/2006/relationships/hyperlink" Target="https://techelectro.ru/prod/clamps_wago-smk/smk221/sku_90360/" TargetMode="External"/><Relationship Id="rId2751" Type="http://schemas.openxmlformats.org/officeDocument/2006/relationships/hyperlink" Target="https://techelectro.ru/prod/insulating/xp/sku_85362/" TargetMode="External"/><Relationship Id="rId3802" Type="http://schemas.openxmlformats.org/officeDocument/2006/relationships/hyperlink" Target="https://techelectro.ru/prod/metalworking-tools/ft_screwdrivers/screwdriversft/ft5_125/" TargetMode="External"/><Relationship Id="rId723" Type="http://schemas.openxmlformats.org/officeDocument/2006/relationships/hyperlink" Target="https://techelectro.ru/prod/insulugs/iplug/rship/sku_108625/" TargetMode="External"/><Relationship Id="rId930" Type="http://schemas.openxmlformats.org/officeDocument/2006/relationships/hyperlink" Target="https://techelectro.ru/prod/e-connectors/nshvi/nshvi_0_75_12/" TargetMode="External"/><Relationship Id="rId1006" Type="http://schemas.openxmlformats.org/officeDocument/2006/relationships/hyperlink" Target="https://techelectro.ru/prod/e-connectors/nshvi_euro/sku_108998/" TargetMode="External"/><Relationship Id="rId1353" Type="http://schemas.openxmlformats.org/officeDocument/2006/relationships/hyperlink" Target="https://techelectro.ru/prod/cable-kits/kits-ngls-1kv/pst-mini-ng_ls/sku_88055/" TargetMode="External"/><Relationship Id="rId1560" Type="http://schemas.openxmlformats.org/officeDocument/2006/relationships/hyperlink" Target="https://techelectro.ru/prod/cable-kits/muffs1kv/3stp-1/3stp1-25-50/" TargetMode="External"/><Relationship Id="rId2404" Type="http://schemas.openxmlformats.org/officeDocument/2006/relationships/hyperlink" Target="https://techelectro.ru/prod/hstubes/gluetube/ttk31_clear/ttk31-12t/" TargetMode="External"/><Relationship Id="rId2611" Type="http://schemas.openxmlformats.org/officeDocument/2006/relationships/hyperlink" Target="https://techelectro.ru/prod/hstubes/highvoltagetube/tst/tst2710/" TargetMode="External"/><Relationship Id="rId5767" Type="http://schemas.openxmlformats.org/officeDocument/2006/relationships/hyperlink" Target="https://techelectro.ru/prod/metal-hose-fittings/fittings/krvl/krvl25/" TargetMode="External"/><Relationship Id="rId5974" Type="http://schemas.openxmlformats.org/officeDocument/2006/relationships/hyperlink" Target="https://techelectro.ru/prod/ground_wire/pz/pz_10-800/" TargetMode="External"/><Relationship Id="rId1213" Type="http://schemas.openxmlformats.org/officeDocument/2006/relationships/hyperlink" Target="https://techelectro.ru/prod/bolt-lugs/wire300-800/3nbe/3nbe_500-630/" TargetMode="External"/><Relationship Id="rId1420" Type="http://schemas.openxmlformats.org/officeDocument/2006/relationships/hyperlink" Target="https://techelectro.ru/prod/cable-kits/kits-ngls-10kv/1pst10ngls/1pst10-800bngls/" TargetMode="External"/><Relationship Id="rId4369" Type="http://schemas.openxmlformats.org/officeDocument/2006/relationships/hyperlink" Target="https://techelectro.ru/prod/digital_meters/ecotesters/eco5/eco-5/" TargetMode="External"/><Relationship Id="rId4576" Type="http://schemas.openxmlformats.org/officeDocument/2006/relationships/hyperlink" Target="https://techelectro.ru/prod/ties/nylonties/kss100-nord_white/kss_nord_5-400_white/" TargetMode="External"/><Relationship Id="rId4783" Type="http://schemas.openxmlformats.org/officeDocument/2006/relationships/hyperlink" Target="https://techelectro.ru/prod/steel-ties/steel_ties-labels/sks316/sks316-7x600/" TargetMode="External"/><Relationship Id="rId4990" Type="http://schemas.openxmlformats.org/officeDocument/2006/relationships/hyperlink" Target="https://techelectro.ru/prod/strength-ties/screw-ties/pl9-w2/w2-100-120/" TargetMode="External"/><Relationship Id="rId5627" Type="http://schemas.openxmlformats.org/officeDocument/2006/relationships/hyperlink" Target="https://techelectro.ru/prod/metal-hose-fittings/fittings/vm/vm20/" TargetMode="External"/><Relationship Id="rId5834" Type="http://schemas.openxmlformats.org/officeDocument/2006/relationships/hyperlink" Target="https://techelectro.ru/prod/staples/smdp/smd-p_14-15/" TargetMode="External"/><Relationship Id="rId3178" Type="http://schemas.openxmlformats.org/officeDocument/2006/relationships/hyperlink" Target="https://techelectro.ru/prod/wiring-tools/strippers/wire-strip/ws04a/ws-04a/" TargetMode="External"/><Relationship Id="rId3385" Type="http://schemas.openxmlformats.org/officeDocument/2006/relationships/hyperlink" Target="https://techelectro.ru/prod/wiring-tools/unwinding/hvltools/chms/sku_109881/" TargetMode="External"/><Relationship Id="rId3592" Type="http://schemas.openxmlformats.org/officeDocument/2006/relationships/hyperlink" Target="https://techelectro.ru/prod/vdetools/vde-screwdrivers/vde-screwdrivers-slim/sku_103004/" TargetMode="External"/><Relationship Id="rId4229" Type="http://schemas.openxmlformats.org/officeDocument/2006/relationships/hyperlink" Target="https://techelectro.ru/prod/abcarm/anchor/kpp1500/kpp-1500/" TargetMode="External"/><Relationship Id="rId4436" Type="http://schemas.openxmlformats.org/officeDocument/2006/relationships/hyperlink" Target="https://techelectro.ru/prod/ties/nylonties/kss_multilock_white/sku_102305/" TargetMode="External"/><Relationship Id="rId4643" Type="http://schemas.openxmlformats.org/officeDocument/2006/relationships/hyperlink" Target="https://techelectro.ru/prod/ties/nylonties/ksz/ksz8x300/" TargetMode="External"/><Relationship Id="rId4850" Type="http://schemas.openxmlformats.org/officeDocument/2006/relationships/hyperlink" Target="https://techelectro.ru/prod/steel-ties/steel_ties-labels/sks316p/sku_103070/" TargetMode="External"/><Relationship Id="rId5901" Type="http://schemas.openxmlformats.org/officeDocument/2006/relationships/hyperlink" Target="https://techelectro.ru/prod/staples/spk/sku_103937/" TargetMode="External"/><Relationship Id="rId2194" Type="http://schemas.openxmlformats.org/officeDocument/2006/relationships/hyperlink" Target="https://techelectro.ru/prod/hstubes/hstube/tutng/tutng2/" TargetMode="External"/><Relationship Id="rId3038" Type="http://schemas.openxmlformats.org/officeDocument/2006/relationships/hyperlink" Target="https://techelectro.ru/prod/wiring-tools/crimpers_pgr/hv-crimpers/matrix_pg100t/c-20-100t/" TargetMode="External"/><Relationship Id="rId3245" Type="http://schemas.openxmlformats.org/officeDocument/2006/relationships/hyperlink" Target="https://techelectro.ru/prod/wiring-tools/boxtools/singlempo/sku_61819/" TargetMode="External"/><Relationship Id="rId3452" Type="http://schemas.openxmlformats.org/officeDocument/2006/relationships/hyperlink" Target="https://techelectro.ru/prod/wiring-tools/unwinding/fishtape/pet3-6mk/pet6_50mk/" TargetMode="External"/><Relationship Id="rId4503" Type="http://schemas.openxmlformats.org/officeDocument/2006/relationships/hyperlink" Target="https://techelectro.ru/prod/ties/nylonties/kss-uv/sku_89906/" TargetMode="External"/><Relationship Id="rId4710" Type="http://schemas.openxmlformats.org/officeDocument/2006/relationships/hyperlink" Target="https://techelectro.ru/prod/ties/dowel_clamps/dhp_8_5_white/dhp8x5/" TargetMode="External"/><Relationship Id="rId166" Type="http://schemas.openxmlformats.org/officeDocument/2006/relationships/hyperlink" Target="https://techelectro.ru/prod/cable-lugs/cu/tmlu/tmlu_120-8/" TargetMode="External"/><Relationship Id="rId373" Type="http://schemas.openxmlformats.org/officeDocument/2006/relationships/hyperlink" Target="https://techelectro.ru/prod/cable-lugs/cu/lugset-gmlo/set-gmlo2_5-6/" TargetMode="External"/><Relationship Id="rId580" Type="http://schemas.openxmlformats.org/officeDocument/2006/relationships/hyperlink" Target="https://techelectro.ru/prod/insulugs/ilugs/nvi/sku_108536/" TargetMode="External"/><Relationship Id="rId2054" Type="http://schemas.openxmlformats.org/officeDocument/2006/relationships/hyperlink" Target="https://techelectro.ru/prod/hstubes/hstube/tutng-color/sku_102184/" TargetMode="External"/><Relationship Id="rId2261" Type="http://schemas.openxmlformats.org/officeDocument/2006/relationships/hyperlink" Target="https://techelectro.ru/prod/hstubes/hstube/tut-hf/tut_hf6-3_yellow/" TargetMode="External"/><Relationship Id="rId3105" Type="http://schemas.openxmlformats.org/officeDocument/2006/relationships/hyperlink" Target="https://techelectro.ru/prod/wiring-tools/cutters/sectioncutters/nl/nl40/" TargetMode="External"/><Relationship Id="rId3312" Type="http://schemas.openxmlformats.org/officeDocument/2006/relationships/hyperlink" Target="https://techelectro.ru/prod/wiring-tools/bustools/mpsho-110_oval/sku_85334/" TargetMode="External"/><Relationship Id="rId233" Type="http://schemas.openxmlformats.org/officeDocument/2006/relationships/hyperlink" Target="https://techelectro.ru/prod/cable-lugs/cu/nsp/nshp_70_25/" TargetMode="External"/><Relationship Id="rId440" Type="http://schemas.openxmlformats.org/officeDocument/2006/relationships/hyperlink" Target="https://techelectro.ru/prod/cable-lugs/al/gam/sku_90852/" TargetMode="External"/><Relationship Id="rId1070" Type="http://schemas.openxmlformats.org/officeDocument/2006/relationships/hyperlink" Target="https://techelectro.ru/prod/e-connectors/nshv/sku_108943/" TargetMode="External"/><Relationship Id="rId2121" Type="http://schemas.openxmlformats.org/officeDocument/2006/relationships/hyperlink" Target="https://techelectro.ru/prod/hstubes/hstube/tnt_hf/sku_84988/" TargetMode="External"/><Relationship Id="rId5277" Type="http://schemas.openxmlformats.org/officeDocument/2006/relationships/hyperlink" Target="https://techelectro.ru/prod/cable_entry/cable_entry_metal/mpl-m_reduce/sku_89605/" TargetMode="External"/><Relationship Id="rId5484" Type="http://schemas.openxmlformats.org/officeDocument/2006/relationships/hyperlink" Target="https://techelectro.ru/prod/metal-hose-fittings/hose/mrping_grey/sku_88295/" TargetMode="External"/><Relationship Id="rId300" Type="http://schemas.openxmlformats.org/officeDocument/2006/relationships/hyperlink" Target="https://techelectro.ru/prod/cable-lugs/cu/gml/gml_15/" TargetMode="External"/><Relationship Id="rId4086" Type="http://schemas.openxmlformats.org/officeDocument/2006/relationships/hyperlink" Target="https://techelectro.ru/prod/protection-safety/bags_packs/s11/sku_104521/" TargetMode="External"/><Relationship Id="rId5137" Type="http://schemas.openxmlformats.org/officeDocument/2006/relationships/hyperlink" Target="https://techelectro.ru/prod/cable_entry/cable_entry_metal/mgm-inox/sku_88020/" TargetMode="External"/><Relationship Id="rId5691" Type="http://schemas.openxmlformats.org/officeDocument/2006/relationships/hyperlink" Target="https://techelectro.ru/prod/metal-hose-fittings/fittings/stmr_inox/sku_83765/" TargetMode="External"/><Relationship Id="rId1887" Type="http://schemas.openxmlformats.org/officeDocument/2006/relationships/hyperlink" Target="https://techelectro.ru/prod/cable_kits_acs/tpi/2tpi-25-50/" TargetMode="External"/><Relationship Id="rId2938" Type="http://schemas.openxmlformats.org/officeDocument/2006/relationships/hyperlink" Target="https://techelectro.ru/prod/wiring-tools/crimpers_pgr/hdcrimp/pgrs300/pgrs-300/" TargetMode="External"/><Relationship Id="rId4293" Type="http://schemas.openxmlformats.org/officeDocument/2006/relationships/hyperlink" Target="https://techelectro.ru/prod/abcarm/abctools/mkz/mkz-4/" TargetMode="External"/><Relationship Id="rId5344" Type="http://schemas.openxmlformats.org/officeDocument/2006/relationships/hyperlink" Target="https://techelectro.ru/prod/cable_entry/cable_entry_plastic/m/m16/" TargetMode="External"/><Relationship Id="rId5551" Type="http://schemas.openxmlformats.org/officeDocument/2006/relationships/hyperlink" Target="https://techelectro.ru/prod/metal-hose-fittings/hose/mg-p/sku_88406/" TargetMode="External"/><Relationship Id="rId1747" Type="http://schemas.openxmlformats.org/officeDocument/2006/relationships/hyperlink" Target="https://techelectro.ru/prod/cable-kits/muffs10kv/3rkntp-10/sku_88120/" TargetMode="External"/><Relationship Id="rId1954" Type="http://schemas.openxmlformats.org/officeDocument/2006/relationships/hyperlink" Target="https://techelectro.ru/prod/cable_kits_acs/pml/sku_81515/" TargetMode="External"/><Relationship Id="rId4153" Type="http://schemas.openxmlformats.org/officeDocument/2006/relationships/hyperlink" Target="https://techelectro.ru/prod/protection-safety/safety/km/km-1/" TargetMode="External"/><Relationship Id="rId4360" Type="http://schemas.openxmlformats.org/officeDocument/2006/relationships/hyperlink" Target="https://techelectro.ru/prod/digital_meters/pyrometers/kt650b/kt-650b/" TargetMode="External"/><Relationship Id="rId5204" Type="http://schemas.openxmlformats.org/officeDocument/2006/relationships/hyperlink" Target="https://techelectro.ru/prod/cable_entry/cable_entry_metal/pgm-inox/sku_88026/" TargetMode="External"/><Relationship Id="rId5411" Type="http://schemas.openxmlformats.org/officeDocument/2006/relationships/hyperlink" Target="https://techelectro.ru/prod/metal-hose-fittings/hose/mrping_nord/mrping25_nord/" TargetMode="External"/><Relationship Id="rId39" Type="http://schemas.openxmlformats.org/officeDocument/2006/relationships/hyperlink" Target="https://techelectro.ru/prod/cable-lugs/cu/tml/tml_4-5-3/" TargetMode="External"/><Relationship Id="rId1607" Type="http://schemas.openxmlformats.org/officeDocument/2006/relationships/hyperlink" Target="https://techelectro.ru/prod/cable-kits/muffs1kv/4_5pst-1/4pst1-70-120_b/" TargetMode="External"/><Relationship Id="rId1814" Type="http://schemas.openxmlformats.org/officeDocument/2006/relationships/hyperlink" Target="https://techelectro.ru/prod/cable-kits/muffs10kv/3stp10/3stp10-25-50/" TargetMode="External"/><Relationship Id="rId4013" Type="http://schemas.openxmlformats.org/officeDocument/2006/relationships/hyperlink" Target="https://techelectro.ru/prod/construction_hydraulics/bending_tools/tg4/sku_87566/" TargetMode="External"/><Relationship Id="rId4220" Type="http://schemas.openxmlformats.org/officeDocument/2006/relationships/hyperlink" Target="https://techelectro.ru/prod/abcarm/pierce/adz/adz-25/" TargetMode="External"/><Relationship Id="rId3779" Type="http://schemas.openxmlformats.org/officeDocument/2006/relationships/hyperlink" Target="https://techelectro.ru/prod/metalworking-tools/ft_pliers/bentnoseft200new/bentnoseft-200/" TargetMode="External"/><Relationship Id="rId2588" Type="http://schemas.openxmlformats.org/officeDocument/2006/relationships/hyperlink" Target="https://techelectro.ru/prod/hstubes/highvoltagetube/ttsh10/ttsh10-50/" TargetMode="External"/><Relationship Id="rId3986" Type="http://schemas.openxmlformats.org/officeDocument/2006/relationships/hyperlink" Target="https://techelectro.ru/prod/construction_hydraulics/hydraulic_pullers/sg5/sg5/" TargetMode="External"/><Relationship Id="rId6045" Type="http://schemas.openxmlformats.org/officeDocument/2006/relationships/hyperlink" Target="https://techelectro.ru/prod/ground_wire/mzm-tng-ls/sku_88953/" TargetMode="External"/><Relationship Id="rId1397" Type="http://schemas.openxmlformats.org/officeDocument/2006/relationships/hyperlink" Target="https://techelectro.ru/prod/cable-kits/kits-ngls-10kv/3rkvtp_ngls/sku_88125/" TargetMode="External"/><Relationship Id="rId2795" Type="http://schemas.openxmlformats.org/officeDocument/2006/relationships/hyperlink" Target="https://techelectro.ru/prod/insulating/xt/sku_85373/" TargetMode="External"/><Relationship Id="rId3639" Type="http://schemas.openxmlformats.org/officeDocument/2006/relationships/hyperlink" Target="https://techelectro.ru/prod/vdetools/vde-knives/nmi12/sku_92313/" TargetMode="External"/><Relationship Id="rId3846" Type="http://schemas.openxmlformats.org/officeDocument/2006/relationships/hyperlink" Target="https://techelectro.ru/prod/metalworking-tools/ft_pumpliers/rk-28/rk28/" TargetMode="External"/><Relationship Id="rId5061" Type="http://schemas.openxmlformats.org/officeDocument/2006/relationships/hyperlink" Target="https://techelectro.ru/prod/strength-ties/screw-ties/sr2/sr20-22w2/" TargetMode="External"/><Relationship Id="rId767" Type="http://schemas.openxmlformats.org/officeDocument/2006/relationships/hyperlink" Target="https://techelectro.ru/prod/insulugs/iquick/gsi_easyfix/sku_90908/" TargetMode="External"/><Relationship Id="rId974" Type="http://schemas.openxmlformats.org/officeDocument/2006/relationships/hyperlink" Target="https://techelectro.ru/prod/e-connectors/nshvi/sku_108914/" TargetMode="External"/><Relationship Id="rId2448" Type="http://schemas.openxmlformats.org/officeDocument/2006/relationships/hyperlink" Target="https://techelectro.ru/prod/hstubes/gluetube/ttk31_yellow/sku_102419/" TargetMode="External"/><Relationship Id="rId2655" Type="http://schemas.openxmlformats.org/officeDocument/2006/relationships/hyperlink" Target="https://techelectro.ru/prod/hstubes/specialtube/tt200/tt-200-4_8-2_4/" TargetMode="External"/><Relationship Id="rId2862" Type="http://schemas.openxmlformats.org/officeDocument/2006/relationships/hyperlink" Target="https://techelectro.ru/prod/wiring-tools/crimpers/insulugs-crimp/ctn/set_ctn/" TargetMode="External"/><Relationship Id="rId3706" Type="http://schemas.openxmlformats.org/officeDocument/2006/relationships/hyperlink" Target="https://techelectro.ru/prod/electric-tools/cordless-impact-wrenches/wb16-280/sku_106050/" TargetMode="External"/><Relationship Id="rId3913" Type="http://schemas.openxmlformats.org/officeDocument/2006/relationships/hyperlink" Target="https://techelectro.ru/prod/metalworking-tools/ft_knives/nsm11/nsm-11/" TargetMode="External"/><Relationship Id="rId627" Type="http://schemas.openxmlformats.org/officeDocument/2006/relationships/hyperlink" Target="https://techelectro.ru/prod/insulugs/ilugs/nkit/sku_108568/" TargetMode="External"/><Relationship Id="rId834" Type="http://schemas.openxmlformats.org/officeDocument/2006/relationships/hyperlink" Target="https://techelectro.ru/prod/insulugs/screw_clamp/zvi-u/sku_87158/" TargetMode="External"/><Relationship Id="rId1257" Type="http://schemas.openxmlformats.org/officeDocument/2006/relationships/hyperlink" Target="https://techelectro.ru/prod/cable-kits/kits-ngls-1kv/4_5pktp-1_ngls/4pktp_bng-ls1-16-25_b/" TargetMode="External"/><Relationship Id="rId1464" Type="http://schemas.openxmlformats.org/officeDocument/2006/relationships/hyperlink" Target="https://techelectro.ru/prod/cable-kits/muffs1kv/3kvntp1sold/sku_88785/" TargetMode="External"/><Relationship Id="rId1671" Type="http://schemas.openxmlformats.org/officeDocument/2006/relationships/hyperlink" Target="https://techelectro.ru/prod/cable-kits/muffs1kv/4_5pto-1/sku_101910/" TargetMode="External"/><Relationship Id="rId2308" Type="http://schemas.openxmlformats.org/officeDocument/2006/relationships/hyperlink" Target="https://techelectro.ru/prod/hstubes/hstube/tut-hf/tut_hf20-10_blue/" TargetMode="External"/><Relationship Id="rId2515" Type="http://schemas.openxmlformats.org/officeDocument/2006/relationships/hyperlink" Target="https://techelectro.ru/prod/hstubes/gluetube/nttk31/sku_79835/" TargetMode="External"/><Relationship Id="rId2722" Type="http://schemas.openxmlformats.org/officeDocument/2006/relationships/hyperlink" Target="https://techelectro.ru/prod/insulating/bsk/bsk25/" TargetMode="External"/><Relationship Id="rId5878" Type="http://schemas.openxmlformats.org/officeDocument/2006/relationships/hyperlink" Target="https://techelectro.ru/prod/staples/smr15/smr_60-15/" TargetMode="External"/><Relationship Id="rId901" Type="http://schemas.openxmlformats.org/officeDocument/2006/relationships/hyperlink" Target="https://techelectro.ru/prod/insulugs/autoterminals/rp-m_2_5_6_3/rpm_25/" TargetMode="External"/><Relationship Id="rId1117" Type="http://schemas.openxmlformats.org/officeDocument/2006/relationships/hyperlink" Target="https://techelectro.ru/prod/clamps_wago-smk/smk_222-413/sku_87633/" TargetMode="External"/><Relationship Id="rId1324" Type="http://schemas.openxmlformats.org/officeDocument/2006/relationships/hyperlink" Target="https://techelectro.ru/prod/cable-kits/kits-ngls-1kv/4_5pst_ngls-1/4pstb1-70-120ngls/" TargetMode="External"/><Relationship Id="rId1531" Type="http://schemas.openxmlformats.org/officeDocument/2006/relationships/hyperlink" Target="https://techelectro.ru/prod/cable-kits/muffs1kv/kktng-ls/sku_82599/" TargetMode="External"/><Relationship Id="rId4687" Type="http://schemas.openxmlformats.org/officeDocument/2006/relationships/hyperlink" Target="https://techelectro.ru/prod/ties/nylonties/kssh/kssh180/" TargetMode="External"/><Relationship Id="rId4894" Type="http://schemas.openxmlformats.org/officeDocument/2006/relationships/hyperlink" Target="https://techelectro.ru/prod/steel-ties/steel_ties-labels/sksp304_50pcs/sku_103090/" TargetMode="External"/><Relationship Id="rId5738" Type="http://schemas.openxmlformats.org/officeDocument/2006/relationships/hyperlink" Target="https://techelectro.ru/prod/metal-hose-fittings/fittings/ozm/ozm_15/" TargetMode="External"/><Relationship Id="rId5945" Type="http://schemas.openxmlformats.org/officeDocument/2006/relationships/hyperlink" Target="https://techelectro.ru/prod/staples/kmp_black/sku_89337/" TargetMode="External"/><Relationship Id="rId30" Type="http://schemas.openxmlformats.org/officeDocument/2006/relationships/hyperlink" Target="https://techelectro.ru/prod/cable-lugs/cu/tmls/tmls_185_12/" TargetMode="External"/><Relationship Id="rId3289" Type="http://schemas.openxmlformats.org/officeDocument/2006/relationships/hyperlink" Target="https://techelectro.ru/prod/wiring-tools/bustools/shg200neo/sku_85144/" TargetMode="External"/><Relationship Id="rId3496" Type="http://schemas.openxmlformats.org/officeDocument/2006/relationships/hyperlink" Target="https://techelectro.ru/prod/wiring-tools/hstools/gt10/sku_88066/" TargetMode="External"/><Relationship Id="rId4547" Type="http://schemas.openxmlformats.org/officeDocument/2006/relationships/hyperlink" Target="https://techelectro.ru/prod/ties/nylonties/nss-black/sku_84818/" TargetMode="External"/><Relationship Id="rId4754" Type="http://schemas.openxmlformats.org/officeDocument/2006/relationships/hyperlink" Target="https://techelectro.ru/prod/ties/markers/universal350/sku_102090/" TargetMode="External"/><Relationship Id="rId2098" Type="http://schemas.openxmlformats.org/officeDocument/2006/relationships/hyperlink" Target="https://techelectro.ru/prod/hstubes/hstube/tut_ng-ls_3_1/tut_3_1_ng_ls_-_30_10/" TargetMode="External"/><Relationship Id="rId3149" Type="http://schemas.openxmlformats.org/officeDocument/2006/relationships/hyperlink" Target="https://techelectro.ru/prod/wiring-tools/cutters_din/br-brg-cutters/br_450/br-450/" TargetMode="External"/><Relationship Id="rId3356" Type="http://schemas.openxmlformats.org/officeDocument/2006/relationships/hyperlink" Target="https://techelectro.ru/prod/wiring-tools/unwinding/hvltools/dk10gp/dk10gp/" TargetMode="External"/><Relationship Id="rId3563" Type="http://schemas.openxmlformats.org/officeDocument/2006/relationships/hyperlink" Target="https://techelectro.ru/prod/vdetools/pliers/longnoseexp200/longnoseexp-200/" TargetMode="External"/><Relationship Id="rId4407" Type="http://schemas.openxmlformats.org/officeDocument/2006/relationships/hyperlink" Target="https://techelectro.ru/prod/ties/nylonties/kss/kss5h300/" TargetMode="External"/><Relationship Id="rId4961" Type="http://schemas.openxmlformats.org/officeDocument/2006/relationships/hyperlink" Target="https://techelectro.ru/prod/strength-ties/screw-ties/pl9-w1/w1-32-50/" TargetMode="External"/><Relationship Id="rId5805" Type="http://schemas.openxmlformats.org/officeDocument/2006/relationships/hyperlink" Target="https://techelectro.ru/prod/staples/sdk/label_102660/" TargetMode="External"/><Relationship Id="rId277" Type="http://schemas.openxmlformats.org/officeDocument/2006/relationships/hyperlink" Target="https://techelectro.ru/prod/cable-lugs/cu/tmls45/tmls_45_50-8/" TargetMode="External"/><Relationship Id="rId484" Type="http://schemas.openxmlformats.org/officeDocument/2006/relationships/hyperlink" Target="https://techelectro.ru/prod/insulugs/ilugs/nki/nki_1_5_4/" TargetMode="External"/><Relationship Id="rId2165" Type="http://schemas.openxmlformats.org/officeDocument/2006/relationships/hyperlink" Target="https://techelectro.ru/prod/hstubes/hstube/tnt_hf/sku_82996/" TargetMode="External"/><Relationship Id="rId3009" Type="http://schemas.openxmlformats.org/officeDocument/2006/relationships/hyperlink" Target="https://techelectro.ru/prod/wiring-tools/crimpers_pgr/hv-crimpers/matrix_pg60t/msh-45-0/" TargetMode="External"/><Relationship Id="rId3216" Type="http://schemas.openxmlformats.org/officeDocument/2006/relationships/hyperlink" Target="https://techelectro.ru/prod/wiring-tools/strippers/knives/nm11/sku_102357/" TargetMode="External"/><Relationship Id="rId3770" Type="http://schemas.openxmlformats.org/officeDocument/2006/relationships/hyperlink" Target="https://techelectro.ru/prod/generators/inverter-generators/gfi3500/sku_110034/" TargetMode="External"/><Relationship Id="rId4614" Type="http://schemas.openxmlformats.org/officeDocument/2006/relationships/hyperlink" Target="https://techelectro.ru/prod/ties/nylonties/kss100-nord_black/sku_89948/" TargetMode="External"/><Relationship Id="rId4821" Type="http://schemas.openxmlformats.org/officeDocument/2006/relationships/hyperlink" Target="https://techelectro.ru/prod/steel-ties/steel_ties-labels/sks304_50pcs/sku_103077/" TargetMode="External"/><Relationship Id="rId137" Type="http://schemas.openxmlformats.org/officeDocument/2006/relationships/hyperlink" Target="https://techelectro.ru/prod/cable-lugs/cu/tmldin/tml_din_50_10/" TargetMode="External"/><Relationship Id="rId344" Type="http://schemas.openxmlformats.org/officeDocument/2006/relationships/hyperlink" Target="https://techelectro.ru/prod/cable-lugs/cu/gmlo/gmlo_16/" TargetMode="External"/><Relationship Id="rId691" Type="http://schemas.openxmlformats.org/officeDocument/2006/relationships/hyperlink" Target="https://techelectro.ru/prod/insulugs/iplug/rpio/sku_108599/" TargetMode="External"/><Relationship Id="rId2025" Type="http://schemas.openxmlformats.org/officeDocument/2006/relationships/hyperlink" Target="https://techelectro.ru/prod/ukpt_ogt/ukpto/sku_87835/" TargetMode="External"/><Relationship Id="rId2372" Type="http://schemas.openxmlformats.org/officeDocument/2006/relationships/hyperlink" Target="https://techelectro.ru/prod/hstubes/gluetube/ttk31_inrolls/sku_89689/" TargetMode="External"/><Relationship Id="rId3423" Type="http://schemas.openxmlformats.org/officeDocument/2006/relationships/hyperlink" Target="https://techelectro.ru/prod/wiring-tools/unwinding/hvltools/chmt/sku_109912/" TargetMode="External"/><Relationship Id="rId3630" Type="http://schemas.openxmlformats.org/officeDocument/2006/relationships/hyperlink" Target="https://techelectro.ru/prod/vdetools/vde-screwdrivers/ot-1/sku_87284/" TargetMode="External"/><Relationship Id="rId551" Type="http://schemas.openxmlformats.org/officeDocument/2006/relationships/hyperlink" Target="https://techelectro.ru/prod/insulugs/ilugs/nkin/sku_108532/" TargetMode="External"/><Relationship Id="rId1181" Type="http://schemas.openxmlformats.org/officeDocument/2006/relationships/hyperlink" Target="https://techelectro.ru/prod/bolt-lugs/wire10-240/sbr/4sbr_150-240/" TargetMode="External"/><Relationship Id="rId2232" Type="http://schemas.openxmlformats.org/officeDocument/2006/relationships/hyperlink" Target="https://techelectro.ru/prod/hstubes/hstube/tut_hf/sku_85120/" TargetMode="External"/><Relationship Id="rId5388" Type="http://schemas.openxmlformats.org/officeDocument/2006/relationships/hyperlink" Target="https://techelectro.ru/prod/waterproof_connections/mg_box_m-4_ip68/sku_101763/" TargetMode="External"/><Relationship Id="rId5595" Type="http://schemas.openxmlformats.org/officeDocument/2006/relationships/hyperlink" Target="https://techelectro.ru/prod/metal-hose-fittings/hose/mrn-inox_p/sku_82607/" TargetMode="External"/><Relationship Id="rId204" Type="http://schemas.openxmlformats.org/officeDocument/2006/relationships/hyperlink" Target="https://techelectro.ru/prod/cable-lugs/cu/pm/pm_4_5/" TargetMode="External"/><Relationship Id="rId411" Type="http://schemas.openxmlformats.org/officeDocument/2006/relationships/hyperlink" Target="https://techelectro.ru/prod/cable-lugs/al/tam/tam_120-12-14/" TargetMode="External"/><Relationship Id="rId1041" Type="http://schemas.openxmlformats.org/officeDocument/2006/relationships/hyperlink" Target="https://techelectro.ru/prod/e-connectors/nshvi2_euro/sku_103246/" TargetMode="External"/><Relationship Id="rId1998" Type="http://schemas.openxmlformats.org/officeDocument/2006/relationships/hyperlink" Target="https://techelectro.ru/prod/ukpt_ogt/ogt-75_30/ogt75/" TargetMode="External"/><Relationship Id="rId4197" Type="http://schemas.openxmlformats.org/officeDocument/2006/relationships/hyperlink" Target="https://techelectro.ru/prod/abcarm/pierce/zpon16-95_1_5-16/sku_108663/" TargetMode="External"/><Relationship Id="rId5248" Type="http://schemas.openxmlformats.org/officeDocument/2006/relationships/hyperlink" Target="https://techelectro.ru/prod/cable_entry/cable_entry_metal/vk-m-mr/sku_87943/" TargetMode="External"/><Relationship Id="rId5455" Type="http://schemas.openxmlformats.org/officeDocument/2006/relationships/hyperlink" Target="https://techelectro.ru/prod/metal-hose-fittings/hose/mrping/sku_64847/" TargetMode="External"/><Relationship Id="rId5662" Type="http://schemas.openxmlformats.org/officeDocument/2006/relationships/hyperlink" Target="https://techelectro.ru/prod/metal-hose-fittings/fittings/vm90/vm90-50/" TargetMode="External"/><Relationship Id="rId1858" Type="http://schemas.openxmlformats.org/officeDocument/2006/relationships/hyperlink" Target="https://techelectro.ru/prod/cable-kits/lighting_solutions/4pktp_b_-1/sku_89400/" TargetMode="External"/><Relationship Id="rId4057" Type="http://schemas.openxmlformats.org/officeDocument/2006/relationships/hyperlink" Target="https://techelectro.ru/prod/maintenance_tools/network_repair_tool/pd-04/sku_85739/" TargetMode="External"/><Relationship Id="rId4264" Type="http://schemas.openxmlformats.org/officeDocument/2006/relationships/hyperlink" Target="https://techelectro.ru/prod/abcarm/sealinslugs/gin-mjpt95n/sku_103158/" TargetMode="External"/><Relationship Id="rId4471" Type="http://schemas.openxmlformats.org/officeDocument/2006/relationships/hyperlink" Target="https://techelectro.ru/prod/ties/nylonties/nss/sku_84809/" TargetMode="External"/><Relationship Id="rId5108" Type="http://schemas.openxmlformats.org/officeDocument/2006/relationships/hyperlink" Target="https://techelectro.ru/prod/strength-ties/pipe-ties/thn/th_inox_-1_2/" TargetMode="External"/><Relationship Id="rId5315" Type="http://schemas.openxmlformats.org/officeDocument/2006/relationships/hyperlink" Target="https://techelectro.ru/prod/cable_entry/cable_entry_plastic/pg/pg7/" TargetMode="External"/><Relationship Id="rId5522" Type="http://schemas.openxmlformats.org/officeDocument/2006/relationships/hyperlink" Target="https://techelectro.ru/prod/metal-hose-fittings/hose/mrping-p_termo/sku_88491/" TargetMode="External"/><Relationship Id="rId2909" Type="http://schemas.openxmlformats.org/officeDocument/2006/relationships/hyperlink" Target="https://techelectro.ru/prod/wiring-tools/crimpers/conn-crimp/pkvsh10/pkvsh-10/" TargetMode="External"/><Relationship Id="rId3073" Type="http://schemas.openxmlformats.org/officeDocument/2006/relationships/hyperlink" Target="https://techelectro.ru/prod/wiring-tools/cutters/wirecutters/mc6/sku_85934/" TargetMode="External"/><Relationship Id="rId3280" Type="http://schemas.openxmlformats.org/officeDocument/2006/relationships/hyperlink" Target="https://techelectro.ru/prod/wiring-tools/boxtools/sh-stud/sku_85442/" TargetMode="External"/><Relationship Id="rId4124" Type="http://schemas.openxmlformats.org/officeDocument/2006/relationships/hyperlink" Target="https://techelectro.ru/prod/protection-safety/cases/k1/k-01/" TargetMode="External"/><Relationship Id="rId4331" Type="http://schemas.openxmlformats.org/officeDocument/2006/relationships/hyperlink" Target="https://techelectro.ru/prod/digital_meters/multimeters/kt205a/sku_90385/" TargetMode="External"/><Relationship Id="rId1718" Type="http://schemas.openxmlformats.org/officeDocument/2006/relationships/hyperlink" Target="https://techelectro.ru/prod/cable-kits/muffs10kv/3pkvntp-10/3pkvtp10-35-50/" TargetMode="External"/><Relationship Id="rId1925" Type="http://schemas.openxmlformats.org/officeDocument/2006/relationships/hyperlink" Target="https://techelectro.ru/prod/cable_kits_acs/trm/trm_135_35-600/" TargetMode="External"/><Relationship Id="rId3140" Type="http://schemas.openxmlformats.org/officeDocument/2006/relationships/hyperlink" Target="https://techelectro.ru/prod/wiring-tools/cutters_din/steelcutters/trga25/sku_91797/" TargetMode="External"/><Relationship Id="rId2699" Type="http://schemas.openxmlformats.org/officeDocument/2006/relationships/hyperlink" Target="https://techelectro.ru/prod/insulating/pvc-hb/pvc_hb_black/" TargetMode="External"/><Relationship Id="rId3000" Type="http://schemas.openxmlformats.org/officeDocument/2006/relationships/hyperlink" Target="https://techelectro.ru/prod/wiring-tools/crimpers_pgr/hv-crimpers/matrix_pg60t/msh-26-0/" TargetMode="External"/><Relationship Id="rId3957" Type="http://schemas.openxmlformats.org/officeDocument/2006/relationships/hyperlink" Target="https://techelectro.ru/prod/construction_hydraulics/jack/jack_hd/dgp/sku_84556/" TargetMode="External"/><Relationship Id="rId878" Type="http://schemas.openxmlformats.org/officeDocument/2006/relationships/hyperlink" Target="https://techelectro.ru/prod/insulugs/lighting_clamps/nk-17/sku_88978/" TargetMode="External"/><Relationship Id="rId2559" Type="http://schemas.openxmlformats.org/officeDocument/2006/relationships/hyperlink" Target="https://techelectro.ru/prod/hstubes/hstubeset/monohrom/monohrom-16-8/" TargetMode="External"/><Relationship Id="rId2766" Type="http://schemas.openxmlformats.org/officeDocument/2006/relationships/hyperlink" Target="https://techelectro.ru/prod/insulating/xp_bw/sku_102340/" TargetMode="External"/><Relationship Id="rId2973" Type="http://schemas.openxmlformats.org/officeDocument/2006/relationships/hyperlink" Target="https://techelectro.ru/prod/wiring-tools/crimpers_pgr/hv-crimpers/matrix_pg60t/a-40/" TargetMode="External"/><Relationship Id="rId3817" Type="http://schemas.openxmlformats.org/officeDocument/2006/relationships/hyperlink" Target="https://techelectro.ru/prod/metalworking-tools/ft_screwdrivers/no09ft/no-09ft/" TargetMode="External"/><Relationship Id="rId5172" Type="http://schemas.openxmlformats.org/officeDocument/2006/relationships/hyperlink" Target="https://techelectro.ru/prod/cable_entry/cable_entry_metal/mgm-l/sku_88616/" TargetMode="External"/><Relationship Id="rId6016" Type="http://schemas.openxmlformats.org/officeDocument/2006/relationships/hyperlink" Target="https://techelectro.ru/prod/ground_wire/pzu/pzu-6-500/" TargetMode="External"/><Relationship Id="rId738" Type="http://schemas.openxmlformats.org/officeDocument/2006/relationships/hyperlink" Target="https://techelectro.ru/prod/insulugs/iplug/ov/sku_108489/" TargetMode="External"/><Relationship Id="rId945" Type="http://schemas.openxmlformats.org/officeDocument/2006/relationships/hyperlink" Target="https://techelectro.ru/prod/e-connectors/nshvi/nshvi_6_0_12/" TargetMode="External"/><Relationship Id="rId1368" Type="http://schemas.openxmlformats.org/officeDocument/2006/relationships/hyperlink" Target="https://techelectro.ru/prod/cable-kits/kits-ngls-1kv/pst-mini-ng_ls/3pstbm-6_ngls/" TargetMode="External"/><Relationship Id="rId1575" Type="http://schemas.openxmlformats.org/officeDocument/2006/relationships/hyperlink" Target="https://techelectro.ru/prod/cable-kits/muffs1kv/2pst-1/2pst1-16-25_b/" TargetMode="External"/><Relationship Id="rId1782" Type="http://schemas.openxmlformats.org/officeDocument/2006/relationships/hyperlink" Target="https://techelectro.ru/prod/cable-kits/muffs10kv/1pst10/1pst10-150-240/" TargetMode="External"/><Relationship Id="rId2419" Type="http://schemas.openxmlformats.org/officeDocument/2006/relationships/hyperlink" Target="https://techelectro.ru/prod/hstubes/gluetube/ttk31_red/sku_106551/" TargetMode="External"/><Relationship Id="rId2626" Type="http://schemas.openxmlformats.org/officeDocument/2006/relationships/hyperlink" Target="https://techelectro.ru/prod/hstubes/specialtube/tt-s_ng-ls/sku_83639/" TargetMode="External"/><Relationship Id="rId2833" Type="http://schemas.openxmlformats.org/officeDocument/2006/relationships/hyperlink" Target="https://techelectro.ru/prod/wiring-tools/crimpers/insulugs-crimp/ctb/ctb01/" TargetMode="External"/><Relationship Id="rId5032" Type="http://schemas.openxmlformats.org/officeDocument/2006/relationships/hyperlink" Target="https://techelectro.ru/prod/strength-ties/screw-ties/sr/sr_23-25_w1/" TargetMode="External"/><Relationship Id="rId5989" Type="http://schemas.openxmlformats.org/officeDocument/2006/relationships/hyperlink" Target="https://techelectro.ru/prod/ground_wire/pz/pz_25-400/" TargetMode="External"/><Relationship Id="rId74" Type="http://schemas.openxmlformats.org/officeDocument/2006/relationships/hyperlink" Target="https://techelectro.ru/prod/cable-lugs/cu/tml/tml_120-12-18/" TargetMode="External"/><Relationship Id="rId805" Type="http://schemas.openxmlformats.org/officeDocument/2006/relationships/hyperlink" Target="https://techelectro.ru/prod/insulugs/siz_kiz/siz/siz2/" TargetMode="External"/><Relationship Id="rId1228" Type="http://schemas.openxmlformats.org/officeDocument/2006/relationships/hyperlink" Target="https://techelectro.ru/prod/bolt-lugs/wire300-800/nbt/4nbt300/" TargetMode="External"/><Relationship Id="rId1435" Type="http://schemas.openxmlformats.org/officeDocument/2006/relationships/hyperlink" Target="https://techelectro.ru/prod/cable-kits/kits-ngls-10kv/3rst-10ng-_ls/sku_88145/" TargetMode="External"/><Relationship Id="rId4798" Type="http://schemas.openxmlformats.org/officeDocument/2006/relationships/hyperlink" Target="https://techelectro.ru/prod/steel-ties/steel_ties-labels/sks/sks4h350/" TargetMode="External"/><Relationship Id="rId1642" Type="http://schemas.openxmlformats.org/officeDocument/2006/relationships/hyperlink" Target="https://techelectro.ru/prod/cable-kits/muffs1kv/pstk/pstk47/" TargetMode="External"/><Relationship Id="rId2900" Type="http://schemas.openxmlformats.org/officeDocument/2006/relationships/hyperlink" Target="https://techelectro.ru/prod/wiring-tools/crimpers/mechcrimp/pmu240/pmu-240/" TargetMode="External"/><Relationship Id="rId5849" Type="http://schemas.openxmlformats.org/officeDocument/2006/relationships/hyperlink" Target="https://techelectro.ru/prod/staples/smo_withouthole/sku_85587/" TargetMode="External"/><Relationship Id="rId1502" Type="http://schemas.openxmlformats.org/officeDocument/2006/relationships/hyperlink" Target="https://techelectro.ru/prod/cable-kits/muffs1kv/4_5-pktp-1/4pktp-1-_70_120_b/" TargetMode="External"/><Relationship Id="rId4658" Type="http://schemas.openxmlformats.org/officeDocument/2006/relationships/hyperlink" Target="https://techelectro.ru/prod/ties/nylonties/ksu/sku_91704/" TargetMode="External"/><Relationship Id="rId4865" Type="http://schemas.openxmlformats.org/officeDocument/2006/relationships/hyperlink" Target="https://techelectro.ru/prod/steel-ties/steel_ties-labels/sksp/sksp4h300/" TargetMode="External"/><Relationship Id="rId5709" Type="http://schemas.openxmlformats.org/officeDocument/2006/relationships/hyperlink" Target="https://techelectro.ru/prod/metal-hose-fittings/fittings/smm/smm50/" TargetMode="External"/><Relationship Id="rId5916" Type="http://schemas.openxmlformats.org/officeDocument/2006/relationships/hyperlink" Target="https://techelectro.ru/prod/staples/snk/snk-6/" TargetMode="External"/><Relationship Id="rId388" Type="http://schemas.openxmlformats.org/officeDocument/2006/relationships/hyperlink" Target="https://techelectro.ru/prod/cable-lugs/al/ta/ta_150-12-17/" TargetMode="External"/><Relationship Id="rId2069" Type="http://schemas.openxmlformats.org/officeDocument/2006/relationships/hyperlink" Target="https://techelectro.ru/prod/hstubes/hstube/tutng-color/sku_102199/" TargetMode="External"/><Relationship Id="rId3467" Type="http://schemas.openxmlformats.org/officeDocument/2006/relationships/hyperlink" Target="https://techelectro.ru/prod/wiring-tools/unwinding/fishtape/fgp4_5mk/fgp4_5r-50mk/" TargetMode="External"/><Relationship Id="rId3674" Type="http://schemas.openxmlformats.org/officeDocument/2006/relationships/hyperlink" Target="https://techelectro.ru/prod/vdetools/vde-sets/vde-wrench-sets/nii24/sku_89750/" TargetMode="External"/><Relationship Id="rId3881" Type="http://schemas.openxmlformats.org/officeDocument/2006/relationships/hyperlink" Target="https://techelectro.ru/prod/metalworking-tools/ft_endheads/nai02-12/nai2-12/" TargetMode="External"/><Relationship Id="rId4518" Type="http://schemas.openxmlformats.org/officeDocument/2006/relationships/hyperlink" Target="https://techelectro.ru/prod/ties/nylonties/kss_multilock_uv/sku_102316/" TargetMode="External"/><Relationship Id="rId4725" Type="http://schemas.openxmlformats.org/officeDocument/2006/relationships/hyperlink" Target="https://techelectro.ru/prod/ties/montage-acs/pmop_29h20_black/sku_89485/" TargetMode="External"/><Relationship Id="rId4932" Type="http://schemas.openxmlformats.org/officeDocument/2006/relationships/hyperlink" Target="https://techelectro.ru/prod/steel-ties/steel_tape-brace/lks-rra_316/sku_104986/" TargetMode="External"/><Relationship Id="rId595" Type="http://schemas.openxmlformats.org/officeDocument/2006/relationships/hyperlink" Target="https://techelectro.ru/prod/insulugs/ilugs/nvi_easyfix/sku_108562/" TargetMode="External"/><Relationship Id="rId2276" Type="http://schemas.openxmlformats.org/officeDocument/2006/relationships/hyperlink" Target="https://techelectro.ru/prod/hstubes/hstube/tut-hf/tut_hf8-4_green/" TargetMode="External"/><Relationship Id="rId2483" Type="http://schemas.openxmlformats.org/officeDocument/2006/relationships/hyperlink" Target="https://techelectro.ru/prod/hstubes/gluetube/ttk41_inrolls/sku_106548/" TargetMode="External"/><Relationship Id="rId2690" Type="http://schemas.openxmlformats.org/officeDocument/2006/relationships/hyperlink" Target="https://techelectro.ru/prod/insulating/pvc19/pvc19yellow_green/" TargetMode="External"/><Relationship Id="rId3327" Type="http://schemas.openxmlformats.org/officeDocument/2006/relationships/hyperlink" Target="https://techelectro.ru/prod/wiring-tools/hdrtools/hdr_tools/pmn7012/pmn-7012/" TargetMode="External"/><Relationship Id="rId3534" Type="http://schemas.openxmlformats.org/officeDocument/2006/relationships/hyperlink" Target="https://techelectro.ru/prod/vdetools/pliers/sidecutters160ergoline/sku_105214/" TargetMode="External"/><Relationship Id="rId3741" Type="http://schemas.openxmlformats.org/officeDocument/2006/relationships/hyperlink" Target="https://techelectro.ru/prod/electric-tools/accessories/crowns/sf-68_65_5t_profi/sku_102557/" TargetMode="External"/><Relationship Id="rId248" Type="http://schemas.openxmlformats.org/officeDocument/2006/relationships/hyperlink" Target="https://techelectro.ru/prod/cable-lugs/cu/tmls90/tmls_90_6-6/" TargetMode="External"/><Relationship Id="rId455" Type="http://schemas.openxmlformats.org/officeDocument/2006/relationships/hyperlink" Target="https://techelectro.ru/prod/cable-lugs/al/nsham/sku_89236/" TargetMode="External"/><Relationship Id="rId662" Type="http://schemas.openxmlformats.org/officeDocument/2006/relationships/hyperlink" Target="https://techelectro.ru/prod/insulugs/iplug/rpip/sku_108584/" TargetMode="External"/><Relationship Id="rId1085" Type="http://schemas.openxmlformats.org/officeDocument/2006/relationships/hyperlink" Target="https://techelectro.ru/prod/e-connectors/nshviset-m3450-2/set-nshvi-m-3450-2/" TargetMode="External"/><Relationship Id="rId1292" Type="http://schemas.openxmlformats.org/officeDocument/2006/relationships/hyperlink" Target="https://techelectro.ru/prod/cable-kits/kits-ngls-1kv/pktp_mini_ngls/3pktp_b_mini_-_2_5_10_ng-ls/" TargetMode="External"/><Relationship Id="rId2136" Type="http://schemas.openxmlformats.org/officeDocument/2006/relationships/hyperlink" Target="https://techelectro.ru/prod/hstubes/hstube/tnt_hf/sku_82976/" TargetMode="External"/><Relationship Id="rId2343" Type="http://schemas.openxmlformats.org/officeDocument/2006/relationships/hyperlink" Target="https://techelectro.ru/prod/hstubes/hstube/t-box-y_g/tbox10yg/" TargetMode="External"/><Relationship Id="rId2550" Type="http://schemas.openxmlformats.org/officeDocument/2006/relationships/hyperlink" Target="https://techelectro.ru/prod/hstubes/hstubeset/hs-set-kvadro/sku_89779/" TargetMode="External"/><Relationship Id="rId3601" Type="http://schemas.openxmlformats.org/officeDocument/2006/relationships/hyperlink" Target="https://techelectro.ru/prod/vdetools/vde-screwdrivers/vde-screwdrivers-slim/sku_103013/" TargetMode="External"/><Relationship Id="rId5499" Type="http://schemas.openxmlformats.org/officeDocument/2006/relationships/hyperlink" Target="https://techelectro.ru/prod/metal-hose-fittings/hose/mrping_p_grey/sku_88312/" TargetMode="External"/><Relationship Id="rId108" Type="http://schemas.openxmlformats.org/officeDocument/2006/relationships/hyperlink" Target="https://techelectro.ru/prod/cable-lugs/cu/tm/tm_50_8_11/" TargetMode="External"/><Relationship Id="rId315" Type="http://schemas.openxmlformats.org/officeDocument/2006/relationships/hyperlink" Target="https://techelectro.ru/prod/cable-lugs/cu/gml/gml_185/" TargetMode="External"/><Relationship Id="rId522" Type="http://schemas.openxmlformats.org/officeDocument/2006/relationships/hyperlink" Target="https://techelectro.ru/prod/insulugs/ilugs/nki_easyfix/sku_108549/" TargetMode="External"/><Relationship Id="rId1152" Type="http://schemas.openxmlformats.org/officeDocument/2006/relationships/hyperlink" Target="https://techelectro.ru/prod/bolt-lugs/wire10-240/nb/sku_83822/" TargetMode="External"/><Relationship Id="rId2203" Type="http://schemas.openxmlformats.org/officeDocument/2006/relationships/hyperlink" Target="https://techelectro.ru/prod/hstubes/hstube/tutng/tutng16/" TargetMode="External"/><Relationship Id="rId2410" Type="http://schemas.openxmlformats.org/officeDocument/2006/relationships/hyperlink" Target="https://techelectro.ru/prod/hstubes/gluetube/ttk31_red/sku_84858/" TargetMode="External"/><Relationship Id="rId5359" Type="http://schemas.openxmlformats.org/officeDocument/2006/relationships/hyperlink" Target="https://techelectro.ru/prod/cable_entry/cable_entry_plastic/m-l/sku_85479/" TargetMode="External"/><Relationship Id="rId5566" Type="http://schemas.openxmlformats.org/officeDocument/2006/relationships/hyperlink" Target="https://techelectro.ru/prod/metal-hose-fittings/hose/mrping-inox/mrnping-inox-60/" TargetMode="External"/><Relationship Id="rId5773" Type="http://schemas.openxmlformats.org/officeDocument/2006/relationships/hyperlink" Target="https://techelectro.ru/prod/staples/smo_inox/smo_inox-12-13/" TargetMode="External"/><Relationship Id="rId1012" Type="http://schemas.openxmlformats.org/officeDocument/2006/relationships/hyperlink" Target="https://techelectro.ru/prod/e-connectors/nshvi2/nshvi2_0_5-8/" TargetMode="External"/><Relationship Id="rId4168" Type="http://schemas.openxmlformats.org/officeDocument/2006/relationships/hyperlink" Target="https://techelectro.ru/prod/protection-safety/flashlights/fl8030/fl-8030/" TargetMode="External"/><Relationship Id="rId4375" Type="http://schemas.openxmlformats.org/officeDocument/2006/relationships/hyperlink" Target="https://techelectro.ru/prod/digital_meters/ecotesters/kt605/sku_91922/" TargetMode="External"/><Relationship Id="rId5219" Type="http://schemas.openxmlformats.org/officeDocument/2006/relationships/hyperlink" Target="https://techelectro.ru/prod/cable_entry/cable_entry_metal/pgm/sku_88005/" TargetMode="External"/><Relationship Id="rId5426" Type="http://schemas.openxmlformats.org/officeDocument/2006/relationships/hyperlink" Target="https://techelectro.ru/prod/metal-hose-fittings/hose/mrping_nord-p/mrping_nord_32_p/" TargetMode="External"/><Relationship Id="rId5980" Type="http://schemas.openxmlformats.org/officeDocument/2006/relationships/hyperlink" Target="https://techelectro.ru/prod/ground_wire/pz/sku_88943/" TargetMode="External"/><Relationship Id="rId1969" Type="http://schemas.openxmlformats.org/officeDocument/2006/relationships/hyperlink" Target="https://techelectro.ru/prod/cable_kits_acs/kbm-k/sku_84298/" TargetMode="External"/><Relationship Id="rId3184" Type="http://schemas.openxmlformats.org/officeDocument/2006/relationships/hyperlink" Target="https://techelectro.ru/prod/wiring-tools/strippers/wire-strip/ws19/sku_89424/" TargetMode="External"/><Relationship Id="rId4028" Type="http://schemas.openxmlformats.org/officeDocument/2006/relationships/hyperlink" Target="https://techelectro.ru/prod/construction_hydraulics/flange_spreaders/rfn1054std/sku_109354/" TargetMode="External"/><Relationship Id="rId4235" Type="http://schemas.openxmlformats.org/officeDocument/2006/relationships/hyperlink" Target="https://techelectro.ru/prod/abcarm/anchor/kf/kf-60/" TargetMode="External"/><Relationship Id="rId4582" Type="http://schemas.openxmlformats.org/officeDocument/2006/relationships/hyperlink" Target="https://techelectro.ru/prod/ties/nylonties/kss100-nord_white/sku_89936/" TargetMode="External"/><Relationship Id="rId5633" Type="http://schemas.openxmlformats.org/officeDocument/2006/relationships/hyperlink" Target="https://techelectro.ru/prod/metal-hose-fittings/fittings/vm/vm75/" TargetMode="External"/><Relationship Id="rId5840" Type="http://schemas.openxmlformats.org/officeDocument/2006/relationships/hyperlink" Target="https://techelectro.ru/prod/staples/smdp/smd-p_38-40/" TargetMode="External"/><Relationship Id="rId1829" Type="http://schemas.openxmlformats.org/officeDocument/2006/relationships/hyperlink" Target="https://techelectro.ru/prod/cable-kits/muffs-35kv/1pkt-20/1pkvt20-150-240b/" TargetMode="External"/><Relationship Id="rId3391" Type="http://schemas.openxmlformats.org/officeDocument/2006/relationships/hyperlink" Target="https://techelectro.ru/prod/wiring-tools/unwinding/hvltools/chms/sku_109896/" TargetMode="External"/><Relationship Id="rId4442" Type="http://schemas.openxmlformats.org/officeDocument/2006/relationships/hyperlink" Target="https://techelectro.ru/prod/ties/nylonties/kss_multilock_white/sku_102311/" TargetMode="External"/><Relationship Id="rId5700" Type="http://schemas.openxmlformats.org/officeDocument/2006/relationships/hyperlink" Target="https://techelectro.ru/prod/metal-hose-fittings/fittings/stm/stm25/" TargetMode="External"/><Relationship Id="rId3044" Type="http://schemas.openxmlformats.org/officeDocument/2006/relationships/hyperlink" Target="https://techelectro.ru/prod/wiring-tools/crimpers_pgr/hv-crimpers/matrix_pg100t/c-27-100t/" TargetMode="External"/><Relationship Id="rId3251" Type="http://schemas.openxmlformats.org/officeDocument/2006/relationships/hyperlink" Target="https://techelectro.ru/prod/wiring-tools/boxtools/singlempo/sku_61824/" TargetMode="External"/><Relationship Id="rId4302" Type="http://schemas.openxmlformats.org/officeDocument/2006/relationships/hyperlink" Target="https://techelectro.ru/prod/abcarm/abctools/rm-7-0/rm-7-0/" TargetMode="External"/><Relationship Id="rId172" Type="http://schemas.openxmlformats.org/officeDocument/2006/relationships/hyperlink" Target="https://techelectro.ru/prod/cable-lugs/cu/tmlu/sku_101405/" TargetMode="External"/><Relationship Id="rId2060" Type="http://schemas.openxmlformats.org/officeDocument/2006/relationships/hyperlink" Target="https://techelectro.ru/prod/hstubes/hstube/tutng-color/sku_102190/" TargetMode="External"/><Relationship Id="rId3111" Type="http://schemas.openxmlformats.org/officeDocument/2006/relationships/hyperlink" Target="https://techelectro.ru/prod/wiring-tools/cutters/hdcutters/ngr65/ngr-65/" TargetMode="External"/><Relationship Id="rId989" Type="http://schemas.openxmlformats.org/officeDocument/2006/relationships/hyperlink" Target="https://techelectro.ru/prod/e-connectors/nshvi_euro/sku_103200/" TargetMode="External"/><Relationship Id="rId2877" Type="http://schemas.openxmlformats.org/officeDocument/2006/relationships/hyperlink" Target="https://techelectro.ru/prod/wiring-tools/crimpers/insulugs-crimp/mpk4/mpk_04/" TargetMode="External"/><Relationship Id="rId5076" Type="http://schemas.openxmlformats.org/officeDocument/2006/relationships/hyperlink" Target="https://techelectro.ru/prod/strength-ties/screw-ties/sr2/sr80-85w2/" TargetMode="External"/><Relationship Id="rId5283" Type="http://schemas.openxmlformats.org/officeDocument/2006/relationships/hyperlink" Target="https://techelectro.ru/prod/cable_entry/cable_entry_metal/mpl-m_increase/sku_89601/" TargetMode="External"/><Relationship Id="rId5490" Type="http://schemas.openxmlformats.org/officeDocument/2006/relationships/hyperlink" Target="https://techelectro.ru/prod/metal-hose-fittings/hose/mrping_grey/sku_88303/" TargetMode="External"/><Relationship Id="rId849" Type="http://schemas.openxmlformats.org/officeDocument/2006/relationships/hyperlink" Target="https://techelectro.ru/prod/insulugs/screw_clamp/zvi-ng_white/sku_87173/" TargetMode="External"/><Relationship Id="rId1479" Type="http://schemas.openxmlformats.org/officeDocument/2006/relationships/hyperlink" Target="https://techelectro.ru/prod/cable-kits/muffs1kv/3-pktp-1/3pktp1-16-25/" TargetMode="External"/><Relationship Id="rId1686" Type="http://schemas.openxmlformats.org/officeDocument/2006/relationships/hyperlink" Target="https://techelectro.ru/prod/cable-kits/muffs10kv/3rktp-6/sku_78356/" TargetMode="External"/><Relationship Id="rId3928" Type="http://schemas.openxmlformats.org/officeDocument/2006/relationships/hyperlink" Target="https://techelectro.ru/prod/construction_hydraulics/jack/jack_hd/dnp10/dn-10p11/" TargetMode="External"/><Relationship Id="rId4092" Type="http://schemas.openxmlformats.org/officeDocument/2006/relationships/hyperlink" Target="https://techelectro.ru/prod/protection-safety/bags_packs/s8/s-08/" TargetMode="External"/><Relationship Id="rId5143" Type="http://schemas.openxmlformats.org/officeDocument/2006/relationships/hyperlink" Target="https://techelectro.ru/prod/cable_entry/cable_entry_metal/mgm/sku_87972/" TargetMode="External"/><Relationship Id="rId5350" Type="http://schemas.openxmlformats.org/officeDocument/2006/relationships/hyperlink" Target="https://techelectro.ru/prod/cable_entry/cable_entry_plastic/m/m32/" TargetMode="External"/><Relationship Id="rId1339" Type="http://schemas.openxmlformats.org/officeDocument/2006/relationships/hyperlink" Target="https://techelectro.ru/prod/cable-kits/kits-ngls-1kv/5pst_ngls-1/5pstb1-25-50ngls/" TargetMode="External"/><Relationship Id="rId1893" Type="http://schemas.openxmlformats.org/officeDocument/2006/relationships/hyperlink" Target="https://techelectro.ru/prod/cable_kits_acs/tpi/sku_83586/" TargetMode="External"/><Relationship Id="rId2737" Type="http://schemas.openxmlformats.org/officeDocument/2006/relationships/hyperlink" Target="https://techelectro.ru/prod/insulating/xn/sku_106109/" TargetMode="External"/><Relationship Id="rId2944" Type="http://schemas.openxmlformats.org/officeDocument/2006/relationships/hyperlink" Target="https://techelectro.ru/prod/wiring-tools/crimpers_pgr/hdcrimp/pgr6t_trk/sku_105638/" TargetMode="External"/><Relationship Id="rId5003" Type="http://schemas.openxmlformats.org/officeDocument/2006/relationships/hyperlink" Target="https://techelectro.ru/prod/strength-ties/screw-ties/pl9-w4/pl9-40-60w4/" TargetMode="External"/><Relationship Id="rId5210" Type="http://schemas.openxmlformats.org/officeDocument/2006/relationships/hyperlink" Target="https://techelectro.ru/prod/cable_entry/cable_entry_metal/pgm-inox/sku_88032/" TargetMode="External"/><Relationship Id="rId709" Type="http://schemas.openxmlformats.org/officeDocument/2006/relationships/hyperlink" Target="https://techelectro.ru/prod/insulugs/iplug/rpipn/sku_108602/" TargetMode="External"/><Relationship Id="rId916" Type="http://schemas.openxmlformats.org/officeDocument/2006/relationships/hyperlink" Target="https://techelectro.ru/prod/insulugs/autoterminals/autoclamps-set/sku_89248/" TargetMode="External"/><Relationship Id="rId1546" Type="http://schemas.openxmlformats.org/officeDocument/2006/relationships/hyperlink" Target="https://techelectro.ru/prod/cable-kits/muffs1kv/pktp_mini/4pktpb_mini_2-5_10/" TargetMode="External"/><Relationship Id="rId1753" Type="http://schemas.openxmlformats.org/officeDocument/2006/relationships/hyperlink" Target="https://techelectro.ru/prod/cable-kits/muffs10kv/3kvtp10sold/sku_88755/" TargetMode="External"/><Relationship Id="rId1960" Type="http://schemas.openxmlformats.org/officeDocument/2006/relationships/hyperlink" Target="https://techelectro.ru/prod/cable_kits_acs/tlk/sku_84912/" TargetMode="External"/><Relationship Id="rId2804" Type="http://schemas.openxmlformats.org/officeDocument/2006/relationships/hyperlink" Target="https://techelectro.ru/prod/wiring-tools/crimpers/insulugs-crimp/ctk/ctk05/" TargetMode="External"/><Relationship Id="rId45" Type="http://schemas.openxmlformats.org/officeDocument/2006/relationships/hyperlink" Target="https://techelectro.ru/prod/cable-lugs/cu/tml/tml-10-5-5/" TargetMode="External"/><Relationship Id="rId1406" Type="http://schemas.openxmlformats.org/officeDocument/2006/relationships/hyperlink" Target="https://techelectro.ru/prod/cable-kits/kits-ngls-10kv/3kvtp-10_ngls/3kvtp10-25-50_b_ngls/" TargetMode="External"/><Relationship Id="rId1613" Type="http://schemas.openxmlformats.org/officeDocument/2006/relationships/hyperlink" Target="https://techelectro.ru/prod/cable-kits/muffs1kv/4_5pst-1/4pstb1-150-240/" TargetMode="External"/><Relationship Id="rId1820" Type="http://schemas.openxmlformats.org/officeDocument/2006/relationships/hyperlink" Target="https://techelectro.ru/prod/cable-kits/muffs10kv/3stpr10/3stpr10-25-50_b/" TargetMode="External"/><Relationship Id="rId4769" Type="http://schemas.openxmlformats.org/officeDocument/2006/relationships/hyperlink" Target="https://techelectro.ru/prod/steel-ties/steel_ties-labels/sks316/sks316-4x300/" TargetMode="External"/><Relationship Id="rId4976" Type="http://schemas.openxmlformats.org/officeDocument/2006/relationships/hyperlink" Target="https://techelectro.ru/prod/strength-ties/screw-ties/pl9-w2/w2-10-16/" TargetMode="External"/><Relationship Id="rId3578" Type="http://schemas.openxmlformats.org/officeDocument/2006/relationships/hyperlink" Target="https://techelectro.ru/prod/vdetools/vde-screwdrivers/vde-screwdrivers-profi/profi_phfl_2-100/" TargetMode="External"/><Relationship Id="rId3785" Type="http://schemas.openxmlformats.org/officeDocument/2006/relationships/hyperlink" Target="https://techelectro.ru/prod/metalworking-tools/ft_pliers/minicombpliersft120/minicombpliersft-120/" TargetMode="External"/><Relationship Id="rId3992" Type="http://schemas.openxmlformats.org/officeDocument/2006/relationships/hyperlink" Target="https://techelectro.ru/prod/construction_hydraulics/hydraulic_pullers/sgs10k/sku_91801/" TargetMode="External"/><Relationship Id="rId4629" Type="http://schemas.openxmlformats.org/officeDocument/2006/relationships/hyperlink" Target="https://techelectro.ru/prod/ties/nylonties/ksth/kst4x150/" TargetMode="External"/><Relationship Id="rId4836" Type="http://schemas.openxmlformats.org/officeDocument/2006/relationships/hyperlink" Target="https://techelectro.ru/prod/steel-ties/steel_ties-labels/sks316p/sks316p-4x500/" TargetMode="External"/><Relationship Id="rId499" Type="http://schemas.openxmlformats.org/officeDocument/2006/relationships/hyperlink" Target="https://techelectro.ru/prod/insulugs/ilugs/nki/sku_108516/" TargetMode="External"/><Relationship Id="rId2387" Type="http://schemas.openxmlformats.org/officeDocument/2006/relationships/hyperlink" Target="https://techelectro.ru/prod/hstubes/gluetube/ttk_flex_3_1/sku_85210/" TargetMode="External"/><Relationship Id="rId2594" Type="http://schemas.openxmlformats.org/officeDocument/2006/relationships/hyperlink" Target="https://techelectro.ru/prod/hstubes/highvoltagetube/ttsh10/sku_84894/" TargetMode="External"/><Relationship Id="rId3438" Type="http://schemas.openxmlformats.org/officeDocument/2006/relationships/hyperlink" Target="https://techelectro.ru/prod/wiring-tools/unwinding/fishtape/pet1-3/sku_89625/" TargetMode="External"/><Relationship Id="rId3645" Type="http://schemas.openxmlformats.org/officeDocument/2006/relationships/hyperlink" Target="https://techelectro.ru/prod/vdetools/vde-knives/nki16y/nki-16y/" TargetMode="External"/><Relationship Id="rId3852" Type="http://schemas.openxmlformats.org/officeDocument/2006/relationships/hyperlink" Target="https://techelectro.ru/prod/metalworking-tools/ft_wrench/nkk12/nkk12/" TargetMode="External"/><Relationship Id="rId6051" Type="http://schemas.openxmlformats.org/officeDocument/2006/relationships/hyperlink" Target="https://techelectro.ru/prod/ground_wire/lhz/sku_111046/" TargetMode="External"/><Relationship Id="rId359" Type="http://schemas.openxmlformats.org/officeDocument/2006/relationships/hyperlink" Target="https://techelectro.ru/prod/cable-lugs/cu/gmls/sku_88089/" TargetMode="External"/><Relationship Id="rId566" Type="http://schemas.openxmlformats.org/officeDocument/2006/relationships/hyperlink" Target="https://techelectro.ru/prod/insulugs/ilugs/vnki/sku_108611/" TargetMode="External"/><Relationship Id="rId773" Type="http://schemas.openxmlformats.org/officeDocument/2006/relationships/hyperlink" Target="https://techelectro.ru/prod/insulugs/iquick/gsin/gsin_6/" TargetMode="External"/><Relationship Id="rId1196" Type="http://schemas.openxmlformats.org/officeDocument/2006/relationships/hyperlink" Target="https://techelectro.ru/prod/bolt-lugs/wire10-240/nbe_gph/sku_105916/" TargetMode="External"/><Relationship Id="rId2247" Type="http://schemas.openxmlformats.org/officeDocument/2006/relationships/hyperlink" Target="https://techelectro.ru/prod/hstubes/hstube/tut-hf/tut_hf6-3_white/" TargetMode="External"/><Relationship Id="rId2454" Type="http://schemas.openxmlformats.org/officeDocument/2006/relationships/hyperlink" Target="https://techelectro.ru/prod/hstubes/gluetube/ttk31_blue/sku_102424/" TargetMode="External"/><Relationship Id="rId3505" Type="http://schemas.openxmlformats.org/officeDocument/2006/relationships/hyperlink" Target="https://techelectro.ru/prod/wiring-tools/hstools/gt19/sku_106782/" TargetMode="External"/><Relationship Id="rId4903" Type="http://schemas.openxmlformats.org/officeDocument/2006/relationships/hyperlink" Target="https://techelectro.ru/prod/steel-ties/steel_ties-labels/sks2-316/sks2-316-12x1400/" TargetMode="External"/><Relationship Id="rId219" Type="http://schemas.openxmlformats.org/officeDocument/2006/relationships/hyperlink" Target="https://techelectro.ru/prod/cable-lugs/cu/pm/pm_50_10/" TargetMode="External"/><Relationship Id="rId426" Type="http://schemas.openxmlformats.org/officeDocument/2006/relationships/hyperlink" Target="https://techelectro.ru/prod/cable-lugs/al/gam/gam_50-35/" TargetMode="External"/><Relationship Id="rId633" Type="http://schemas.openxmlformats.org/officeDocument/2006/relationships/hyperlink" Target="https://techelectro.ru/prod/insulugs/ilugs/iset-p290/iset-p-290/" TargetMode="External"/><Relationship Id="rId980" Type="http://schemas.openxmlformats.org/officeDocument/2006/relationships/hyperlink" Target="https://techelectro.ru/prod/e-connectors/nshvi/sku_108920/" TargetMode="External"/><Relationship Id="rId1056" Type="http://schemas.openxmlformats.org/officeDocument/2006/relationships/hyperlink" Target="https://techelectro.ru/prod/e-connectors/nshv/nshv_1_0_8/" TargetMode="External"/><Relationship Id="rId1263" Type="http://schemas.openxmlformats.org/officeDocument/2006/relationships/hyperlink" Target="https://techelectro.ru/prod/cable-kits/kits-ngls-1kv/5pktp-1_ngls/5pktpng-ls1-70-120/" TargetMode="External"/><Relationship Id="rId2107" Type="http://schemas.openxmlformats.org/officeDocument/2006/relationships/hyperlink" Target="https://techelectro.ru/prod/hstubes/hstube/tnt_hf/sku_84320/" TargetMode="External"/><Relationship Id="rId2314" Type="http://schemas.openxmlformats.org/officeDocument/2006/relationships/hyperlink" Target="https://techelectro.ru/prod/hstubes/hstube/tut-hf/sku_85116/" TargetMode="External"/><Relationship Id="rId2661" Type="http://schemas.openxmlformats.org/officeDocument/2006/relationships/hyperlink" Target="https://techelectro.ru/prod/hstubes/specialtube/tt200_rolls/sku_91836/" TargetMode="External"/><Relationship Id="rId3712" Type="http://schemas.openxmlformats.org/officeDocument/2006/relationships/hyperlink" Target="https://techelectro.ru/prod/electric-tools/cordless-impact-wrenches/wb20-1000_ncs/sku_106052/" TargetMode="External"/><Relationship Id="rId840" Type="http://schemas.openxmlformats.org/officeDocument/2006/relationships/hyperlink" Target="https://techelectro.ru/prod/insulugs/screw_clamp/zvi-u/sku_109257/" TargetMode="External"/><Relationship Id="rId1470" Type="http://schemas.openxmlformats.org/officeDocument/2006/relationships/hyperlink" Target="https://techelectro.ru/prod/cable-kits/muffs1kv/2-pktp-1/2pktp-1-16_25_b/" TargetMode="External"/><Relationship Id="rId2521" Type="http://schemas.openxmlformats.org/officeDocument/2006/relationships/hyperlink" Target="https://techelectro.ru/prod/hstubes/gluetube/tt6x/tt6x-44/" TargetMode="External"/><Relationship Id="rId4279" Type="http://schemas.openxmlformats.org/officeDocument/2006/relationships/hyperlink" Target="https://techelectro.ru/prod/abcarm/sealinslugs/nim-cptau120/sku_109227/" TargetMode="External"/><Relationship Id="rId5677" Type="http://schemas.openxmlformats.org/officeDocument/2006/relationships/hyperlink" Target="https://techelectro.ru/prod/metal-hose-fittings/fittings/vm-l/sku_88856/" TargetMode="External"/><Relationship Id="rId5884" Type="http://schemas.openxmlformats.org/officeDocument/2006/relationships/hyperlink" Target="https://techelectro.ru/prod/staples/smr15-inox/sku_103927/" TargetMode="External"/><Relationship Id="rId700" Type="http://schemas.openxmlformats.org/officeDocument/2006/relationships/hyperlink" Target="https://techelectro.ru/prod/insulugs/iplug/vrpim/vrpim_6/" TargetMode="External"/><Relationship Id="rId1123" Type="http://schemas.openxmlformats.org/officeDocument/2006/relationships/hyperlink" Target="https://techelectro.ru/prod/clamps_wago-smk/222-2411_din/sku_87640/" TargetMode="External"/><Relationship Id="rId1330" Type="http://schemas.openxmlformats.org/officeDocument/2006/relationships/hyperlink" Target="https://techelectro.ru/prod/cable-kits/kits-ngls-1kv/5pst_ngls-1/5pst1-16-25ngls/" TargetMode="External"/><Relationship Id="rId3088" Type="http://schemas.openxmlformats.org/officeDocument/2006/relationships/hyperlink" Target="https://techelectro.ru/prod/wiring-tools/cutters/sectioncutters/ns32/ns-32/" TargetMode="External"/><Relationship Id="rId4486" Type="http://schemas.openxmlformats.org/officeDocument/2006/relationships/hyperlink" Target="https://techelectro.ru/prod/ties/nylonties/kss-uv/kss4x300b/" TargetMode="External"/><Relationship Id="rId4693" Type="http://schemas.openxmlformats.org/officeDocument/2006/relationships/hyperlink" Target="https://techelectro.ru/prod/ties/nylonties/sv/ksv16x310/" TargetMode="External"/><Relationship Id="rId5537" Type="http://schemas.openxmlformats.org/officeDocument/2006/relationships/hyperlink" Target="https://techelectro.ru/prod/metal-hose-fittings/hose/m-g/sku_87880/" TargetMode="External"/><Relationship Id="rId5744" Type="http://schemas.openxmlformats.org/officeDocument/2006/relationships/hyperlink" Target="https://techelectro.ru/prod/metal-hose-fittings/fittings/mvpng/mvpng10/" TargetMode="External"/><Relationship Id="rId5951" Type="http://schemas.openxmlformats.org/officeDocument/2006/relationships/hyperlink" Target="https://techelectro.ru/prod/staples/pipe_clamp/pipetie_16/" TargetMode="External"/><Relationship Id="rId3295" Type="http://schemas.openxmlformats.org/officeDocument/2006/relationships/hyperlink" Target="https://techelectro.ru/prod/wiring-tools/bustools/mpsho-95/mpsho-8/" TargetMode="External"/><Relationship Id="rId4139" Type="http://schemas.openxmlformats.org/officeDocument/2006/relationships/hyperlink" Target="https://techelectro.ru/prod/protection-safety/protection/om-03/om03/" TargetMode="External"/><Relationship Id="rId4346" Type="http://schemas.openxmlformats.org/officeDocument/2006/relationships/hyperlink" Target="https://techelectro.ru/prod/digital_meters/testers_detectors/kt106d/kt-106d/" TargetMode="External"/><Relationship Id="rId4553" Type="http://schemas.openxmlformats.org/officeDocument/2006/relationships/hyperlink" Target="https://techelectro.ru/prod/ties/nylonties/nss-black/sku_89926/" TargetMode="External"/><Relationship Id="rId4760" Type="http://schemas.openxmlformats.org/officeDocument/2006/relationships/hyperlink" Target="https://techelectro.ru/prod/ties/markers/up/up255o/" TargetMode="External"/><Relationship Id="rId5604" Type="http://schemas.openxmlformats.org/officeDocument/2006/relationships/hyperlink" Target="https://techelectro.ru/prod/metal-hose-fittings/hose/r3ch/r3-ch-20/" TargetMode="External"/><Relationship Id="rId5811" Type="http://schemas.openxmlformats.org/officeDocument/2006/relationships/hyperlink" Target="https://techelectro.ru/prod/staples/smd/smd_8-9/" TargetMode="External"/><Relationship Id="rId3155" Type="http://schemas.openxmlformats.org/officeDocument/2006/relationships/hyperlink" Target="https://techelectro.ru/prod/wiring-tools/cutters_din/br-brg-cutters/brm_450/sku_92111/" TargetMode="External"/><Relationship Id="rId3362" Type="http://schemas.openxmlformats.org/officeDocument/2006/relationships/hyperlink" Target="https://techelectro.ru/prod/wiring-tools/unwinding/hvltools/dr50/sku_105968/" TargetMode="External"/><Relationship Id="rId4206" Type="http://schemas.openxmlformats.org/officeDocument/2006/relationships/hyperlink" Target="https://techelectro.ru/prod/abcarm/pierce/zpo50-6/zpo_50-6/" TargetMode="External"/><Relationship Id="rId4413" Type="http://schemas.openxmlformats.org/officeDocument/2006/relationships/hyperlink" Target="https://techelectro.ru/prod/ties/nylonties/kss/kss8h250/" TargetMode="External"/><Relationship Id="rId4620" Type="http://schemas.openxmlformats.org/officeDocument/2006/relationships/hyperlink" Target="https://techelectro.ru/prod/ties/nylonties/kss-colors/sku_90329/" TargetMode="External"/><Relationship Id="rId283" Type="http://schemas.openxmlformats.org/officeDocument/2006/relationships/hyperlink" Target="https://techelectro.ru/prod/cable-lugs/cu/tmls45/tmls_45_120-12/" TargetMode="External"/><Relationship Id="rId490" Type="http://schemas.openxmlformats.org/officeDocument/2006/relationships/hyperlink" Target="https://techelectro.ru/prod/insulugs/ilugs/nki/nki_2_5_8/" TargetMode="External"/><Relationship Id="rId2171" Type="http://schemas.openxmlformats.org/officeDocument/2006/relationships/hyperlink" Target="https://techelectro.ru/prod/hstubes/hstube/tnt_hf/sku_83002/" TargetMode="External"/><Relationship Id="rId3015" Type="http://schemas.openxmlformats.org/officeDocument/2006/relationships/hyperlink" Target="https://techelectro.ru/prod/wiring-tools/crimpers_pgr/hv-crimpers/matrix_pg60t/sku_69171/" TargetMode="External"/><Relationship Id="rId3222" Type="http://schemas.openxmlformats.org/officeDocument/2006/relationships/hyperlink" Target="https://techelectro.ru/prod/wiring-tools/multitools/pliers215-multifunction/sku_101597/" TargetMode="External"/><Relationship Id="rId143" Type="http://schemas.openxmlformats.org/officeDocument/2006/relationships/hyperlink" Target="https://techelectro.ru/prod/cable-lugs/cu/tmldin/tml_din_120_10/" TargetMode="External"/><Relationship Id="rId350" Type="http://schemas.openxmlformats.org/officeDocument/2006/relationships/hyperlink" Target="https://techelectro.ru/prod/cable-lugs/cu/gmls/sku_88080/" TargetMode="External"/><Relationship Id="rId2031" Type="http://schemas.openxmlformats.org/officeDocument/2006/relationships/hyperlink" Target="https://techelectro.ru/prod/hstubes/hstube/tutng-color/sku_102161/" TargetMode="External"/><Relationship Id="rId5187" Type="http://schemas.openxmlformats.org/officeDocument/2006/relationships/hyperlink" Target="https://techelectro.ru/prod/cable_entry/cable_entry_metal/mgm-dl/sku_88632/" TargetMode="External"/><Relationship Id="rId5394" Type="http://schemas.openxmlformats.org/officeDocument/2006/relationships/hyperlink" Target="https://techelectro.ru/prod/waterproof_connections/ffc-24_5p-ip68/sku_89667/" TargetMode="External"/><Relationship Id="rId9" Type="http://schemas.openxmlformats.org/officeDocument/2006/relationships/hyperlink" Target="https://techelectro.ru/prod/cable-lugs/cu/tmls/tmls_10_6/" TargetMode="External"/><Relationship Id="rId210" Type="http://schemas.openxmlformats.org/officeDocument/2006/relationships/hyperlink" Target="https://techelectro.ru/prod/cable-lugs/cu/pm/pm_10_8/" TargetMode="External"/><Relationship Id="rId2988" Type="http://schemas.openxmlformats.org/officeDocument/2006/relationships/hyperlink" Target="https://techelectro.ru/prod/wiring-tools/crimpers_pgr/hv-crimpers/matrix_pg60t/c-26/" TargetMode="External"/><Relationship Id="rId5047" Type="http://schemas.openxmlformats.org/officeDocument/2006/relationships/hyperlink" Target="https://techelectro.ru/prod/strength-ties/screw-ties/sr/sr_86-91_w1/" TargetMode="External"/><Relationship Id="rId5254" Type="http://schemas.openxmlformats.org/officeDocument/2006/relationships/hyperlink" Target="https://techelectro.ru/prod/cable_entry/cable_entry_metal/vk-m-mr/sku_89105/" TargetMode="External"/><Relationship Id="rId1797" Type="http://schemas.openxmlformats.org/officeDocument/2006/relationships/hyperlink" Target="https://techelectro.ru/prod/cable-kits/muffs10kv/3pst10/3pst10-150-240b/" TargetMode="External"/><Relationship Id="rId2848" Type="http://schemas.openxmlformats.org/officeDocument/2006/relationships/hyperlink" Target="https://techelectro.ru/prod/wiring-tools/crimpers/insulugs-crimp/ctb/sku_90970/" TargetMode="External"/><Relationship Id="rId5461" Type="http://schemas.openxmlformats.org/officeDocument/2006/relationships/hyperlink" Target="https://techelectro.ru/prod/metal-hose-fittings/hose/mrping/sku_64851/" TargetMode="External"/><Relationship Id="rId89" Type="http://schemas.openxmlformats.org/officeDocument/2006/relationships/hyperlink" Target="https://techelectro.ru/prod/cable-lugs/cu/tml/sku_86987/" TargetMode="External"/><Relationship Id="rId1657" Type="http://schemas.openxmlformats.org/officeDocument/2006/relationships/hyperlink" Target="https://techelectro.ru/prod/cable-kits/muffs1kv/mks/mksb2b/" TargetMode="External"/><Relationship Id="rId1864" Type="http://schemas.openxmlformats.org/officeDocument/2006/relationships/hyperlink" Target="https://techelectro.ru/prod/cable_kits_acs/ekat-20/sku_89719/" TargetMode="External"/><Relationship Id="rId2708" Type="http://schemas.openxmlformats.org/officeDocument/2006/relationships/hyperlink" Target="https://techelectro.ru/prod/insulating/lse/lse300/" TargetMode="External"/><Relationship Id="rId2915" Type="http://schemas.openxmlformats.org/officeDocument/2006/relationships/hyperlink" Target="https://techelectro.ru/prod/wiring-tools/crimpers/conn-crimp/pkvk16/pkvk-16/" TargetMode="External"/><Relationship Id="rId4063" Type="http://schemas.openxmlformats.org/officeDocument/2006/relationships/hyperlink" Target="https://techelectro.ru/prod/maintenance_tools/network_repair_tool/ks332/sku_85449/" TargetMode="External"/><Relationship Id="rId4270" Type="http://schemas.openxmlformats.org/officeDocument/2006/relationships/hyperlink" Target="https://techelectro.ru/prod/abcarm/sealinslugs/nim-cptau35/sku_103165/" TargetMode="External"/><Relationship Id="rId5114" Type="http://schemas.openxmlformats.org/officeDocument/2006/relationships/hyperlink" Target="https://techelectro.ru/prod/strength-ties/pipe-ties/thn/th_inox_-2_1_2/" TargetMode="External"/><Relationship Id="rId5321" Type="http://schemas.openxmlformats.org/officeDocument/2006/relationships/hyperlink" Target="https://techelectro.ru/prod/cable_entry/cable_entry_plastic/pg/pg21/" TargetMode="External"/><Relationship Id="rId1517" Type="http://schemas.openxmlformats.org/officeDocument/2006/relationships/hyperlink" Target="https://techelectro.ru/prod/cable-kits/muffs1kv/5-pktp-1/5pktp-1-70_120/" TargetMode="External"/><Relationship Id="rId1724" Type="http://schemas.openxmlformats.org/officeDocument/2006/relationships/hyperlink" Target="https://techelectro.ru/prod/cable-kits/muffs10kv/3pkvntp-10/sku_92345/" TargetMode="External"/><Relationship Id="rId4130" Type="http://schemas.openxmlformats.org/officeDocument/2006/relationships/hyperlink" Target="https://techelectro.ru/prod/protection-safety/protection/s31/s-31m/" TargetMode="External"/><Relationship Id="rId16" Type="http://schemas.openxmlformats.org/officeDocument/2006/relationships/hyperlink" Target="https://techelectro.ru/prod/cable-lugs/cu/tmls/tmls_25_10/" TargetMode="External"/><Relationship Id="rId1931" Type="http://schemas.openxmlformats.org/officeDocument/2006/relationships/hyperlink" Target="https://techelectro.ru/prod/cable_kits_acs/trma/trma_100/" TargetMode="External"/><Relationship Id="rId3689" Type="http://schemas.openxmlformats.org/officeDocument/2006/relationships/hyperlink" Target="https://techelectro.ru/prod/electric-tools/cordless-drills/db20-160/sku_104531/" TargetMode="External"/><Relationship Id="rId3896" Type="http://schemas.openxmlformats.org/officeDocument/2006/relationships/hyperlink" Target="https://techelectro.ru/prod/metalworking-tools/ft_hummers/mpk450/mpk-450/" TargetMode="External"/><Relationship Id="rId2498" Type="http://schemas.openxmlformats.org/officeDocument/2006/relationships/hyperlink" Target="https://techelectro.ru/prod/hstubes/gluetube/sttk31/sku_102102/" TargetMode="External"/><Relationship Id="rId3549" Type="http://schemas.openxmlformats.org/officeDocument/2006/relationships/hyperlink" Target="https://techelectro.ru/prod/vdetools/pliers/longnose200/longnose-200/" TargetMode="External"/><Relationship Id="rId4947" Type="http://schemas.openxmlformats.org/officeDocument/2006/relationships/hyperlink" Target="https://techelectro.ru/prod/steel-ties/steel_tape-brace/sm/sm304-12/" TargetMode="External"/><Relationship Id="rId677" Type="http://schemas.openxmlformats.org/officeDocument/2006/relationships/hyperlink" Target="https://techelectro.ru/prod/insulugs/iplug/rppim/rppim_15-48/" TargetMode="External"/><Relationship Id="rId2358" Type="http://schemas.openxmlformats.org/officeDocument/2006/relationships/hyperlink" Target="https://techelectro.ru/prod/hstubes/gluetube/ttk31/ttk31-6b/" TargetMode="External"/><Relationship Id="rId3756" Type="http://schemas.openxmlformats.org/officeDocument/2006/relationships/hyperlink" Target="https://techelectro.ru/prod/electric-tools/accessories/direct-fastening/ggn-nails_mg/sku_106197/" TargetMode="External"/><Relationship Id="rId3963" Type="http://schemas.openxmlformats.org/officeDocument/2006/relationships/hyperlink" Target="https://techelectro.ru/prod/construction_hydraulics/jack/jack_hd/dpp/dp-30p50/" TargetMode="External"/><Relationship Id="rId4807" Type="http://schemas.openxmlformats.org/officeDocument/2006/relationships/hyperlink" Target="https://techelectro.ru/prod/steel-ties/steel_ties-labels/sks/sks7h300/" TargetMode="External"/><Relationship Id="rId6022" Type="http://schemas.openxmlformats.org/officeDocument/2006/relationships/hyperlink" Target="https://techelectro.ru/prod/ground_wire/pzu/pzu-6-1000/" TargetMode="External"/><Relationship Id="rId884" Type="http://schemas.openxmlformats.org/officeDocument/2006/relationships/hyperlink" Target="https://techelectro.ru/prod/insulugs/lighting_clamps/ke10-1/sku_109234/" TargetMode="External"/><Relationship Id="rId2565" Type="http://schemas.openxmlformats.org/officeDocument/2006/relationships/hyperlink" Target="https://techelectro.ru/prod/hstubes/hstubeset/5_colors/sku_85291/" TargetMode="External"/><Relationship Id="rId2772" Type="http://schemas.openxmlformats.org/officeDocument/2006/relationships/hyperlink" Target="https://techelectro.ru/prod/insulating/xs-mini/sku_90924/" TargetMode="External"/><Relationship Id="rId3409" Type="http://schemas.openxmlformats.org/officeDocument/2006/relationships/hyperlink" Target="https://techelectro.ru/prod/wiring-tools/unwinding/hvltools/chmp/chmp-30/" TargetMode="External"/><Relationship Id="rId3616" Type="http://schemas.openxmlformats.org/officeDocument/2006/relationships/hyperlink" Target="https://techelectro.ru/prod/vdetools/vde-screwdrivers/nio-2210/sku_88928/" TargetMode="External"/><Relationship Id="rId3823" Type="http://schemas.openxmlformats.org/officeDocument/2006/relationships/hyperlink" Target="https://techelectro.ru/prod/metalworking-tools/ft_screwdrivers/nb46ft/nb-46ft/" TargetMode="External"/><Relationship Id="rId537" Type="http://schemas.openxmlformats.org/officeDocument/2006/relationships/hyperlink" Target="https://techelectro.ru/prod/insulugs/ilugs/nkin/nkin_2_5_4/" TargetMode="External"/><Relationship Id="rId744" Type="http://schemas.openxmlformats.org/officeDocument/2006/relationships/hyperlink" Target="https://techelectro.ru/prod/insulugs/iplug/ovt/sku_108492/" TargetMode="External"/><Relationship Id="rId951" Type="http://schemas.openxmlformats.org/officeDocument/2006/relationships/hyperlink" Target="https://techelectro.ru/prod/e-connectors/nshvi/nshvi_50_20/" TargetMode="External"/><Relationship Id="rId1167" Type="http://schemas.openxmlformats.org/officeDocument/2006/relationships/hyperlink" Target="https://techelectro.ru/prod/bolt-lugs/wire10-240/nbp/2nbp_150-240/" TargetMode="External"/><Relationship Id="rId1374" Type="http://schemas.openxmlformats.org/officeDocument/2006/relationships/hyperlink" Target="https://techelectro.ru/prod/cable-kits/kits-ngls-1kv/pst-mini-ng_ls/5pstbm-6_ngls/" TargetMode="External"/><Relationship Id="rId1581" Type="http://schemas.openxmlformats.org/officeDocument/2006/relationships/hyperlink" Target="https://techelectro.ru/prod/cable-kits/muffs1kv/2pst-1/2pstb1-16-25_b/" TargetMode="External"/><Relationship Id="rId2218" Type="http://schemas.openxmlformats.org/officeDocument/2006/relationships/hyperlink" Target="https://techelectro.ru/prod/hstubes/hstube/ygtutng/sku_84959/" TargetMode="External"/><Relationship Id="rId2425" Type="http://schemas.openxmlformats.org/officeDocument/2006/relationships/hyperlink" Target="https://techelectro.ru/prod/hstubes/gluetube/ttk31_white/sku_85065/" TargetMode="External"/><Relationship Id="rId2632" Type="http://schemas.openxmlformats.org/officeDocument/2006/relationships/hyperlink" Target="https://techelectro.ru/prod/hstubes/specialtube/ttgsm/ttgsm-6_4-3_2/" TargetMode="External"/><Relationship Id="rId5788" Type="http://schemas.openxmlformats.org/officeDocument/2006/relationships/hyperlink" Target="https://techelectro.ru/prod/staples/smd_inox/smd_inox_25-26/" TargetMode="External"/><Relationship Id="rId5995" Type="http://schemas.openxmlformats.org/officeDocument/2006/relationships/hyperlink" Target="https://techelectro.ru/prod/ground_wire/pz/pz_35-200/" TargetMode="External"/><Relationship Id="rId80" Type="http://schemas.openxmlformats.org/officeDocument/2006/relationships/hyperlink" Target="https://techelectro.ru/prod/cable-lugs/cu/tml/tml_150_16_20/" TargetMode="External"/><Relationship Id="rId604" Type="http://schemas.openxmlformats.org/officeDocument/2006/relationships/hyperlink" Target="https://techelectro.ru/prod/insulugs/ilugs/nvin/nvin_16_8/" TargetMode="External"/><Relationship Id="rId811" Type="http://schemas.openxmlformats.org/officeDocument/2006/relationships/hyperlink" Target="https://techelectro.ru/prod/insulugs/siz_kiz/siz/sku_108949/" TargetMode="External"/><Relationship Id="rId1027" Type="http://schemas.openxmlformats.org/officeDocument/2006/relationships/hyperlink" Target="https://techelectro.ru/prod/e-connectors/nshvi2/sku_108926/" TargetMode="External"/><Relationship Id="rId1234" Type="http://schemas.openxmlformats.org/officeDocument/2006/relationships/hyperlink" Target="https://techelectro.ru/prod/cable-kits/kits-ngls-1kv/4_kvntp-1_ngls/4kvntpngls1-70-120/" TargetMode="External"/><Relationship Id="rId1441" Type="http://schemas.openxmlformats.org/officeDocument/2006/relationships/hyperlink" Target="https://techelectro.ru/prod/cable-kits/kits-ngls-10kv/3stp10_ngls/3stp10-70-120_b_ngls/" TargetMode="External"/><Relationship Id="rId4597" Type="http://schemas.openxmlformats.org/officeDocument/2006/relationships/hyperlink" Target="https://techelectro.ru/prod/ties/nylonties/kss100-nord_black/kss_nord_4-370_black/" TargetMode="External"/><Relationship Id="rId5648" Type="http://schemas.openxmlformats.org/officeDocument/2006/relationships/hyperlink" Target="https://techelectro.ru/prod/metal-hose-fittings/fittings/rk-n/sku_87891/" TargetMode="External"/><Relationship Id="rId5855" Type="http://schemas.openxmlformats.org/officeDocument/2006/relationships/hyperlink" Target="https://techelectro.ru/prod/staples/smp/smp-20/" TargetMode="External"/><Relationship Id="rId1301" Type="http://schemas.openxmlformats.org/officeDocument/2006/relationships/hyperlink" Target="https://techelectro.ru/prod/cable-kits/kits-ngls-1kv/4_3stp_ngls/4stpngls1-25-50/" TargetMode="External"/><Relationship Id="rId3199" Type="http://schemas.openxmlformats.org/officeDocument/2006/relationships/hyperlink" Target="https://techelectro.ru/prod/wiring-tools/strippers/xlpe-strip/ufs16-52/sku_109652/" TargetMode="External"/><Relationship Id="rId4457" Type="http://schemas.openxmlformats.org/officeDocument/2006/relationships/hyperlink" Target="https://techelectro.ru/prod/ties/nylonties/nss/sku_84804/" TargetMode="External"/><Relationship Id="rId4664" Type="http://schemas.openxmlformats.org/officeDocument/2006/relationships/hyperlink" Target="https://techelectro.ru/prod/ties/nylonties/ksov/kso_4h110/" TargetMode="External"/><Relationship Id="rId5508" Type="http://schemas.openxmlformats.org/officeDocument/2006/relationships/hyperlink" Target="https://techelectro.ru/prod/metal-hose-fittings/hose/mrping-diesel_p/sku_88465/" TargetMode="External"/><Relationship Id="rId5715" Type="http://schemas.openxmlformats.org/officeDocument/2006/relationships/hyperlink" Target="https://techelectro.ru/prod/metal-hose-fittings/fittings/att/sku_92323/" TargetMode="External"/><Relationship Id="rId3059" Type="http://schemas.openxmlformats.org/officeDocument/2006/relationships/hyperlink" Target="https://techelectro.ru/prod/wiring-tools/crimpers_pgr/hv-crimpers/matrix_pg100t/msh-43-3a-100t/" TargetMode="External"/><Relationship Id="rId3266" Type="http://schemas.openxmlformats.org/officeDocument/2006/relationships/hyperlink" Target="https://techelectro.ru/prod/wiring-tools/boxtools/mpo_square/mpo-50h50/" TargetMode="External"/><Relationship Id="rId3473" Type="http://schemas.openxmlformats.org/officeDocument/2006/relationships/hyperlink" Target="https://techelectro.ru/prod/wiring-tools/unwinding/fishtape/fgp3_5k/fgp-3_5_20k/" TargetMode="External"/><Relationship Id="rId4317" Type="http://schemas.openxmlformats.org/officeDocument/2006/relationships/hyperlink" Target="https://techelectro.ru/prod/digital_meters/multimeters/kt118a/kt-118a/" TargetMode="External"/><Relationship Id="rId4524" Type="http://schemas.openxmlformats.org/officeDocument/2006/relationships/hyperlink" Target="https://techelectro.ru/prod/ties/nylonties/kss_multilock_uv/sku_102322/" TargetMode="External"/><Relationship Id="rId4871" Type="http://schemas.openxmlformats.org/officeDocument/2006/relationships/hyperlink" Target="https://techelectro.ru/prod/steel-ties/steel_ties-labels/sksp/sksp4x1000/" TargetMode="External"/><Relationship Id="rId5922" Type="http://schemas.openxmlformats.org/officeDocument/2006/relationships/hyperlink" Target="https://techelectro.ru/prod/staples/snk_black/sku_103929/" TargetMode="External"/><Relationship Id="rId187" Type="http://schemas.openxmlformats.org/officeDocument/2006/relationships/hyperlink" Target="https://techelectro.ru/prod/cable-lugs/cu/tmlr/sku_87480/" TargetMode="External"/><Relationship Id="rId394" Type="http://schemas.openxmlformats.org/officeDocument/2006/relationships/hyperlink" Target="https://techelectro.ru/prod/cable-lugs/al/ga/ga_25/" TargetMode="External"/><Relationship Id="rId2075" Type="http://schemas.openxmlformats.org/officeDocument/2006/relationships/hyperlink" Target="https://techelectro.ru/prod/hstubes/hstube/tutng-color/sku_102294/" TargetMode="External"/><Relationship Id="rId2282" Type="http://schemas.openxmlformats.org/officeDocument/2006/relationships/hyperlink" Target="https://techelectro.ru/prod/hstubes/hstube/tut-hf/tut_hf30-15_green/" TargetMode="External"/><Relationship Id="rId3126" Type="http://schemas.openxmlformats.org/officeDocument/2006/relationships/hyperlink" Target="https://techelectro.ru/prod/wiring-tools/cutters_sidecutters/mc01b/sku_86591/" TargetMode="External"/><Relationship Id="rId3680" Type="http://schemas.openxmlformats.org/officeDocument/2006/relationships/hyperlink" Target="https://techelectro.ru/prod/vdetools/vde-sets/vde-wrench-sets/nii29/sku_92331/" TargetMode="External"/><Relationship Id="rId4731" Type="http://schemas.openxmlformats.org/officeDocument/2006/relationships/hyperlink" Target="https://techelectro.ru/prod/ties/montage-acs/pms_30h30_white/pms30x30/" TargetMode="External"/><Relationship Id="rId254" Type="http://schemas.openxmlformats.org/officeDocument/2006/relationships/hyperlink" Target="https://techelectro.ru/prod/cable-lugs/cu/tmls90/tmls_90_25-10/" TargetMode="External"/><Relationship Id="rId1091" Type="http://schemas.openxmlformats.org/officeDocument/2006/relationships/hyperlink" Target="https://techelectro.ru/prod/clamps_wago-smk/smk_2273-243_paste/sku_87648/" TargetMode="External"/><Relationship Id="rId3333" Type="http://schemas.openxmlformats.org/officeDocument/2006/relationships/hyperlink" Target="https://techelectro.ru/prod/wiring-tools/hdrtools/hdr_tools/pme7050y/pme-7050y/" TargetMode="External"/><Relationship Id="rId3540" Type="http://schemas.openxmlformats.org/officeDocument/2006/relationships/hyperlink" Target="https://techelectro.ru/prod/vdetools/pliers/bentnosepro/bentnosepro-160/" TargetMode="External"/><Relationship Id="rId5298" Type="http://schemas.openxmlformats.org/officeDocument/2006/relationships/hyperlink" Target="https://techelectro.ru/prod/cable_entry/cable_entry_metal/okm-m/sku_88665/" TargetMode="External"/><Relationship Id="rId114" Type="http://schemas.openxmlformats.org/officeDocument/2006/relationships/hyperlink" Target="https://techelectro.ru/prod/cable-lugs/cu/tm/tm_120_12_17/" TargetMode="External"/><Relationship Id="rId461" Type="http://schemas.openxmlformats.org/officeDocument/2006/relationships/hyperlink" Target="https://techelectro.ru/prod/cable-lugs/al/nsham-p/sku_91879/" TargetMode="External"/><Relationship Id="rId2142" Type="http://schemas.openxmlformats.org/officeDocument/2006/relationships/hyperlink" Target="https://techelectro.ru/prod/hstubes/hstube/tnt_hf/sku_82981/" TargetMode="External"/><Relationship Id="rId3400" Type="http://schemas.openxmlformats.org/officeDocument/2006/relationships/hyperlink" Target="https://techelectro.ru/prod/wiring-tools/unwinding/hvltools/chm2s/sku_109866/" TargetMode="External"/><Relationship Id="rId321" Type="http://schemas.openxmlformats.org/officeDocument/2006/relationships/hyperlink" Target="https://techelectro.ru/prod/cable-lugs/cu/gmldin/gmldin_35/" TargetMode="External"/><Relationship Id="rId2002" Type="http://schemas.openxmlformats.org/officeDocument/2006/relationships/hyperlink" Target="https://techelectro.ru/prod/ukpt_ogt/ukpt/ukpt75-22/" TargetMode="External"/><Relationship Id="rId2959" Type="http://schemas.openxmlformats.org/officeDocument/2006/relationships/hyperlink" Target="https://techelectro.ru/prod/wiring-tools/crimpers_pgr/hdcrimp/matricy_nm300tmls/nm300tmls/" TargetMode="External"/><Relationship Id="rId5158" Type="http://schemas.openxmlformats.org/officeDocument/2006/relationships/hyperlink" Target="https://techelectro.ru/prod/cable_entry/cable_entry_metal/mgm/mgm40/" TargetMode="External"/><Relationship Id="rId5365" Type="http://schemas.openxmlformats.org/officeDocument/2006/relationships/hyperlink" Target="https://techelectro.ru/prod/cable_entry/cable_entry_plastic/pg-r/pg-r-11/" TargetMode="External"/><Relationship Id="rId5572" Type="http://schemas.openxmlformats.org/officeDocument/2006/relationships/hyperlink" Target="https://techelectro.ru/prod/metal-hose-fittings/hose/mrping-inox_p/sku_83661/" TargetMode="External"/><Relationship Id="rId1768" Type="http://schemas.openxmlformats.org/officeDocument/2006/relationships/hyperlink" Target="https://techelectro.ru/prod/cable-kits/muffs10kv/3kntp-10/3kntp10-25-50/" TargetMode="External"/><Relationship Id="rId2819" Type="http://schemas.openxmlformats.org/officeDocument/2006/relationships/hyperlink" Target="https://techelectro.ru/prod/wiring-tools/crimpers/insulugs-crimp/sto/sku_90750/" TargetMode="External"/><Relationship Id="rId4174" Type="http://schemas.openxmlformats.org/officeDocument/2006/relationships/hyperlink" Target="https://techelectro.ru/prod/plumbing-tools/battery_pipe_tool/pgra-so-32/sku_89617/" TargetMode="External"/><Relationship Id="rId4381" Type="http://schemas.openxmlformats.org/officeDocument/2006/relationships/hyperlink" Target="https://techelectro.ru/prod/digital_meters/ecotesters/kt-65/sku_87251/" TargetMode="External"/><Relationship Id="rId5018" Type="http://schemas.openxmlformats.org/officeDocument/2006/relationships/hyperlink" Target="https://techelectro.ru/prod/strength-ties/screw-ties/pl12-w2/pl-12_50-70_w2/" TargetMode="External"/><Relationship Id="rId5225" Type="http://schemas.openxmlformats.org/officeDocument/2006/relationships/hyperlink" Target="https://techelectro.ru/prod/cable_entry/cable_entry_metal/pgm-l/sku_88831/" TargetMode="External"/><Relationship Id="rId5432" Type="http://schemas.openxmlformats.org/officeDocument/2006/relationships/hyperlink" Target="https://techelectro.ru/prod/metal-hose-fittings/hose/r3cp-ngls/r3cpngls15/" TargetMode="External"/><Relationship Id="rId1628" Type="http://schemas.openxmlformats.org/officeDocument/2006/relationships/hyperlink" Target="https://techelectro.ru/prod/cable-kits/muffs1kv/5pst-1/5pstb1-16-25/" TargetMode="External"/><Relationship Id="rId1975" Type="http://schemas.openxmlformats.org/officeDocument/2006/relationships/hyperlink" Target="https://techelectro.ru/prod/cable_kits_acs/kmpb/kmpb1/" TargetMode="External"/><Relationship Id="rId3190" Type="http://schemas.openxmlformats.org/officeDocument/2006/relationships/hyperlink" Target="https://techelectro.ru/prod/wiring-tools/strippers/wire-strip/ws16/sku_90987/" TargetMode="External"/><Relationship Id="rId4034" Type="http://schemas.openxmlformats.org/officeDocument/2006/relationships/hyperlink" Target="https://techelectro.ru/prod/construction_hydraulics/glg-cutters/glg_3241/glg-3241/" TargetMode="External"/><Relationship Id="rId4241" Type="http://schemas.openxmlformats.org/officeDocument/2006/relationships/hyperlink" Target="https://techelectro.ru/prod/abcarm/sealinslugs/gia-mjpb16-25/sku_109214/" TargetMode="External"/><Relationship Id="rId1835" Type="http://schemas.openxmlformats.org/officeDocument/2006/relationships/hyperlink" Target="https://techelectro.ru/prod/cable-kits/muffs-35kv/1pknt-20/sku_90350/" TargetMode="External"/><Relationship Id="rId3050" Type="http://schemas.openxmlformats.org/officeDocument/2006/relationships/hyperlink" Target="https://techelectro.ru/prod/wiring-tools/crimpers_pgr/hv-crimpers/matrix_pg100t/msh-23-4a-100t/" TargetMode="External"/><Relationship Id="rId4101" Type="http://schemas.openxmlformats.org/officeDocument/2006/relationships/hyperlink" Target="https://techelectro.ru/prod/protection-safety/bags_packs/s53/s-53/" TargetMode="External"/><Relationship Id="rId1902" Type="http://schemas.openxmlformats.org/officeDocument/2006/relationships/hyperlink" Target="https://techelectro.ru/prod/cable_kits_acs/tpi-a/3tpia-70-120/" TargetMode="External"/><Relationship Id="rId6066" Type="http://schemas.openxmlformats.org/officeDocument/2006/relationships/hyperlink" Target="https://techelectro.ru/prod/ground_wire/uhz_inox/uhz_inox_80-100_w2/" TargetMode="External"/><Relationship Id="rId3867" Type="http://schemas.openxmlformats.org/officeDocument/2006/relationships/hyperlink" Target="https://techelectro.ru/prod/metalworking-tools/ft_wrench/ratchet-wrench-piece/ratchet-wrench-piece-15/" TargetMode="External"/><Relationship Id="rId4918" Type="http://schemas.openxmlformats.org/officeDocument/2006/relationships/hyperlink" Target="https://techelectro.ru/prod/steel-ties/steel_ties-labels/skl316/skl316-7x300/" TargetMode="External"/><Relationship Id="rId788" Type="http://schemas.openxmlformats.org/officeDocument/2006/relationships/hyperlink" Target="https://techelectro.ru/prod/insulugs/iquick/pk-t/sku_108962/" TargetMode="External"/><Relationship Id="rId995" Type="http://schemas.openxmlformats.org/officeDocument/2006/relationships/hyperlink" Target="https://techelectro.ru/prod/e-connectors/nshvi_euro/sku_103206/" TargetMode="External"/><Relationship Id="rId2469" Type="http://schemas.openxmlformats.org/officeDocument/2006/relationships/hyperlink" Target="https://techelectro.ru/prod/hstubes/gluetube/ttk41/ttk41-16/" TargetMode="External"/><Relationship Id="rId2676" Type="http://schemas.openxmlformats.org/officeDocument/2006/relationships/hyperlink" Target="https://techelectro.ru/prod/insulating/pvc19master/sku_90811/" TargetMode="External"/><Relationship Id="rId2883" Type="http://schemas.openxmlformats.org/officeDocument/2006/relationships/hyperlink" Target="https://techelectro.ru/prod/wiring-tools/crimpers/insulugs-crimp/mpk10/mpk_10/" TargetMode="External"/><Relationship Id="rId3727" Type="http://schemas.openxmlformats.org/officeDocument/2006/relationships/hyperlink" Target="https://techelectro.ru/prod/electric-tools/power-saws/cbs20-04/sku_106046/" TargetMode="External"/><Relationship Id="rId3934" Type="http://schemas.openxmlformats.org/officeDocument/2006/relationships/hyperlink" Target="https://techelectro.ru/prod/construction_hydraulics/jack/jack_hd/dnmt10/sku_84593/" TargetMode="External"/><Relationship Id="rId5082" Type="http://schemas.openxmlformats.org/officeDocument/2006/relationships/hyperlink" Target="https://techelectro.ru/prod/strength-ties/screw-ties/sr2/sr122-130w2/" TargetMode="External"/><Relationship Id="rId648" Type="http://schemas.openxmlformats.org/officeDocument/2006/relationships/hyperlink" Target="https://techelectro.ru/prod/insulugs/ilugs/ilugsets-nvi/sku_91009/" TargetMode="External"/><Relationship Id="rId855" Type="http://schemas.openxmlformats.org/officeDocument/2006/relationships/hyperlink" Target="https://techelectro.ru/prod/insulugs/screw_clamp/zvi-ng_black/sku_87164/" TargetMode="External"/><Relationship Id="rId1278" Type="http://schemas.openxmlformats.org/officeDocument/2006/relationships/hyperlink" Target="https://techelectro.ru/prod/cable-kits/kits-ngls-1kv/1pkt_ng_ls/1pkt1-25-50b_ngls/" TargetMode="External"/><Relationship Id="rId1485" Type="http://schemas.openxmlformats.org/officeDocument/2006/relationships/hyperlink" Target="https://techelectro.ru/prod/cable-kits/muffs1kv/3-pktp-1/3pktp-1-_70_120_b/" TargetMode="External"/><Relationship Id="rId1692" Type="http://schemas.openxmlformats.org/officeDocument/2006/relationships/hyperlink" Target="https://techelectro.ru/prod/cable-kits/muffs10kv/3pktp-6/3pktp6-70-120b/" TargetMode="External"/><Relationship Id="rId2329" Type="http://schemas.openxmlformats.org/officeDocument/2006/relationships/hyperlink" Target="https://techelectro.ru/prod/hstubes/hstube/t-box-color/tbox8y/" TargetMode="External"/><Relationship Id="rId2536" Type="http://schemas.openxmlformats.org/officeDocument/2006/relationships/hyperlink" Target="https://techelectro.ru/prod/hstubes/hstubeset/germokomplekt/sku_89786/" TargetMode="External"/><Relationship Id="rId2743" Type="http://schemas.openxmlformats.org/officeDocument/2006/relationships/hyperlink" Target="https://techelectro.ru/prod/insulating/xp_mini/sku_90917/" TargetMode="External"/><Relationship Id="rId5899" Type="http://schemas.openxmlformats.org/officeDocument/2006/relationships/hyperlink" Target="https://techelectro.ru/prod/staples/spk/sku_103935/" TargetMode="External"/><Relationship Id="rId508" Type="http://schemas.openxmlformats.org/officeDocument/2006/relationships/hyperlink" Target="https://techelectro.ru/prod/insulugs/ilugs/nki/sku_108525/" TargetMode="External"/><Relationship Id="rId715" Type="http://schemas.openxmlformats.org/officeDocument/2006/relationships/hyperlink" Target="https://techelectro.ru/prod/insulugs/iplug/rpimn/sku_108605/" TargetMode="External"/><Relationship Id="rId922" Type="http://schemas.openxmlformats.org/officeDocument/2006/relationships/hyperlink" Target="https://techelectro.ru/prod/insulugs/autoterminals/rga/sku_109239/" TargetMode="External"/><Relationship Id="rId1138" Type="http://schemas.openxmlformats.org/officeDocument/2006/relationships/hyperlink" Target="https://techelectro.ru/prod/clamps_wago-smk/smk_2273/sku_90363/" TargetMode="External"/><Relationship Id="rId1345" Type="http://schemas.openxmlformats.org/officeDocument/2006/relationships/hyperlink" Target="https://techelectro.ru/prod/cable-kits/kits-ngls-1kv/5pst_ngls-1/5pstb1-150-240_bngls/" TargetMode="External"/><Relationship Id="rId1552" Type="http://schemas.openxmlformats.org/officeDocument/2006/relationships/hyperlink" Target="https://techelectro.ru/prod/cable-kits/muffs1kv/4_3stp-1/4stp1-70-120_b/" TargetMode="External"/><Relationship Id="rId2603" Type="http://schemas.openxmlformats.org/officeDocument/2006/relationships/hyperlink" Target="https://techelectro.ru/prod/hstubes/highvoltagetube/ttsh10/sku_84903/" TargetMode="External"/><Relationship Id="rId2950" Type="http://schemas.openxmlformats.org/officeDocument/2006/relationships/hyperlink" Target="https://techelectro.ru/prod/wiring-tools/crimpers_pgr/hdcrimp/pgra240bm/sku_91795/" TargetMode="External"/><Relationship Id="rId5759" Type="http://schemas.openxmlformats.org/officeDocument/2006/relationships/hyperlink" Target="https://techelectro.ru/prod/metal-hose-fittings/fittings/krv/krv15/" TargetMode="External"/><Relationship Id="rId1205" Type="http://schemas.openxmlformats.org/officeDocument/2006/relationships/hyperlink" Target="https://techelectro.ru/prod/bolt-lugs/wire10-240/nbtk/nbtk_25-70/" TargetMode="External"/><Relationship Id="rId2810" Type="http://schemas.openxmlformats.org/officeDocument/2006/relationships/hyperlink" Target="https://techelectro.ru/prod/wiring-tools/crimpers/insulugs-crimp/ctk/ctk12/" TargetMode="External"/><Relationship Id="rId4568" Type="http://schemas.openxmlformats.org/officeDocument/2006/relationships/hyperlink" Target="https://techelectro.ru/prod/ties/nylonties/kss100-nord_white/kss_nord_4-250_white/" TargetMode="External"/><Relationship Id="rId5966" Type="http://schemas.openxmlformats.org/officeDocument/2006/relationships/hyperlink" Target="https://techelectro.ru/prod/ground_wire/pz/pz_10-150/" TargetMode="External"/><Relationship Id="rId51" Type="http://schemas.openxmlformats.org/officeDocument/2006/relationships/hyperlink" Target="https://techelectro.ru/prod/cable-lugs/cu/tml/tml_25-56-7/" TargetMode="External"/><Relationship Id="rId1412" Type="http://schemas.openxmlformats.org/officeDocument/2006/relationships/hyperlink" Target="https://techelectro.ru/prod/cable-kits/kits-ngls-10kv/1pst10ngls/1pst10-300-400ngls/" TargetMode="External"/><Relationship Id="rId3377" Type="http://schemas.openxmlformats.org/officeDocument/2006/relationships/hyperlink" Target="https://techelectro.ru/prod/wiring-tools/unwinding/hvltools/chm/chm-95/" TargetMode="External"/><Relationship Id="rId4775" Type="http://schemas.openxmlformats.org/officeDocument/2006/relationships/hyperlink" Target="https://techelectro.ru/prod/steel-ties/steel_ties-labels/sks316/sks316-4x1000/" TargetMode="External"/><Relationship Id="rId4982" Type="http://schemas.openxmlformats.org/officeDocument/2006/relationships/hyperlink" Target="https://techelectro.ru/prod/strength-ties/screw-ties/pl9-w2/w2-25-40/" TargetMode="External"/><Relationship Id="rId5619" Type="http://schemas.openxmlformats.org/officeDocument/2006/relationships/hyperlink" Target="https://techelectro.ru/prod/metal-hose-fittings/hose/r3ch_p/r3ch22_p/" TargetMode="External"/><Relationship Id="rId5826" Type="http://schemas.openxmlformats.org/officeDocument/2006/relationships/hyperlink" Target="https://techelectro.ru/prod/staples/smop/smo-p_16-17/" TargetMode="External"/><Relationship Id="rId298" Type="http://schemas.openxmlformats.org/officeDocument/2006/relationships/hyperlink" Target="https://techelectro.ru/prod/cable-lugs/cu/gm/sku_41639/" TargetMode="External"/><Relationship Id="rId3584" Type="http://schemas.openxmlformats.org/officeDocument/2006/relationships/hyperlink" Target="https://techelectro.ru/prod/vdetools/vde-screwdrivers/nio08profi/nio-08_profi/" TargetMode="External"/><Relationship Id="rId3791" Type="http://schemas.openxmlformats.org/officeDocument/2006/relationships/hyperlink" Target="https://techelectro.ru/prod/metalworking-tools/ft_pliers/mini-combpliers115profi/sku_92059/" TargetMode="External"/><Relationship Id="rId4428" Type="http://schemas.openxmlformats.org/officeDocument/2006/relationships/hyperlink" Target="https://techelectro.ru/prod/ties/nylonties/kss/sku_89901/" TargetMode="External"/><Relationship Id="rId4635" Type="http://schemas.openxmlformats.org/officeDocument/2006/relationships/hyperlink" Target="https://techelectro.ru/prod/ties/nylonties/kss_magnetic/sku_87103/" TargetMode="External"/><Relationship Id="rId4842" Type="http://schemas.openxmlformats.org/officeDocument/2006/relationships/hyperlink" Target="https://techelectro.ru/prod/steel-ties/steel_ties-labels/sks316p/sks316p-7x250/" TargetMode="External"/><Relationship Id="rId158" Type="http://schemas.openxmlformats.org/officeDocument/2006/relationships/hyperlink" Target="https://techelectro.ru/prod/cable-lugs/cu/tmlu/sku_85734/" TargetMode="External"/><Relationship Id="rId2186" Type="http://schemas.openxmlformats.org/officeDocument/2006/relationships/hyperlink" Target="https://techelectro.ru/prod/hstubes/hstube/tnt_ng-ls_colors/tntng126yg/" TargetMode="External"/><Relationship Id="rId2393" Type="http://schemas.openxmlformats.org/officeDocument/2006/relationships/hyperlink" Target="https://techelectro.ru/prod/hstubes/gluetube/ttk2/sku_88174/" TargetMode="External"/><Relationship Id="rId3237" Type="http://schemas.openxmlformats.org/officeDocument/2006/relationships/hyperlink" Target="https://techelectro.ru/prod/wiring-tools/boxtools/nmpo-t/sku_88607/" TargetMode="External"/><Relationship Id="rId3444" Type="http://schemas.openxmlformats.org/officeDocument/2006/relationships/hyperlink" Target="https://techelectro.ru/prod/wiring-tools/unwinding/fishtape/pet1-4k/pet4_15k/" TargetMode="External"/><Relationship Id="rId3651" Type="http://schemas.openxmlformats.org/officeDocument/2006/relationships/hyperlink" Target="https://techelectro.ru/prod/vdetools/vde-sets/vde-sets-nii/nii1/nii-01/" TargetMode="External"/><Relationship Id="rId4702" Type="http://schemas.openxmlformats.org/officeDocument/2006/relationships/hyperlink" Target="https://techelectro.ru/prod/ties/nylonties/lvu/lvu205black/" TargetMode="External"/><Relationship Id="rId365" Type="http://schemas.openxmlformats.org/officeDocument/2006/relationships/hyperlink" Target="https://techelectro.ru/prod/cable-lugs/cu/lugset-tmls/set-tmls2_5-6/" TargetMode="External"/><Relationship Id="rId572" Type="http://schemas.openxmlformats.org/officeDocument/2006/relationships/hyperlink" Target="https://techelectro.ru/prod/insulugs/ilugs/nvi/nvi_1_5_4/" TargetMode="External"/><Relationship Id="rId2046" Type="http://schemas.openxmlformats.org/officeDocument/2006/relationships/hyperlink" Target="https://techelectro.ru/prod/hstubes/hstube/tutng-color/sku_102176/" TargetMode="External"/><Relationship Id="rId2253" Type="http://schemas.openxmlformats.org/officeDocument/2006/relationships/hyperlink" Target="https://techelectro.ru/prod/hstubes/hstube/tut-hf/sku_84964/" TargetMode="External"/><Relationship Id="rId2460" Type="http://schemas.openxmlformats.org/officeDocument/2006/relationships/hyperlink" Target="https://techelectro.ru/prod/hstubes/gluetube/ttk135/sku_104407/" TargetMode="External"/><Relationship Id="rId3304" Type="http://schemas.openxmlformats.org/officeDocument/2006/relationships/hyperlink" Target="https://techelectro.ru/prod/wiring-tools/bustools/mpsho-95_oval/sku_85326/" TargetMode="External"/><Relationship Id="rId3511" Type="http://schemas.openxmlformats.org/officeDocument/2006/relationships/hyperlink" Target="https://techelectro.ru/prod/wiring-tools/steeltiestools/intu20/intu-20/" TargetMode="External"/><Relationship Id="rId225" Type="http://schemas.openxmlformats.org/officeDocument/2006/relationships/hyperlink" Target="https://techelectro.ru/prod/cable-lugs/cu/nsp/nshp_15-12/" TargetMode="External"/><Relationship Id="rId432" Type="http://schemas.openxmlformats.org/officeDocument/2006/relationships/hyperlink" Target="https://techelectro.ru/prod/cable-lugs/al/gam/gam_95-70/" TargetMode="External"/><Relationship Id="rId1062" Type="http://schemas.openxmlformats.org/officeDocument/2006/relationships/hyperlink" Target="https://techelectro.ru/prod/e-connectors/nshv/nshv_16_12/" TargetMode="External"/><Relationship Id="rId2113" Type="http://schemas.openxmlformats.org/officeDocument/2006/relationships/hyperlink" Target="https://techelectro.ru/prod/hstubes/hstube/tnt_hf/sku_84325/" TargetMode="External"/><Relationship Id="rId2320" Type="http://schemas.openxmlformats.org/officeDocument/2006/relationships/hyperlink" Target="https://techelectro.ru/prod/hstubes/hstube/t-box/tbox8/" TargetMode="External"/><Relationship Id="rId5269" Type="http://schemas.openxmlformats.org/officeDocument/2006/relationships/hyperlink" Target="https://techelectro.ru/prod/cable_entry/cable_entry_metal/kvm-m8_inox/sku_88848/" TargetMode="External"/><Relationship Id="rId5476" Type="http://schemas.openxmlformats.org/officeDocument/2006/relationships/hyperlink" Target="https://techelectro.ru/prod/metal-hose-fittings/hose/mrping_p/sku_87679/" TargetMode="External"/><Relationship Id="rId5683" Type="http://schemas.openxmlformats.org/officeDocument/2006/relationships/hyperlink" Target="https://techelectro.ru/prod/metal-hose-fittings/fittings/stm_inox/sku_106746/" TargetMode="External"/><Relationship Id="rId4078" Type="http://schemas.openxmlformats.org/officeDocument/2006/relationships/hyperlink" Target="https://techelectro.ru/prod/fixing_tools/tpk/sku_87969/" TargetMode="External"/><Relationship Id="rId4285" Type="http://schemas.openxmlformats.org/officeDocument/2006/relationships/hyperlink" Target="https://techelectro.ru/prod/abcarm/abctools/mz16/mz-16/" TargetMode="External"/><Relationship Id="rId4492" Type="http://schemas.openxmlformats.org/officeDocument/2006/relationships/hyperlink" Target="https://techelectro.ru/prod/ties/nylonties/kss-uv/kss5x350b/" TargetMode="External"/><Relationship Id="rId5129" Type="http://schemas.openxmlformats.org/officeDocument/2006/relationships/hyperlink" Target="https://techelectro.ru/prod/cable_entry/cable_entry_metal/mgm-inox/sku_85434/" TargetMode="External"/><Relationship Id="rId5336" Type="http://schemas.openxmlformats.org/officeDocument/2006/relationships/hyperlink" Target="https://techelectro.ru/prod/cable_entry/cable_entry_plastic/mg/sku_89118/" TargetMode="External"/><Relationship Id="rId5543" Type="http://schemas.openxmlformats.org/officeDocument/2006/relationships/hyperlink" Target="https://techelectro.ru/prod/metal-hose-fittings/hose/mg-p/sku_88401/" TargetMode="External"/><Relationship Id="rId5890" Type="http://schemas.openxmlformats.org/officeDocument/2006/relationships/hyperlink" Target="https://techelectro.ru/prod/staples/lmp/lmp12/" TargetMode="External"/><Relationship Id="rId1879" Type="http://schemas.openxmlformats.org/officeDocument/2006/relationships/hyperlink" Target="https://techelectro.ru/prod/cable_kits_acs/tping/4tping185-400/" TargetMode="External"/><Relationship Id="rId3094" Type="http://schemas.openxmlformats.org/officeDocument/2006/relationships/hyperlink" Target="https://techelectro.ru/prod/wiring-tools/cutters/sectioncutters/ns53/ns-53/" TargetMode="External"/><Relationship Id="rId4145" Type="http://schemas.openxmlformats.org/officeDocument/2006/relationships/hyperlink" Target="https://techelectro.ru/prod/protection-safety/safety/ppl/sku_63234/" TargetMode="External"/><Relationship Id="rId5750" Type="http://schemas.openxmlformats.org/officeDocument/2006/relationships/hyperlink" Target="https://techelectro.ru/prod/metal-hose-fittings/fittings/mvpng/mvpng38/" TargetMode="External"/><Relationship Id="rId1739" Type="http://schemas.openxmlformats.org/officeDocument/2006/relationships/hyperlink" Target="https://techelectro.ru/prod/cable-kits/muffs10kv/3rkvtp-10/sku_88112/" TargetMode="External"/><Relationship Id="rId1946" Type="http://schemas.openxmlformats.org/officeDocument/2006/relationships/hyperlink" Target="https://techelectro.ru/prod/cable_kits_acs/pml/pml-25-500_nk/" TargetMode="External"/><Relationship Id="rId4005" Type="http://schemas.openxmlformats.org/officeDocument/2006/relationships/hyperlink" Target="https://techelectro.ru/prod/construction_hydraulics/hydraulic_pullers/sgn10/sku_84630/" TargetMode="External"/><Relationship Id="rId4352" Type="http://schemas.openxmlformats.org/officeDocument/2006/relationships/hyperlink" Target="https://techelectro.ru/prod/digital_meters/testers_detectors/kt_100p/sku_86322/" TargetMode="External"/><Relationship Id="rId5403" Type="http://schemas.openxmlformats.org/officeDocument/2006/relationships/hyperlink" Target="https://techelectro.ru/prod/metal-hose-fittings/hose/mrping_nord/mrping8_nord/" TargetMode="External"/><Relationship Id="rId5610" Type="http://schemas.openxmlformats.org/officeDocument/2006/relationships/hyperlink" Target="https://techelectro.ru/prod/metal-hose-fittings/hose/r3ch/r3-ch-75/" TargetMode="External"/><Relationship Id="rId1806" Type="http://schemas.openxmlformats.org/officeDocument/2006/relationships/hyperlink" Target="https://techelectro.ru/prod/cable-kits/muffs10kv/3rst-10/sku_88137/" TargetMode="External"/><Relationship Id="rId3161" Type="http://schemas.openxmlformats.org/officeDocument/2006/relationships/hyperlink" Target="https://techelectro.ru/prod/wiring-tools/cutters_din/br-brg-cutters/brg_16/brg-16/" TargetMode="External"/><Relationship Id="rId4212" Type="http://schemas.openxmlformats.org/officeDocument/2006/relationships/hyperlink" Target="https://techelectro.ru/prod/abcarm/pierce/zpk/zpk_35/" TargetMode="External"/><Relationship Id="rId3021" Type="http://schemas.openxmlformats.org/officeDocument/2006/relationships/hyperlink" Target="https://techelectro.ru/prod/wiring-tools/crimpers_pgr/hv-crimpers/matrix_pg60t/sku_84649/" TargetMode="External"/><Relationship Id="rId3978" Type="http://schemas.openxmlformats.org/officeDocument/2006/relationships/hyperlink" Target="https://techelectro.ru/prod/construction_hydraulics/jack/jack_hd/da-pn30/sku_87378/" TargetMode="External"/><Relationship Id="rId899" Type="http://schemas.openxmlformats.org/officeDocument/2006/relationships/hyperlink" Target="https://techelectro.ru/prod/insulugs/autoterminals/rp-m_1_5_4_8/sku_85669/" TargetMode="External"/><Relationship Id="rId2787" Type="http://schemas.openxmlformats.org/officeDocument/2006/relationships/hyperlink" Target="https://techelectro.ru/prod/insulating/xv_mini/sku_90932/" TargetMode="External"/><Relationship Id="rId3838" Type="http://schemas.openxmlformats.org/officeDocument/2006/relationships/hyperlink" Target="https://techelectro.ru/prod/metalworking-tools/ft_pumpliers/npk02u/sku_101543/" TargetMode="External"/><Relationship Id="rId5193" Type="http://schemas.openxmlformats.org/officeDocument/2006/relationships/hyperlink" Target="https://techelectro.ru/prod/cable_entry/cable_entry_metal/mgm-dl/sku_89024/" TargetMode="External"/><Relationship Id="rId6037" Type="http://schemas.openxmlformats.org/officeDocument/2006/relationships/hyperlink" Target="https://techelectro.ru/prod/ground_wire/pzu/pzu-25-500/" TargetMode="External"/><Relationship Id="rId759" Type="http://schemas.openxmlformats.org/officeDocument/2006/relationships/hyperlink" Target="https://techelectro.ru/prod/insulugs/iquick/gsi/gsi_6_0/" TargetMode="External"/><Relationship Id="rId966" Type="http://schemas.openxmlformats.org/officeDocument/2006/relationships/hyperlink" Target="https://techelectro.ru/prod/e-connectors/nshvi/sku_108904/" TargetMode="External"/><Relationship Id="rId1389" Type="http://schemas.openxmlformats.org/officeDocument/2006/relationships/hyperlink" Target="https://techelectro.ru/prod/cable-kits/kits-ngls-10kv/3pkvntp-10_ng-ls/3pkvtp-10-70_120_ng-ls/" TargetMode="External"/><Relationship Id="rId1596" Type="http://schemas.openxmlformats.org/officeDocument/2006/relationships/hyperlink" Target="https://techelectro.ru/prod/cable-kits/muffs1kv/3pst-1/3pstb1-16-25_b/" TargetMode="External"/><Relationship Id="rId2647" Type="http://schemas.openxmlformats.org/officeDocument/2006/relationships/hyperlink" Target="https://techelectro.ru/prod/hstubes/specialtube/tt175/tt175-2_4-1_2/" TargetMode="External"/><Relationship Id="rId2994" Type="http://schemas.openxmlformats.org/officeDocument/2006/relationships/hyperlink" Target="https://techelectro.ru/prod/wiring-tools/crimpers_pgr/hv-crimpers/matrix_pg60t/c-33/" TargetMode="External"/><Relationship Id="rId5053" Type="http://schemas.openxmlformats.org/officeDocument/2006/relationships/hyperlink" Target="https://techelectro.ru/prod/strength-ties/screw-ties/sr/sr_131-139_w1/" TargetMode="External"/><Relationship Id="rId5260" Type="http://schemas.openxmlformats.org/officeDocument/2006/relationships/hyperlink" Target="https://techelectro.ru/prod/cable_entry/cable_entry_metal/vk-m-mr/sku_87953/" TargetMode="External"/><Relationship Id="rId619" Type="http://schemas.openxmlformats.org/officeDocument/2006/relationships/hyperlink" Target="https://techelectro.ru/prod/insulugs/ilugs/nshki/sku_108575/" TargetMode="External"/><Relationship Id="rId1249" Type="http://schemas.openxmlformats.org/officeDocument/2006/relationships/hyperlink" Target="https://techelectro.ru/prod/cable-kits/kits-ngls-1kv/4_5pktp-1_ngls/4pktpng-ls1-16-25_b/" TargetMode="External"/><Relationship Id="rId2854" Type="http://schemas.openxmlformats.org/officeDocument/2006/relationships/hyperlink" Target="https://techelectro.ru/prod/wiring-tools/crimpers/insulugs-crimp/ctc8set/sku_89225/" TargetMode="External"/><Relationship Id="rId3905" Type="http://schemas.openxmlformats.org/officeDocument/2006/relationships/hyperlink" Target="https://techelectro.ru/prod/metalworking-tools/ft_ringassemblies/nks2/nks-02/" TargetMode="External"/><Relationship Id="rId5120" Type="http://schemas.openxmlformats.org/officeDocument/2006/relationships/hyperlink" Target="https://techelectro.ru/prod/strength-ties/pipe-ties/thu/thu5/" TargetMode="External"/><Relationship Id="rId95" Type="http://schemas.openxmlformats.org/officeDocument/2006/relationships/hyperlink" Target="https://techelectro.ru/prod/cable-lugs/cu/tm/sku_86995/" TargetMode="External"/><Relationship Id="rId826" Type="http://schemas.openxmlformats.org/officeDocument/2006/relationships/hyperlink" Target="https://techelectro.ru/prod/insulugs/siz_kiz/sizset/set-siz/" TargetMode="External"/><Relationship Id="rId1109" Type="http://schemas.openxmlformats.org/officeDocument/2006/relationships/hyperlink" Target="https://techelectro.ru/prod/clamps_wago-smk/smk_221-412/sku_87644/" TargetMode="External"/><Relationship Id="rId1456" Type="http://schemas.openxmlformats.org/officeDocument/2006/relationships/hyperlink" Target="https://techelectro.ru/prod/cable-kits/muffs1kv/3-kvntp-1/3kvntp1-70-120/" TargetMode="External"/><Relationship Id="rId1663" Type="http://schemas.openxmlformats.org/officeDocument/2006/relationships/hyperlink" Target="https://techelectro.ru/prod/cable-kits/muffs1kv/ngk/sku_86669/" TargetMode="External"/><Relationship Id="rId1870" Type="http://schemas.openxmlformats.org/officeDocument/2006/relationships/hyperlink" Target="https://techelectro.ru/prod/cable_kits_acs/tping_mini/sku_81505/" TargetMode="External"/><Relationship Id="rId2507" Type="http://schemas.openxmlformats.org/officeDocument/2006/relationships/hyperlink" Target="https://techelectro.ru/prod/hstubes/gluetube/sttk31/sku_81091/" TargetMode="External"/><Relationship Id="rId2714" Type="http://schemas.openxmlformats.org/officeDocument/2006/relationships/hyperlink" Target="https://techelectro.ru/prod/insulating/bsp/bsp6/" TargetMode="External"/><Relationship Id="rId2921" Type="http://schemas.openxmlformats.org/officeDocument/2006/relationships/hyperlink" Target="https://techelectro.ru/prod/wiring-tools/crimpers/conn-crimp/pkp-10k/sku_85397/" TargetMode="External"/><Relationship Id="rId1316" Type="http://schemas.openxmlformats.org/officeDocument/2006/relationships/hyperlink" Target="https://techelectro.ru/prod/cable-kits/kits-ngls-1kv/4_5pst_ngls-1/4pst1-70-120ngls/" TargetMode="External"/><Relationship Id="rId1523" Type="http://schemas.openxmlformats.org/officeDocument/2006/relationships/hyperlink" Target="https://techelectro.ru/prod/cable-kits/muffs1kv/5-pktp-1/5pktp_b-1-16_25/" TargetMode="External"/><Relationship Id="rId1730" Type="http://schemas.openxmlformats.org/officeDocument/2006/relationships/hyperlink" Target="https://techelectro.ru/prod/cable-kits/muffs10kv/3pkntp-10/3pkntp10-70-120_b/" TargetMode="External"/><Relationship Id="rId4679" Type="http://schemas.openxmlformats.org/officeDocument/2006/relationships/hyperlink" Target="https://techelectro.ru/prod/ties/nylonties/ksr/ksr7x300/" TargetMode="External"/><Relationship Id="rId4886" Type="http://schemas.openxmlformats.org/officeDocument/2006/relationships/hyperlink" Target="https://techelectro.ru/prod/steel-ties/steel_ties-labels/sksp/sksp4x1002/" TargetMode="External"/><Relationship Id="rId5937" Type="http://schemas.openxmlformats.org/officeDocument/2006/relationships/hyperlink" Target="https://techelectro.ru/prod/staples/fastener_black/sku_91052/" TargetMode="External"/><Relationship Id="rId22" Type="http://schemas.openxmlformats.org/officeDocument/2006/relationships/hyperlink" Target="https://techelectro.ru/prod/cable-lugs/cu/tmls/tmls_70_10/" TargetMode="External"/><Relationship Id="rId3488" Type="http://schemas.openxmlformats.org/officeDocument/2006/relationships/hyperlink" Target="https://techelectro.ru/prod/wiring-tools/hstools/tt2000/sku_102932/" TargetMode="External"/><Relationship Id="rId3695" Type="http://schemas.openxmlformats.org/officeDocument/2006/relationships/hyperlink" Target="https://techelectro.ru/prod/electric-tools/hammer-drills/hb20-30_ncs/sku_106056/" TargetMode="External"/><Relationship Id="rId4539" Type="http://schemas.openxmlformats.org/officeDocument/2006/relationships/hyperlink" Target="https://techelectro.ru/prod/ties/nylonties/nss-black/sku_87781/" TargetMode="External"/><Relationship Id="rId4746" Type="http://schemas.openxmlformats.org/officeDocument/2006/relationships/hyperlink" Target="https://techelectro.ru/prod/ties/markers/u-135mg/u135mg/" TargetMode="External"/><Relationship Id="rId4953" Type="http://schemas.openxmlformats.org/officeDocument/2006/relationships/hyperlink" Target="https://techelectro.ru/prod/strength-ties/screw-ties/pl9-w1/w1-8-12/" TargetMode="External"/><Relationship Id="rId2297" Type="http://schemas.openxmlformats.org/officeDocument/2006/relationships/hyperlink" Target="https://techelectro.ru/prod/hstubes/hstube/tut-hf/tut_hf40-20_red/" TargetMode="External"/><Relationship Id="rId3348" Type="http://schemas.openxmlformats.org/officeDocument/2006/relationships/hyperlink" Target="https://techelectro.ru/prod/wiring-tools/hdrtools/jack_hd_acs/brs_3-8/brs-3-8/" TargetMode="External"/><Relationship Id="rId3555" Type="http://schemas.openxmlformats.org/officeDocument/2006/relationships/hyperlink" Target="https://techelectro.ru/prod/vdetools/pliers/sidecutters210std/sku_102701/" TargetMode="External"/><Relationship Id="rId3762" Type="http://schemas.openxmlformats.org/officeDocument/2006/relationships/hyperlink" Target="https://techelectro.ru/prod/electric-tools/accessories/direct-fastening/ggn-nails/sku_110471/" TargetMode="External"/><Relationship Id="rId4606" Type="http://schemas.openxmlformats.org/officeDocument/2006/relationships/hyperlink" Target="https://techelectro.ru/prod/ties/nylonties/kss100-nord_black/kss_nord_8-300_black/" TargetMode="External"/><Relationship Id="rId4813" Type="http://schemas.openxmlformats.org/officeDocument/2006/relationships/hyperlink" Target="https://techelectro.ru/prod/steel-ties/steel_ties-labels/sks/sks7h1000/" TargetMode="External"/><Relationship Id="rId269" Type="http://schemas.openxmlformats.org/officeDocument/2006/relationships/hyperlink" Target="https://techelectro.ru/prod/cable-lugs/cu/tmls45/tmls_45_10-6/" TargetMode="External"/><Relationship Id="rId476" Type="http://schemas.openxmlformats.org/officeDocument/2006/relationships/hyperlink" Target="https://techelectro.ru/prod/cable-lugs/clamps/u739m/u-739m/" TargetMode="External"/><Relationship Id="rId683" Type="http://schemas.openxmlformats.org/officeDocument/2006/relationships/hyperlink" Target="https://techelectro.ru/prod/insulugs/iplug/rppim/sku_108593/" TargetMode="External"/><Relationship Id="rId890" Type="http://schemas.openxmlformats.org/officeDocument/2006/relationships/hyperlink" Target="https://techelectro.ru/prod/insulugs/lighting_clamps/ke10-506/sku_109237/" TargetMode="External"/><Relationship Id="rId2157" Type="http://schemas.openxmlformats.org/officeDocument/2006/relationships/hyperlink" Target="https://techelectro.ru/prod/hstubes/hstube/tnt_hf/sku_82993/" TargetMode="External"/><Relationship Id="rId2364" Type="http://schemas.openxmlformats.org/officeDocument/2006/relationships/hyperlink" Target="https://techelectro.ru/prod/hstubes/gluetube/ttk31/ttk31-30b/" TargetMode="External"/><Relationship Id="rId2571" Type="http://schemas.openxmlformats.org/officeDocument/2006/relationships/hyperlink" Target="https://techelectro.ru/prod/hstubes/hstubeset/5_colors/sku_85296/" TargetMode="External"/><Relationship Id="rId3208" Type="http://schemas.openxmlformats.org/officeDocument/2006/relationships/hyperlink" Target="https://techelectro.ru/prod/wiring-tools/strippers/xlpe-strip/ksp30/ksp-30/" TargetMode="External"/><Relationship Id="rId3415" Type="http://schemas.openxmlformats.org/officeDocument/2006/relationships/hyperlink" Target="https://techelectro.ru/prod/wiring-tools/unwinding/hvltools/chmp/sku_109904/" TargetMode="External"/><Relationship Id="rId129" Type="http://schemas.openxmlformats.org/officeDocument/2006/relationships/hyperlink" Target="https://techelectro.ru/prod/cable-lugs/cu/tmldin/tml_din_16_8/" TargetMode="External"/><Relationship Id="rId336" Type="http://schemas.openxmlformats.org/officeDocument/2006/relationships/hyperlink" Target="https://techelectro.ru/prod/cable-lugs/cu/gmlp/gmlp6/" TargetMode="External"/><Relationship Id="rId543" Type="http://schemas.openxmlformats.org/officeDocument/2006/relationships/hyperlink" Target="https://techelectro.ru/prod/insulugs/ilugs/nkin/nkin_16_6/" TargetMode="External"/><Relationship Id="rId1173" Type="http://schemas.openxmlformats.org/officeDocument/2006/relationships/hyperlink" Target="https://techelectro.ru/prod/bolt-lugs/wire10-240/nbe/2nbe_25-50/" TargetMode="External"/><Relationship Id="rId1380" Type="http://schemas.openxmlformats.org/officeDocument/2006/relationships/hyperlink" Target="https://techelectro.ru/prod/cable-kits/kits-ngls-10kv/1pkvt10ngls/sku_82907/" TargetMode="External"/><Relationship Id="rId2017" Type="http://schemas.openxmlformats.org/officeDocument/2006/relationships/hyperlink" Target="https://techelectro.ru/prod/ukpt_ogt/ukptr/ukptr164/" TargetMode="External"/><Relationship Id="rId2224" Type="http://schemas.openxmlformats.org/officeDocument/2006/relationships/hyperlink" Target="https://techelectro.ru/prod/hstubes/hstube/ygtutng/tutng16-8/" TargetMode="External"/><Relationship Id="rId3622" Type="http://schemas.openxmlformats.org/officeDocument/2006/relationships/hyperlink" Target="https://techelectro.ru/prod/vdetools/vde-screwdrivers/nio1118/sku_105634/" TargetMode="External"/><Relationship Id="rId5587" Type="http://schemas.openxmlformats.org/officeDocument/2006/relationships/hyperlink" Target="https://techelectro.ru/prod/metal-hose-fittings/hose/mrn-inox/mrn-inox-32/" TargetMode="External"/><Relationship Id="rId403" Type="http://schemas.openxmlformats.org/officeDocument/2006/relationships/hyperlink" Target="https://techelectro.ru/prod/cable-lugs/al/ga/ga_300/" TargetMode="External"/><Relationship Id="rId750" Type="http://schemas.openxmlformats.org/officeDocument/2006/relationships/hyperlink" Target="https://techelectro.ru/prod/insulugs/iplug/iplugsets-rppim/sku_91028/" TargetMode="External"/><Relationship Id="rId1033" Type="http://schemas.openxmlformats.org/officeDocument/2006/relationships/hyperlink" Target="https://techelectro.ru/prod/e-connectors/nshvi2/sku_108932/" TargetMode="External"/><Relationship Id="rId2431" Type="http://schemas.openxmlformats.org/officeDocument/2006/relationships/hyperlink" Target="https://techelectro.ru/prod/hstubes/gluetube/ttk31_green/sku_102430/" TargetMode="External"/><Relationship Id="rId4189" Type="http://schemas.openxmlformats.org/officeDocument/2006/relationships/hyperlink" Target="https://techelectro.ru/prod/abcarm/pierce/zpo16-95_16-95/sku_108659/" TargetMode="External"/><Relationship Id="rId5794" Type="http://schemas.openxmlformats.org/officeDocument/2006/relationships/hyperlink" Target="https://techelectro.ru/prod/staples/smo/smo_10_11/" TargetMode="External"/><Relationship Id="rId610" Type="http://schemas.openxmlformats.org/officeDocument/2006/relationships/hyperlink" Target="https://techelectro.ru/prod/insulugs/ilugs/nshpi/nshpi_2_5-10/" TargetMode="External"/><Relationship Id="rId1240" Type="http://schemas.openxmlformats.org/officeDocument/2006/relationships/hyperlink" Target="https://techelectro.ru/prod/cable-kits/kits-ngls-1kv/3_kvntp-1_ngls/3kvntpngls1-70-120/" TargetMode="External"/><Relationship Id="rId4049" Type="http://schemas.openxmlformats.org/officeDocument/2006/relationships/hyperlink" Target="https://techelectro.ru/prod/maintenance_tools/rj-crimp/jt-03a/sku_89228/" TargetMode="External"/><Relationship Id="rId4396" Type="http://schemas.openxmlformats.org/officeDocument/2006/relationships/hyperlink" Target="https://techelectro.ru/prod/ties/nylonties/kss/kss3h200/" TargetMode="External"/><Relationship Id="rId5447" Type="http://schemas.openxmlformats.org/officeDocument/2006/relationships/hyperlink" Target="https://techelectro.ru/prod/metal-hose-fittings/hose/r3cpnglsp/sku_87691/" TargetMode="External"/><Relationship Id="rId5654" Type="http://schemas.openxmlformats.org/officeDocument/2006/relationships/hyperlink" Target="https://techelectro.ru/prod/metal-hose-fittings/fittings/rk-n/sku_87897/" TargetMode="External"/><Relationship Id="rId5861" Type="http://schemas.openxmlformats.org/officeDocument/2006/relationships/hyperlink" Target="https://techelectro.ru/prod/staples/smr15/smr_14-15/" TargetMode="External"/><Relationship Id="rId1100" Type="http://schemas.openxmlformats.org/officeDocument/2006/relationships/hyperlink" Target="https://techelectro.ru/prod/clamps_wago-smk/smk_2273-202/sku_109312/" TargetMode="External"/><Relationship Id="rId4256" Type="http://schemas.openxmlformats.org/officeDocument/2006/relationships/hyperlink" Target="https://techelectro.ru/prod/abcarm/sealinslugs/gif-mjpt120/sku_103154/" TargetMode="External"/><Relationship Id="rId4463" Type="http://schemas.openxmlformats.org/officeDocument/2006/relationships/hyperlink" Target="https://techelectro.ru/prod/ties/nylonties/nss/sku_87778/" TargetMode="External"/><Relationship Id="rId4670" Type="http://schemas.openxmlformats.org/officeDocument/2006/relationships/hyperlink" Target="https://techelectro.ru/prod/ties/nylonties/kso-black/kso_5h220black/" TargetMode="External"/><Relationship Id="rId5307" Type="http://schemas.openxmlformats.org/officeDocument/2006/relationships/hyperlink" Target="https://techelectro.ru/prod/cable_entry/cable_entry_plastic/pg_black/sku_88644/" TargetMode="External"/><Relationship Id="rId5514" Type="http://schemas.openxmlformats.org/officeDocument/2006/relationships/hyperlink" Target="https://techelectro.ru/prod/metal-hose-fittings/hose/mrping-diesel_p/sku_88457/" TargetMode="External"/><Relationship Id="rId5721" Type="http://schemas.openxmlformats.org/officeDocument/2006/relationships/hyperlink" Target="https://techelectro.ru/prod/metal-hose-fittings/fittings/stmr/stmr50/" TargetMode="External"/><Relationship Id="rId1917" Type="http://schemas.openxmlformats.org/officeDocument/2006/relationships/hyperlink" Target="https://techelectro.ru/prod/cable_kits_acs/trm/trm_164/" TargetMode="External"/><Relationship Id="rId3065" Type="http://schemas.openxmlformats.org/officeDocument/2006/relationships/hyperlink" Target="https://techelectro.ru/prod/wiring-tools/crimpers_pgr/hv-crimpers/matrix_pg100t/msh-22c-100t/" TargetMode="External"/><Relationship Id="rId3272" Type="http://schemas.openxmlformats.org/officeDocument/2006/relationships/hyperlink" Target="https://techelectro.ru/prod/wiring-tools/boxtools/mpo_square/sku_85312/" TargetMode="External"/><Relationship Id="rId4116" Type="http://schemas.openxmlformats.org/officeDocument/2006/relationships/hyperlink" Target="https://techelectro.ru/prod/protection-safety/bags_packs/sm13/sku_102648/" TargetMode="External"/><Relationship Id="rId4323" Type="http://schemas.openxmlformats.org/officeDocument/2006/relationships/hyperlink" Target="https://techelectro.ru/prod/digital_meters/multimeters/kt_126b/sku_86329/" TargetMode="External"/><Relationship Id="rId4530" Type="http://schemas.openxmlformats.org/officeDocument/2006/relationships/hyperlink" Target="https://techelectro.ru/prod/ties/nylonties/kss_multilock_uv/sku_102328/" TargetMode="External"/><Relationship Id="rId193" Type="http://schemas.openxmlformats.org/officeDocument/2006/relationships/hyperlink" Target="https://techelectro.ru/prod/cable-lugs/cu/tmlr/sku_87454/" TargetMode="External"/><Relationship Id="rId2081" Type="http://schemas.openxmlformats.org/officeDocument/2006/relationships/hyperlink" Target="https://techelectro.ru/prod/hstubes/hstube/tutng-color/sku_102211/" TargetMode="External"/><Relationship Id="rId3132" Type="http://schemas.openxmlformats.org/officeDocument/2006/relationships/hyperlink" Target="https://techelectro.ru/prod/wiring-tools/cutters_din/steelcutters/tr6/tr-6/" TargetMode="External"/><Relationship Id="rId260" Type="http://schemas.openxmlformats.org/officeDocument/2006/relationships/hyperlink" Target="https://techelectro.ru/prod/cable-lugs/cu/tmls90/tmls_90_70-10/" TargetMode="External"/><Relationship Id="rId5097" Type="http://schemas.openxmlformats.org/officeDocument/2006/relationships/hyperlink" Target="https://techelectro.ru/prod/strength-ties/pipe-ties/thk/thk1-1_4/" TargetMode="External"/><Relationship Id="rId120" Type="http://schemas.openxmlformats.org/officeDocument/2006/relationships/hyperlink" Target="https://techelectro.ru/prod/cable-lugs/cu/tm/tm_240_16_24/" TargetMode="External"/><Relationship Id="rId2898" Type="http://schemas.openxmlformats.org/officeDocument/2006/relationships/hyperlink" Target="https://techelectro.ru/prod/wiring-tools/crimpers/mechcrimp/pkg120/pkg-120/" TargetMode="External"/><Relationship Id="rId3949" Type="http://schemas.openxmlformats.org/officeDocument/2006/relationships/hyperlink" Target="https://techelectro.ru/prod/construction_hydraulics/jack/jack_hd/dgp/dg-30p150/" TargetMode="External"/><Relationship Id="rId5164" Type="http://schemas.openxmlformats.org/officeDocument/2006/relationships/hyperlink" Target="https://techelectro.ru/prod/cable_entry/cable_entry_metal/mgm/sku_87992/" TargetMode="External"/><Relationship Id="rId6008" Type="http://schemas.openxmlformats.org/officeDocument/2006/relationships/hyperlink" Target="https://techelectro.ru/prod/ground_wire/pzki/pzki-25-400/" TargetMode="External"/><Relationship Id="rId2758" Type="http://schemas.openxmlformats.org/officeDocument/2006/relationships/hyperlink" Target="https://techelectro.ru/prod/insulating/xp/sku_85369/" TargetMode="External"/><Relationship Id="rId2965" Type="http://schemas.openxmlformats.org/officeDocument/2006/relationships/hyperlink" Target="https://techelectro.ru/prod/wiring-tools/crimpers_pgr/hdcrimp/matricy_nm300sip/nm300sip/" TargetMode="External"/><Relationship Id="rId3809" Type="http://schemas.openxmlformats.org/officeDocument/2006/relationships/hyperlink" Target="https://techelectro.ru/prod/metalworking-tools/ft_screwdrivers/no05ft/no-05ft/" TargetMode="External"/><Relationship Id="rId5024" Type="http://schemas.openxmlformats.org/officeDocument/2006/relationships/hyperlink" Target="https://techelectro.ru/prod/strength-ties/screw-ties/pl12-w2/pl-12_110-130_w2/" TargetMode="External"/><Relationship Id="rId5371" Type="http://schemas.openxmlformats.org/officeDocument/2006/relationships/hyperlink" Target="https://techelectro.ru/prod/cable_entry/cable_entry_plastic/vk-vp-m/sku_88638/" TargetMode="External"/><Relationship Id="rId937" Type="http://schemas.openxmlformats.org/officeDocument/2006/relationships/hyperlink" Target="https://techelectro.ru/prod/e-connectors/nshvi/nshvi_2_5_8/" TargetMode="External"/><Relationship Id="rId1567" Type="http://schemas.openxmlformats.org/officeDocument/2006/relationships/hyperlink" Target="https://techelectro.ru/prod/cable-kits/muffs1kv/3stp1sold/sku_88789/" TargetMode="External"/><Relationship Id="rId1774" Type="http://schemas.openxmlformats.org/officeDocument/2006/relationships/hyperlink" Target="https://techelectro.ru/prod/cable-kits/muffs10kv/3pst6/3pst6-25-50/" TargetMode="External"/><Relationship Id="rId1981" Type="http://schemas.openxmlformats.org/officeDocument/2006/relationships/hyperlink" Target="https://techelectro.ru/prod/cable_kits_acs/kmpb/sku_92171/" TargetMode="External"/><Relationship Id="rId2618" Type="http://schemas.openxmlformats.org/officeDocument/2006/relationships/hyperlink" Target="https://techelectro.ru/prod/hstubes/specialtube/tt-auto/sku_88181/" TargetMode="External"/><Relationship Id="rId2825" Type="http://schemas.openxmlformats.org/officeDocument/2006/relationships/hyperlink" Target="https://techelectro.ru/prod/wiring-tools/crimpers/insulugs-crimp/sto/sku_90756/" TargetMode="External"/><Relationship Id="rId4180" Type="http://schemas.openxmlformats.org/officeDocument/2006/relationships/hyperlink" Target="https://techelectro.ru/prod/plumbing-tools/battery_pipe_tool/v15-28/sku_89623/" TargetMode="External"/><Relationship Id="rId5231" Type="http://schemas.openxmlformats.org/officeDocument/2006/relationships/hyperlink" Target="https://techelectro.ru/prod/cable_entry/cable_entry_metal/pgm-l/sku_88839/" TargetMode="External"/><Relationship Id="rId66" Type="http://schemas.openxmlformats.org/officeDocument/2006/relationships/hyperlink" Target="https://techelectro.ru/prod/cable-lugs/cu/tml/tml_70-12-13/" TargetMode="External"/><Relationship Id="rId1427" Type="http://schemas.openxmlformats.org/officeDocument/2006/relationships/hyperlink" Target="https://techelectro.ru/prod/cable-kits/kits-ngls-10kv/3pst10_ng-ls/sku_92353/" TargetMode="External"/><Relationship Id="rId1634" Type="http://schemas.openxmlformats.org/officeDocument/2006/relationships/hyperlink" Target="https://techelectro.ru/prod/cable-kits/muffs1kv/5pst-1/5pstb1-70-120_b/" TargetMode="External"/><Relationship Id="rId1841" Type="http://schemas.openxmlformats.org/officeDocument/2006/relationships/hyperlink" Target="https://techelectro.ru/prod/cable-kits/muffs-35kv/1pkt-35/1pkvt35-150-240b/" TargetMode="External"/><Relationship Id="rId4040" Type="http://schemas.openxmlformats.org/officeDocument/2006/relationships/hyperlink" Target="https://techelectro.ru/prod/maintenance_tools/rj-crimp/jt1/jt-01/" TargetMode="External"/><Relationship Id="rId4997" Type="http://schemas.openxmlformats.org/officeDocument/2006/relationships/hyperlink" Target="https://techelectro.ru/prod/strength-ties/screw-ties/pl9-w4/sku_103913/" TargetMode="External"/><Relationship Id="rId3599" Type="http://schemas.openxmlformats.org/officeDocument/2006/relationships/hyperlink" Target="https://techelectro.ru/prod/vdetools/vde-screwdrivers/vde-screwdrivers-slim/sku_103011/" TargetMode="External"/><Relationship Id="rId4857" Type="http://schemas.openxmlformats.org/officeDocument/2006/relationships/hyperlink" Target="https://techelectro.ru/prod/steel-ties/steel_ties-labels/sks316p-red/sksp_316_4_6x400-red/" TargetMode="External"/><Relationship Id="rId1701" Type="http://schemas.openxmlformats.org/officeDocument/2006/relationships/hyperlink" Target="https://techelectro.ru/prod/cable-kits/muffs10kv/1pkvt-10/1pkvt10-70-120_b/" TargetMode="External"/><Relationship Id="rId3459" Type="http://schemas.openxmlformats.org/officeDocument/2006/relationships/hyperlink" Target="https://techelectro.ru/prod/wiring-tools/unwinding/fishtape/fgp3_5/fgp3_5-50r/" TargetMode="External"/><Relationship Id="rId3666" Type="http://schemas.openxmlformats.org/officeDocument/2006/relationships/hyperlink" Target="https://techelectro.ru/prod/vdetools/vde-sets/vde-wrench-sets/nii04/sku_105668/" TargetMode="External"/><Relationship Id="rId5908" Type="http://schemas.openxmlformats.org/officeDocument/2006/relationships/hyperlink" Target="https://techelectro.ru/prod/staples/spp/spp_6/" TargetMode="External"/><Relationship Id="rId6072" Type="http://schemas.openxmlformats.org/officeDocument/2006/relationships/hyperlink" Target="https://techelectro.ru/prod/ground_wire/thz_inox/thz_inox_1_1_4/" TargetMode="External"/><Relationship Id="rId587" Type="http://schemas.openxmlformats.org/officeDocument/2006/relationships/hyperlink" Target="https://techelectro.ru/prod/insulugs/ilugs/nvi/sku_108543/" TargetMode="External"/><Relationship Id="rId2268" Type="http://schemas.openxmlformats.org/officeDocument/2006/relationships/hyperlink" Target="https://techelectro.ru/prod/hstubes/hstube/tut-hf/tut_hf30-15_yellow/" TargetMode="External"/><Relationship Id="rId3319" Type="http://schemas.openxmlformats.org/officeDocument/2006/relationships/hyperlink" Target="https://techelectro.ru/prod/wiring-tools/hdrtools/hdr_tools/pmr7004/pmr-7004/" TargetMode="External"/><Relationship Id="rId3873" Type="http://schemas.openxmlformats.org/officeDocument/2006/relationships/hyperlink" Target="https://techelectro.ru/prod/metalworking-tools/ft_wrench/ratchet-wrench-joint-piece/ratchet-wrench-joint-piece-17/" TargetMode="External"/><Relationship Id="rId4717" Type="http://schemas.openxmlformats.org/officeDocument/2006/relationships/hyperlink" Target="https://techelectro.ru/prod/ties/dowel_clamps/dhp_14-6_black/dhp_14-6_black/" TargetMode="External"/><Relationship Id="rId4924" Type="http://schemas.openxmlformats.org/officeDocument/2006/relationships/hyperlink" Target="https://techelectro.ru/prod/steel-ties/steel_ties-labels/mbs304_89-10/mbs304_89x10/" TargetMode="External"/><Relationship Id="rId447" Type="http://schemas.openxmlformats.org/officeDocument/2006/relationships/hyperlink" Target="https://techelectro.ru/prod/cable-lugs/al/gam/sku_90857/" TargetMode="External"/><Relationship Id="rId794" Type="http://schemas.openxmlformats.org/officeDocument/2006/relationships/hyperlink" Target="https://techelectro.ru/prod/insulugs/iquick/pk-t100/sku_83606/" TargetMode="External"/><Relationship Id="rId1077" Type="http://schemas.openxmlformats.org/officeDocument/2006/relationships/hyperlink" Target="https://techelectro.ru/prod/e-connectors/nshviset4/set4-nshvi/" TargetMode="External"/><Relationship Id="rId2128" Type="http://schemas.openxmlformats.org/officeDocument/2006/relationships/hyperlink" Target="https://techelectro.ru/prod/hstubes/hstube/tnt_hf/sku_82970/" TargetMode="External"/><Relationship Id="rId2475" Type="http://schemas.openxmlformats.org/officeDocument/2006/relationships/hyperlink" Target="https://techelectro.ru/prod/hstubes/gluetube/ttk41/sku_84881/" TargetMode="External"/><Relationship Id="rId2682" Type="http://schemas.openxmlformats.org/officeDocument/2006/relationships/hyperlink" Target="https://techelectro.ru/prod/insulating/pvc19master/sku_90824/" TargetMode="External"/><Relationship Id="rId3526" Type="http://schemas.openxmlformats.org/officeDocument/2006/relationships/hyperlink" Target="https://techelectro.ru/prod/wiring-tools/bags_sets/nie7/sku_87135/" TargetMode="External"/><Relationship Id="rId3733" Type="http://schemas.openxmlformats.org/officeDocument/2006/relationships/hyperlink" Target="https://techelectro.ru/prod/electric-tools/batteries-chargers/b20-li20a/sku_104542/" TargetMode="External"/><Relationship Id="rId3940" Type="http://schemas.openxmlformats.org/officeDocument/2006/relationships/hyperlink" Target="https://techelectro.ru/prod/construction_hydraulics/jack/jack_hd/dgp/sku_84544/" TargetMode="External"/><Relationship Id="rId654" Type="http://schemas.openxmlformats.org/officeDocument/2006/relationships/hyperlink" Target="https://techelectro.ru/prod/insulugs/iplug/rpip/rpip_1_5/" TargetMode="External"/><Relationship Id="rId861" Type="http://schemas.openxmlformats.org/officeDocument/2006/relationships/hyperlink" Target="https://techelectro.ru/prod/insulugs/screw_clamp/kzvi/sku_87181/" TargetMode="External"/><Relationship Id="rId1284" Type="http://schemas.openxmlformats.org/officeDocument/2006/relationships/hyperlink" Target="https://techelectro.ru/prod/cable-kits/kits-ngls-1kv/1pktb_ng_ls/1pktb1-10-25b_ngls/" TargetMode="External"/><Relationship Id="rId1491" Type="http://schemas.openxmlformats.org/officeDocument/2006/relationships/hyperlink" Target="https://techelectro.ru/prod/cable-kits/muffs1kv/3-pktp-1/3pktp_b-1-16_25_b/" TargetMode="External"/><Relationship Id="rId2335" Type="http://schemas.openxmlformats.org/officeDocument/2006/relationships/hyperlink" Target="https://techelectro.ru/prod/hstubes/hstube/t-box-color/tbox20b/" TargetMode="External"/><Relationship Id="rId2542" Type="http://schemas.openxmlformats.org/officeDocument/2006/relationships/hyperlink" Target="https://techelectro.ru/prod/hstubes/hstubeset/germokomplekt/germokomplekt-multy/" TargetMode="External"/><Relationship Id="rId3800" Type="http://schemas.openxmlformats.org/officeDocument/2006/relationships/hyperlink" Target="https://techelectro.ru/prod/metalworking-tools/ft_screwdrivers/screwdriversft/ft3_75/" TargetMode="External"/><Relationship Id="rId5698" Type="http://schemas.openxmlformats.org/officeDocument/2006/relationships/hyperlink" Target="https://techelectro.ru/prod/metal-hose-fittings/fittings/stm/stm15/" TargetMode="External"/><Relationship Id="rId307" Type="http://schemas.openxmlformats.org/officeDocument/2006/relationships/hyperlink" Target="https://techelectro.ru/prod/cable-lugs/cu/gml/gml_25/" TargetMode="External"/><Relationship Id="rId514" Type="http://schemas.openxmlformats.org/officeDocument/2006/relationships/hyperlink" Target="https://techelectro.ru/prod/insulugs/ilugs/nki_easyfix/sku_90892/" TargetMode="External"/><Relationship Id="rId721" Type="http://schemas.openxmlformats.org/officeDocument/2006/relationships/hyperlink" Target="https://techelectro.ru/prod/insulugs/iplug/rship/rship_25/" TargetMode="External"/><Relationship Id="rId1144" Type="http://schemas.openxmlformats.org/officeDocument/2006/relationships/hyperlink" Target="https://techelectro.ru/prod/clamps_wago-smk/smk-2273/sku_90369/" TargetMode="External"/><Relationship Id="rId1351" Type="http://schemas.openxmlformats.org/officeDocument/2006/relationships/hyperlink" Target="https://techelectro.ru/prod/cable-kits/kits-ngls-1kv/pst-mini-ng_ls/sku_88053/" TargetMode="External"/><Relationship Id="rId2402" Type="http://schemas.openxmlformats.org/officeDocument/2006/relationships/hyperlink" Target="https://techelectro.ru/prod/hstubes/gluetube/ttk31_clear/ttk31-6t/" TargetMode="External"/><Relationship Id="rId5558" Type="http://schemas.openxmlformats.org/officeDocument/2006/relationships/hyperlink" Target="https://techelectro.ru/prod/metal-hose-fittings/hose/mrping-inox/sku_87701/" TargetMode="External"/><Relationship Id="rId5765" Type="http://schemas.openxmlformats.org/officeDocument/2006/relationships/hyperlink" Target="https://techelectro.ru/prod/metal-hose-fittings/fittings/krvt/krvt25/" TargetMode="External"/><Relationship Id="rId5972" Type="http://schemas.openxmlformats.org/officeDocument/2006/relationships/hyperlink" Target="https://techelectro.ru/prod/ground_wire/pz/pz_10-500/" TargetMode="External"/><Relationship Id="rId1004" Type="http://schemas.openxmlformats.org/officeDocument/2006/relationships/hyperlink" Target="https://techelectro.ru/prod/e-connectors/nshvi_euro/sku_108996/" TargetMode="External"/><Relationship Id="rId1211" Type="http://schemas.openxmlformats.org/officeDocument/2006/relationships/hyperlink" Target="https://techelectro.ru/prod/bolt-lugs/wire10-240/sbtk/sbtk_120-300/" TargetMode="External"/><Relationship Id="rId4367" Type="http://schemas.openxmlformats.org/officeDocument/2006/relationships/hyperlink" Target="https://techelectro.ru/prod/digital_meters/lan-tester/kt_801/sku_86213/" TargetMode="External"/><Relationship Id="rId4574" Type="http://schemas.openxmlformats.org/officeDocument/2006/relationships/hyperlink" Target="https://techelectro.ru/prod/ties/nylonties/kss100-nord_white/kss_nord_5-300_white/" TargetMode="External"/><Relationship Id="rId4781" Type="http://schemas.openxmlformats.org/officeDocument/2006/relationships/hyperlink" Target="https://techelectro.ru/prod/steel-ties/steel_ties-labels/sks316/sks316-7x400/" TargetMode="External"/><Relationship Id="rId5418" Type="http://schemas.openxmlformats.org/officeDocument/2006/relationships/hyperlink" Target="https://techelectro.ru/prod/metal-hose-fittings/hose/mrping_nord-p/mrping_nord_10_p/" TargetMode="External"/><Relationship Id="rId5625" Type="http://schemas.openxmlformats.org/officeDocument/2006/relationships/hyperlink" Target="https://techelectro.ru/prod/metal-hose-fittings/fittings/vm/vm12/" TargetMode="External"/><Relationship Id="rId5832" Type="http://schemas.openxmlformats.org/officeDocument/2006/relationships/hyperlink" Target="https://techelectro.ru/prod/staples/smop/smo-p_60-63/" TargetMode="External"/><Relationship Id="rId3176" Type="http://schemas.openxmlformats.org/officeDocument/2006/relationships/hyperlink" Target="https://techelectro.ru/prod/wiring-tools/strippers/wire-strip/wss03/sku_102400/" TargetMode="External"/><Relationship Id="rId3383" Type="http://schemas.openxmlformats.org/officeDocument/2006/relationships/hyperlink" Target="https://techelectro.ru/prod/wiring-tools/unwinding/hvltools/chms/sku_109878/" TargetMode="External"/><Relationship Id="rId3590" Type="http://schemas.openxmlformats.org/officeDocument/2006/relationships/hyperlink" Target="https://techelectro.ru/prod/vdetools/vde-screwdrivers/vde-screwdrivers-slim/sku_103002/" TargetMode="External"/><Relationship Id="rId4227" Type="http://schemas.openxmlformats.org/officeDocument/2006/relationships/hyperlink" Target="https://techelectro.ru/prod/abcarm/anchor/kp/kp-1500/" TargetMode="External"/><Relationship Id="rId4434" Type="http://schemas.openxmlformats.org/officeDocument/2006/relationships/hyperlink" Target="https://techelectro.ru/prod/ties/nylonties/kss_multilock_white/sku_102303/" TargetMode="External"/><Relationship Id="rId2192" Type="http://schemas.openxmlformats.org/officeDocument/2006/relationships/hyperlink" Target="https://techelectro.ru/prod/hstubes/hstube/tnt_ng-ls_colors/sku_85005/" TargetMode="External"/><Relationship Id="rId3036" Type="http://schemas.openxmlformats.org/officeDocument/2006/relationships/hyperlink" Target="https://techelectro.ru/prod/wiring-tools/crimpers_pgr/hv-crimpers/matrix_pg100t/sku_66846/" TargetMode="External"/><Relationship Id="rId3243" Type="http://schemas.openxmlformats.org/officeDocument/2006/relationships/hyperlink" Target="https://techelectro.ru/prod/wiring-tools/boxtools/singlempo/sku_61816/" TargetMode="External"/><Relationship Id="rId4641" Type="http://schemas.openxmlformats.org/officeDocument/2006/relationships/hyperlink" Target="https://techelectro.ru/prod/ties/nylonties/ksz/ksz5x300/" TargetMode="External"/><Relationship Id="rId164" Type="http://schemas.openxmlformats.org/officeDocument/2006/relationships/hyperlink" Target="https://techelectro.ru/prod/cable-lugs/cu/tmlu/tmlu_95-8/" TargetMode="External"/><Relationship Id="rId371" Type="http://schemas.openxmlformats.org/officeDocument/2006/relationships/hyperlink" Target="https://techelectro.ru/prod/cable-lugs/cu/lugset-gmlo/set-gmlo0_34-1_5/" TargetMode="External"/><Relationship Id="rId2052" Type="http://schemas.openxmlformats.org/officeDocument/2006/relationships/hyperlink" Target="https://techelectro.ru/prod/hstubes/hstube/tutng-color/sku_102182/" TargetMode="External"/><Relationship Id="rId3450" Type="http://schemas.openxmlformats.org/officeDocument/2006/relationships/hyperlink" Target="https://techelectro.ru/prod/wiring-tools/unwinding/fishtape/pet3-6mk/pet6_20mk/" TargetMode="External"/><Relationship Id="rId4501" Type="http://schemas.openxmlformats.org/officeDocument/2006/relationships/hyperlink" Target="https://techelectro.ru/prod/ties/nylonties/kss-uv/kss8x450b/" TargetMode="External"/><Relationship Id="rId3103" Type="http://schemas.openxmlformats.org/officeDocument/2006/relationships/hyperlink" Target="https://techelectro.ru/prod/wiring-tools/cutters/sectioncutters/nsa50/sku_91860/" TargetMode="External"/><Relationship Id="rId3310" Type="http://schemas.openxmlformats.org/officeDocument/2006/relationships/hyperlink" Target="https://techelectro.ru/prod/wiring-tools/bustools/mpsho-110/sku_85332/" TargetMode="External"/><Relationship Id="rId5068" Type="http://schemas.openxmlformats.org/officeDocument/2006/relationships/hyperlink" Target="https://techelectro.ru/prod/strength-ties/screw-ties/sr2/sr44-47w2/" TargetMode="External"/><Relationship Id="rId231" Type="http://schemas.openxmlformats.org/officeDocument/2006/relationships/hyperlink" Target="https://techelectro.ru/prod/cable-lugs/cu/nsp/nshp_35_20/" TargetMode="External"/><Relationship Id="rId2869" Type="http://schemas.openxmlformats.org/officeDocument/2006/relationships/hyperlink" Target="https://techelectro.ru/prod/wiring-tools/crimpers/insulugs-crimp/ht330/sku_89230/" TargetMode="External"/><Relationship Id="rId5275" Type="http://schemas.openxmlformats.org/officeDocument/2006/relationships/hyperlink" Target="https://techelectro.ru/prod/cable_entry/cable_entry_metal/mpl-m_reduce/sku_89603/" TargetMode="External"/><Relationship Id="rId5482" Type="http://schemas.openxmlformats.org/officeDocument/2006/relationships/hyperlink" Target="https://techelectro.ru/prod/metal-hose-fittings/hose/mrping_grey/sku_88289/" TargetMode="External"/><Relationship Id="rId1678" Type="http://schemas.openxmlformats.org/officeDocument/2006/relationships/hyperlink" Target="https://techelectro.ru/prod/cable-kits/muffs1kv/5pto-1/5pto1-95/" TargetMode="External"/><Relationship Id="rId1885" Type="http://schemas.openxmlformats.org/officeDocument/2006/relationships/hyperlink" Target="https://techelectro.ru/prod/cable_kits_acs/tpi-mini/sku_84671/" TargetMode="External"/><Relationship Id="rId2729" Type="http://schemas.openxmlformats.org/officeDocument/2006/relationships/hyperlink" Target="https://techelectro.ru/prod/insulating/xh/sku_106116/" TargetMode="External"/><Relationship Id="rId2936" Type="http://schemas.openxmlformats.org/officeDocument/2006/relationships/hyperlink" Target="https://techelectro.ru/prod/wiring-tools/crimpers_pgr/hdcrimp/pgrs240bma/sku_101937/" TargetMode="External"/><Relationship Id="rId4084" Type="http://schemas.openxmlformats.org/officeDocument/2006/relationships/hyperlink" Target="https://techelectro.ru/prod/protection-safety/bags_packs/s6/sku_104520/" TargetMode="External"/><Relationship Id="rId4291" Type="http://schemas.openxmlformats.org/officeDocument/2006/relationships/hyperlink" Target="https://techelectro.ru/prod/abcarm/abctools/mkz/mkz-2/" TargetMode="External"/><Relationship Id="rId5135" Type="http://schemas.openxmlformats.org/officeDocument/2006/relationships/hyperlink" Target="https://techelectro.ru/prod/cable_entry/cable_entry_metal/mgm-inox/sku_85438/" TargetMode="External"/><Relationship Id="rId5342" Type="http://schemas.openxmlformats.org/officeDocument/2006/relationships/hyperlink" Target="https://techelectro.ru/prod/cable_entry/cable_entry_plastic/m/m12/" TargetMode="External"/><Relationship Id="rId908" Type="http://schemas.openxmlformats.org/officeDocument/2006/relationships/hyperlink" Target="https://techelectro.ru/prod/insulugs/autoterminals/nk_2_5-6/sku_109243/" TargetMode="External"/><Relationship Id="rId1538" Type="http://schemas.openxmlformats.org/officeDocument/2006/relationships/hyperlink" Target="https://techelectro.ru/prod/cable-kits/muffs1kv/4rktp1/4rktp1-35-50b/" TargetMode="External"/><Relationship Id="rId4151" Type="http://schemas.openxmlformats.org/officeDocument/2006/relationships/hyperlink" Target="https://techelectro.ru/prod/protection-safety/safety/ksl10/ksl-10/" TargetMode="External"/><Relationship Id="rId5202" Type="http://schemas.openxmlformats.org/officeDocument/2006/relationships/hyperlink" Target="https://techelectro.ru/prod/cable_entry/cable_entry_metal/pgm-inox/sku_83624/" TargetMode="External"/><Relationship Id="rId1745" Type="http://schemas.openxmlformats.org/officeDocument/2006/relationships/hyperlink" Target="https://techelectro.ru/prod/cable-kits/muffs10kv/3rkntp-10/sku_88118/" TargetMode="External"/><Relationship Id="rId1952" Type="http://schemas.openxmlformats.org/officeDocument/2006/relationships/hyperlink" Target="https://techelectro.ru/prod/cable_kits_acs/pml/sku_81513/" TargetMode="External"/><Relationship Id="rId4011" Type="http://schemas.openxmlformats.org/officeDocument/2006/relationships/hyperlink" Target="https://techelectro.ru/prod/construction_hydraulics/bending_tools/tg2/sku_87564/" TargetMode="External"/><Relationship Id="rId37" Type="http://schemas.openxmlformats.org/officeDocument/2006/relationships/hyperlink" Target="https://techelectro.ru/prod/cable-lugs/cu/tml/tml_25-5-26/" TargetMode="External"/><Relationship Id="rId1605" Type="http://schemas.openxmlformats.org/officeDocument/2006/relationships/hyperlink" Target="https://techelectro.ru/prod/cable-kits/muffs1kv/4_5pst-1/4pst1-16-25_b/" TargetMode="External"/><Relationship Id="rId1812" Type="http://schemas.openxmlformats.org/officeDocument/2006/relationships/hyperlink" Target="https://techelectro.ru/prod/cable-kits/muffs10kv/3stp10sold/sku_88768/" TargetMode="External"/><Relationship Id="rId4968" Type="http://schemas.openxmlformats.org/officeDocument/2006/relationships/hyperlink" Target="https://techelectro.ru/prod/strength-ties/screw-ties/pl9-w1/w1-100-120/" TargetMode="External"/><Relationship Id="rId3777" Type="http://schemas.openxmlformats.org/officeDocument/2006/relationships/hyperlink" Target="https://techelectro.ru/prod/metalworking-tools/ft_pliers/longnoseft200new/longnoseft-200/" TargetMode="External"/><Relationship Id="rId3984" Type="http://schemas.openxmlformats.org/officeDocument/2006/relationships/hyperlink" Target="https://techelectro.ru/prod/construction_hydraulics/hydraulic_pullers/sgn-u-100u/sku_88608/" TargetMode="External"/><Relationship Id="rId4828" Type="http://schemas.openxmlformats.org/officeDocument/2006/relationships/hyperlink" Target="https://techelectro.ru/prod/steel-ties/steel_ties-labels/sks304_50pcs/sku_103084/" TargetMode="External"/><Relationship Id="rId698" Type="http://schemas.openxmlformats.org/officeDocument/2006/relationships/hyperlink" Target="https://techelectro.ru/prod/insulugs/iplug/vrpim/vrpim_15/" TargetMode="External"/><Relationship Id="rId2379" Type="http://schemas.openxmlformats.org/officeDocument/2006/relationships/hyperlink" Target="https://techelectro.ru/prod/hstubes/gluetube/ttk31_inrolls/sku_89_696/" TargetMode="External"/><Relationship Id="rId2586" Type="http://schemas.openxmlformats.org/officeDocument/2006/relationships/hyperlink" Target="https://techelectro.ru/prod/hstubes/hstubeset/set_glue23/sku_86822/" TargetMode="External"/><Relationship Id="rId2793" Type="http://schemas.openxmlformats.org/officeDocument/2006/relationships/hyperlink" Target="https://techelectro.ru/prod/insulating/xt/sku_85371/" TargetMode="External"/><Relationship Id="rId3637" Type="http://schemas.openxmlformats.org/officeDocument/2006/relationships/hyperlink" Target="https://techelectro.ru/prod/vdetools/vde-knives/nmi5/nmi-05/" TargetMode="External"/><Relationship Id="rId3844" Type="http://schemas.openxmlformats.org/officeDocument/2006/relationships/hyperlink" Target="https://techelectro.ru/prod/metalworking-tools/ft_pumpliers/pumpliersft_180-profi/sku_82148/" TargetMode="External"/><Relationship Id="rId6043" Type="http://schemas.openxmlformats.org/officeDocument/2006/relationships/hyperlink" Target="https://techelectro.ru/prod/ground_wire/kz-m/sku_88657/" TargetMode="External"/><Relationship Id="rId558" Type="http://schemas.openxmlformats.org/officeDocument/2006/relationships/hyperlink" Target="https://techelectro.ru/prod/insulugs/ilugs/vnki/vnki_2_5_4/" TargetMode="External"/><Relationship Id="rId765" Type="http://schemas.openxmlformats.org/officeDocument/2006/relationships/hyperlink" Target="https://techelectro.ru/prod/insulugs/iquick/gsi_easyfix/sku_90906/" TargetMode="External"/><Relationship Id="rId972" Type="http://schemas.openxmlformats.org/officeDocument/2006/relationships/hyperlink" Target="https://techelectro.ru/prod/e-connectors/nshvi/sku_108912/" TargetMode="External"/><Relationship Id="rId1188" Type="http://schemas.openxmlformats.org/officeDocument/2006/relationships/hyperlink" Target="https://techelectro.ru/prod/bolt-lugs/wire10-240/sbel/4sbe_70-120l/" TargetMode="External"/><Relationship Id="rId1395" Type="http://schemas.openxmlformats.org/officeDocument/2006/relationships/hyperlink" Target="https://techelectro.ru/prod/cable-kits/kits-ngls-10kv/3rkvtp_ngls/sku_88123/" TargetMode="External"/><Relationship Id="rId2239" Type="http://schemas.openxmlformats.org/officeDocument/2006/relationships/hyperlink" Target="https://techelectro.ru/prod/hstubes/hstube/tut_hf/sku_83021/" TargetMode="External"/><Relationship Id="rId2446" Type="http://schemas.openxmlformats.org/officeDocument/2006/relationships/hyperlink" Target="https://techelectro.ru/prod/hstubes/gluetube/ttk31_yellow/sku_102417/" TargetMode="External"/><Relationship Id="rId2653" Type="http://schemas.openxmlformats.org/officeDocument/2006/relationships/hyperlink" Target="https://techelectro.ru/prod/hstubes/specialtube/tt175/sku_84885/" TargetMode="External"/><Relationship Id="rId2860" Type="http://schemas.openxmlformats.org/officeDocument/2006/relationships/hyperlink" Target="https://techelectro.ru/prod/wiring-tools/crimpers/insulugs-crimp/ctb-set9/sku_89183/" TargetMode="External"/><Relationship Id="rId3704" Type="http://schemas.openxmlformats.org/officeDocument/2006/relationships/hyperlink" Target="https://techelectro.ru/prod/electric-tools/cordless-impact-wrenches/sb20-230_ncs/sku_104535/" TargetMode="External"/><Relationship Id="rId418" Type="http://schemas.openxmlformats.org/officeDocument/2006/relationships/hyperlink" Target="https://techelectro.ru/prod/cable-lugs/al/gam/sku_90832/" TargetMode="External"/><Relationship Id="rId625" Type="http://schemas.openxmlformats.org/officeDocument/2006/relationships/hyperlink" Target="https://techelectro.ru/prod/insulugs/ilugs/nkit/nkit_6_0_6/" TargetMode="External"/><Relationship Id="rId832" Type="http://schemas.openxmlformats.org/officeDocument/2006/relationships/hyperlink" Target="https://techelectro.ru/prod/insulugs/screw_clamp/zvi-u/sku_87156/" TargetMode="External"/><Relationship Id="rId1048" Type="http://schemas.openxmlformats.org/officeDocument/2006/relationships/hyperlink" Target="https://techelectro.ru/prod/e-connectors/nshvi2_euro/sku_108980/" TargetMode="External"/><Relationship Id="rId1255" Type="http://schemas.openxmlformats.org/officeDocument/2006/relationships/hyperlink" Target="https://techelectro.ru/prod/cable-kits/kits-ngls-1kv/4_5pktp-1_ngls/4pktp_bng-ls1-70-120/" TargetMode="External"/><Relationship Id="rId1462" Type="http://schemas.openxmlformats.org/officeDocument/2006/relationships/hyperlink" Target="https://techelectro.ru/prod/cable-kits/muffs1kv/3kvntp1sold/sku_88783/" TargetMode="External"/><Relationship Id="rId2306" Type="http://schemas.openxmlformats.org/officeDocument/2006/relationships/hyperlink" Target="https://techelectro.ru/prod/hstubes/hstube/tut-hf/tut_hf12-6_blue/" TargetMode="External"/><Relationship Id="rId2513" Type="http://schemas.openxmlformats.org/officeDocument/2006/relationships/hyperlink" Target="https://techelectro.ru/prod/hstubes/gluetube/nttk31/sku_79833/" TargetMode="External"/><Relationship Id="rId3911" Type="http://schemas.openxmlformats.org/officeDocument/2006/relationships/hyperlink" Target="https://techelectro.ru/prod/metalworking-tools/ft_knives/nsm3/nsm-03/" TargetMode="External"/><Relationship Id="rId5669" Type="http://schemas.openxmlformats.org/officeDocument/2006/relationships/hyperlink" Target="https://techelectro.ru/prod/metal-hose-fittings/fittings/vmn/vmn20/" TargetMode="External"/><Relationship Id="rId5876" Type="http://schemas.openxmlformats.org/officeDocument/2006/relationships/hyperlink" Target="https://techelectro.ru/prod/staples/smr15/smr_50-15/" TargetMode="External"/><Relationship Id="rId1115" Type="http://schemas.openxmlformats.org/officeDocument/2006/relationships/hyperlink" Target="https://techelectro.ru/prod/clamps_wago-smk/smk_222-412/sku_87632/" TargetMode="External"/><Relationship Id="rId1322" Type="http://schemas.openxmlformats.org/officeDocument/2006/relationships/hyperlink" Target="https://techelectro.ru/prod/cable-kits/kits-ngls-1kv/4_5pst_ngls-1/4pstb1-16-25ngls/" TargetMode="External"/><Relationship Id="rId2720" Type="http://schemas.openxmlformats.org/officeDocument/2006/relationships/hyperlink" Target="https://techelectro.ru/prod/insulating/bsp/bsp30/" TargetMode="External"/><Relationship Id="rId4478" Type="http://schemas.openxmlformats.org/officeDocument/2006/relationships/hyperlink" Target="https://techelectro.ru/prod/ties/nylonties/kss-uv/kss3x120b/" TargetMode="External"/><Relationship Id="rId5529" Type="http://schemas.openxmlformats.org/officeDocument/2006/relationships/hyperlink" Target="https://techelectro.ru/prod/metal-hose-fittings/hose/mrping-p_termo/sku_88484/" TargetMode="External"/><Relationship Id="rId3287" Type="http://schemas.openxmlformats.org/officeDocument/2006/relationships/hyperlink" Target="https://techelectro.ru/prod/wiring-tools/bustools/shg150kneo/sku_84417/" TargetMode="External"/><Relationship Id="rId4338" Type="http://schemas.openxmlformats.org/officeDocument/2006/relationships/hyperlink" Target="https://techelectro.ru/prod/digital_meters/multimeters/kt266c/kt-266c/" TargetMode="External"/><Relationship Id="rId4685" Type="http://schemas.openxmlformats.org/officeDocument/2006/relationships/hyperlink" Target="https://techelectro.ru/prod/ties/nylonties/kssh/kssh120/" TargetMode="External"/><Relationship Id="rId4892" Type="http://schemas.openxmlformats.org/officeDocument/2006/relationships/hyperlink" Target="https://techelectro.ru/prod/steel-ties/steel_ties-labels/sksp304_50pcs/sku_103088/" TargetMode="External"/><Relationship Id="rId5736" Type="http://schemas.openxmlformats.org/officeDocument/2006/relationships/hyperlink" Target="https://techelectro.ru/prod/metal-hose-fittings/fittings/ozm/ozm_10/" TargetMode="External"/><Relationship Id="rId5943" Type="http://schemas.openxmlformats.org/officeDocument/2006/relationships/hyperlink" Target="https://techelectro.ru/prod/staples/kmp/sku_89372/" TargetMode="External"/><Relationship Id="rId2096" Type="http://schemas.openxmlformats.org/officeDocument/2006/relationships/hyperlink" Target="https://techelectro.ru/prod/hstubes/hstube/tut_ng-ls_3_1/tut_3_1_ng_ls_-_15_5/" TargetMode="External"/><Relationship Id="rId3494" Type="http://schemas.openxmlformats.org/officeDocument/2006/relationships/hyperlink" Target="https://techelectro.ru/prod/wiring-tools/hstools/x220/x-220/" TargetMode="External"/><Relationship Id="rId4545" Type="http://schemas.openxmlformats.org/officeDocument/2006/relationships/hyperlink" Target="https://techelectro.ru/prod/ties/nylonties/nss-black/sku_87782/" TargetMode="External"/><Relationship Id="rId4752" Type="http://schemas.openxmlformats.org/officeDocument/2006/relationships/hyperlink" Target="https://techelectro.ru/prod/ties/markers/universal350/sku_102088/" TargetMode="External"/><Relationship Id="rId5803" Type="http://schemas.openxmlformats.org/officeDocument/2006/relationships/hyperlink" Target="https://techelectro.ru/prod/staples/smo/smo_48_50/" TargetMode="External"/><Relationship Id="rId3147" Type="http://schemas.openxmlformats.org/officeDocument/2006/relationships/hyperlink" Target="https://techelectro.ru/prod/wiring-tools/cutters_din/br-brg-cutters/brky-210/brky_210/" TargetMode="External"/><Relationship Id="rId3354" Type="http://schemas.openxmlformats.org/officeDocument/2006/relationships/hyperlink" Target="https://techelectro.ru/prod/wiring-tools/unwinding/hvltools/dk5gmp/sku_109530/" TargetMode="External"/><Relationship Id="rId3561" Type="http://schemas.openxmlformats.org/officeDocument/2006/relationships/hyperlink" Target="https://techelectro.ru/prod/vdetools/pliers/longnoseexp160/longnoseexp-160/" TargetMode="External"/><Relationship Id="rId4405" Type="http://schemas.openxmlformats.org/officeDocument/2006/relationships/hyperlink" Target="https://techelectro.ru/prod/ties/nylonties/kss/kss5h200/" TargetMode="External"/><Relationship Id="rId4612" Type="http://schemas.openxmlformats.org/officeDocument/2006/relationships/hyperlink" Target="https://techelectro.ru/prod/ties/nylonties/kss100-nord_black/sku_89947/" TargetMode="External"/><Relationship Id="rId275" Type="http://schemas.openxmlformats.org/officeDocument/2006/relationships/hyperlink" Target="https://techelectro.ru/prod/cable-lugs/cu/tmls45/tmls_45_35-8/" TargetMode="External"/><Relationship Id="rId482" Type="http://schemas.openxmlformats.org/officeDocument/2006/relationships/hyperlink" Target="https://techelectro.ru/prod/cable-lugs/clamps/u872m/u-872m/" TargetMode="External"/><Relationship Id="rId2163" Type="http://schemas.openxmlformats.org/officeDocument/2006/relationships/hyperlink" Target="https://techelectro.ru/prod/hstubes/hstube/tnt_hf/sku_84998/" TargetMode="External"/><Relationship Id="rId2370" Type="http://schemas.openxmlformats.org/officeDocument/2006/relationships/hyperlink" Target="https://techelectro.ru/prod/hstubes/gluetube/ttk31/sku_91897/" TargetMode="External"/><Relationship Id="rId3007" Type="http://schemas.openxmlformats.org/officeDocument/2006/relationships/hyperlink" Target="https://techelectro.ru/prod/wiring-tools/crimpers_pgr/hv-crimpers/matrix_pg60t/msh-43-3/" TargetMode="External"/><Relationship Id="rId3214" Type="http://schemas.openxmlformats.org/officeDocument/2006/relationships/hyperlink" Target="https://techelectro.ru/prod/wiring-tools/strippers/knives/nm9/nm-09/" TargetMode="External"/><Relationship Id="rId3421" Type="http://schemas.openxmlformats.org/officeDocument/2006/relationships/hyperlink" Target="https://techelectro.ru/prod/wiring-tools/unwinding/hvltools/chmt/sku_109910/" TargetMode="External"/><Relationship Id="rId135" Type="http://schemas.openxmlformats.org/officeDocument/2006/relationships/hyperlink" Target="https://techelectro.ru/prod/cable-lugs/cu/tmldin/tml_din_35_10/" TargetMode="External"/><Relationship Id="rId342" Type="http://schemas.openxmlformats.org/officeDocument/2006/relationships/hyperlink" Target="https://techelectro.ru/prod/cable-lugs/cu/gmlo/gmlo_2_5/" TargetMode="External"/><Relationship Id="rId2023" Type="http://schemas.openxmlformats.org/officeDocument/2006/relationships/hyperlink" Target="https://techelectro.ru/prod/ukpt_ogt/ukpto/sku_87833/" TargetMode="External"/><Relationship Id="rId2230" Type="http://schemas.openxmlformats.org/officeDocument/2006/relationships/hyperlink" Target="https://techelectro.ru/prod/hstubes/hstube/ygtutng/tutng60-30/" TargetMode="External"/><Relationship Id="rId5179" Type="http://schemas.openxmlformats.org/officeDocument/2006/relationships/hyperlink" Target="https://techelectro.ru/prod/cable_entry/cable_entry_metal/mgm-r/sku_88628/" TargetMode="External"/><Relationship Id="rId5386" Type="http://schemas.openxmlformats.org/officeDocument/2006/relationships/hyperlink" Target="https://techelectro.ru/prod/waterproof_connections/mg_box_m-2_ip68/sku_101762/" TargetMode="External"/><Relationship Id="rId5593" Type="http://schemas.openxmlformats.org/officeDocument/2006/relationships/hyperlink" Target="https://techelectro.ru/prod/metal-hose-fittings/hose/mrn-inox_p/sku_82606/" TargetMode="External"/><Relationship Id="rId202" Type="http://schemas.openxmlformats.org/officeDocument/2006/relationships/hyperlink" Target="https://techelectro.ru/prod/cable-lugs/cu/pm/pm_2_5_5/" TargetMode="External"/><Relationship Id="rId4195" Type="http://schemas.openxmlformats.org/officeDocument/2006/relationships/hyperlink" Target="https://techelectro.ru/prod/abcarm/pierce/zpo4-35_4-35/sku_108660/" TargetMode="External"/><Relationship Id="rId5039" Type="http://schemas.openxmlformats.org/officeDocument/2006/relationships/hyperlink" Target="https://techelectro.ru/prod/strength-ties/screw-ties/sr/sr_48-51_w1/" TargetMode="External"/><Relationship Id="rId5246" Type="http://schemas.openxmlformats.org/officeDocument/2006/relationships/hyperlink" Target="https://techelectro.ru/prod/cable_entry/cable_entry_metal/vk-m-mr-inox/sku_89113/" TargetMode="External"/><Relationship Id="rId5453" Type="http://schemas.openxmlformats.org/officeDocument/2006/relationships/hyperlink" Target="https://techelectro.ru/prod/metal-hose-fittings/hose/r3cpnglsp/r3cpnglsp-38/" TargetMode="External"/><Relationship Id="rId1789" Type="http://schemas.openxmlformats.org/officeDocument/2006/relationships/hyperlink" Target="https://techelectro.ru/prod/cable-kits/muffs10kv/1pst10/1pst10-300-400_b/" TargetMode="External"/><Relationship Id="rId1996" Type="http://schemas.openxmlformats.org/officeDocument/2006/relationships/hyperlink" Target="https://techelectro.ru/prod/ukpt_ogt/ogt-40_15/ogt40/" TargetMode="External"/><Relationship Id="rId4055" Type="http://schemas.openxmlformats.org/officeDocument/2006/relationships/hyperlink" Target="https://techelectro.ru/prod/maintenance_tools/network_repair_tool/pd-01/sku_85736/" TargetMode="External"/><Relationship Id="rId4262" Type="http://schemas.openxmlformats.org/officeDocument/2006/relationships/hyperlink" Target="https://techelectro.ru/prod/abcarm/sealinslugs/gin-mjpt70n/sku_103157/" TargetMode="External"/><Relationship Id="rId5106" Type="http://schemas.openxmlformats.org/officeDocument/2006/relationships/hyperlink" Target="https://techelectro.ru/prod/strength-ties/pipe-ties/thk/thk8/" TargetMode="External"/><Relationship Id="rId5660" Type="http://schemas.openxmlformats.org/officeDocument/2006/relationships/hyperlink" Target="https://techelectro.ru/prod/metal-hose-fittings/fittings/vm90/vm90-32/" TargetMode="External"/><Relationship Id="rId1649" Type="http://schemas.openxmlformats.org/officeDocument/2006/relationships/hyperlink" Target="https://techelectro.ru/prod/cable-kits/muffs1kv/mks/sku_102649/" TargetMode="External"/><Relationship Id="rId1856" Type="http://schemas.openxmlformats.org/officeDocument/2006/relationships/hyperlink" Target="https://techelectro.ru/prod/cable-kits/muffs-35kv/3pst-35/sku_110684/" TargetMode="External"/><Relationship Id="rId2907" Type="http://schemas.openxmlformats.org/officeDocument/2006/relationships/hyperlink" Target="https://techelectro.ru/prod/wiring-tools/crimpers/conn-crimp/pkvk10u/pkvk-10u/" TargetMode="External"/><Relationship Id="rId3071" Type="http://schemas.openxmlformats.org/officeDocument/2006/relationships/hyperlink" Target="https://techelectro.ru/prod/wiring-tools/cutters/wirecutters/mc4/mc-04/" TargetMode="External"/><Relationship Id="rId5313" Type="http://schemas.openxmlformats.org/officeDocument/2006/relationships/hyperlink" Target="https://techelectro.ru/prod/cable_entry/cable_entry_plastic/pg_black/sku_88650/" TargetMode="External"/><Relationship Id="rId5520" Type="http://schemas.openxmlformats.org/officeDocument/2006/relationships/hyperlink" Target="https://techelectro.ru/prod/metal-hose-fittings/hose/mrping-p_termo/sku_88489/" TargetMode="External"/><Relationship Id="rId1509" Type="http://schemas.openxmlformats.org/officeDocument/2006/relationships/hyperlink" Target="https://techelectro.ru/prod/cable-kits/muffs1kv/4_5-pktp-1/sku_88740/" TargetMode="External"/><Relationship Id="rId1716" Type="http://schemas.openxmlformats.org/officeDocument/2006/relationships/hyperlink" Target="https://techelectro.ru/prod/cable-kits/muffs10kv/1pknt10/1pknt10-500-630_b/" TargetMode="External"/><Relationship Id="rId1923" Type="http://schemas.openxmlformats.org/officeDocument/2006/relationships/hyperlink" Target="https://techelectro.ru/prod/cable_kits_acs/trm/trm_75_15-600/" TargetMode="External"/><Relationship Id="rId4122" Type="http://schemas.openxmlformats.org/officeDocument/2006/relationships/hyperlink" Target="https://techelectro.ru/prod/protection-safety/bags_packs/sk9/sk-9/" TargetMode="External"/><Relationship Id="rId3888" Type="http://schemas.openxmlformats.org/officeDocument/2006/relationships/hyperlink" Target="https://techelectro.ru/prod/metalworking-tools/ft_hummers/mm300/mm-300/" TargetMode="External"/><Relationship Id="rId4939" Type="http://schemas.openxmlformats.org/officeDocument/2006/relationships/hyperlink" Target="https://techelectro.ru/prod/steel-ties/steel_tape-brace/lksp304/lks_p304-1204/" TargetMode="External"/><Relationship Id="rId2697" Type="http://schemas.openxmlformats.org/officeDocument/2006/relationships/hyperlink" Target="https://techelectro.ru/prod/insulating/pvc19-heavy/sku_90822/" TargetMode="External"/><Relationship Id="rId3748" Type="http://schemas.openxmlformats.org/officeDocument/2006/relationships/hyperlink" Target="https://techelectro.ru/prod/electric-tools/accessories/crowns/m16_drift_key/sku_84490/" TargetMode="External"/><Relationship Id="rId669" Type="http://schemas.openxmlformats.org/officeDocument/2006/relationships/hyperlink" Target="https://techelectro.ru/prod/insulugs/iplug/rpim/rpim_60_63/" TargetMode="External"/><Relationship Id="rId876" Type="http://schemas.openxmlformats.org/officeDocument/2006/relationships/hyperlink" Target="https://techelectro.ru/prod/insulugs/screw_clamp/shni-din/sku_87192/" TargetMode="External"/><Relationship Id="rId1299" Type="http://schemas.openxmlformats.org/officeDocument/2006/relationships/hyperlink" Target="https://techelectro.ru/prod/cable-kits/kits-ngls-1kv/3stp-ngls/3stpngls1-70-120_b/" TargetMode="External"/><Relationship Id="rId2557" Type="http://schemas.openxmlformats.org/officeDocument/2006/relationships/hyperlink" Target="https://techelectro.ru/prod/hstubes/hstubeset/monohrom/monohrom-10-5/" TargetMode="External"/><Relationship Id="rId3608" Type="http://schemas.openxmlformats.org/officeDocument/2006/relationships/hyperlink" Target="https://techelectro.ru/prod/vdetools/vde-screwdrivers/nio-2206/sku_88932/" TargetMode="External"/><Relationship Id="rId3955" Type="http://schemas.openxmlformats.org/officeDocument/2006/relationships/hyperlink" Target="https://techelectro.ru/prod/construction_hydraulics/jack/jack_hd/dgp/sku_84552/" TargetMode="External"/><Relationship Id="rId5170" Type="http://schemas.openxmlformats.org/officeDocument/2006/relationships/hyperlink" Target="https://techelectro.ru/prod/cable_entry/cable_entry_metal/mgm-l/sku_88614/" TargetMode="External"/><Relationship Id="rId6014" Type="http://schemas.openxmlformats.org/officeDocument/2006/relationships/hyperlink" Target="https://techelectro.ru/prod/ground_wire/pzu/pzu-6-350/" TargetMode="External"/><Relationship Id="rId529" Type="http://schemas.openxmlformats.org/officeDocument/2006/relationships/hyperlink" Target="https://techelectro.ru/prod/insulugs/ilugs/nki_easyfix/sku_108556/" TargetMode="External"/><Relationship Id="rId736" Type="http://schemas.openxmlformats.org/officeDocument/2006/relationships/hyperlink" Target="https://techelectro.ru/prod/insulugs/iplug/ov/sku_108487/" TargetMode="External"/><Relationship Id="rId1159" Type="http://schemas.openxmlformats.org/officeDocument/2006/relationships/hyperlink" Target="https://techelectro.ru/prod/bolt-lugs/wire10-240/sb/2sb_10-25/" TargetMode="External"/><Relationship Id="rId1366" Type="http://schemas.openxmlformats.org/officeDocument/2006/relationships/hyperlink" Target="https://techelectro.ru/prod/cable-kits/kits-ngls-1kv/pst-mini-ng_ls/3pstbm-1_ngls/" TargetMode="External"/><Relationship Id="rId2417" Type="http://schemas.openxmlformats.org/officeDocument/2006/relationships/hyperlink" Target="https://techelectro.ru/prod/hstubes/gluetube/ttk31_red/ttk31-30r/" TargetMode="External"/><Relationship Id="rId2764" Type="http://schemas.openxmlformats.org/officeDocument/2006/relationships/hyperlink" Target="https://techelectro.ru/prod/insulating/xp_bw/sku_102338/" TargetMode="External"/><Relationship Id="rId2971" Type="http://schemas.openxmlformats.org/officeDocument/2006/relationships/hyperlink" Target="https://techelectro.ru/prod/wiring-tools/crimpers_pgr/hv-crimpers/matrix_pg60t/a-36/" TargetMode="External"/><Relationship Id="rId3815" Type="http://schemas.openxmlformats.org/officeDocument/2006/relationships/hyperlink" Target="https://techelectro.ru/prod/metalworking-tools/ft_screwdrivers/no06sft/no06s/" TargetMode="External"/><Relationship Id="rId5030" Type="http://schemas.openxmlformats.org/officeDocument/2006/relationships/hyperlink" Target="https://techelectro.ru/prod/strength-ties/screw-ties/sr/sr_17-19_w1/" TargetMode="External"/><Relationship Id="rId943" Type="http://schemas.openxmlformats.org/officeDocument/2006/relationships/hyperlink" Target="https://techelectro.ru/prod/e-connectors/nshvi/nshvi_4_0_18/" TargetMode="External"/><Relationship Id="rId1019" Type="http://schemas.openxmlformats.org/officeDocument/2006/relationships/hyperlink" Target="https://techelectro.ru/prod/e-connectors/nshvi2/nshvi2_2_5-10/" TargetMode="External"/><Relationship Id="rId1573" Type="http://schemas.openxmlformats.org/officeDocument/2006/relationships/hyperlink" Target="https://techelectro.ru/prod/cable-kits/muffs1kv/2pst-1/2pst1-25-50/" TargetMode="External"/><Relationship Id="rId1780" Type="http://schemas.openxmlformats.org/officeDocument/2006/relationships/hyperlink" Target="https://techelectro.ru/prod/cable-kits/muffs10kv/1pst10/1pst10-35-50/" TargetMode="External"/><Relationship Id="rId2624" Type="http://schemas.openxmlformats.org/officeDocument/2006/relationships/hyperlink" Target="https://techelectro.ru/prod/hstubes/specialtube/tt-s_ng-ls/sku_83632/" TargetMode="External"/><Relationship Id="rId2831" Type="http://schemas.openxmlformats.org/officeDocument/2006/relationships/hyperlink" Target="https://techelectro.ru/prod/wiring-tools/crimpers/insulugs-crimp/sto/sku_90762/" TargetMode="External"/><Relationship Id="rId5987" Type="http://schemas.openxmlformats.org/officeDocument/2006/relationships/hyperlink" Target="https://techelectro.ru/prod/ground_wire/pz/pz_25-200/" TargetMode="External"/><Relationship Id="rId72" Type="http://schemas.openxmlformats.org/officeDocument/2006/relationships/hyperlink" Target="https://techelectro.ru/prod/cable-lugs/cu/tml/tml_120-12-17/" TargetMode="External"/><Relationship Id="rId803" Type="http://schemas.openxmlformats.org/officeDocument/2006/relationships/hyperlink" Target="https://techelectro.ru/prod/insulugs/iquick/iquicksets-pkt/sku_91015/" TargetMode="External"/><Relationship Id="rId1226" Type="http://schemas.openxmlformats.org/officeDocument/2006/relationships/hyperlink" Target="https://techelectro.ru/prod/bolt-lugs/wire300-800/sbe_gph_300-800/sku_105912/" TargetMode="External"/><Relationship Id="rId1433" Type="http://schemas.openxmlformats.org/officeDocument/2006/relationships/hyperlink" Target="https://techelectro.ru/prod/cable-kits/kits-ngls-10kv/3rst-10ng-_ls/sku_88143/" TargetMode="External"/><Relationship Id="rId1640" Type="http://schemas.openxmlformats.org/officeDocument/2006/relationships/hyperlink" Target="https://techelectro.ru/prod/cable-kits/muffs1kv/4rst1/4rst1-35-50b/" TargetMode="External"/><Relationship Id="rId4589" Type="http://schemas.openxmlformats.org/officeDocument/2006/relationships/hyperlink" Target="https://techelectro.ru/prod/ties/nylonties/kss100-nord_black/kss_nord_3-150_black/" TargetMode="External"/><Relationship Id="rId4796" Type="http://schemas.openxmlformats.org/officeDocument/2006/relationships/hyperlink" Target="https://techelectro.ru/prod/steel-ties/steel_ties-labels/sks/sks4h250/" TargetMode="External"/><Relationship Id="rId5847" Type="http://schemas.openxmlformats.org/officeDocument/2006/relationships/hyperlink" Target="https://techelectro.ru/prod/staples/smo_withouthole/sku_85584/" TargetMode="External"/><Relationship Id="rId1500" Type="http://schemas.openxmlformats.org/officeDocument/2006/relationships/hyperlink" Target="https://techelectro.ru/prod/cable-kits/muffs1kv/4_5-pktp-1/4pktp-1-16_25_b/" TargetMode="External"/><Relationship Id="rId3398" Type="http://schemas.openxmlformats.org/officeDocument/2006/relationships/hyperlink" Target="https://techelectro.ru/prod/wiring-tools/unwinding/hvltools/chm2s/sku_109864/" TargetMode="External"/><Relationship Id="rId4449" Type="http://schemas.openxmlformats.org/officeDocument/2006/relationships/hyperlink" Target="https://techelectro.ru/prod/ties/nylonties/nss/sku_84799/" TargetMode="External"/><Relationship Id="rId4656" Type="http://schemas.openxmlformats.org/officeDocument/2006/relationships/hyperlink" Target="https://techelectro.ru/prod/ties/nylonties/ksu/ksu9x350/" TargetMode="External"/><Relationship Id="rId4863" Type="http://schemas.openxmlformats.org/officeDocument/2006/relationships/hyperlink" Target="https://techelectro.ru/prod/steel-ties/steel_ties-labels/sksp/sksp4h200/" TargetMode="External"/><Relationship Id="rId5707" Type="http://schemas.openxmlformats.org/officeDocument/2006/relationships/hyperlink" Target="https://techelectro.ru/prod/metal-hose-fittings/fittings/smm/smm32/" TargetMode="External"/><Relationship Id="rId5914" Type="http://schemas.openxmlformats.org/officeDocument/2006/relationships/hyperlink" Target="https://techelectro.ru/prod/staples/spp/spp_14/" TargetMode="External"/><Relationship Id="rId3258" Type="http://schemas.openxmlformats.org/officeDocument/2006/relationships/hyperlink" Target="https://techelectro.ru/prod/wiring-tools/boxtools/singlempo/sku_85305/" TargetMode="External"/><Relationship Id="rId3465" Type="http://schemas.openxmlformats.org/officeDocument/2006/relationships/hyperlink" Target="https://techelectro.ru/prod/wiring-tools/unwinding/fishtape/fgp4_5mk/fgp4_5r-20mk/" TargetMode="External"/><Relationship Id="rId3672" Type="http://schemas.openxmlformats.org/officeDocument/2006/relationships/hyperlink" Target="https://techelectro.ru/prod/vdetools/vde-sets/vde-wrench-sets/nii20/nii-20/" TargetMode="External"/><Relationship Id="rId4309" Type="http://schemas.openxmlformats.org/officeDocument/2006/relationships/hyperlink" Target="https://techelectro.ru/prod/abcarm/abctools/lr20/lr-20/" TargetMode="External"/><Relationship Id="rId4516" Type="http://schemas.openxmlformats.org/officeDocument/2006/relationships/hyperlink" Target="https://techelectro.ru/prod/ties/nylonties/kss-uv/sku_89912/" TargetMode="External"/><Relationship Id="rId4723" Type="http://schemas.openxmlformats.org/officeDocument/2006/relationships/hyperlink" Target="https://techelectro.ru/prod/ties/montage-acs/pmo_22h16_black/pmo22x16b/" TargetMode="External"/><Relationship Id="rId179" Type="http://schemas.openxmlformats.org/officeDocument/2006/relationships/hyperlink" Target="https://techelectro.ru/prod/cable-lugs/cu/tmlr/sku_87472/" TargetMode="External"/><Relationship Id="rId386" Type="http://schemas.openxmlformats.org/officeDocument/2006/relationships/hyperlink" Target="https://techelectro.ru/prod/cable-lugs/al/ta/ta_95-12-13/" TargetMode="External"/><Relationship Id="rId593" Type="http://schemas.openxmlformats.org/officeDocument/2006/relationships/hyperlink" Target="https://techelectro.ru/prod/insulugs/ilugs/nvi_easyfix/sku_90904/" TargetMode="External"/><Relationship Id="rId2067" Type="http://schemas.openxmlformats.org/officeDocument/2006/relationships/hyperlink" Target="https://techelectro.ru/prod/hstubes/hstube/tutng-color/sku_102197/" TargetMode="External"/><Relationship Id="rId2274" Type="http://schemas.openxmlformats.org/officeDocument/2006/relationships/hyperlink" Target="https://techelectro.ru/prod/hstubes/hstube/tut-hf/tut_hf4-2_green/" TargetMode="External"/><Relationship Id="rId2481" Type="http://schemas.openxmlformats.org/officeDocument/2006/relationships/hyperlink" Target="https://techelectro.ru/prod/hstubes/gluetube/ttk41_inrolls/sku_106546/" TargetMode="External"/><Relationship Id="rId3118" Type="http://schemas.openxmlformats.org/officeDocument/2006/relationships/hyperlink" Target="https://techelectro.ru/prod/wiring-tools/cutters/hdcutters/ngra36/sku_105682/" TargetMode="External"/><Relationship Id="rId3325" Type="http://schemas.openxmlformats.org/officeDocument/2006/relationships/hyperlink" Target="https://techelectro.ru/prod/wiring-tools/hdrtools/hdr_tools/pmr7080/sku_88147/" TargetMode="External"/><Relationship Id="rId3532" Type="http://schemas.openxmlformats.org/officeDocument/2006/relationships/hyperlink" Target="https://techelectro.ru/prod/vdetools/pliers/longnose200ergoline/sku_105217/" TargetMode="External"/><Relationship Id="rId4930" Type="http://schemas.openxmlformats.org/officeDocument/2006/relationships/hyperlink" Target="https://techelectro.ru/prod/steel-ties/steel_tape-brace/lks304_2007/lks304-2007/" TargetMode="External"/><Relationship Id="rId246" Type="http://schemas.openxmlformats.org/officeDocument/2006/relationships/hyperlink" Target="https://techelectro.ru/prod/cable-lugs/cu/nshml/sku_87467/" TargetMode="External"/><Relationship Id="rId453" Type="http://schemas.openxmlformats.org/officeDocument/2006/relationships/hyperlink" Target="https://techelectro.ru/prod/cable-lugs/al/nsham/sku_89234/" TargetMode="External"/><Relationship Id="rId660" Type="http://schemas.openxmlformats.org/officeDocument/2006/relationships/hyperlink" Target="https://techelectro.ru/prod/insulugs/iplug/rpip/sku_108582/" TargetMode="External"/><Relationship Id="rId1083" Type="http://schemas.openxmlformats.org/officeDocument/2006/relationships/hyperlink" Target="https://techelectro.ru/prod/e-connectors/nshviset-m34500/set-nshvi-m-3450-0/" TargetMode="External"/><Relationship Id="rId1290" Type="http://schemas.openxmlformats.org/officeDocument/2006/relationships/hyperlink" Target="https://techelectro.ru/prod/cable-kits/kits-ngls-1kv/pktp_mini_ngls/4pktp_mini_-_2_5_10_ng-ls/" TargetMode="External"/><Relationship Id="rId2134" Type="http://schemas.openxmlformats.org/officeDocument/2006/relationships/hyperlink" Target="https://techelectro.ru/prod/hstubes/hstube/tnt_hf/sku_82961/" TargetMode="External"/><Relationship Id="rId2341" Type="http://schemas.openxmlformats.org/officeDocument/2006/relationships/hyperlink" Target="https://techelectro.ru/prod/hstubes/hstube/t-box-y_g/tbox6yg/" TargetMode="External"/><Relationship Id="rId5497" Type="http://schemas.openxmlformats.org/officeDocument/2006/relationships/hyperlink" Target="https://techelectro.ru/prod/metal-hose-fittings/hose/mrping_p_grey/sku_88310/" TargetMode="External"/><Relationship Id="rId106" Type="http://schemas.openxmlformats.org/officeDocument/2006/relationships/hyperlink" Target="https://techelectro.ru/prod/cable-lugs/cu/tm/tm_35_10_9/" TargetMode="External"/><Relationship Id="rId313" Type="http://schemas.openxmlformats.org/officeDocument/2006/relationships/hyperlink" Target="https://techelectro.ru/prod/cable-lugs/cu/gml/gml_120/" TargetMode="External"/><Relationship Id="rId1150" Type="http://schemas.openxmlformats.org/officeDocument/2006/relationships/hyperlink" Target="https://techelectro.ru/prod/clamps_wago-smk/smk222m/sku_90358/" TargetMode="External"/><Relationship Id="rId4099" Type="http://schemas.openxmlformats.org/officeDocument/2006/relationships/hyperlink" Target="https://techelectro.ru/prod/protection-safety/bags_packs/s51/s-51/" TargetMode="External"/><Relationship Id="rId5357" Type="http://schemas.openxmlformats.org/officeDocument/2006/relationships/hyperlink" Target="https://techelectro.ru/prod/cable_entry/cable_entry_plastic/m-l/sku_85477/" TargetMode="External"/><Relationship Id="rId520" Type="http://schemas.openxmlformats.org/officeDocument/2006/relationships/hyperlink" Target="https://techelectro.ru/prod/insulugs/ilugs/nki_easyfix/sku_90898/" TargetMode="External"/><Relationship Id="rId2201" Type="http://schemas.openxmlformats.org/officeDocument/2006/relationships/hyperlink" Target="https://techelectro.ru/prod/hstubes/hstube/tutng/tutng12/" TargetMode="External"/><Relationship Id="rId5564" Type="http://schemas.openxmlformats.org/officeDocument/2006/relationships/hyperlink" Target="https://techelectro.ru/prod/metal-hose-fittings/hose/mrping-inox/mrnping-inox-38/" TargetMode="External"/><Relationship Id="rId5771" Type="http://schemas.openxmlformats.org/officeDocument/2006/relationships/hyperlink" Target="https://techelectro.ru/prod/staples/smo_inox/smo_inox-8-9/" TargetMode="External"/><Relationship Id="rId1010" Type="http://schemas.openxmlformats.org/officeDocument/2006/relationships/hyperlink" Target="https://techelectro.ru/prod/e-connectors/nshvi_euro/sku_109002/" TargetMode="External"/><Relationship Id="rId1967" Type="http://schemas.openxmlformats.org/officeDocument/2006/relationships/hyperlink" Target="https://techelectro.ru/prod/cable_kits_acs/kbm-k/sku_84296/" TargetMode="External"/><Relationship Id="rId4166" Type="http://schemas.openxmlformats.org/officeDocument/2006/relationships/hyperlink" Target="https://techelectro.ru/prod/protection-safety/flashlights/fl7007/fl-7007/" TargetMode="External"/><Relationship Id="rId4373" Type="http://schemas.openxmlformats.org/officeDocument/2006/relationships/hyperlink" Target="https://techelectro.ru/prod/digital_meters/ecotesters/kt601/kt-601/" TargetMode="External"/><Relationship Id="rId4580" Type="http://schemas.openxmlformats.org/officeDocument/2006/relationships/hyperlink" Target="https://techelectro.ru/prod/ties/nylonties/kss100-nord_white/kss_nord_8-350_white/" TargetMode="External"/><Relationship Id="rId5217" Type="http://schemas.openxmlformats.org/officeDocument/2006/relationships/hyperlink" Target="https://techelectro.ru/prod/cable_entry/cable_entry_metal/pgm/sku_88003/" TargetMode="External"/><Relationship Id="rId5424" Type="http://schemas.openxmlformats.org/officeDocument/2006/relationships/hyperlink" Target="https://techelectro.ru/prod/metal-hose-fittings/hose/mrping_nord-p/mrping_nord_22_p/" TargetMode="External"/><Relationship Id="rId5631" Type="http://schemas.openxmlformats.org/officeDocument/2006/relationships/hyperlink" Target="https://techelectro.ru/prod/metal-hose-fittings/fittings/vm/vm50/" TargetMode="External"/><Relationship Id="rId4026" Type="http://schemas.openxmlformats.org/officeDocument/2006/relationships/hyperlink" Target="https://techelectro.ru/prod/construction_hydraulics/flange_spreaders/rfn538std/sku_109352/" TargetMode="External"/><Relationship Id="rId4440" Type="http://schemas.openxmlformats.org/officeDocument/2006/relationships/hyperlink" Target="https://techelectro.ru/prod/ties/nylonties/kss_multilock_white/sku_102309/" TargetMode="External"/><Relationship Id="rId3042" Type="http://schemas.openxmlformats.org/officeDocument/2006/relationships/hyperlink" Target="https://techelectro.ru/prod/wiring-tools/crimpers_pgr/hv-crimpers/matrix_pg100t/c-24-100t/" TargetMode="External"/><Relationship Id="rId3859" Type="http://schemas.openxmlformats.org/officeDocument/2006/relationships/hyperlink" Target="https://techelectro.ru/prod/metalworking-tools/ft_wrench/wrench-piece/wrench-piece-9/" TargetMode="External"/><Relationship Id="rId5281" Type="http://schemas.openxmlformats.org/officeDocument/2006/relationships/hyperlink" Target="https://techelectro.ru/prod/cable_entry/cable_entry_metal/mpl-m_increase/sku_89599/" TargetMode="External"/><Relationship Id="rId2875" Type="http://schemas.openxmlformats.org/officeDocument/2006/relationships/hyperlink" Target="https://techelectro.ru/prod/wiring-tools/crimpers/insulugs-crimp/mpk2/mpk_02/" TargetMode="External"/><Relationship Id="rId3926" Type="http://schemas.openxmlformats.org/officeDocument/2006/relationships/hyperlink" Target="https://techelectro.ru/prod/metalworking-tools/ft_cutters/nmap270rl/sku_104955/" TargetMode="External"/><Relationship Id="rId847" Type="http://schemas.openxmlformats.org/officeDocument/2006/relationships/hyperlink" Target="https://techelectro.ru/prod/insulugs/screw_clamp/zvi-ng_white/sku_87171/" TargetMode="External"/><Relationship Id="rId1477" Type="http://schemas.openxmlformats.org/officeDocument/2006/relationships/hyperlink" Target="https://techelectro.ru/prod/cable-kits/muffs1kv/2-pktp-1/2pktp_b-1-25_50_b/" TargetMode="External"/><Relationship Id="rId1891" Type="http://schemas.openxmlformats.org/officeDocument/2006/relationships/hyperlink" Target="https://techelectro.ru/prod/cable_kits_acs/tpi/3tpi-70-120/" TargetMode="External"/><Relationship Id="rId2528" Type="http://schemas.openxmlformats.org/officeDocument/2006/relationships/hyperlink" Target="https://techelectro.ru/prod/hstubes/hstubeset/kolorit/kolorit-4-2/" TargetMode="External"/><Relationship Id="rId2942" Type="http://schemas.openxmlformats.org/officeDocument/2006/relationships/hyperlink" Target="https://techelectro.ru/prod/wiring-tools/crimpers_pgr/hdcrimp/pgr150_sip/pgr-150_sip/" TargetMode="External"/><Relationship Id="rId914" Type="http://schemas.openxmlformats.org/officeDocument/2006/relationships/hyperlink" Target="https://techelectro.ru/prod/insulugs/autoterminals/rp-p_l_2_5_-_6_3/sku_89247/" TargetMode="External"/><Relationship Id="rId1544" Type="http://schemas.openxmlformats.org/officeDocument/2006/relationships/hyperlink" Target="https://techelectro.ru/prod/cable-kits/muffs1kv/pktp_mini/2pktpb_mini_2-5_10/" TargetMode="External"/><Relationship Id="rId5001" Type="http://schemas.openxmlformats.org/officeDocument/2006/relationships/hyperlink" Target="https://techelectro.ru/prod/strength-ties/screw-ties/pl9-w4/pl9-25-40w4/" TargetMode="External"/><Relationship Id="rId1611" Type="http://schemas.openxmlformats.org/officeDocument/2006/relationships/hyperlink" Target="https://techelectro.ru/prod/cable-kits/muffs1kv/4_5pst-1/4pstb1-25-50/" TargetMode="External"/><Relationship Id="rId4767" Type="http://schemas.openxmlformats.org/officeDocument/2006/relationships/hyperlink" Target="https://techelectro.ru/prod/steel-ties/steel_ties-labels/sks316/sks316-4x200/" TargetMode="External"/><Relationship Id="rId5818" Type="http://schemas.openxmlformats.org/officeDocument/2006/relationships/hyperlink" Target="https://techelectro.ru/prod/staples/smd/smd_25-26/" TargetMode="External"/><Relationship Id="rId3369" Type="http://schemas.openxmlformats.org/officeDocument/2006/relationships/hyperlink" Target="https://techelectro.ru/prod/wiring-tools/unwinding/hvltools/vm-80/sku_85709/" TargetMode="External"/><Relationship Id="rId2385" Type="http://schemas.openxmlformats.org/officeDocument/2006/relationships/hyperlink" Target="https://techelectro.ru/prod/hstubes/gluetube/ttk_flex_3_1/sku_85208/" TargetMode="External"/><Relationship Id="rId3783" Type="http://schemas.openxmlformats.org/officeDocument/2006/relationships/hyperlink" Target="https://techelectro.ru/prod/metalworking-tools/ft_pliers/pliersft280/plierft-280/" TargetMode="External"/><Relationship Id="rId4834" Type="http://schemas.openxmlformats.org/officeDocument/2006/relationships/hyperlink" Target="https://techelectro.ru/prod/steel-ties/steel_ties-labels/sks316p/sks316p-4x350/" TargetMode="External"/><Relationship Id="rId357" Type="http://schemas.openxmlformats.org/officeDocument/2006/relationships/hyperlink" Target="https://techelectro.ru/prod/cable-lugs/cu/gmls/sku_88087/" TargetMode="External"/><Relationship Id="rId2038" Type="http://schemas.openxmlformats.org/officeDocument/2006/relationships/hyperlink" Target="https://techelectro.ru/prod/hstubes/hstube/tutng-color/sku_102168/" TargetMode="External"/><Relationship Id="rId3436" Type="http://schemas.openxmlformats.org/officeDocument/2006/relationships/hyperlink" Target="https://techelectro.ru/prod/wiring-tools/unwinding/fishtape/stp4k/stp4_30k/" TargetMode="External"/><Relationship Id="rId3850" Type="http://schemas.openxmlformats.org/officeDocument/2006/relationships/hyperlink" Target="https://techelectro.ru/prod/metalworking-tools/ft_wrench/nrk8/nkr8/" TargetMode="External"/><Relationship Id="rId4901" Type="http://schemas.openxmlformats.org/officeDocument/2006/relationships/hyperlink" Target="https://techelectro.ru/prod/steel-ties/steel_ties-labels/sks2-316/sks2-316-12x1000/" TargetMode="External"/><Relationship Id="rId771" Type="http://schemas.openxmlformats.org/officeDocument/2006/relationships/hyperlink" Target="https://techelectro.ru/prod/insulugs/iquick/gsin/gsin_1/" TargetMode="External"/><Relationship Id="rId2452" Type="http://schemas.openxmlformats.org/officeDocument/2006/relationships/hyperlink" Target="https://techelectro.ru/prod/hstubes/gluetube/ttk31_blue/sku_102422/" TargetMode="External"/><Relationship Id="rId3503" Type="http://schemas.openxmlformats.org/officeDocument/2006/relationships/hyperlink" Target="https://techelectro.ru/prod/wiring-tools/hstools/gt17/sku_88073/" TargetMode="External"/><Relationship Id="rId424" Type="http://schemas.openxmlformats.org/officeDocument/2006/relationships/hyperlink" Target="https://techelectro.ru/prod/cable-lugs/al/gam/sku_90837/" TargetMode="External"/><Relationship Id="rId1054" Type="http://schemas.openxmlformats.org/officeDocument/2006/relationships/hyperlink" Target="https://techelectro.ru/prod/e-connectors/nshv/nshv_0_5_8/" TargetMode="External"/><Relationship Id="rId2105" Type="http://schemas.openxmlformats.org/officeDocument/2006/relationships/hyperlink" Target="https://techelectro.ru/prod/hstubes/hstube/tnt_hf/sku_84317/" TargetMode="External"/><Relationship Id="rId5675" Type="http://schemas.openxmlformats.org/officeDocument/2006/relationships/hyperlink" Target="https://techelectro.ru/prod/metal-hose-fittings/fittings/vm-l/sku_88854/" TargetMode="External"/><Relationship Id="rId1121" Type="http://schemas.openxmlformats.org/officeDocument/2006/relationships/hyperlink" Target="https://techelectro.ru/prod/clamps_wago-smk/smk_222-415/sku_87634/" TargetMode="External"/><Relationship Id="rId4277" Type="http://schemas.openxmlformats.org/officeDocument/2006/relationships/hyperlink" Target="https://techelectro.ru/prod/abcarm/sealinslugs/nim-cptau95/sku_109233/" TargetMode="External"/><Relationship Id="rId4691" Type="http://schemas.openxmlformats.org/officeDocument/2006/relationships/hyperlink" Target="https://techelectro.ru/prod/ties/nylonties/sv/ksv12x135/" TargetMode="External"/><Relationship Id="rId5328" Type="http://schemas.openxmlformats.org/officeDocument/2006/relationships/hyperlink" Target="https://techelectro.ru/prod/cable_entry/cable_entry_plastic/mg/sku_89114/" TargetMode="External"/><Relationship Id="rId5742" Type="http://schemas.openxmlformats.org/officeDocument/2006/relationships/hyperlink" Target="https://techelectro.ru/prod/metal-hose-fittings/fittings/ozm/ozm_38/" TargetMode="External"/><Relationship Id="rId3293" Type="http://schemas.openxmlformats.org/officeDocument/2006/relationships/hyperlink" Target="https://techelectro.ru/prod/wiring-tools/bustools/shd110neo_without_matrix/sku_67051/" TargetMode="External"/><Relationship Id="rId4344" Type="http://schemas.openxmlformats.org/officeDocument/2006/relationships/hyperlink" Target="https://techelectro.ru/prod/digital_meters/testers_detectors/kt97d/sku_91921/" TargetMode="External"/><Relationship Id="rId1938" Type="http://schemas.openxmlformats.org/officeDocument/2006/relationships/hyperlink" Target="https://techelectro.ru/prod/cable_kits_acs/trma/trm-a_200_50-600/" TargetMode="External"/><Relationship Id="rId3360" Type="http://schemas.openxmlformats.org/officeDocument/2006/relationships/hyperlink" Target="https://techelectro.ru/prod/wiring-tools/unwinding/hvltools/dkv6s/sku_84849/" TargetMode="External"/><Relationship Id="rId281" Type="http://schemas.openxmlformats.org/officeDocument/2006/relationships/hyperlink" Target="https://techelectro.ru/prod/cable-lugs/cu/tmls45/tmls_45_95-10/" TargetMode="External"/><Relationship Id="rId3013" Type="http://schemas.openxmlformats.org/officeDocument/2006/relationships/hyperlink" Target="https://techelectro.ru/prod/wiring-tools/crimpers_pgr/hv-crimpers/matrix_pg60t/sku_69169/" TargetMode="External"/><Relationship Id="rId4411" Type="http://schemas.openxmlformats.org/officeDocument/2006/relationships/hyperlink" Target="https://techelectro.ru/prod/ties/nylonties/kss/kss5h500/" TargetMode="External"/><Relationship Id="rId2779" Type="http://schemas.openxmlformats.org/officeDocument/2006/relationships/hyperlink" Target="https://techelectro.ru/prod/insulating/xs/sku_85380/" TargetMode="External"/><Relationship Id="rId5185" Type="http://schemas.openxmlformats.org/officeDocument/2006/relationships/hyperlink" Target="https://techelectro.ru/prod/cable_entry/cable_entry_metal/mgm-xl/sku_88625/" TargetMode="External"/><Relationship Id="rId1795" Type="http://schemas.openxmlformats.org/officeDocument/2006/relationships/hyperlink" Target="https://techelectro.ru/prod/cable-kits/muffs10kv/3pst10/3pst10-35-50b/" TargetMode="External"/><Relationship Id="rId2846" Type="http://schemas.openxmlformats.org/officeDocument/2006/relationships/hyperlink" Target="https://techelectro.ru/prod/wiring-tools/crimpers/insulugs-crimp/ctb/ctb14/" TargetMode="External"/><Relationship Id="rId5252" Type="http://schemas.openxmlformats.org/officeDocument/2006/relationships/hyperlink" Target="https://techelectro.ru/prod/cable_entry/cable_entry_metal/vk-m-mr/sku_87947/" TargetMode="External"/><Relationship Id="rId87" Type="http://schemas.openxmlformats.org/officeDocument/2006/relationships/hyperlink" Target="https://techelectro.ru/prod/cable-lugs/cu/tml/tml_240_16_24/" TargetMode="External"/><Relationship Id="rId818" Type="http://schemas.openxmlformats.org/officeDocument/2006/relationships/hyperlink" Target="https://techelectro.ru/prod/insulugs/siz_kiz/sizk/sku_108953/" TargetMode="External"/><Relationship Id="rId1448" Type="http://schemas.openxmlformats.org/officeDocument/2006/relationships/hyperlink" Target="https://techelectro.ru/prod/cable-kits/muffs1kv/4_3-kvntp-1/4kvntp1-150-240_b/" TargetMode="External"/><Relationship Id="rId1862" Type="http://schemas.openxmlformats.org/officeDocument/2006/relationships/hyperlink" Target="https://techelectro.ru/prod/cable_kits_acs/ekat-10/sku_89718/" TargetMode="External"/><Relationship Id="rId2913" Type="http://schemas.openxmlformats.org/officeDocument/2006/relationships/hyperlink" Target="https://techelectro.ru/prod/wiring-tools/crimpers/conn-crimp/pkvk16m/pkvk-16m/" TargetMode="External"/><Relationship Id="rId1515" Type="http://schemas.openxmlformats.org/officeDocument/2006/relationships/hyperlink" Target="https://techelectro.ru/prod/cable-kits/muffs1kv/5-pktp-1/5pktp-1-16_25/" TargetMode="External"/><Relationship Id="rId3687" Type="http://schemas.openxmlformats.org/officeDocument/2006/relationships/hyperlink" Target="https://techelectro.ru/prod/electric-tools/cordless-drills/db20-13/sku_102588/" TargetMode="External"/><Relationship Id="rId4738" Type="http://schemas.openxmlformats.org/officeDocument/2006/relationships/hyperlink" Target="https://techelectro.ru/prod/ties/markers/u_136/u_136/" TargetMode="External"/><Relationship Id="rId2289" Type="http://schemas.openxmlformats.org/officeDocument/2006/relationships/hyperlink" Target="https://techelectro.ru/prod/hstubes/hstube/tut-hf/tut_hf6-3_red/" TargetMode="External"/><Relationship Id="rId3754" Type="http://schemas.openxmlformats.org/officeDocument/2006/relationships/hyperlink" Target="https://techelectro.ru/prod/electric-tools/accessories/drill-bits/nss25k/sku_106206/" TargetMode="External"/><Relationship Id="rId4805" Type="http://schemas.openxmlformats.org/officeDocument/2006/relationships/hyperlink" Target="https://techelectro.ru/prod/steel-ties/steel_ties-labels/sks/sks7h200/" TargetMode="External"/><Relationship Id="rId675" Type="http://schemas.openxmlformats.org/officeDocument/2006/relationships/hyperlink" Target="https://techelectro.ru/prod/insulugs/iplug/rpim/sku_108591/" TargetMode="External"/><Relationship Id="rId2356" Type="http://schemas.openxmlformats.org/officeDocument/2006/relationships/hyperlink" Target="https://techelectro.ru/prod/hstubes/gluetube/ttk31/ttk31-3b/" TargetMode="External"/><Relationship Id="rId2770" Type="http://schemas.openxmlformats.org/officeDocument/2006/relationships/hyperlink" Target="https://techelectro.ru/prod/insulating/xs-mini/sku_90922/" TargetMode="External"/><Relationship Id="rId3407" Type="http://schemas.openxmlformats.org/officeDocument/2006/relationships/hyperlink" Target="https://techelectro.ru/prod/wiring-tools/unwinding/hvltools/chmp/sku_109900/" TargetMode="External"/><Relationship Id="rId3821" Type="http://schemas.openxmlformats.org/officeDocument/2006/relationships/hyperlink" Target="https://techelectro.ru/prod/metalworking-tools/ft_screwdrivers/nb38ft/nb-38ft/" TargetMode="External"/><Relationship Id="rId328" Type="http://schemas.openxmlformats.org/officeDocument/2006/relationships/hyperlink" Target="https://techelectro.ru/prod/cable-lugs/cu/gmldin/gmldin_240/" TargetMode="External"/><Relationship Id="rId742" Type="http://schemas.openxmlformats.org/officeDocument/2006/relationships/hyperlink" Target="https://techelectro.ru/prod/insulugs/iplug/ovt/sku_108490/" TargetMode="External"/><Relationship Id="rId1372" Type="http://schemas.openxmlformats.org/officeDocument/2006/relationships/hyperlink" Target="https://techelectro.ru/prod/cable-kits/kits-ngls-1kv/pst-mini-ng_ls/5pstbm-1_ngls/" TargetMode="External"/><Relationship Id="rId2009" Type="http://schemas.openxmlformats.org/officeDocument/2006/relationships/hyperlink" Target="https://techelectro.ru/prod/ukpt_ogt/ukpt/ukpt175/" TargetMode="External"/><Relationship Id="rId2423" Type="http://schemas.openxmlformats.org/officeDocument/2006/relationships/hyperlink" Target="https://techelectro.ru/prod/hstubes/gluetube/ttk31_white/ttk31-9w/" TargetMode="External"/><Relationship Id="rId5579" Type="http://schemas.openxmlformats.org/officeDocument/2006/relationships/hyperlink" Target="https://techelectro.ru/prod/metal-hose-fittings/hose/mrn-inox/mrn-inox-10/" TargetMode="External"/><Relationship Id="rId1025" Type="http://schemas.openxmlformats.org/officeDocument/2006/relationships/hyperlink" Target="https://techelectro.ru/prod/e-connectors/nshvi2/sku_108924/" TargetMode="External"/><Relationship Id="rId4595" Type="http://schemas.openxmlformats.org/officeDocument/2006/relationships/hyperlink" Target="https://techelectro.ru/prod/ties/nylonties/kss100-nord_black/kss_nord_4-250_black/" TargetMode="External"/><Relationship Id="rId5646" Type="http://schemas.openxmlformats.org/officeDocument/2006/relationships/hyperlink" Target="https://techelectro.ru/prod/metal-hose-fittings/fittings/rk-n/sku_87889/" TargetMode="External"/><Relationship Id="rId5993" Type="http://schemas.openxmlformats.org/officeDocument/2006/relationships/hyperlink" Target="https://techelectro.ru/prod/ground_wire/pz/sku_88370/" TargetMode="External"/><Relationship Id="rId3197" Type="http://schemas.openxmlformats.org/officeDocument/2006/relationships/hyperlink" Target="https://techelectro.ru/prod/wiring-tools/strippers/xlpe-strip/fbs1652/sku_101903/" TargetMode="External"/><Relationship Id="rId4248" Type="http://schemas.openxmlformats.org/officeDocument/2006/relationships/hyperlink" Target="https://techelectro.ru/prod/abcarm/sealinslugs/gif-mjpt35/sku_103150/" TargetMode="External"/><Relationship Id="rId4662" Type="http://schemas.openxmlformats.org/officeDocument/2006/relationships/hyperlink" Target="https://techelectro.ru/prod/ties/nylonties/ksm/ksm4x205/" TargetMode="External"/><Relationship Id="rId5713" Type="http://schemas.openxmlformats.org/officeDocument/2006/relationships/hyperlink" Target="https://techelectro.ru/prod/metal-hose-fittings/fittings/att/sku_92321/" TargetMode="External"/><Relationship Id="rId185" Type="http://schemas.openxmlformats.org/officeDocument/2006/relationships/hyperlink" Target="https://techelectro.ru/prod/cable-lugs/cu/tmlr/sku_87478/" TargetMode="External"/><Relationship Id="rId1909" Type="http://schemas.openxmlformats.org/officeDocument/2006/relationships/hyperlink" Target="https://techelectro.ru/prod/cable_kits_acs/roller_springs/ppd4/" TargetMode="External"/><Relationship Id="rId3264" Type="http://schemas.openxmlformats.org/officeDocument/2006/relationships/hyperlink" Target="https://techelectro.ru/prod/wiring-tools/boxtools/mpo_square/sku_85309/" TargetMode="External"/><Relationship Id="rId4315" Type="http://schemas.openxmlformats.org/officeDocument/2006/relationships/hyperlink" Target="https://techelectro.ru/prod/digital_meters/multimeters/kt113c/sku_91918/" TargetMode="External"/><Relationship Id="rId2280" Type="http://schemas.openxmlformats.org/officeDocument/2006/relationships/hyperlink" Target="https://techelectro.ru/prod/hstubes/hstube/tut-hf/tut_hf20-10_green/" TargetMode="External"/><Relationship Id="rId3331" Type="http://schemas.openxmlformats.org/officeDocument/2006/relationships/hyperlink" Target="https://techelectro.ru/prod/wiring-tools/hdrtools/hdr_tools/pme7020u/pme-7020u/" TargetMode="External"/><Relationship Id="rId252" Type="http://schemas.openxmlformats.org/officeDocument/2006/relationships/hyperlink" Target="https://techelectro.ru/prod/cable-lugs/cu/tmls90/tmls_90_16-8/" TargetMode="External"/><Relationship Id="rId5089" Type="http://schemas.openxmlformats.org/officeDocument/2006/relationships/hyperlink" Target="https://techelectro.ru/prod/strength-ties/screw-ties/sr2/sr201-213w2/" TargetMode="External"/><Relationship Id="rId1699" Type="http://schemas.openxmlformats.org/officeDocument/2006/relationships/hyperlink" Target="https://techelectro.ru/prod/cable-kits/muffs10kv/1pkvt-10/sku_82796/" TargetMode="External"/><Relationship Id="rId2000" Type="http://schemas.openxmlformats.org/officeDocument/2006/relationships/hyperlink" Target="https://techelectro.ru/prod/ukpt_ogt/ogt-100_40/ogt100/" TargetMode="External"/><Relationship Id="rId5156" Type="http://schemas.openxmlformats.org/officeDocument/2006/relationships/hyperlink" Target="https://techelectro.ru/prod/cable_entry/cable_entry_metal/mgm/sku_87985/" TargetMode="External"/><Relationship Id="rId5570" Type="http://schemas.openxmlformats.org/officeDocument/2006/relationships/hyperlink" Target="https://techelectro.ru/prod/metal-hose-fittings/hose/mrping-inox_p/sku_83660/" TargetMode="External"/><Relationship Id="rId4172" Type="http://schemas.openxmlformats.org/officeDocument/2006/relationships/hyperlink" Target="https://techelectro.ru/prod/plumbing-tools/battery_pipe_tool/pgra-sr-32/sku_89616/" TargetMode="External"/><Relationship Id="rId5223" Type="http://schemas.openxmlformats.org/officeDocument/2006/relationships/hyperlink" Target="https://techelectro.ru/prod/cable_entry/cable_entry_metal/pgm/sku_88009/" TargetMode="External"/><Relationship Id="rId1766" Type="http://schemas.openxmlformats.org/officeDocument/2006/relationships/hyperlink" Target="https://techelectro.ru/prod/cable-kits/muffs10kv/3kntp10sold/sku_88762/" TargetMode="External"/><Relationship Id="rId2817" Type="http://schemas.openxmlformats.org/officeDocument/2006/relationships/hyperlink" Target="https://techelectro.ru/prod/wiring-tools/crimpers/insulugs-crimp/sto/sku_90748/" TargetMode="External"/><Relationship Id="rId58" Type="http://schemas.openxmlformats.org/officeDocument/2006/relationships/hyperlink" Target="https://techelectro.ru/prod/cable-lugs/cu/tml/tml_35-8-10/" TargetMode="External"/><Relationship Id="rId1419" Type="http://schemas.openxmlformats.org/officeDocument/2006/relationships/hyperlink" Target="https://techelectro.ru/prod/cable-kits/kits-ngls-10kv/1pst10ngls/1pst10-500-630_bngls/" TargetMode="External"/><Relationship Id="rId1833" Type="http://schemas.openxmlformats.org/officeDocument/2006/relationships/hyperlink" Target="https://techelectro.ru/prod/cable-kits/muffs-35kv/1pknt-20/1pknt20-150-240b/" TargetMode="External"/><Relationship Id="rId4989" Type="http://schemas.openxmlformats.org/officeDocument/2006/relationships/hyperlink" Target="https://techelectro.ru/prod/strength-ties/screw-ties/pl9-w2/sku_103912/" TargetMode="External"/><Relationship Id="rId1900" Type="http://schemas.openxmlformats.org/officeDocument/2006/relationships/hyperlink" Target="https://techelectro.ru/prod/cable_kits_acs/tpi/5tpi-150-240/" TargetMode="External"/><Relationship Id="rId3658" Type="http://schemas.openxmlformats.org/officeDocument/2006/relationships/hyperlink" Target="https://techelectro.ru/prod/vdetools/vde-sets/vde-sets-nii/nii22/sku_88962/" TargetMode="External"/><Relationship Id="rId4709" Type="http://schemas.openxmlformats.org/officeDocument/2006/relationships/hyperlink" Target="https://techelectro.ru/prod/ties/dowel_clamps/dh_19_25_black/dh19-25b/" TargetMode="External"/><Relationship Id="rId6064" Type="http://schemas.openxmlformats.org/officeDocument/2006/relationships/hyperlink" Target="https://techelectro.ru/prod/ground_wire/uhz_inox/uhz_inox_40-60_w2/" TargetMode="External"/><Relationship Id="rId579" Type="http://schemas.openxmlformats.org/officeDocument/2006/relationships/hyperlink" Target="https://techelectro.ru/prod/insulugs/ilugs/nvi/nvi_6_0_6/" TargetMode="External"/><Relationship Id="rId993" Type="http://schemas.openxmlformats.org/officeDocument/2006/relationships/hyperlink" Target="https://techelectro.ru/prod/e-connectors/nshvi_euro/sku_103204/" TargetMode="External"/><Relationship Id="rId2674" Type="http://schemas.openxmlformats.org/officeDocument/2006/relationships/hyperlink" Target="https://techelectro.ru/prod/insulating/pvc-15-0_13/sku_90809/" TargetMode="External"/><Relationship Id="rId5080" Type="http://schemas.openxmlformats.org/officeDocument/2006/relationships/hyperlink" Target="https://techelectro.ru/prod/strength-ties/screw-ties/sr2/sr104-112w2/" TargetMode="External"/><Relationship Id="rId646" Type="http://schemas.openxmlformats.org/officeDocument/2006/relationships/hyperlink" Target="https://techelectro.ru/prod/insulugs/ilugs/ilugsets-nvi/sku_91007/" TargetMode="External"/><Relationship Id="rId1276" Type="http://schemas.openxmlformats.org/officeDocument/2006/relationships/hyperlink" Target="https://techelectro.ru/prod/cable-kits/kits-ngls-1kv/5pktp-1_ngls/5pktp_bng-ls1-150-240_b/" TargetMode="External"/><Relationship Id="rId2327" Type="http://schemas.openxmlformats.org/officeDocument/2006/relationships/hyperlink" Target="https://techelectro.ru/prod/hstubes/hstube/t-box-color/tbox12r/" TargetMode="External"/><Relationship Id="rId3725" Type="http://schemas.openxmlformats.org/officeDocument/2006/relationships/hyperlink" Target="https://techelectro.ru/prod/electric-tools/power-saws/sc125-1500/sku_109482/" TargetMode="External"/><Relationship Id="rId1690" Type="http://schemas.openxmlformats.org/officeDocument/2006/relationships/hyperlink" Target="https://techelectro.ru/prod/cable-kits/muffs10kv/3pktp-6/3pktp6-150-240/" TargetMode="External"/><Relationship Id="rId2741" Type="http://schemas.openxmlformats.org/officeDocument/2006/relationships/hyperlink" Target="https://techelectro.ru/prod/insulating/xp_mini/sku_90915/" TargetMode="External"/><Relationship Id="rId5897" Type="http://schemas.openxmlformats.org/officeDocument/2006/relationships/hyperlink" Target="https://techelectro.ru/prod/staples/spk/spk_6/" TargetMode="External"/><Relationship Id="rId713" Type="http://schemas.openxmlformats.org/officeDocument/2006/relationships/hyperlink" Target="https://techelectro.ru/prod/insulugs/iplug/rpimn/sku_108603/" TargetMode="External"/><Relationship Id="rId1343" Type="http://schemas.openxmlformats.org/officeDocument/2006/relationships/hyperlink" Target="https://techelectro.ru/prod/cable-kits/kits-ngls-1kv/5pst_ngls-1/5pstb1-25-50_bngls/" TargetMode="External"/><Relationship Id="rId4499" Type="http://schemas.openxmlformats.org/officeDocument/2006/relationships/hyperlink" Target="https://techelectro.ru/prod/ties/nylonties/kss-uv/kss8x350b/" TargetMode="External"/><Relationship Id="rId5964" Type="http://schemas.openxmlformats.org/officeDocument/2006/relationships/hyperlink" Target="https://techelectro.ru/prod/staples/u/u-5/" TargetMode="External"/><Relationship Id="rId1410" Type="http://schemas.openxmlformats.org/officeDocument/2006/relationships/hyperlink" Target="https://techelectro.ru/prod/cable-kits/kits-ngls-10kv/1pst10ngls/1pst10-70-120ngls/" TargetMode="External"/><Relationship Id="rId4566" Type="http://schemas.openxmlformats.org/officeDocument/2006/relationships/hyperlink" Target="https://techelectro.ru/prod/ties/nylonties/kss100-nord_white/kss_nord_4-150_white/" TargetMode="External"/><Relationship Id="rId4980" Type="http://schemas.openxmlformats.org/officeDocument/2006/relationships/hyperlink" Target="https://techelectro.ru/prod/strength-ties/screw-ties/pl9-w2/sku_103911/" TargetMode="External"/><Relationship Id="rId5617" Type="http://schemas.openxmlformats.org/officeDocument/2006/relationships/hyperlink" Target="https://techelectro.ru/prod/metal-hose-fittings/hose/r3ch_p/r3ch18_p/" TargetMode="External"/><Relationship Id="rId3168" Type="http://schemas.openxmlformats.org/officeDocument/2006/relationships/hyperlink" Target="https://techelectro.ru/prod/wiring-tools/strippers/wire-strip/ws21/ws-21/" TargetMode="External"/><Relationship Id="rId3582" Type="http://schemas.openxmlformats.org/officeDocument/2006/relationships/hyperlink" Target="https://techelectro.ru/prod/vdetools/vde-screwdrivers/nio-06-s-profi/sku_87129/" TargetMode="External"/><Relationship Id="rId4219" Type="http://schemas.openxmlformats.org/officeDocument/2006/relationships/hyperlink" Target="https://techelectro.ru/prod/abcarm/pierce/pza25-240/sku_108668/" TargetMode="External"/><Relationship Id="rId4633" Type="http://schemas.openxmlformats.org/officeDocument/2006/relationships/hyperlink" Target="https://techelectro.ru/prod/ties/nylonties/kss_magnetic/sku_87102/" TargetMode="External"/><Relationship Id="rId2184" Type="http://schemas.openxmlformats.org/officeDocument/2006/relationships/hyperlink" Target="https://techelectro.ru/prod/hstubes/hstube/tnt_ng-ls_colors/tntng84yg/" TargetMode="External"/><Relationship Id="rId3235" Type="http://schemas.openxmlformats.org/officeDocument/2006/relationships/hyperlink" Target="https://techelectro.ru/prod/wiring-tools/boxtools/nmpomg/nmpo-mg/" TargetMode="External"/><Relationship Id="rId156" Type="http://schemas.openxmlformats.org/officeDocument/2006/relationships/hyperlink" Target="https://techelectro.ru/prod/cable-lugs/cu/tmldin/tml_din_800-20/" TargetMode="External"/><Relationship Id="rId570" Type="http://schemas.openxmlformats.org/officeDocument/2006/relationships/hyperlink" Target="https://techelectro.ru/prod/insulugs/ilugs/vnki/sku_108615/" TargetMode="External"/><Relationship Id="rId2251" Type="http://schemas.openxmlformats.org/officeDocument/2006/relationships/hyperlink" Target="https://techelectro.ru/prod/hstubes/hstube/tut-hf/tut_hf16-8_white/" TargetMode="External"/><Relationship Id="rId3302" Type="http://schemas.openxmlformats.org/officeDocument/2006/relationships/hyperlink" Target="https://techelectro.ru/prod/wiring-tools/bustools/mpsho-95_oval/mpsho-10-17/" TargetMode="External"/><Relationship Id="rId4700" Type="http://schemas.openxmlformats.org/officeDocument/2006/relationships/hyperlink" Target="https://techelectro.ru/prod/ties/nylonties/ksvp/ksvp20x450b/" TargetMode="External"/><Relationship Id="rId223" Type="http://schemas.openxmlformats.org/officeDocument/2006/relationships/hyperlink" Target="https://techelectro.ru/prod/cable-lugs/cu/pm/pm_150_12/" TargetMode="External"/><Relationship Id="rId4076" Type="http://schemas.openxmlformats.org/officeDocument/2006/relationships/hyperlink" Target="https://techelectro.ru/prod/fixing_tools/kp-60-11/sku_87966/" TargetMode="External"/><Relationship Id="rId5474" Type="http://schemas.openxmlformats.org/officeDocument/2006/relationships/hyperlink" Target="https://techelectro.ru/prod/metal-hose-fittings/hose/mrping_p/sku_87677/" TargetMode="External"/><Relationship Id="rId4490" Type="http://schemas.openxmlformats.org/officeDocument/2006/relationships/hyperlink" Target="https://techelectro.ru/prod/ties/nylonties/kss-uv/kss5x250b/" TargetMode="External"/><Relationship Id="rId5127" Type="http://schemas.openxmlformats.org/officeDocument/2006/relationships/hyperlink" Target="https://techelectro.ru/prod/strength-ties/pipe-ties/th/th6/" TargetMode="External"/><Relationship Id="rId5541" Type="http://schemas.openxmlformats.org/officeDocument/2006/relationships/hyperlink" Target="https://techelectro.ru/prod/metal-hose-fittings/hose/m-g/sku_87885/" TargetMode="External"/><Relationship Id="rId1737" Type="http://schemas.openxmlformats.org/officeDocument/2006/relationships/hyperlink" Target="https://techelectro.ru/prod/cable-kits/muffs10kv/3rkvtp-10/sku_88110/" TargetMode="External"/><Relationship Id="rId3092" Type="http://schemas.openxmlformats.org/officeDocument/2006/relationships/hyperlink" Target="https://techelectro.ru/prod/wiring-tools/cutters/sectioncutters/nsti40/sku_84395/" TargetMode="External"/><Relationship Id="rId4143" Type="http://schemas.openxmlformats.org/officeDocument/2006/relationships/hyperlink" Target="https://techelectro.ru/prod/protection-safety/protection/np-29/np29/" TargetMode="External"/><Relationship Id="rId29" Type="http://schemas.openxmlformats.org/officeDocument/2006/relationships/hyperlink" Target="https://techelectro.ru/prod/cable-lugs/cu/tmls/tmls_150_16/" TargetMode="External"/><Relationship Id="rId4210" Type="http://schemas.openxmlformats.org/officeDocument/2006/relationships/hyperlink" Target="https://techelectro.ru/prod/abcarm/pierce/zpo50-50/zpo_50-50/" TargetMode="External"/><Relationship Id="rId1804" Type="http://schemas.openxmlformats.org/officeDocument/2006/relationships/hyperlink" Target="https://techelectro.ru/prod/cable-kits/muffs10kv/3rst-10/sku_88135/" TargetMode="External"/><Relationship Id="rId3976" Type="http://schemas.openxmlformats.org/officeDocument/2006/relationships/hyperlink" Target="https://techelectro.ru/prod/construction_hydraulics/jack/jack_hd/da-pn10/sku_87376/" TargetMode="External"/><Relationship Id="rId6035" Type="http://schemas.openxmlformats.org/officeDocument/2006/relationships/hyperlink" Target="https://techelectro.ru/prod/ground_wire/pzu/pzu-25-300/" TargetMode="External"/><Relationship Id="rId897" Type="http://schemas.openxmlformats.org/officeDocument/2006/relationships/hyperlink" Target="https://techelectro.ru/prod/insulugs/autoterminals/rp-m_1_0_2_8/sku_85665/" TargetMode="External"/><Relationship Id="rId2578" Type="http://schemas.openxmlformats.org/officeDocument/2006/relationships/hyperlink" Target="https://techelectro.ru/prod/hstubes/hstubeset/set16/sku_85197/" TargetMode="External"/><Relationship Id="rId2992" Type="http://schemas.openxmlformats.org/officeDocument/2006/relationships/hyperlink" Target="https://techelectro.ru/prod/wiring-tools/crimpers_pgr/hv-crimpers/matrix_pg60t/c-30/" TargetMode="External"/><Relationship Id="rId3629" Type="http://schemas.openxmlformats.org/officeDocument/2006/relationships/hyperlink" Target="https://techelectro.ru/prod/vdetools/vde-screwdrivers/rb44/sku_105777/" TargetMode="External"/><Relationship Id="rId5051" Type="http://schemas.openxmlformats.org/officeDocument/2006/relationships/hyperlink" Target="https://techelectro.ru/prod/strength-ties/screw-ties/sr/sr_113-121_w1/" TargetMode="External"/><Relationship Id="rId964" Type="http://schemas.openxmlformats.org/officeDocument/2006/relationships/hyperlink" Target="https://techelectro.ru/prod/e-connectors/nshvi/sku_108902/" TargetMode="External"/><Relationship Id="rId1594" Type="http://schemas.openxmlformats.org/officeDocument/2006/relationships/hyperlink" Target="https://techelectro.ru/prod/cable-kits/muffs1kv/3pst-1/3pstb1-70-120/" TargetMode="External"/><Relationship Id="rId2645" Type="http://schemas.openxmlformats.org/officeDocument/2006/relationships/hyperlink" Target="https://techelectro.ru/prod/hstubes/specialtube/tt150/sku_104423/" TargetMode="External"/><Relationship Id="rId617" Type="http://schemas.openxmlformats.org/officeDocument/2006/relationships/hyperlink" Target="https://techelectro.ru/prod/insulugs/ilugs/nshki/nshki_6-13/" TargetMode="External"/><Relationship Id="rId1247" Type="http://schemas.openxmlformats.org/officeDocument/2006/relationships/hyperlink" Target="https://techelectro.ru/prod/cable-kits/kits-ngls-1kv/4_5pktp-1_ngls/4pktpng-ls1-70-120/" TargetMode="External"/><Relationship Id="rId1661" Type="http://schemas.openxmlformats.org/officeDocument/2006/relationships/hyperlink" Target="https://techelectro.ru/prod/cable-kits/muffs1kv/mvpt/mvpt_1-2/" TargetMode="External"/><Relationship Id="rId2712" Type="http://schemas.openxmlformats.org/officeDocument/2006/relationships/hyperlink" Target="https://techelectro.ru/prod/insulating/lse/lse900/" TargetMode="External"/><Relationship Id="rId5868" Type="http://schemas.openxmlformats.org/officeDocument/2006/relationships/hyperlink" Target="https://techelectro.ru/prod/staples/smr15/sku_103926/" TargetMode="External"/><Relationship Id="rId1314" Type="http://schemas.openxmlformats.org/officeDocument/2006/relationships/hyperlink" Target="https://techelectro.ru/prod/cable-kits/kits-ngls-1kv/4_5pst_ngls-1/4pst1-16-25ngls/" TargetMode="External"/><Relationship Id="rId4884" Type="http://schemas.openxmlformats.org/officeDocument/2006/relationships/hyperlink" Target="https://techelectro.ru/prod/steel-ties/steel_ties-labels/sksp/sksp4h503/" TargetMode="External"/><Relationship Id="rId5935" Type="http://schemas.openxmlformats.org/officeDocument/2006/relationships/hyperlink" Target="https://techelectro.ru/prod/staples/fastener_black/sku_91050/" TargetMode="External"/><Relationship Id="rId3486" Type="http://schemas.openxmlformats.org/officeDocument/2006/relationships/hyperlink" Target="https://techelectro.ru/prod/wiring-tools/unwinding/fishtape/fgp11mk/fgp11-250mk/" TargetMode="External"/><Relationship Id="rId4537" Type="http://schemas.openxmlformats.org/officeDocument/2006/relationships/hyperlink" Target="https://techelectro.ru/prod/ties/nylonties/nss-black/sku_89922/" TargetMode="External"/><Relationship Id="rId20" Type="http://schemas.openxmlformats.org/officeDocument/2006/relationships/hyperlink" Target="https://techelectro.ru/prod/cable-lugs/cu/tmls/tmls_50_10/" TargetMode="External"/><Relationship Id="rId2088" Type="http://schemas.openxmlformats.org/officeDocument/2006/relationships/hyperlink" Target="https://techelectro.ru/prod/hstubes/hstube/tutng-color/sku_102218/" TargetMode="External"/><Relationship Id="rId3139" Type="http://schemas.openxmlformats.org/officeDocument/2006/relationships/hyperlink" Target="https://techelectro.ru/prod/wiring-tools/cutters_din/steelcutters/trg32/trg-32/" TargetMode="External"/><Relationship Id="rId4951" Type="http://schemas.openxmlformats.org/officeDocument/2006/relationships/hyperlink" Target="https://techelectro.ru/prod/steel-ties/steel_tape-brace/bm/bm304-20/" TargetMode="External"/><Relationship Id="rId474" Type="http://schemas.openxmlformats.org/officeDocument/2006/relationships/hyperlink" Target="https://techelectro.ru/prod/cable-lugs/clamps/u_734m/u-734m/" TargetMode="External"/><Relationship Id="rId2155" Type="http://schemas.openxmlformats.org/officeDocument/2006/relationships/hyperlink" Target="https://techelectro.ru/prod/hstubes/hstube/tnt_hf/sku_82991/" TargetMode="External"/><Relationship Id="rId3553" Type="http://schemas.openxmlformats.org/officeDocument/2006/relationships/hyperlink" Target="https://techelectro.ru/prod/vdetools/pliers/sidecutters/sidecutter-160/" TargetMode="External"/><Relationship Id="rId4604" Type="http://schemas.openxmlformats.org/officeDocument/2006/relationships/hyperlink" Target="https://techelectro.ru/prod/ties/nylonties/kss100-nord_black/sku_89944/" TargetMode="External"/><Relationship Id="rId127" Type="http://schemas.openxmlformats.org/officeDocument/2006/relationships/hyperlink" Target="https://techelectro.ru/prod/cable-lugs/cu/tmldin/sku_92338/" TargetMode="External"/><Relationship Id="rId3206" Type="http://schemas.openxmlformats.org/officeDocument/2006/relationships/hyperlink" Target="https://techelectro.ru/prod/wiring-tools/strippers/xlpe-strip/ksp90/ksp-90/" TargetMode="External"/><Relationship Id="rId3620" Type="http://schemas.openxmlformats.org/officeDocument/2006/relationships/hyperlink" Target="https://techelectro.ru/prod/vdetools/vde-screwdrivers/nio-1111/sku_109332/" TargetMode="External"/><Relationship Id="rId541" Type="http://schemas.openxmlformats.org/officeDocument/2006/relationships/hyperlink" Target="https://techelectro.ru/prod/insulugs/ilugs/nkin/nkin_10_6/" TargetMode="External"/><Relationship Id="rId1171" Type="http://schemas.openxmlformats.org/officeDocument/2006/relationships/hyperlink" Target="https://techelectro.ru/prod/bolt-lugs/wire10-240/sbp/4sbp_150-240/" TargetMode="External"/><Relationship Id="rId2222" Type="http://schemas.openxmlformats.org/officeDocument/2006/relationships/hyperlink" Target="https://techelectro.ru/prod/hstubes/hstube/ygtutng/tutng10-5/" TargetMode="External"/><Relationship Id="rId5378" Type="http://schemas.openxmlformats.org/officeDocument/2006/relationships/hyperlink" Target="https://techelectro.ru/prod/cable_entry/cable_entry_plastic/kvp-m8-black/sku_88662/" TargetMode="External"/><Relationship Id="rId5792" Type="http://schemas.openxmlformats.org/officeDocument/2006/relationships/hyperlink" Target="https://techelectro.ru/prod/staples/smd_inox/smd_inox_60-63/" TargetMode="External"/><Relationship Id="rId1988" Type="http://schemas.openxmlformats.org/officeDocument/2006/relationships/hyperlink" Target="https://techelectro.ru/prod/cable_kits_acs/ku/ku2/" TargetMode="External"/><Relationship Id="rId4394" Type="http://schemas.openxmlformats.org/officeDocument/2006/relationships/hyperlink" Target="https://techelectro.ru/prod/ties/nylonties/kss/kss3h120/" TargetMode="External"/><Relationship Id="rId5445" Type="http://schemas.openxmlformats.org/officeDocument/2006/relationships/hyperlink" Target="https://techelectro.ru/prod/metal-hose-fittings/hose/r3cpnglsp/r3cpnglsp-12/" TargetMode="External"/><Relationship Id="rId4047" Type="http://schemas.openxmlformats.org/officeDocument/2006/relationships/hyperlink" Target="https://techelectro.ru/prod/maintenance_tools/rj-crimp/jt-210/sku_84824/" TargetMode="External"/><Relationship Id="rId4461" Type="http://schemas.openxmlformats.org/officeDocument/2006/relationships/hyperlink" Target="https://techelectro.ru/prod/ties/nylonties/nss/sku_87777/" TargetMode="External"/><Relationship Id="rId5512" Type="http://schemas.openxmlformats.org/officeDocument/2006/relationships/hyperlink" Target="https://techelectro.ru/prod/metal-hose-fittings/hose/mrping-diesel_p/sku_88469/" TargetMode="External"/><Relationship Id="rId3063" Type="http://schemas.openxmlformats.org/officeDocument/2006/relationships/hyperlink" Target="https://techelectro.ru/prod/wiring-tools/crimpers_pgr/hv-crimpers/matrix_pg100t/msh-50-2a-100t/" TargetMode="External"/><Relationship Id="rId4114" Type="http://schemas.openxmlformats.org/officeDocument/2006/relationships/hyperlink" Target="https://techelectro.ru/prod/protection-safety/bags_packs/sm11/sku_102646/" TargetMode="External"/><Relationship Id="rId1708" Type="http://schemas.openxmlformats.org/officeDocument/2006/relationships/hyperlink" Target="https://techelectro.ru/prod/cable-kits/muffs10kv/1pknt10/1pknt10-150-240/" TargetMode="External"/><Relationship Id="rId3130" Type="http://schemas.openxmlformats.org/officeDocument/2006/relationships/hyperlink" Target="https://techelectro.ru/prod/wiring-tools/cutters_din/steelcutters/trk5/sku_92123/" TargetMode="External"/><Relationship Id="rId2896" Type="http://schemas.openxmlformats.org/officeDocument/2006/relationships/hyperlink" Target="https://techelectro.ru/prod/wiring-tools/crimpers/mechcrimp/pkg50/pkg-50/" TargetMode="External"/><Relationship Id="rId3947" Type="http://schemas.openxmlformats.org/officeDocument/2006/relationships/hyperlink" Target="https://techelectro.ru/prod/construction_hydraulics/jack/jack_hd/dgp/dg-30p50/" TargetMode="External"/><Relationship Id="rId868" Type="http://schemas.openxmlformats.org/officeDocument/2006/relationships/hyperlink" Target="https://techelectro.ru/prod/insulugs/screw_clamp/shni/sku_87183/" TargetMode="External"/><Relationship Id="rId1498" Type="http://schemas.openxmlformats.org/officeDocument/2006/relationships/hyperlink" Target="https://techelectro.ru/prod/cable-kits/muffs1kv/4_5-pktp-1/4pktp-1-150_240/" TargetMode="External"/><Relationship Id="rId2549" Type="http://schemas.openxmlformats.org/officeDocument/2006/relationships/hyperlink" Target="https://techelectro.ru/prod/hstubes/hstubeset/hs-set-kvadro/sku_89785/" TargetMode="External"/><Relationship Id="rId2963" Type="http://schemas.openxmlformats.org/officeDocument/2006/relationships/hyperlink" Target="https://techelectro.ru/prod/wiring-tools/crimpers_pgr/hdcrimp/matricy_nm300nshvi/nm300nshvi/" TargetMode="External"/><Relationship Id="rId6006" Type="http://schemas.openxmlformats.org/officeDocument/2006/relationships/hyperlink" Target="https://techelectro.ru/prod/ground_wire/pzki/pzki-16-600/" TargetMode="External"/><Relationship Id="rId935" Type="http://schemas.openxmlformats.org/officeDocument/2006/relationships/hyperlink" Target="https://techelectro.ru/prod/e-connectors/nshvi/nshvi_1_5_12/" TargetMode="External"/><Relationship Id="rId1565" Type="http://schemas.openxmlformats.org/officeDocument/2006/relationships/hyperlink" Target="https://techelectro.ru/prod/cable-kits/muffs1kv/3stp-1/3stp1-150-240_b/" TargetMode="External"/><Relationship Id="rId2616" Type="http://schemas.openxmlformats.org/officeDocument/2006/relationships/hyperlink" Target="https://techelectro.ru/prod/hstubes/highvoltagetube/tsta/tsta35_14/" TargetMode="External"/><Relationship Id="rId5022" Type="http://schemas.openxmlformats.org/officeDocument/2006/relationships/hyperlink" Target="https://techelectro.ru/prod/strength-ties/screw-ties/pl12-w2/pl-12_90-110_w2/" TargetMode="External"/><Relationship Id="rId1218" Type="http://schemas.openxmlformats.org/officeDocument/2006/relationships/hyperlink" Target="https://techelectro.ru/prod/bolt-lugs/wire300-800/3nbel/3nbe_300-400l/" TargetMode="External"/><Relationship Id="rId1632" Type="http://schemas.openxmlformats.org/officeDocument/2006/relationships/hyperlink" Target="https://techelectro.ru/prod/cable-kits/muffs1kv/5pst-1/5pstb1-16-25_b/" TargetMode="External"/><Relationship Id="rId4788" Type="http://schemas.openxmlformats.org/officeDocument/2006/relationships/hyperlink" Target="https://techelectro.ru/prod/steel-ties/steel_ties-labels/sks316/sks316-12x400/" TargetMode="External"/><Relationship Id="rId5839" Type="http://schemas.openxmlformats.org/officeDocument/2006/relationships/hyperlink" Target="https://techelectro.ru/prod/staples/smdp/smd-p_31-32/" TargetMode="External"/><Relationship Id="rId4855" Type="http://schemas.openxmlformats.org/officeDocument/2006/relationships/hyperlink" Target="https://techelectro.ru/prod/steel-ties/steel_ties-labels/sks316p/sks316p-12x1000/" TargetMode="External"/><Relationship Id="rId5906" Type="http://schemas.openxmlformats.org/officeDocument/2006/relationships/hyperlink" Target="https://techelectro.ru/prod/staples/spp/spp_4/" TargetMode="External"/><Relationship Id="rId3457" Type="http://schemas.openxmlformats.org/officeDocument/2006/relationships/hyperlink" Target="https://techelectro.ru/prod/wiring-tools/unwinding/fishtape/fgp3_5/fgp3_5-20r/" TargetMode="External"/><Relationship Id="rId3871" Type="http://schemas.openxmlformats.org/officeDocument/2006/relationships/hyperlink" Target="https://techelectro.ru/prod/metalworking-tools/ft_wrench/ratchet-wrench-joint-piece/ratchet-wrench-joint-piece-14/" TargetMode="External"/><Relationship Id="rId4508" Type="http://schemas.openxmlformats.org/officeDocument/2006/relationships/hyperlink" Target="https://techelectro.ru/prod/ties/nylonties/kss-uv/kss9h650black/" TargetMode="External"/><Relationship Id="rId4922" Type="http://schemas.openxmlformats.org/officeDocument/2006/relationships/hyperlink" Target="https://techelectro.ru/prod/steel-ties/steel_ties-labels/skbp316/skbp9x450/" TargetMode="External"/><Relationship Id="rId378" Type="http://schemas.openxmlformats.org/officeDocument/2006/relationships/hyperlink" Target="https://techelectro.ru/prod/cable-lugs/cu/lugset-gml-p/sku_86559/" TargetMode="External"/><Relationship Id="rId792" Type="http://schemas.openxmlformats.org/officeDocument/2006/relationships/hyperlink" Target="https://techelectro.ru/prod/insulugs/iquick/gsit200/sku_83609/" TargetMode="External"/><Relationship Id="rId2059" Type="http://schemas.openxmlformats.org/officeDocument/2006/relationships/hyperlink" Target="https://techelectro.ru/prod/hstubes/hstube/tutng-color/sku_102189/" TargetMode="External"/><Relationship Id="rId2473" Type="http://schemas.openxmlformats.org/officeDocument/2006/relationships/hyperlink" Target="https://techelectro.ru/prod/hstubes/gluetube/ttk41/sku_84880/" TargetMode="External"/><Relationship Id="rId3524" Type="http://schemas.openxmlformats.org/officeDocument/2006/relationships/hyperlink" Target="https://techelectro.ru/prod/wiring-tools/bags_sets/nie4/nie-04/" TargetMode="External"/><Relationship Id="rId445" Type="http://schemas.openxmlformats.org/officeDocument/2006/relationships/hyperlink" Target="https://techelectro.ru/prod/cable-lugs/al/gam/sku_90855/" TargetMode="External"/><Relationship Id="rId1075" Type="http://schemas.openxmlformats.org/officeDocument/2006/relationships/hyperlink" Target="https://techelectro.ru/prod/e-connectors/nshviset2/set2-nshvi/" TargetMode="External"/><Relationship Id="rId2126" Type="http://schemas.openxmlformats.org/officeDocument/2006/relationships/hyperlink" Target="https://techelectro.ru/prod/hstubes/hstube/tnt_hf/sku_82968/" TargetMode="External"/><Relationship Id="rId2540" Type="http://schemas.openxmlformats.org/officeDocument/2006/relationships/hyperlink" Target="https://techelectro.ru/prod/hstubes/hstubeset/germokomplekt/germokomplekt-12-4/" TargetMode="External"/><Relationship Id="rId5696" Type="http://schemas.openxmlformats.org/officeDocument/2006/relationships/hyperlink" Target="https://techelectro.ru/prod/metal-hose-fittings/fittings/stm-l/sku_88865/" TargetMode="External"/><Relationship Id="rId512" Type="http://schemas.openxmlformats.org/officeDocument/2006/relationships/hyperlink" Target="https://techelectro.ru/prod/insulugs/ilugs/nki_easyfix/sku_90890/" TargetMode="External"/><Relationship Id="rId1142" Type="http://schemas.openxmlformats.org/officeDocument/2006/relationships/hyperlink" Target="https://techelectro.ru/prod/clamps_wago-smk/smk-2273/sku_90367/" TargetMode="External"/><Relationship Id="rId4298" Type="http://schemas.openxmlformats.org/officeDocument/2006/relationships/hyperlink" Target="https://techelectro.ru/prod/abcarm/abctools/rm-6k/sku_110536/" TargetMode="External"/><Relationship Id="rId5349" Type="http://schemas.openxmlformats.org/officeDocument/2006/relationships/hyperlink" Target="https://techelectro.ru/prod/cable_entry/cable_entry_plastic/m/m25/" TargetMode="External"/><Relationship Id="rId4365" Type="http://schemas.openxmlformats.org/officeDocument/2006/relationships/hyperlink" Target="https://techelectro.ru/prod/digital_meters/lan-tester/kt468c/sku_88552/" TargetMode="External"/><Relationship Id="rId5763" Type="http://schemas.openxmlformats.org/officeDocument/2006/relationships/hyperlink" Target="https://techelectro.ru/prod/metal-hose-fittings/fittings/krvt/krvt15/" TargetMode="External"/><Relationship Id="rId1959" Type="http://schemas.openxmlformats.org/officeDocument/2006/relationships/hyperlink" Target="https://techelectro.ru/prod/cable_kits_acs/tlk/sku_84911/" TargetMode="External"/><Relationship Id="rId4018" Type="http://schemas.openxmlformats.org/officeDocument/2006/relationships/hyperlink" Target="https://techelectro.ru/prod/construction_hydraulics/flange_spreaders/rg8/sku_87720/" TargetMode="External"/><Relationship Id="rId5416" Type="http://schemas.openxmlformats.org/officeDocument/2006/relationships/hyperlink" Target="https://techelectro.ru/prod/metal-hose-fittings/hose/mrping_nord/mrping75_nord/" TargetMode="External"/><Relationship Id="rId5830" Type="http://schemas.openxmlformats.org/officeDocument/2006/relationships/hyperlink" Target="https://techelectro.ru/prod/staples/smop/smo-p_31-32/" TargetMode="External"/><Relationship Id="rId3381" Type="http://schemas.openxmlformats.org/officeDocument/2006/relationships/hyperlink" Target="https://techelectro.ru/prod/wiring-tools/unwinding/hvltools/chms/sku_109876/" TargetMode="External"/><Relationship Id="rId4432" Type="http://schemas.openxmlformats.org/officeDocument/2006/relationships/hyperlink" Target="https://techelectro.ru/prod/ties/nylonties/kss_multilock_white/sku_102301/" TargetMode="External"/><Relationship Id="rId3034" Type="http://schemas.openxmlformats.org/officeDocument/2006/relationships/hyperlink" Target="https://techelectro.ru/prod/wiring-tools/crimpers_pgr/hv-crimpers/matrix_pg100t/a-51-100t/" TargetMode="External"/><Relationship Id="rId2050" Type="http://schemas.openxmlformats.org/officeDocument/2006/relationships/hyperlink" Target="https://techelectro.ru/prod/hstubes/hstube/tutng-color/sku_102180/" TargetMode="External"/><Relationship Id="rId3101" Type="http://schemas.openxmlformats.org/officeDocument/2006/relationships/hyperlink" Target="https://techelectro.ru/prod/wiring-tools/cutters/sectioncutters/ns100/ns-100/" TargetMode="External"/><Relationship Id="rId5273" Type="http://schemas.openxmlformats.org/officeDocument/2006/relationships/hyperlink" Target="https://techelectro.ru/prod/cable_entry/cable_entry_metal/kvmm12/sku_88248/" TargetMode="External"/><Relationship Id="rId839" Type="http://schemas.openxmlformats.org/officeDocument/2006/relationships/hyperlink" Target="https://techelectro.ru/prod/insulugs/screw_clamp/zvi-u/sku_109256/" TargetMode="External"/><Relationship Id="rId1469" Type="http://schemas.openxmlformats.org/officeDocument/2006/relationships/hyperlink" Target="https://techelectro.ru/prod/cable-kits/muffs1kv/2-pktp-1/2pktp-1-_70_120/" TargetMode="External"/><Relationship Id="rId2867" Type="http://schemas.openxmlformats.org/officeDocument/2006/relationships/hyperlink" Target="https://techelectro.ru/prod/wiring-tools/crimpers/insulugs-crimp/uni/set_uni/" TargetMode="External"/><Relationship Id="rId3918" Type="http://schemas.openxmlformats.org/officeDocument/2006/relationships/hyperlink" Target="https://techelectro.ru/prod/metalworking-tools/ft_knives/slt5/slt-5/" TargetMode="External"/><Relationship Id="rId5340" Type="http://schemas.openxmlformats.org/officeDocument/2006/relationships/hyperlink" Target="https://techelectro.ru/prod/cable_entry/cable_entry_plastic/mg/mg63/" TargetMode="External"/><Relationship Id="rId1883" Type="http://schemas.openxmlformats.org/officeDocument/2006/relationships/hyperlink" Target="https://techelectro.ru/prod/cable_kits_acs/tpi-mini/sku_84674/" TargetMode="External"/><Relationship Id="rId2934" Type="http://schemas.openxmlformats.org/officeDocument/2006/relationships/hyperlink" Target="https://techelectro.ru/prod/wiring-tools/crimpers_pgr/hdcrimp/pgrs240u/pgrs-240u/" TargetMode="External"/><Relationship Id="rId906" Type="http://schemas.openxmlformats.org/officeDocument/2006/relationships/hyperlink" Target="https://techelectro.ru/prod/insulugs/autoterminals/nk_2_5-5/sku_109242/" TargetMode="External"/><Relationship Id="rId1536" Type="http://schemas.openxmlformats.org/officeDocument/2006/relationships/hyperlink" Target="https://techelectro.ru/prod/cable-kits/muffs1kv/4rktp1/4rktp1-70-120/" TargetMode="External"/><Relationship Id="rId1950" Type="http://schemas.openxmlformats.org/officeDocument/2006/relationships/hyperlink" Target="https://techelectro.ru/prod/cable_kits_acs/pml/pml-16-1000/" TargetMode="External"/><Relationship Id="rId1603" Type="http://schemas.openxmlformats.org/officeDocument/2006/relationships/hyperlink" Target="https://techelectro.ru/prod/cable-kits/muffs1kv/4_5pst-1/4pst1-150-240/" TargetMode="External"/><Relationship Id="rId4759" Type="http://schemas.openxmlformats.org/officeDocument/2006/relationships/hyperlink" Target="https://techelectro.ru/prod/ties/markers/up/up255r/" TargetMode="External"/><Relationship Id="rId3775" Type="http://schemas.openxmlformats.org/officeDocument/2006/relationships/hyperlink" Target="https://techelectro.ru/prod/metalworking-tools/ft_pliers/combpliersft200new/pliersft-200/" TargetMode="External"/><Relationship Id="rId4826" Type="http://schemas.openxmlformats.org/officeDocument/2006/relationships/hyperlink" Target="https://techelectro.ru/prod/steel-ties/steel_ties-labels/sks304_50pcs/sku_103082/" TargetMode="External"/><Relationship Id="rId696" Type="http://schemas.openxmlformats.org/officeDocument/2006/relationships/hyperlink" Target="https://techelectro.ru/prod/insulugs/iplug/vrpip/sku_108620/" TargetMode="External"/><Relationship Id="rId2377" Type="http://schemas.openxmlformats.org/officeDocument/2006/relationships/hyperlink" Target="https://techelectro.ru/prod/hstubes/gluetube/ttk31_inrolls/sku_89_694/" TargetMode="External"/><Relationship Id="rId2791" Type="http://schemas.openxmlformats.org/officeDocument/2006/relationships/hyperlink" Target="https://techelectro.ru/prod/insulating/xv/sku_90930/" TargetMode="External"/><Relationship Id="rId3428" Type="http://schemas.openxmlformats.org/officeDocument/2006/relationships/hyperlink" Target="https://techelectro.ru/prod/wiring-tools/unwinding/traction_winches/lta-5/sku_88397/" TargetMode="External"/><Relationship Id="rId349" Type="http://schemas.openxmlformats.org/officeDocument/2006/relationships/hyperlink" Target="https://techelectro.ru/prod/cable-lugs/cu/gmls/sku_88079/" TargetMode="External"/><Relationship Id="rId763" Type="http://schemas.openxmlformats.org/officeDocument/2006/relationships/hyperlink" Target="https://techelectro.ru/prod/insulugs/iquick/gsi/sku_108956/" TargetMode="External"/><Relationship Id="rId1393" Type="http://schemas.openxmlformats.org/officeDocument/2006/relationships/hyperlink" Target="https://techelectro.ru/prod/cable-kits/kits-ngls-10kv/3pkvntp-10_ng-ls/sku_92349/" TargetMode="External"/><Relationship Id="rId2444" Type="http://schemas.openxmlformats.org/officeDocument/2006/relationships/hyperlink" Target="https://techelectro.ru/prod/hstubes/gluetube/ttk31_yellow/sku_102415/" TargetMode="External"/><Relationship Id="rId3842" Type="http://schemas.openxmlformats.org/officeDocument/2006/relationships/hyperlink" Target="https://techelectro.ru/prod/metalworking-tools/ft_pumpliers/adjustable_pliers_300profi/sku_92363/" TargetMode="External"/><Relationship Id="rId416" Type="http://schemas.openxmlformats.org/officeDocument/2006/relationships/hyperlink" Target="https://techelectro.ru/prod/cable-lugs/al/gam/sku_90831/" TargetMode="External"/><Relationship Id="rId1046" Type="http://schemas.openxmlformats.org/officeDocument/2006/relationships/hyperlink" Target="https://techelectro.ru/prod/e-connectors/nshvi2_euro/sku_108978/" TargetMode="External"/><Relationship Id="rId830" Type="http://schemas.openxmlformats.org/officeDocument/2006/relationships/hyperlink" Target="https://techelectro.ru/prod/insulugs/screw_clamp/zvi-u/sku_87154/" TargetMode="External"/><Relationship Id="rId1460" Type="http://schemas.openxmlformats.org/officeDocument/2006/relationships/hyperlink" Target="https://techelectro.ru/prod/cable-kits/muffs1kv/3-kvntp-1/3kvntp1-150-240_b/" TargetMode="External"/><Relationship Id="rId2511" Type="http://schemas.openxmlformats.org/officeDocument/2006/relationships/hyperlink" Target="https://techelectro.ru/prod/hstubes/gluetube/nttk31/sku_79831/" TargetMode="External"/><Relationship Id="rId5667" Type="http://schemas.openxmlformats.org/officeDocument/2006/relationships/hyperlink" Target="https://techelectro.ru/prod/metal-hose-fittings/fittings/vmu/vmu50/" TargetMode="External"/><Relationship Id="rId1113" Type="http://schemas.openxmlformats.org/officeDocument/2006/relationships/hyperlink" Target="https://techelectro.ru/prod/clamps_wago-smk/smk_221-415/sku_87646/" TargetMode="External"/><Relationship Id="rId4269" Type="http://schemas.openxmlformats.org/officeDocument/2006/relationships/hyperlink" Target="https://techelectro.ru/prod/abcarm/sealinslugs/nim-cptau25/sku_109229/" TargetMode="External"/><Relationship Id="rId4683" Type="http://schemas.openxmlformats.org/officeDocument/2006/relationships/hyperlink" Target="https://techelectro.ru/prod/ties/nylonties/ksk/ksk_8-280/" TargetMode="External"/><Relationship Id="rId5734" Type="http://schemas.openxmlformats.org/officeDocument/2006/relationships/hyperlink" Target="https://techelectro.ru/prod/metal-hose-fittings/fittings/atk/sku_92328/" TargetMode="External"/><Relationship Id="rId3285" Type="http://schemas.openxmlformats.org/officeDocument/2006/relationships/hyperlink" Target="https://techelectro.ru/prod/wiring-tools/bustools/shr200vneo/sku_85142/" TargetMode="External"/><Relationship Id="rId4336" Type="http://schemas.openxmlformats.org/officeDocument/2006/relationships/hyperlink" Target="https://techelectro.ru/prod/digital_meters/multimeters/kt207d/sku_91920/" TargetMode="External"/><Relationship Id="rId4750" Type="http://schemas.openxmlformats.org/officeDocument/2006/relationships/hyperlink" Target="https://techelectro.ru/prod/ties/markers/u136r/u-136r/" TargetMode="External"/><Relationship Id="rId5801" Type="http://schemas.openxmlformats.org/officeDocument/2006/relationships/hyperlink" Target="https://techelectro.ru/prod/staples/smo/smo_31_32/" TargetMode="External"/><Relationship Id="rId3352" Type="http://schemas.openxmlformats.org/officeDocument/2006/relationships/hyperlink" Target="https://techelectro.ru/prod/wiring-tools/unwinding/hvltools/dk2gmp/sku_109529/" TargetMode="External"/><Relationship Id="rId4403" Type="http://schemas.openxmlformats.org/officeDocument/2006/relationships/hyperlink" Target="https://techelectro.ru/prod/ties/nylonties/kss/kss4h370/" TargetMode="External"/><Relationship Id="rId273" Type="http://schemas.openxmlformats.org/officeDocument/2006/relationships/hyperlink" Target="https://techelectro.ru/prod/cable-lugs/cu/tmls45/tmls_45_25-8/" TargetMode="External"/><Relationship Id="rId3005" Type="http://schemas.openxmlformats.org/officeDocument/2006/relationships/hyperlink" Target="https://techelectro.ru/prod/wiring-tools/crimpers_pgr/hv-crimpers/matrix_pg60t/msh-39-8/" TargetMode="External"/><Relationship Id="rId340" Type="http://schemas.openxmlformats.org/officeDocument/2006/relationships/hyperlink" Target="https://techelectro.ru/prod/cable-lugs/cu/gmlo/gmlo_0-34/" TargetMode="External"/><Relationship Id="rId2021" Type="http://schemas.openxmlformats.org/officeDocument/2006/relationships/hyperlink" Target="https://techelectro.ru/prod/ukpt_ogt/ukpto/sku_87832/" TargetMode="External"/><Relationship Id="rId5177" Type="http://schemas.openxmlformats.org/officeDocument/2006/relationships/hyperlink" Target="https://techelectro.ru/prod/cable_entry/cable_entry_metal/mgm-l/sku_88621/" TargetMode="External"/><Relationship Id="rId4193" Type="http://schemas.openxmlformats.org/officeDocument/2006/relationships/hyperlink" Target="https://techelectro.ru/prod/abcarm/pierce/zpo_6-95_1_5-10/sku_108661/" TargetMode="External"/><Relationship Id="rId5591" Type="http://schemas.openxmlformats.org/officeDocument/2006/relationships/hyperlink" Target="https://techelectro.ru/prod/metal-hose-fittings/hose/mrn-inox_p/sku_87706/" TargetMode="External"/><Relationship Id="rId1787" Type="http://schemas.openxmlformats.org/officeDocument/2006/relationships/hyperlink" Target="https://techelectro.ru/prod/cable-kits/muffs10kv/1pst10/1pst10-70-120_b/" TargetMode="External"/><Relationship Id="rId2838" Type="http://schemas.openxmlformats.org/officeDocument/2006/relationships/hyperlink" Target="https://techelectro.ru/prod/wiring-tools/crimpers/insulugs-crimp/ctb/ctb06/" TargetMode="External"/><Relationship Id="rId5244" Type="http://schemas.openxmlformats.org/officeDocument/2006/relationships/hyperlink" Target="https://techelectro.ru/prod/cable_entry/cable_entry_metal/vk-m-mr-inox/sku_89112/" TargetMode="External"/><Relationship Id="rId79" Type="http://schemas.openxmlformats.org/officeDocument/2006/relationships/hyperlink" Target="https://techelectro.ru/prod/cable-lugs/cu/tml/tml_150_12_20/" TargetMode="External"/><Relationship Id="rId1854" Type="http://schemas.openxmlformats.org/officeDocument/2006/relationships/hyperlink" Target="https://techelectro.ru/prod/cable-kits/muffs-35kv/3pkntp-35/sku_110682/" TargetMode="External"/><Relationship Id="rId2905" Type="http://schemas.openxmlformats.org/officeDocument/2006/relationships/hyperlink" Target="https://techelectro.ru/prod/wiring-tools/crimpers/conn-crimp/pkvk10/pkvk-10/" TargetMode="External"/><Relationship Id="rId4260" Type="http://schemas.openxmlformats.org/officeDocument/2006/relationships/hyperlink" Target="https://techelectro.ru/prod/abcarm/sealinslugs/gin-mjpt54n/sku_103156/" TargetMode="External"/><Relationship Id="rId5311" Type="http://schemas.openxmlformats.org/officeDocument/2006/relationships/hyperlink" Target="https://techelectro.ru/prod/cable_entry/cable_entry_plastic/pg_black/sku_88648/" TargetMode="External"/><Relationship Id="rId1507" Type="http://schemas.openxmlformats.org/officeDocument/2006/relationships/hyperlink" Target="https://techelectro.ru/prod/cable-kits/muffs1kv/4_5-pktp-1/4pktp_b-1-_70_120/" TargetMode="External"/><Relationship Id="rId1921" Type="http://schemas.openxmlformats.org/officeDocument/2006/relationships/hyperlink" Target="https://techelectro.ru/prod/cable_kits_acs/trm/trm_43_8-600/" TargetMode="External"/><Relationship Id="rId3679" Type="http://schemas.openxmlformats.org/officeDocument/2006/relationships/hyperlink" Target="https://techelectro.ru/prod/vdetools/vde-sets/vde-wrench-sets/nii28/sku_92330/" TargetMode="External"/><Relationship Id="rId1297" Type="http://schemas.openxmlformats.org/officeDocument/2006/relationships/hyperlink" Target="https://techelectro.ru/prod/cable-kits/kits-ngls-1kv/3stp-ngls/3stpngls1-150-240/" TargetMode="External"/><Relationship Id="rId2695" Type="http://schemas.openxmlformats.org/officeDocument/2006/relationships/hyperlink" Target="https://techelectro.ru/prod/insulating/pvc19-heavy/sku_90820/" TargetMode="External"/><Relationship Id="rId3746" Type="http://schemas.openxmlformats.org/officeDocument/2006/relationships/hyperlink" Target="https://techelectro.ru/prod/electric-tools/accessories/crowns/sf-d70_m16/sku_85565/" TargetMode="External"/><Relationship Id="rId667" Type="http://schemas.openxmlformats.org/officeDocument/2006/relationships/hyperlink" Target="https://techelectro.ru/prod/insulugs/iplug/rpim/rpim_25_48/" TargetMode="External"/><Relationship Id="rId2348" Type="http://schemas.openxmlformats.org/officeDocument/2006/relationships/hyperlink" Target="https://techelectro.ru/prod/hstubes/gluetube/ttk21/ttk21-9b/" TargetMode="External"/><Relationship Id="rId2762" Type="http://schemas.openxmlformats.org/officeDocument/2006/relationships/hyperlink" Target="https://techelectro.ru/prod/insulating/xp_bw/sku_102336/" TargetMode="External"/><Relationship Id="rId3813" Type="http://schemas.openxmlformats.org/officeDocument/2006/relationships/hyperlink" Target="https://techelectro.ru/prod/metalworking-tools/ft_screwdrivers/no06-38/sku_92360/" TargetMode="External"/><Relationship Id="rId734" Type="http://schemas.openxmlformats.org/officeDocument/2006/relationships/hyperlink" Target="https://techelectro.ru/prod/insulugs/iplug/ov/ov2/" TargetMode="External"/><Relationship Id="rId1364" Type="http://schemas.openxmlformats.org/officeDocument/2006/relationships/hyperlink" Target="https://techelectro.ru/prod/cable-kits/kits-ngls-1kv/pst-mini-ng_ls/sku_88057/" TargetMode="External"/><Relationship Id="rId2415" Type="http://schemas.openxmlformats.org/officeDocument/2006/relationships/hyperlink" Target="https://techelectro.ru/prod/hstubes/gluetube/ttk31_red/sku_85064/" TargetMode="External"/><Relationship Id="rId5985" Type="http://schemas.openxmlformats.org/officeDocument/2006/relationships/hyperlink" Target="https://techelectro.ru/prod/ground_wire/pz/sku_88369/" TargetMode="External"/><Relationship Id="rId70" Type="http://schemas.openxmlformats.org/officeDocument/2006/relationships/hyperlink" Target="https://techelectro.ru/prod/cable-lugs/cu/tml/tml_95-12-16/" TargetMode="External"/><Relationship Id="rId801" Type="http://schemas.openxmlformats.org/officeDocument/2006/relationships/hyperlink" Target="https://techelectro.ru/prod/insulugs/iquick/iquicksets-pkt/sku_91013/" TargetMode="External"/><Relationship Id="rId1017" Type="http://schemas.openxmlformats.org/officeDocument/2006/relationships/hyperlink" Target="https://techelectro.ru/prod/e-connectors/nshvi2/nshvi2_1_5-8/" TargetMode="External"/><Relationship Id="rId1431" Type="http://schemas.openxmlformats.org/officeDocument/2006/relationships/hyperlink" Target="https://techelectro.ru/prod/cable-kits/kits-ngls-10kv/3rst-10ng-_ls/sku_88141/" TargetMode="External"/><Relationship Id="rId4587" Type="http://schemas.openxmlformats.org/officeDocument/2006/relationships/hyperlink" Target="https://techelectro.ru/prod/ties/nylonties/kss100-nord_white/sku_89939/" TargetMode="External"/><Relationship Id="rId5638" Type="http://schemas.openxmlformats.org/officeDocument/2006/relationships/hyperlink" Target="https://techelectro.ru/prod/metal-hose-fittings/fittings/vm-m/sku_88907/" TargetMode="External"/><Relationship Id="rId3189" Type="http://schemas.openxmlformats.org/officeDocument/2006/relationships/hyperlink" Target="https://techelectro.ru/prod/wiring-tools/strippers/wire-strip/ws06vde/sku_106408/" TargetMode="External"/><Relationship Id="rId4654" Type="http://schemas.openxmlformats.org/officeDocument/2006/relationships/hyperlink" Target="https://techelectro.ru/prod/ties/nylonties/ksu/ksu9x180/" TargetMode="External"/><Relationship Id="rId3256" Type="http://schemas.openxmlformats.org/officeDocument/2006/relationships/hyperlink" Target="https://techelectro.ru/prod/wiring-tools/boxtools/singlempo/sku_87935/" TargetMode="External"/><Relationship Id="rId4307" Type="http://schemas.openxmlformats.org/officeDocument/2006/relationships/hyperlink" Target="https://techelectro.ru/prod/abcarm/abctools/ps120u/ps-120u/" TargetMode="External"/><Relationship Id="rId5705" Type="http://schemas.openxmlformats.org/officeDocument/2006/relationships/hyperlink" Target="https://techelectro.ru/prod/metal-hose-fittings/fittings/smm/smm20/" TargetMode="External"/><Relationship Id="rId177" Type="http://schemas.openxmlformats.org/officeDocument/2006/relationships/hyperlink" Target="https://techelectro.ru/prod/cable-lugs/cu/tmlr/sku_87470/" TargetMode="External"/><Relationship Id="rId591" Type="http://schemas.openxmlformats.org/officeDocument/2006/relationships/hyperlink" Target="https://techelectro.ru/prod/insulugs/ilugs/nvi_easyfix/sku_90902/" TargetMode="External"/><Relationship Id="rId2272" Type="http://schemas.openxmlformats.org/officeDocument/2006/relationships/hyperlink" Target="https://techelectro.ru/prod/hstubes/hstube/tut-hf/sku_84967/" TargetMode="External"/><Relationship Id="rId3670" Type="http://schemas.openxmlformats.org/officeDocument/2006/relationships/hyperlink" Target="https://techelectro.ru/prod/vdetools/vde-sets/vde-wrench-sets/nik-r10/sku_105670/" TargetMode="External"/><Relationship Id="rId4721" Type="http://schemas.openxmlformats.org/officeDocument/2006/relationships/hyperlink" Target="https://techelectro.ru/prod/ties/montage-acs/pmo_15h10_black/pmo15x10b/" TargetMode="External"/><Relationship Id="rId244" Type="http://schemas.openxmlformats.org/officeDocument/2006/relationships/hyperlink" Target="https://techelectro.ru/prod/cable-lugs/cu/nshml/sku_87465/" TargetMode="External"/><Relationship Id="rId3323" Type="http://schemas.openxmlformats.org/officeDocument/2006/relationships/hyperlink" Target="https://techelectro.ru/prod/wiring-tools/hdrtools/hdr_tools/pmr7020-k2/pmr-7020-k2/" TargetMode="External"/><Relationship Id="rId5495" Type="http://schemas.openxmlformats.org/officeDocument/2006/relationships/hyperlink" Target="https://techelectro.ru/prod/metal-hose-fittings/hose/mrping_p_grey/sku_88308/" TargetMode="External"/><Relationship Id="rId311" Type="http://schemas.openxmlformats.org/officeDocument/2006/relationships/hyperlink" Target="https://techelectro.ru/prod/cable-lugs/cu/gml/gml_70/" TargetMode="External"/><Relationship Id="rId4097" Type="http://schemas.openxmlformats.org/officeDocument/2006/relationships/hyperlink" Target="https://techelectro.ru/prod/protection-safety/bags_packs/s22/s-22/" TargetMode="External"/><Relationship Id="rId5148" Type="http://schemas.openxmlformats.org/officeDocument/2006/relationships/hyperlink" Target="https://techelectro.ru/prod/cable_entry/cable_entry_metal/mgm/mgm20/" TargetMode="External"/><Relationship Id="rId5562" Type="http://schemas.openxmlformats.org/officeDocument/2006/relationships/hyperlink" Target="https://techelectro.ru/prod/metal-hose-fittings/hose/mrping-inox/mrnping-inox-25/" TargetMode="External"/><Relationship Id="rId1758" Type="http://schemas.openxmlformats.org/officeDocument/2006/relationships/hyperlink" Target="https://techelectro.ru/prod/cable-kits/muffs10kv/3kvtp-10/3kvtp10-150-241/" TargetMode="External"/><Relationship Id="rId2809" Type="http://schemas.openxmlformats.org/officeDocument/2006/relationships/hyperlink" Target="https://techelectro.ru/prod/wiring-tools/crimpers/insulugs-crimp/ctk/ctk11/" TargetMode="External"/><Relationship Id="rId4164" Type="http://schemas.openxmlformats.org/officeDocument/2006/relationships/hyperlink" Target="https://techelectro.ru/prod/protection-safety/flashlights/hl6707/sku_103875/" TargetMode="External"/><Relationship Id="rId5215" Type="http://schemas.openxmlformats.org/officeDocument/2006/relationships/hyperlink" Target="https://techelectro.ru/prod/cable_entry/cable_entry_metal/pgm/pgm13/" TargetMode="External"/><Relationship Id="rId3180" Type="http://schemas.openxmlformats.org/officeDocument/2006/relationships/hyperlink" Target="https://techelectro.ru/prod/wiring-tools/strippers/wire-strip/ws11/ws-11/" TargetMode="External"/><Relationship Id="rId4231" Type="http://schemas.openxmlformats.org/officeDocument/2006/relationships/hyperlink" Target="https://techelectro.ru/prod/abcarm/anchor/ppz90/ppz-90/" TargetMode="External"/><Relationship Id="rId1825" Type="http://schemas.openxmlformats.org/officeDocument/2006/relationships/hyperlink" Target="https://techelectro.ru/prod/cable-kits/muffs10kv/3p3bspt10/3p3bspt10-35-50b/" TargetMode="External"/><Relationship Id="rId3997" Type="http://schemas.openxmlformats.org/officeDocument/2006/relationships/hyperlink" Target="https://techelectro.ru/prod/construction_hydraulics/hydraulic_pullers/sga15/sku_89422/" TargetMode="External"/><Relationship Id="rId6056" Type="http://schemas.openxmlformats.org/officeDocument/2006/relationships/hyperlink" Target="https://techelectro.ru/prod/ground_wire/uhz/uhz-40-60-w2/" TargetMode="External"/><Relationship Id="rId2599" Type="http://schemas.openxmlformats.org/officeDocument/2006/relationships/hyperlink" Target="https://techelectro.ru/prod/hstubes/highvoltagetube/ttsh10/sku_84899/" TargetMode="External"/><Relationship Id="rId985" Type="http://schemas.openxmlformats.org/officeDocument/2006/relationships/hyperlink" Target="https://techelectro.ru/prod/e-connectors/nshvi/sku_108923/" TargetMode="External"/><Relationship Id="rId2666" Type="http://schemas.openxmlformats.org/officeDocument/2006/relationships/hyperlink" Target="https://techelectro.ru/prod/hstubes/specialtube/ttmng/sku_102667/" TargetMode="External"/><Relationship Id="rId3717" Type="http://schemas.openxmlformats.org/officeDocument/2006/relationships/hyperlink" Target="https://techelectro.ru/prod/electric-tools/power-saws/pp60n/sku_104868/" TargetMode="External"/><Relationship Id="rId5072" Type="http://schemas.openxmlformats.org/officeDocument/2006/relationships/hyperlink" Target="https://techelectro.ru/prod/strength-ties/screw-ties/sr2/sr60-63w2/" TargetMode="External"/><Relationship Id="rId638" Type="http://schemas.openxmlformats.org/officeDocument/2006/relationships/hyperlink" Target="https://techelectro.ru/prod/insulugs/ilugs/ilugsets-nki/sku_90999/" TargetMode="External"/><Relationship Id="rId1268" Type="http://schemas.openxmlformats.org/officeDocument/2006/relationships/hyperlink" Target="https://techelectro.ru/prod/cable-kits/kits-ngls-1kv/5pktp-1_ngls/5pktpng-ls1-150-240_b/" TargetMode="External"/><Relationship Id="rId1682" Type="http://schemas.openxmlformats.org/officeDocument/2006/relationships/hyperlink" Target="https://techelectro.ru/prod/cable-kits/muffs10kv/3rktp-6/sku_78353/" TargetMode="External"/><Relationship Id="rId2319" Type="http://schemas.openxmlformats.org/officeDocument/2006/relationships/hyperlink" Target="https://techelectro.ru/prod/hstubes/hstube/t-box/tbox4/" TargetMode="External"/><Relationship Id="rId2733" Type="http://schemas.openxmlformats.org/officeDocument/2006/relationships/hyperlink" Target="https://techelectro.ru/prod/insulating/xn/sku_106104/" TargetMode="External"/><Relationship Id="rId5889" Type="http://schemas.openxmlformats.org/officeDocument/2006/relationships/hyperlink" Target="https://techelectro.ru/prod/staples/smr15-inox/smr_inox_60-15/" TargetMode="External"/><Relationship Id="rId705" Type="http://schemas.openxmlformats.org/officeDocument/2006/relationships/hyperlink" Target="https://techelectro.ru/prod/insulugs/iplug/rpipn/rpipn_25/" TargetMode="External"/><Relationship Id="rId1335" Type="http://schemas.openxmlformats.org/officeDocument/2006/relationships/hyperlink" Target="https://techelectro.ru/prod/cable-kits/kits-ngls-1kv/5pst_ngls-1/5pst1-25-50_bngls/" TargetMode="External"/><Relationship Id="rId2800" Type="http://schemas.openxmlformats.org/officeDocument/2006/relationships/hyperlink" Target="https://techelectro.ru/prod/wiring-tools/crimpers/insulugs-crimp/ctk/ctk01/" TargetMode="External"/><Relationship Id="rId5956" Type="http://schemas.openxmlformats.org/officeDocument/2006/relationships/hyperlink" Target="https://techelectro.ru/prod/staples/u/u-3_4/" TargetMode="External"/><Relationship Id="rId41" Type="http://schemas.openxmlformats.org/officeDocument/2006/relationships/hyperlink" Target="https://techelectro.ru/prod/cable-lugs/cu/tml/sku_89401/" TargetMode="External"/><Relationship Id="rId1402" Type="http://schemas.openxmlformats.org/officeDocument/2006/relationships/hyperlink" Target="https://techelectro.ru/prod/cable-kits/kits-ngls-10kv/3rkvtp_ngls/sku_88130/" TargetMode="External"/><Relationship Id="rId4558" Type="http://schemas.openxmlformats.org/officeDocument/2006/relationships/hyperlink" Target="https://techelectro.ru/prod/ties/nylonties/nss-black/sku_89929/" TargetMode="External"/><Relationship Id="rId4972" Type="http://schemas.openxmlformats.org/officeDocument/2006/relationships/hyperlink" Target="https://techelectro.ru/prod/strength-ties/screw-ties/pl9-w1/w1-140-160/" TargetMode="External"/><Relationship Id="rId5609" Type="http://schemas.openxmlformats.org/officeDocument/2006/relationships/hyperlink" Target="https://techelectro.ru/prod/metal-hose-fittings/hose/r3ch/r3-ch-50/" TargetMode="External"/><Relationship Id="rId3574" Type="http://schemas.openxmlformats.org/officeDocument/2006/relationships/hyperlink" Target="https://techelectro.ru/prod/vdetools/vde-screwdrivers/vde-screwdrivers-profi/profi_ph2-100/" TargetMode="External"/><Relationship Id="rId4625" Type="http://schemas.openxmlformats.org/officeDocument/2006/relationships/hyperlink" Target="https://techelectro.ru/prod/ties/nylonties/kss-colors/kss4x200g/" TargetMode="External"/><Relationship Id="rId495" Type="http://schemas.openxmlformats.org/officeDocument/2006/relationships/hyperlink" Target="https://techelectro.ru/prod/insulugs/ilugs/nki/nki_6_0_10/" TargetMode="External"/><Relationship Id="rId2176" Type="http://schemas.openxmlformats.org/officeDocument/2006/relationships/hyperlink" Target="https://techelectro.ru/prod/hstubes/hstube/tnt_hf/sku_83003/" TargetMode="External"/><Relationship Id="rId2590" Type="http://schemas.openxmlformats.org/officeDocument/2006/relationships/hyperlink" Target="https://techelectro.ru/prod/hstubes/highvoltagetube/ttsh10/ttsh10-100/" TargetMode="External"/><Relationship Id="rId3227" Type="http://schemas.openxmlformats.org/officeDocument/2006/relationships/hyperlink" Target="https://techelectro.ru/prod/wiring-tools/boxtools/pgpo115/sku_88211/" TargetMode="External"/><Relationship Id="rId3641" Type="http://schemas.openxmlformats.org/officeDocument/2006/relationships/hyperlink" Target="https://techelectro.ru/prod/vdetools/vde-knives/niu2/niu-02/" TargetMode="External"/><Relationship Id="rId148" Type="http://schemas.openxmlformats.org/officeDocument/2006/relationships/hyperlink" Target="https://techelectro.ru/prod/cable-lugs/cu/tmldin/tml_din_185_16/" TargetMode="External"/><Relationship Id="rId562" Type="http://schemas.openxmlformats.org/officeDocument/2006/relationships/hyperlink" Target="https://techelectro.ru/prod/insulugs/ilugs/vnki/vnki_6_0_8/" TargetMode="External"/><Relationship Id="rId1192" Type="http://schemas.openxmlformats.org/officeDocument/2006/relationships/hyperlink" Target="https://techelectro.ru/prod/bolt-lugs/wire10-240/nbe35/2nbe35_70-120/" TargetMode="External"/><Relationship Id="rId2243" Type="http://schemas.openxmlformats.org/officeDocument/2006/relationships/hyperlink" Target="https://techelectro.ru/prod/hstubes/hstube/tut_hf/sku_83024/" TargetMode="External"/><Relationship Id="rId5399" Type="http://schemas.openxmlformats.org/officeDocument/2006/relationships/hyperlink" Target="https://techelectro.ru/prod/waterproof_connections/ffc-33_5p-ip68/sku_89670/" TargetMode="External"/><Relationship Id="rId215" Type="http://schemas.openxmlformats.org/officeDocument/2006/relationships/hyperlink" Target="https://techelectro.ru/prod/cable-lugs/cu/pm/sku_83598/" TargetMode="External"/><Relationship Id="rId2310" Type="http://schemas.openxmlformats.org/officeDocument/2006/relationships/hyperlink" Target="https://techelectro.ru/prod/hstubes/hstube/tut-hf/tut_hf30-15_blue/" TargetMode="External"/><Relationship Id="rId5466" Type="http://schemas.openxmlformats.org/officeDocument/2006/relationships/hyperlink" Target="https://techelectro.ru/prod/metal-hose-fittings/hose/mrping/sku_64855/" TargetMode="External"/><Relationship Id="rId4068" Type="http://schemas.openxmlformats.org/officeDocument/2006/relationships/hyperlink" Target="https://techelectro.ru/prod/fixing_tools/sts1/sts-1/" TargetMode="External"/><Relationship Id="rId4482" Type="http://schemas.openxmlformats.org/officeDocument/2006/relationships/hyperlink" Target="https://techelectro.ru/prod/ties/nylonties/kss-uv/sku_89904/" TargetMode="External"/><Relationship Id="rId5119" Type="http://schemas.openxmlformats.org/officeDocument/2006/relationships/hyperlink" Target="https://techelectro.ru/prod/strength-ties/pipe-ties/thu/thu1-1_2/" TargetMode="External"/><Relationship Id="rId5880" Type="http://schemas.openxmlformats.org/officeDocument/2006/relationships/hyperlink" Target="https://techelectro.ru/prod/staples/smr15-inox/smr_inox_10-15/" TargetMode="External"/><Relationship Id="rId3084" Type="http://schemas.openxmlformats.org/officeDocument/2006/relationships/hyperlink" Target="https://techelectro.ru/prod/wiring-tools/cutters/wirecutters/nkt30/nkt-30/" TargetMode="External"/><Relationship Id="rId4135" Type="http://schemas.openxmlformats.org/officeDocument/2006/relationships/hyperlink" Target="https://techelectro.ru/prod/protection-safety/protection/s44/s44l/" TargetMode="External"/><Relationship Id="rId5533" Type="http://schemas.openxmlformats.org/officeDocument/2006/relationships/hyperlink" Target="https://techelectro.ru/prod/metal-hose-fittings/hose/mgpunglstitan/mg-pung-ls_32_titan/" TargetMode="External"/><Relationship Id="rId1729" Type="http://schemas.openxmlformats.org/officeDocument/2006/relationships/hyperlink" Target="https://techelectro.ru/prod/cable-kits/muffs10kv/3pkntp-10/3pkntp10-35-50_b/" TargetMode="External"/><Relationship Id="rId5600" Type="http://schemas.openxmlformats.org/officeDocument/2006/relationships/hyperlink" Target="https://techelectro.ru/prod/metal-hose-fittings/hose/r3ch/r3ch12/" TargetMode="External"/><Relationship Id="rId3151" Type="http://schemas.openxmlformats.org/officeDocument/2006/relationships/hyperlink" Target="https://techelectro.ru/prod/wiring-tools/cutters_din/br-brg-cutters/br_750/br-750/" TargetMode="External"/><Relationship Id="rId4202" Type="http://schemas.openxmlformats.org/officeDocument/2006/relationships/hyperlink" Target="https://techelectro.ru/prod/abcarm/pierce/zpo/zpo_16-1/" TargetMode="External"/><Relationship Id="rId3968" Type="http://schemas.openxmlformats.org/officeDocument/2006/relationships/hyperlink" Target="https://techelectro.ru/prod/construction_hydraulics/jack/jack_hd/dup/sku_85186/" TargetMode="External"/><Relationship Id="rId5" Type="http://schemas.openxmlformats.org/officeDocument/2006/relationships/hyperlink" Target="https://techelectro.ru/prod/cable-lugs/cu/tmls/tmls_4_5/" TargetMode="External"/><Relationship Id="rId889" Type="http://schemas.openxmlformats.org/officeDocument/2006/relationships/hyperlink" Target="https://techelectro.ru/prod/insulugs/lighting_clamps/ke10-506/sku_88977/" TargetMode="External"/><Relationship Id="rId5390" Type="http://schemas.openxmlformats.org/officeDocument/2006/relationships/hyperlink" Target="https://techelectro.ru/prod/waterproof_connections/mg_box_xl-6_ip68/sku_101765/" TargetMode="External"/><Relationship Id="rId6027" Type="http://schemas.openxmlformats.org/officeDocument/2006/relationships/hyperlink" Target="https://techelectro.ru/prod/ground_wire/pzu/pzu-10-400/" TargetMode="External"/><Relationship Id="rId1586" Type="http://schemas.openxmlformats.org/officeDocument/2006/relationships/hyperlink" Target="https://techelectro.ru/prod/cable-kits/muffs1kv/3pst-1/3pst1-70-120/" TargetMode="External"/><Relationship Id="rId2984" Type="http://schemas.openxmlformats.org/officeDocument/2006/relationships/hyperlink" Target="https://techelectro.ru/prod/wiring-tools/crimpers_pgr/hv-crimpers/matrix_pg60t/c-21/" TargetMode="External"/><Relationship Id="rId5043" Type="http://schemas.openxmlformats.org/officeDocument/2006/relationships/hyperlink" Target="https://techelectro.ru/prod/strength-ties/screw-ties/sr/sr_64-67_w1/" TargetMode="External"/><Relationship Id="rId609" Type="http://schemas.openxmlformats.org/officeDocument/2006/relationships/hyperlink" Target="https://techelectro.ru/prod/insulugs/ilugs/nshpi/nshpi_1_5-10/" TargetMode="External"/><Relationship Id="rId956" Type="http://schemas.openxmlformats.org/officeDocument/2006/relationships/hyperlink" Target="https://techelectro.ru/prod/e-connectors/nshvi/sku_108894/" TargetMode="External"/><Relationship Id="rId1239" Type="http://schemas.openxmlformats.org/officeDocument/2006/relationships/hyperlink" Target="https://techelectro.ru/prod/cable-kits/kits-ngls-1kv/3_kvntp-1_ngls/3kvntpngls1-25-50/" TargetMode="External"/><Relationship Id="rId2637" Type="http://schemas.openxmlformats.org/officeDocument/2006/relationships/hyperlink" Target="https://techelectro.ru/prod/hstubes/specialtube/ttgsm/sku_84890/" TargetMode="External"/><Relationship Id="rId5110" Type="http://schemas.openxmlformats.org/officeDocument/2006/relationships/hyperlink" Target="https://techelectro.ru/prod/strength-ties/pipe-ties/thn/th_inox_-1/" TargetMode="External"/><Relationship Id="rId1653" Type="http://schemas.openxmlformats.org/officeDocument/2006/relationships/hyperlink" Target="https://techelectro.ru/prod/cable-kits/muffs1kv/mks/mks1b/" TargetMode="External"/><Relationship Id="rId2704" Type="http://schemas.openxmlformats.org/officeDocument/2006/relationships/hyperlink" Target="https://techelectro.ru/prod/insulating/lo/lo_35-75/" TargetMode="External"/><Relationship Id="rId1306" Type="http://schemas.openxmlformats.org/officeDocument/2006/relationships/hyperlink" Target="https://techelectro.ru/prod/cable-kits/kits-ngls-1kv/4_3stp_ngls/4stpngls1-150-240_b/" TargetMode="External"/><Relationship Id="rId1720" Type="http://schemas.openxmlformats.org/officeDocument/2006/relationships/hyperlink" Target="https://techelectro.ru/prod/cable-kits/muffs10kv/3pkvntp-10/3pkvtp10-150-240/" TargetMode="External"/><Relationship Id="rId4876" Type="http://schemas.openxmlformats.org/officeDocument/2006/relationships/hyperlink" Target="https://techelectro.ru/prod/steel-ties/steel_ties-labels/sksp/sksp7h350/" TargetMode="External"/><Relationship Id="rId5927" Type="http://schemas.openxmlformats.org/officeDocument/2006/relationships/hyperlink" Target="https://techelectro.ru/prod/staples/fastener_lock/krepezh-klipsa_s_zamkom_16/" TargetMode="External"/><Relationship Id="rId12" Type="http://schemas.openxmlformats.org/officeDocument/2006/relationships/hyperlink" Target="https://techelectro.ru/prod/cable-lugs/cu/tmls/tmls_16_8/" TargetMode="External"/><Relationship Id="rId3478" Type="http://schemas.openxmlformats.org/officeDocument/2006/relationships/hyperlink" Target="https://techelectro.ru/prod/wiring-tools/unwinding/fishtape/fgp6mk/fgp6-30_mk/" TargetMode="External"/><Relationship Id="rId3892" Type="http://schemas.openxmlformats.org/officeDocument/2006/relationships/hyperlink" Target="https://techelectro.ru/prod/metalworking-tools/ft_hummers/ms500/ms-500/" TargetMode="External"/><Relationship Id="rId4529" Type="http://schemas.openxmlformats.org/officeDocument/2006/relationships/hyperlink" Target="https://techelectro.ru/prod/ties/nylonties/kss_multilock_uv/sku_102327/" TargetMode="External"/><Relationship Id="rId4943" Type="http://schemas.openxmlformats.org/officeDocument/2006/relationships/hyperlink" Target="https://techelectro.ru/prod/steel-ties/steel_tape-brace/lksp316/lks_p316-1504/" TargetMode="External"/><Relationship Id="rId399" Type="http://schemas.openxmlformats.org/officeDocument/2006/relationships/hyperlink" Target="https://techelectro.ru/prod/cable-lugs/al/ga/ga_120/" TargetMode="External"/><Relationship Id="rId2494" Type="http://schemas.openxmlformats.org/officeDocument/2006/relationships/hyperlink" Target="https://techelectro.ru/prod/hstubes/gluetube/sttk31/sku_79826/" TargetMode="External"/><Relationship Id="rId3545" Type="http://schemas.openxmlformats.org/officeDocument/2006/relationships/hyperlink" Target="https://techelectro.ru/prod/vdetools/pliers/combpliers200/pliers-200/" TargetMode="External"/><Relationship Id="rId466" Type="http://schemas.openxmlformats.org/officeDocument/2006/relationships/hyperlink" Target="https://techelectro.ru/prod/cable-lugs/al/sham/sham_20-11/" TargetMode="External"/><Relationship Id="rId880" Type="http://schemas.openxmlformats.org/officeDocument/2006/relationships/hyperlink" Target="https://techelectro.ru/prod/insulugs/lighting_clamps/nk-15_5/nk-15_5/" TargetMode="External"/><Relationship Id="rId1096" Type="http://schemas.openxmlformats.org/officeDocument/2006/relationships/hyperlink" Target="https://techelectro.ru/prod/clamps_wago-smk/smk_2273-245_paste/sku_109320/" TargetMode="External"/><Relationship Id="rId2147" Type="http://schemas.openxmlformats.org/officeDocument/2006/relationships/hyperlink" Target="https://techelectro.ru/prod/hstubes/hstube/tnt_hf/sku_82985/" TargetMode="External"/><Relationship Id="rId2561" Type="http://schemas.openxmlformats.org/officeDocument/2006/relationships/hyperlink" Target="https://techelectro.ru/prod/hstubes/hstubeset/monohrom/monohrom-multy/" TargetMode="External"/><Relationship Id="rId119" Type="http://schemas.openxmlformats.org/officeDocument/2006/relationships/hyperlink" Target="https://techelectro.ru/prod/cable-lugs/cu/tm/tm_185_16_21/" TargetMode="External"/><Relationship Id="rId533" Type="http://schemas.openxmlformats.org/officeDocument/2006/relationships/hyperlink" Target="https://techelectro.ru/prod/insulugs/ilugs/nki_easyfix/sku_108560/" TargetMode="External"/><Relationship Id="rId1163" Type="http://schemas.openxmlformats.org/officeDocument/2006/relationships/hyperlink" Target="https://techelectro.ru/prod/bolt-lugs/wire10-240/sb/4sb_70-120/" TargetMode="External"/><Relationship Id="rId2214" Type="http://schemas.openxmlformats.org/officeDocument/2006/relationships/hyperlink" Target="https://techelectro.ru/prod/hstubes/hstube/tutng/sku_84956/" TargetMode="External"/><Relationship Id="rId3612" Type="http://schemas.openxmlformats.org/officeDocument/2006/relationships/hyperlink" Target="https://techelectro.ru/prod/vdetools/vde-screwdrivers/nio-2208/sku_88934/" TargetMode="External"/><Relationship Id="rId5784" Type="http://schemas.openxmlformats.org/officeDocument/2006/relationships/hyperlink" Target="https://techelectro.ru/prod/staples/smd_inox/smd_inox_14-15/" TargetMode="External"/><Relationship Id="rId600" Type="http://schemas.openxmlformats.org/officeDocument/2006/relationships/hyperlink" Target="https://techelectro.ru/prod/insulugs/ilugs/nvi_easyfix/sku_108567/" TargetMode="External"/><Relationship Id="rId1230" Type="http://schemas.openxmlformats.org/officeDocument/2006/relationships/hyperlink" Target="https://techelectro.ru/prod/bolt-lugs/wire300-800/nbt/6nbt500/" TargetMode="External"/><Relationship Id="rId4386" Type="http://schemas.openxmlformats.org/officeDocument/2006/relationships/hyperlink" Target="https://techelectro.ru/prod/digital_meters/measuring_electrode/kt3001s/sku_91914/" TargetMode="External"/><Relationship Id="rId5437" Type="http://schemas.openxmlformats.org/officeDocument/2006/relationships/hyperlink" Target="https://techelectro.ru/prod/metal-hose-fittings/hose/r3cp-ngls/r3cpngls25/" TargetMode="External"/><Relationship Id="rId5851" Type="http://schemas.openxmlformats.org/officeDocument/2006/relationships/hyperlink" Target="https://techelectro.ru/prod/staples/smo_withouthole/sku_85588/" TargetMode="External"/><Relationship Id="rId4039" Type="http://schemas.openxmlformats.org/officeDocument/2006/relationships/hyperlink" Target="https://techelectro.ru/prod/construction_hydraulics/glg-cutters/ur110/sku_89258/" TargetMode="External"/><Relationship Id="rId4453" Type="http://schemas.openxmlformats.org/officeDocument/2006/relationships/hyperlink" Target="https://techelectro.ru/prod/ties/nylonties/nss/sku_89914/" TargetMode="External"/><Relationship Id="rId5504" Type="http://schemas.openxmlformats.org/officeDocument/2006/relationships/hyperlink" Target="https://techelectro.ru/prod/metal-hose-fittings/hose/mrping-diesel_p/sku_88461/" TargetMode="External"/><Relationship Id="rId3055" Type="http://schemas.openxmlformats.org/officeDocument/2006/relationships/hyperlink" Target="https://techelectro.ru/prod/wiring-tools/crimpers_pgr/hv-crimpers/matrix_pg100t/msh-34-6a-100t/" TargetMode="External"/><Relationship Id="rId4106" Type="http://schemas.openxmlformats.org/officeDocument/2006/relationships/hyperlink" Target="https://techelectro.ru/prod/protection-safety/bags_packs/sm_3/sku_83137/" TargetMode="External"/><Relationship Id="rId4520" Type="http://schemas.openxmlformats.org/officeDocument/2006/relationships/hyperlink" Target="https://techelectro.ru/prod/ties/nylonties/kss_multilock_uv/sku_102318/" TargetMode="External"/><Relationship Id="rId390" Type="http://schemas.openxmlformats.org/officeDocument/2006/relationships/hyperlink" Target="https://techelectro.ru/prod/cable-lugs/al/ta/ta_240-20-20/" TargetMode="External"/><Relationship Id="rId2071" Type="http://schemas.openxmlformats.org/officeDocument/2006/relationships/hyperlink" Target="https://techelectro.ru/prod/hstubes/hstube/tutng-color/sku_102201/" TargetMode="External"/><Relationship Id="rId3122" Type="http://schemas.openxmlformats.org/officeDocument/2006/relationships/hyperlink" Target="https://techelectro.ru/prod/wiring-tools/cutters/polymercutters/nkku60/nkku-60/" TargetMode="External"/><Relationship Id="rId5294" Type="http://schemas.openxmlformats.org/officeDocument/2006/relationships/hyperlink" Target="https://techelectro.ru/prod/cable_entry/cable_entry_metal/gz-m/sku_88240/" TargetMode="External"/><Relationship Id="rId110" Type="http://schemas.openxmlformats.org/officeDocument/2006/relationships/hyperlink" Target="https://techelectro.ru/prod/cable-lugs/cu/tm/tm_70_10_13/" TargetMode="External"/><Relationship Id="rId2888" Type="http://schemas.openxmlformats.org/officeDocument/2006/relationships/hyperlink" Target="https://techelectro.ru/prod/wiring-tools/crimpers/insulugs-crimp/mpk15/mpk_15/" TargetMode="External"/><Relationship Id="rId3939" Type="http://schemas.openxmlformats.org/officeDocument/2006/relationships/hyperlink" Target="https://techelectro.ru/prod/construction_hydraulics/jack/jack_hd/dgp/dg-10p50/" TargetMode="External"/><Relationship Id="rId2955" Type="http://schemas.openxmlformats.org/officeDocument/2006/relationships/hyperlink" Target="https://techelectro.ru/prod/wiring-tools/crimpers_pgr/hdcrimp/pg300/sku_85528/" TargetMode="External"/><Relationship Id="rId5361" Type="http://schemas.openxmlformats.org/officeDocument/2006/relationships/hyperlink" Target="https://techelectro.ru/prod/cable_entry/cable_entry_plastic/m-l/sku_85481/" TargetMode="External"/><Relationship Id="rId927" Type="http://schemas.openxmlformats.org/officeDocument/2006/relationships/hyperlink" Target="https://techelectro.ru/prod/e-connectors/nshvi/nshvi_0_34_8/" TargetMode="External"/><Relationship Id="rId1557" Type="http://schemas.openxmlformats.org/officeDocument/2006/relationships/hyperlink" Target="https://techelectro.ru/prod/cable-kits/muffs1kv/4stp1sold/sku_88779/" TargetMode="External"/><Relationship Id="rId1971" Type="http://schemas.openxmlformats.org/officeDocument/2006/relationships/hyperlink" Target="https://techelectro.ru/prod/cable_kits_acs/kbm-s/sku_84301/" TargetMode="External"/><Relationship Id="rId2608" Type="http://schemas.openxmlformats.org/officeDocument/2006/relationships/hyperlink" Target="https://techelectro.ru/prod/hstubes/highvoltagetube/ttsh35/ttsh35-100/" TargetMode="External"/><Relationship Id="rId5014" Type="http://schemas.openxmlformats.org/officeDocument/2006/relationships/hyperlink" Target="https://techelectro.ru/prod/strength-ties/screw-ties/pl12-w2/pl-12_20-32_w2/" TargetMode="External"/><Relationship Id="rId1624" Type="http://schemas.openxmlformats.org/officeDocument/2006/relationships/hyperlink" Target="https://techelectro.ru/prod/cable-kits/muffs1kv/5pst-1/5pst1-16-25_b/" TargetMode="External"/><Relationship Id="rId4030" Type="http://schemas.openxmlformats.org/officeDocument/2006/relationships/hyperlink" Target="https://techelectro.ru/prod/construction_hydraulics/flange_spreaders/rfgn14std/sku_109356/" TargetMode="External"/><Relationship Id="rId3796" Type="http://schemas.openxmlformats.org/officeDocument/2006/relationships/hyperlink" Target="https://techelectro.ru/prod/metalworking-tools/ft_screwdrivers/nis-05/sku_92067/" TargetMode="External"/><Relationship Id="rId2398" Type="http://schemas.openxmlformats.org/officeDocument/2006/relationships/hyperlink" Target="https://techelectro.ru/prod/hstubes/gluetube/ttk2/sku_88179/" TargetMode="External"/><Relationship Id="rId3449" Type="http://schemas.openxmlformats.org/officeDocument/2006/relationships/hyperlink" Target="https://techelectro.ru/prod/wiring-tools/unwinding/fishtape/pet3-6/pet6_50/" TargetMode="External"/><Relationship Id="rId4847" Type="http://schemas.openxmlformats.org/officeDocument/2006/relationships/hyperlink" Target="https://techelectro.ru/prod/steel-ties/steel_ties-labels/sks316p/sks316p-7x600/" TargetMode="External"/><Relationship Id="rId3863" Type="http://schemas.openxmlformats.org/officeDocument/2006/relationships/hyperlink" Target="https://techelectro.ru/prod/metalworking-tools/ft_wrench/wrench-piece/wrench-piece-22/" TargetMode="External"/><Relationship Id="rId4914" Type="http://schemas.openxmlformats.org/officeDocument/2006/relationships/hyperlink" Target="https://techelectro.ru/prod/steel-ties/steel_ties-labels/sklp316/sklp7x300/" TargetMode="External"/><Relationship Id="rId784" Type="http://schemas.openxmlformats.org/officeDocument/2006/relationships/hyperlink" Target="https://techelectro.ru/prod/insulugs/iquick/pk-t/pkt_1/" TargetMode="External"/><Relationship Id="rId1067" Type="http://schemas.openxmlformats.org/officeDocument/2006/relationships/hyperlink" Target="https://techelectro.ru/prod/e-connectors/nshv/sku_108940/" TargetMode="External"/><Relationship Id="rId2465" Type="http://schemas.openxmlformats.org/officeDocument/2006/relationships/hyperlink" Target="https://techelectro.ru/prod/hstubes/gluetube/ttk41/ttk41-4/" TargetMode="External"/><Relationship Id="rId3516" Type="http://schemas.openxmlformats.org/officeDocument/2006/relationships/hyperlink" Target="https://techelectro.ru/prod/wiring-tools/ft_kesh/kesh10/kesh-10/" TargetMode="External"/><Relationship Id="rId3930" Type="http://schemas.openxmlformats.org/officeDocument/2006/relationships/hyperlink" Target="https://techelectro.ru/prod/construction_hydraulics/jack/jack_hd/dnp30/dn-30p14/" TargetMode="External"/><Relationship Id="rId437" Type="http://schemas.openxmlformats.org/officeDocument/2006/relationships/hyperlink" Target="https://techelectro.ru/prod/cable-lugs/al/gam/sku_90850/" TargetMode="External"/><Relationship Id="rId851" Type="http://schemas.openxmlformats.org/officeDocument/2006/relationships/hyperlink" Target="https://techelectro.ru/prod/insulugs/screw_clamp/zvi-ng_white/sku_87175/" TargetMode="External"/><Relationship Id="rId1481" Type="http://schemas.openxmlformats.org/officeDocument/2006/relationships/hyperlink" Target="https://techelectro.ru/prod/cable-kits/muffs1kv/3-pktp-1/3pktp-1-_70_120/" TargetMode="External"/><Relationship Id="rId2118" Type="http://schemas.openxmlformats.org/officeDocument/2006/relationships/hyperlink" Target="https://techelectro.ru/prod/hstubes/hstube/tnt_hf/sku_84983/" TargetMode="External"/><Relationship Id="rId2532" Type="http://schemas.openxmlformats.org/officeDocument/2006/relationships/hyperlink" Target="https://techelectro.ru/prod/hstubes/hstubeset/kolorit/kolorit-12-6/" TargetMode="External"/><Relationship Id="rId5688" Type="http://schemas.openxmlformats.org/officeDocument/2006/relationships/hyperlink" Target="https://techelectro.ru/prod/metal-hose-fittings/fittings/stmr_inox/sku_83762/" TargetMode="External"/><Relationship Id="rId504" Type="http://schemas.openxmlformats.org/officeDocument/2006/relationships/hyperlink" Target="https://techelectro.ru/prod/insulugs/ilugs/nki/sku_108521/" TargetMode="External"/><Relationship Id="rId1134" Type="http://schemas.openxmlformats.org/officeDocument/2006/relationships/hyperlink" Target="https://techelectro.ru/prod/clamps_wago-smk/smk_222-426/sku_87642/" TargetMode="External"/><Relationship Id="rId5755" Type="http://schemas.openxmlformats.org/officeDocument/2006/relationships/hyperlink" Target="https://techelectro.ru/prod/metal-hose-fittings/fittings/pipe_bushings/v42/" TargetMode="External"/><Relationship Id="rId1201" Type="http://schemas.openxmlformats.org/officeDocument/2006/relationships/hyperlink" Target="https://techelectro.ru/prod/bolt-lugs/wire10-240/sbe_gph/sku_105911/" TargetMode="External"/><Relationship Id="rId4357" Type="http://schemas.openxmlformats.org/officeDocument/2006/relationships/hyperlink" Target="https://techelectro.ru/prod/digital_meters/pyrometers/kt-641a/sku_87244/" TargetMode="External"/><Relationship Id="rId4771" Type="http://schemas.openxmlformats.org/officeDocument/2006/relationships/hyperlink" Target="https://techelectro.ru/prod/steel-ties/steel_ties-labels/sks316/sks316-4x400/" TargetMode="External"/><Relationship Id="rId5408" Type="http://schemas.openxmlformats.org/officeDocument/2006/relationships/hyperlink" Target="https://techelectro.ru/prod/metal-hose-fittings/hose/mrping_nord/mrping_18_nord/" TargetMode="External"/><Relationship Id="rId3373" Type="http://schemas.openxmlformats.org/officeDocument/2006/relationships/hyperlink" Target="https://techelectro.ru/prod/wiring-tools/unwinding/hvltools/chm/chm-40/" TargetMode="External"/><Relationship Id="rId4424" Type="http://schemas.openxmlformats.org/officeDocument/2006/relationships/hyperlink" Target="https://techelectro.ru/prod/ties/nylonties/kss/kss9h760/" TargetMode="External"/><Relationship Id="rId5822" Type="http://schemas.openxmlformats.org/officeDocument/2006/relationships/hyperlink" Target="https://techelectro.ru/prod/staples/smd/smd_60-63/" TargetMode="External"/><Relationship Id="rId294" Type="http://schemas.openxmlformats.org/officeDocument/2006/relationships/hyperlink" Target="https://techelectro.ru/prod/cable-lugs/cu/gm/sku_41635/" TargetMode="External"/><Relationship Id="rId3026" Type="http://schemas.openxmlformats.org/officeDocument/2006/relationships/hyperlink" Target="https://techelectro.ru/prod/wiring-tools/crimpers_pgr/hv-crimpers/matrix_pg100t/a-36-100t/" TargetMode="External"/><Relationship Id="rId361" Type="http://schemas.openxmlformats.org/officeDocument/2006/relationships/hyperlink" Target="https://techelectro.ru/prod/cable-lugs/cu/ksm/ksm-1_5-6/" TargetMode="External"/><Relationship Id="rId2042" Type="http://schemas.openxmlformats.org/officeDocument/2006/relationships/hyperlink" Target="https://techelectro.ru/prod/hstubes/hstube/tutng-color/sku_102172/" TargetMode="External"/><Relationship Id="rId3440" Type="http://schemas.openxmlformats.org/officeDocument/2006/relationships/hyperlink" Target="https://techelectro.ru/prod/wiring-tools/unwinding/fishtape/pet1-4/pet4_1/" TargetMode="External"/><Relationship Id="rId5198" Type="http://schemas.openxmlformats.org/officeDocument/2006/relationships/hyperlink" Target="https://techelectro.ru/prod/cable_entry/cable_entry_metal/mgm-emc/sku_89324/" TargetMode="External"/><Relationship Id="rId2859" Type="http://schemas.openxmlformats.org/officeDocument/2006/relationships/hyperlink" Target="https://techelectro.ru/prod/wiring-tools/crimpers/insulugs-crimp/ctb-set5/sku_89227/" TargetMode="External"/><Relationship Id="rId5265" Type="http://schemas.openxmlformats.org/officeDocument/2006/relationships/hyperlink" Target="https://techelectro.ru/prod/cable_entry/cable_entry_metal/vk-vm-m/sku_88243/" TargetMode="External"/><Relationship Id="rId1875" Type="http://schemas.openxmlformats.org/officeDocument/2006/relationships/hyperlink" Target="https://techelectro.ru/prod/cable_kits_acs/tping/sku_83596/" TargetMode="External"/><Relationship Id="rId4281" Type="http://schemas.openxmlformats.org/officeDocument/2006/relationships/hyperlink" Target="https://techelectro.ru/prod/abcarm/abctools/nis2/nis-2/" TargetMode="External"/><Relationship Id="rId5332" Type="http://schemas.openxmlformats.org/officeDocument/2006/relationships/hyperlink" Target="https://techelectro.ru/prod/cable_entry/cable_entry_plastic/mg/sku_89116/" TargetMode="External"/><Relationship Id="rId1528" Type="http://schemas.openxmlformats.org/officeDocument/2006/relationships/hyperlink" Target="https://techelectro.ru/prod/cable-kits/muffs1kv/5-pktp-1/5pktp_b-1-25_50_b/" TargetMode="External"/><Relationship Id="rId2926" Type="http://schemas.openxmlformats.org/officeDocument/2006/relationships/hyperlink" Target="https://techelectro.ru/prod/wiring-tools/crimpers_pgr/hdcrimp/pgr70_nki/sku_105637/" TargetMode="External"/><Relationship Id="rId1942" Type="http://schemas.openxmlformats.org/officeDocument/2006/relationships/hyperlink" Target="https://techelectro.ru/prod/cable_kits_acs/pml/pml-10-500_nk/" TargetMode="External"/><Relationship Id="rId4001" Type="http://schemas.openxmlformats.org/officeDocument/2006/relationships/hyperlink" Target="https://techelectro.ru/prod/construction_hydraulics/hydraulic_pullers/sgsa5k/sku_91804/" TargetMode="External"/><Relationship Id="rId3767" Type="http://schemas.openxmlformats.org/officeDocument/2006/relationships/hyperlink" Target="https://techelectro.ru/prod/generators/inverter-generators/gsi2000/sku_110031/" TargetMode="External"/><Relationship Id="rId4818" Type="http://schemas.openxmlformats.org/officeDocument/2006/relationships/hyperlink" Target="https://techelectro.ru/prod/steel-ties/steel_ties-labels/sks/sks4h1006/" TargetMode="External"/><Relationship Id="rId688" Type="http://schemas.openxmlformats.org/officeDocument/2006/relationships/hyperlink" Target="https://techelectro.ru/prod/insulugs/iplug/rpio/rpio_15/" TargetMode="External"/><Relationship Id="rId2369" Type="http://schemas.openxmlformats.org/officeDocument/2006/relationships/hyperlink" Target="https://techelectro.ru/prod/hstubes/gluetube/ttk31/sku_85087/" TargetMode="External"/><Relationship Id="rId2783" Type="http://schemas.openxmlformats.org/officeDocument/2006/relationships/hyperlink" Target="https://techelectro.ru/prod/insulating/xs/sku_85384/" TargetMode="External"/><Relationship Id="rId3834" Type="http://schemas.openxmlformats.org/officeDocument/2006/relationships/hyperlink" Target="https://techelectro.ru/prod/metalworking-tools/ft_pumpliers/adjpliers400-praktik/sku_92052/" TargetMode="External"/><Relationship Id="rId755" Type="http://schemas.openxmlformats.org/officeDocument/2006/relationships/hyperlink" Target="https://techelectro.ru/prod/insulugs/iplug/iplugnylonsets-rpimn/sku_91033/" TargetMode="External"/><Relationship Id="rId1385" Type="http://schemas.openxmlformats.org/officeDocument/2006/relationships/hyperlink" Target="https://techelectro.ru/prod/cable-kits/kits-ngls-10kv/1pkvt10ngls/1pkvt10-500-630_bngls/" TargetMode="External"/><Relationship Id="rId2436" Type="http://schemas.openxmlformats.org/officeDocument/2006/relationships/hyperlink" Target="https://techelectro.ru/prod/hstubes/gluetube/ttk31_green/sku_102435/" TargetMode="External"/><Relationship Id="rId2850" Type="http://schemas.openxmlformats.org/officeDocument/2006/relationships/hyperlink" Target="https://techelectro.ru/prod/wiring-tools/crimpers/insulugs-crimp/sts-a_set/sku_85137/" TargetMode="External"/><Relationship Id="rId91" Type="http://schemas.openxmlformats.org/officeDocument/2006/relationships/hyperlink" Target="https://techelectro.ru/prod/cable-lugs/cu/tm/sku_86991/" TargetMode="External"/><Relationship Id="rId408" Type="http://schemas.openxmlformats.org/officeDocument/2006/relationships/hyperlink" Target="https://techelectro.ru/prod/cable-lugs/al/tam/tam_50-10-9/" TargetMode="External"/><Relationship Id="rId822" Type="http://schemas.openxmlformats.org/officeDocument/2006/relationships/hyperlink" Target="https://techelectro.ru/prod/insulugs/siz_kiz/kiz/kiz3/" TargetMode="External"/><Relationship Id="rId1038" Type="http://schemas.openxmlformats.org/officeDocument/2006/relationships/hyperlink" Target="https://techelectro.ru/prod/e-connectors/nshvi2_euro/sku_103243/" TargetMode="External"/><Relationship Id="rId1452" Type="http://schemas.openxmlformats.org/officeDocument/2006/relationships/hyperlink" Target="https://techelectro.ru/prod/cable-kits/muffs1kv/4kvntp1sold/sku_88773/" TargetMode="External"/><Relationship Id="rId2503" Type="http://schemas.openxmlformats.org/officeDocument/2006/relationships/hyperlink" Target="https://techelectro.ru/prod/hstubes/gluetube/sttk31/sttk95/" TargetMode="External"/><Relationship Id="rId3901" Type="http://schemas.openxmlformats.org/officeDocument/2006/relationships/hyperlink" Target="https://techelectro.ru/prod/metalworking-tools/ft_hummers/mb40n/mb-40n/" TargetMode="External"/><Relationship Id="rId5659" Type="http://schemas.openxmlformats.org/officeDocument/2006/relationships/hyperlink" Target="https://techelectro.ru/prod/metal-hose-fittings/fittings/vm90/vm90-25/" TargetMode="External"/><Relationship Id="rId1105" Type="http://schemas.openxmlformats.org/officeDocument/2006/relationships/hyperlink" Target="https://techelectro.ru/prod/clamps_wago-smk/smk_2273-205/sku_87655/" TargetMode="External"/><Relationship Id="rId3277" Type="http://schemas.openxmlformats.org/officeDocument/2006/relationships/hyperlink" Target="https://techelectro.ru/prod/wiring-tools/boxtools/mpo_rectangle/mpo-46h90/" TargetMode="External"/><Relationship Id="rId4675" Type="http://schemas.openxmlformats.org/officeDocument/2006/relationships/hyperlink" Target="https://techelectro.ru/prod/ties/nylonties/tflex/tflex_300_white/" TargetMode="External"/><Relationship Id="rId5726" Type="http://schemas.openxmlformats.org/officeDocument/2006/relationships/hyperlink" Target="https://techelectro.ru/prod/metal-hose-fittings/fittings/vth/vth15/" TargetMode="External"/><Relationship Id="rId198" Type="http://schemas.openxmlformats.org/officeDocument/2006/relationships/hyperlink" Target="https://techelectro.ru/prod/cable-lugs/cu/tmlr/sku_87459/" TargetMode="External"/><Relationship Id="rId3691" Type="http://schemas.openxmlformats.org/officeDocument/2006/relationships/hyperlink" Target="https://techelectro.ru/prod/electric-tools/hammer-drills/hbr20-30/sku_106680/" TargetMode="External"/><Relationship Id="rId4328" Type="http://schemas.openxmlformats.org/officeDocument/2006/relationships/hyperlink" Target="https://techelectro.ru/prod/digital_meters/multimeters/kt838/kt-838/" TargetMode="External"/><Relationship Id="rId4742" Type="http://schemas.openxmlformats.org/officeDocument/2006/relationships/hyperlink" Target="https://techelectro.ru/prod/ties/markers/u-domik/u-domik/" TargetMode="External"/><Relationship Id="rId2293" Type="http://schemas.openxmlformats.org/officeDocument/2006/relationships/hyperlink" Target="https://techelectro.ru/prod/hstubes/hstube/tut-hf/tut_hf16-8_red/" TargetMode="External"/><Relationship Id="rId3344" Type="http://schemas.openxmlformats.org/officeDocument/2006/relationships/hyperlink" Target="https://techelectro.ru/prod/wiring-tools/hdrtools/jack_hd_acs/rvd2/rvd-2/" TargetMode="External"/><Relationship Id="rId265" Type="http://schemas.openxmlformats.org/officeDocument/2006/relationships/hyperlink" Target="https://techelectro.ru/prod/cable-lugs/cu/tmls90/tmls_90_120-12/" TargetMode="External"/><Relationship Id="rId2360" Type="http://schemas.openxmlformats.org/officeDocument/2006/relationships/hyperlink" Target="https://techelectro.ru/prod/hstubes/gluetube/ttk31/ttk31-12b/" TargetMode="External"/><Relationship Id="rId3411" Type="http://schemas.openxmlformats.org/officeDocument/2006/relationships/hyperlink" Target="https://techelectro.ru/prod/wiring-tools/unwinding/hvltools/chmp/chmp-50/" TargetMode="External"/><Relationship Id="rId332" Type="http://schemas.openxmlformats.org/officeDocument/2006/relationships/hyperlink" Target="https://techelectro.ru/prod/cable-lugs/cu/gmldin/gmldin_625/" TargetMode="External"/><Relationship Id="rId2013" Type="http://schemas.openxmlformats.org/officeDocument/2006/relationships/hyperlink" Target="https://techelectro.ru/prod/ukpt_ogt/ukpt/sku_89441/" TargetMode="External"/><Relationship Id="rId5169" Type="http://schemas.openxmlformats.org/officeDocument/2006/relationships/hyperlink" Target="https://techelectro.ru/prod/cable_entry/cable_entry_metal/mgm/sku_87997/" TargetMode="External"/><Relationship Id="rId5583" Type="http://schemas.openxmlformats.org/officeDocument/2006/relationships/hyperlink" Target="https://techelectro.ru/prod/metal-hose-fittings/hose/mrn-inox/sku_83033/" TargetMode="External"/><Relationship Id="rId4185" Type="http://schemas.openxmlformats.org/officeDocument/2006/relationships/hyperlink" Target="https://techelectro.ru/prod/plumbing-tools/pipe_cutters/ntp64m/sku_104517/" TargetMode="External"/><Relationship Id="rId5236" Type="http://schemas.openxmlformats.org/officeDocument/2006/relationships/hyperlink" Target="https://techelectro.ru/prod/cable_entry/cable_entry_metal/vkt-m/sku_88251/" TargetMode="External"/><Relationship Id="rId1779" Type="http://schemas.openxmlformats.org/officeDocument/2006/relationships/hyperlink" Target="https://techelectro.ru/prod/cable-kits/muffs10kv/3pst6/3pst6-150-240_b/" TargetMode="External"/><Relationship Id="rId4252" Type="http://schemas.openxmlformats.org/officeDocument/2006/relationships/hyperlink" Target="https://techelectro.ru/prod/abcarm/sealinslugs/gif-mjpt70/sku_103152/" TargetMode="External"/><Relationship Id="rId5650" Type="http://schemas.openxmlformats.org/officeDocument/2006/relationships/hyperlink" Target="https://techelectro.ru/prod/metal-hose-fittings/fittings/rk-n/sku_87893/" TargetMode="External"/><Relationship Id="rId1846" Type="http://schemas.openxmlformats.org/officeDocument/2006/relationships/hyperlink" Target="https://techelectro.ru/prod/cable-kits/muffs-35kv/1pst-36/sku_101413/" TargetMode="External"/><Relationship Id="rId5303" Type="http://schemas.openxmlformats.org/officeDocument/2006/relationships/hyperlink" Target="https://techelectro.ru/prod/cable_entry/cable_entry_plastic/pg_black/sku_88640/" TargetMode="External"/><Relationship Id="rId1913" Type="http://schemas.openxmlformats.org/officeDocument/2006/relationships/hyperlink" Target="https://techelectro.ru/prod/cable_kits_acs/trm/trm_55/" TargetMode="External"/><Relationship Id="rId6077" Type="http://schemas.openxmlformats.org/officeDocument/2006/relationships/comments" Target="../comments1.xml"/><Relationship Id="rId2687" Type="http://schemas.openxmlformats.org/officeDocument/2006/relationships/hyperlink" Target="https://techelectro.ru/prod/insulating/pvc19/pvc19blue/" TargetMode="External"/><Relationship Id="rId3738" Type="http://schemas.openxmlformats.org/officeDocument/2006/relationships/hyperlink" Target="https://techelectro.ru/prod/electric-tools/accessories/crowns/eco-68_65_4t_master/sku_102554/" TargetMode="External"/><Relationship Id="rId5093" Type="http://schemas.openxmlformats.org/officeDocument/2006/relationships/hyperlink" Target="https://techelectro.ru/prod/strength-ties/pipe-ties/thk/thk3_8/" TargetMode="External"/><Relationship Id="rId659" Type="http://schemas.openxmlformats.org/officeDocument/2006/relationships/hyperlink" Target="https://techelectro.ru/prod/insulugs/iplug/rpip/sku_108581/" TargetMode="External"/><Relationship Id="rId1289" Type="http://schemas.openxmlformats.org/officeDocument/2006/relationships/hyperlink" Target="https://techelectro.ru/prod/cable-kits/kits-ngls-1kv/pktp_mini_ngls/3pktp_mini_-_2_5_10_ng-ls/" TargetMode="External"/><Relationship Id="rId5160" Type="http://schemas.openxmlformats.org/officeDocument/2006/relationships/hyperlink" Target="https://techelectro.ru/prod/cable_entry/cable_entry_metal/mgm/sku_87988/" TargetMode="External"/><Relationship Id="rId1356" Type="http://schemas.openxmlformats.org/officeDocument/2006/relationships/hyperlink" Target="https://techelectro.ru/prod/cable-kits/kits-ngls-1kv/pst-mini-ng_ls/3pstm-6_ngls/" TargetMode="External"/><Relationship Id="rId2754" Type="http://schemas.openxmlformats.org/officeDocument/2006/relationships/hyperlink" Target="https://techelectro.ru/prod/insulating/xp/sku_85365/" TargetMode="External"/><Relationship Id="rId3805" Type="http://schemas.openxmlformats.org/officeDocument/2006/relationships/hyperlink" Target="https://techelectro.ru/prod/metalworking-tools/ft_screwdrivers/screwdriversft/ph1_100ft/" TargetMode="External"/><Relationship Id="rId726" Type="http://schemas.openxmlformats.org/officeDocument/2006/relationships/hyperlink" Target="https://techelectro.ru/prod/insulugs/iplug/rshim/sku_108626/" TargetMode="External"/><Relationship Id="rId1009" Type="http://schemas.openxmlformats.org/officeDocument/2006/relationships/hyperlink" Target="https://techelectro.ru/prod/e-connectors/nshvi_euro/sku_109001/" TargetMode="External"/><Relationship Id="rId1770" Type="http://schemas.openxmlformats.org/officeDocument/2006/relationships/hyperlink" Target="https://techelectro.ru/prod/cable-kits/muffs10kv/3kntp-10/3kntp10-150-240/" TargetMode="External"/><Relationship Id="rId2407" Type="http://schemas.openxmlformats.org/officeDocument/2006/relationships/hyperlink" Target="https://techelectro.ru/prod/hstubes/gluetube/ttk31_clear/ttk31-30t/" TargetMode="External"/><Relationship Id="rId2821" Type="http://schemas.openxmlformats.org/officeDocument/2006/relationships/hyperlink" Target="https://techelectro.ru/prod/wiring-tools/crimpers/insulugs-crimp/sto/sku_90752/" TargetMode="External"/><Relationship Id="rId5977" Type="http://schemas.openxmlformats.org/officeDocument/2006/relationships/hyperlink" Target="https://techelectro.ru/prod/ground_wire/pz/pz_16-200/" TargetMode="External"/><Relationship Id="rId62" Type="http://schemas.openxmlformats.org/officeDocument/2006/relationships/hyperlink" Target="https://techelectro.ru/prod/cable-lugs/cu/tml/tml_50-10-11/" TargetMode="External"/><Relationship Id="rId1423" Type="http://schemas.openxmlformats.org/officeDocument/2006/relationships/hyperlink" Target="https://techelectro.ru/prod/cable-kits/kits-ngls-10kv/3pst10_ng-ls/3pst-10-70_120_ng-ls/" TargetMode="External"/><Relationship Id="rId4579" Type="http://schemas.openxmlformats.org/officeDocument/2006/relationships/hyperlink" Target="https://techelectro.ru/prod/ties/nylonties/kss100-nord_white/kss_nord_8-300_white/" TargetMode="External"/><Relationship Id="rId4993" Type="http://schemas.openxmlformats.org/officeDocument/2006/relationships/hyperlink" Target="https://techelectro.ru/prod/strength-ties/screw-ties/pl9-w2/w2-150-170/" TargetMode="External"/><Relationship Id="rId3595" Type="http://schemas.openxmlformats.org/officeDocument/2006/relationships/hyperlink" Target="https://techelectro.ru/prod/vdetools/vde-screwdrivers/vde-screwdrivers-slim/sku_103007/" TargetMode="External"/><Relationship Id="rId4646" Type="http://schemas.openxmlformats.org/officeDocument/2006/relationships/hyperlink" Target="https://techelectro.ru/prod/ties/nylonties/ksz-uv/ksz-3x100/" TargetMode="External"/><Relationship Id="rId2197" Type="http://schemas.openxmlformats.org/officeDocument/2006/relationships/hyperlink" Target="https://techelectro.ru/prod/hstubes/hstube/tutng/tutng5/" TargetMode="External"/><Relationship Id="rId3248" Type="http://schemas.openxmlformats.org/officeDocument/2006/relationships/hyperlink" Target="https://techelectro.ru/prod/wiring-tools/boxtools/singlempo/sku_61822/" TargetMode="External"/><Relationship Id="rId3662" Type="http://schemas.openxmlformats.org/officeDocument/2006/relationships/hyperlink" Target="https://techelectro.ru/prod/vdetools/vde-sets/vde-wrench-sets/nii16/nii-16/" TargetMode="External"/><Relationship Id="rId4713" Type="http://schemas.openxmlformats.org/officeDocument/2006/relationships/hyperlink" Target="https://techelectro.ru/prod/ties/dowel_clamps/dhp_14_6_white/dhp14x6/" TargetMode="External"/><Relationship Id="rId169" Type="http://schemas.openxmlformats.org/officeDocument/2006/relationships/hyperlink" Target="https://techelectro.ru/prod/cable-lugs/cu/tmlu/tmlu_150-8/" TargetMode="External"/><Relationship Id="rId583" Type="http://schemas.openxmlformats.org/officeDocument/2006/relationships/hyperlink" Target="https://techelectro.ru/prod/insulugs/ilugs/nvi/sku_108539/" TargetMode="External"/><Relationship Id="rId2264" Type="http://schemas.openxmlformats.org/officeDocument/2006/relationships/hyperlink" Target="https://techelectro.ru/prod/hstubes/hstube/tut-hf/tut_hf12-6_yellow/" TargetMode="External"/><Relationship Id="rId3315" Type="http://schemas.openxmlformats.org/officeDocument/2006/relationships/hyperlink" Target="https://techelectro.ru/prod/wiring-tools/bustools/mpsho-110_oval/sku_85337/" TargetMode="External"/><Relationship Id="rId236" Type="http://schemas.openxmlformats.org/officeDocument/2006/relationships/hyperlink" Target="https://techelectro.ru/prod/cable-lugs/cu/nsp/sku_92341/" TargetMode="External"/><Relationship Id="rId650" Type="http://schemas.openxmlformats.org/officeDocument/2006/relationships/hyperlink" Target="https://techelectro.ru/prod/insulugs/ilugs/ilugsets-nshki/sku_91011/" TargetMode="External"/><Relationship Id="rId1280" Type="http://schemas.openxmlformats.org/officeDocument/2006/relationships/hyperlink" Target="https://techelectro.ru/prod/cable-kits/kits-ngls-1kv/1pkt_ng_ls/1pkt1-150-240b_ng-ls/" TargetMode="External"/><Relationship Id="rId2331" Type="http://schemas.openxmlformats.org/officeDocument/2006/relationships/hyperlink" Target="https://techelectro.ru/prod/hstubes/hstube/t-box-color/tbox20y/" TargetMode="External"/><Relationship Id="rId5487" Type="http://schemas.openxmlformats.org/officeDocument/2006/relationships/hyperlink" Target="https://techelectro.ru/prod/metal-hose-fittings/hose/mrping_grey/sku_88299/" TargetMode="External"/><Relationship Id="rId303" Type="http://schemas.openxmlformats.org/officeDocument/2006/relationships/hyperlink" Target="https://techelectro.ru/prod/cable-lugs/cu/gml/gml_6/" TargetMode="External"/><Relationship Id="rId4089" Type="http://schemas.openxmlformats.org/officeDocument/2006/relationships/hyperlink" Target="https://techelectro.ru/prod/protection-safety/bags_packs/s15/s-15/" TargetMode="External"/><Relationship Id="rId5554" Type="http://schemas.openxmlformats.org/officeDocument/2006/relationships/hyperlink" Target="https://techelectro.ru/prod/metal-hose-fittings/hose/mrping-inox/mrnping-inox-8/" TargetMode="External"/><Relationship Id="rId1000" Type="http://schemas.openxmlformats.org/officeDocument/2006/relationships/hyperlink" Target="https://techelectro.ru/prod/e-connectors/nshvi_euro/sku_108992/" TargetMode="External"/><Relationship Id="rId4156" Type="http://schemas.openxmlformats.org/officeDocument/2006/relationships/hyperlink" Target="https://techelectro.ru/prod/protection-safety/safety/strap/securing_strap/" TargetMode="External"/><Relationship Id="rId4570" Type="http://schemas.openxmlformats.org/officeDocument/2006/relationships/hyperlink" Target="https://techelectro.ru/prod/ties/nylonties/kss100-nord_white/kss_nord_4-370_white/" TargetMode="External"/><Relationship Id="rId5207" Type="http://schemas.openxmlformats.org/officeDocument/2006/relationships/hyperlink" Target="https://techelectro.ru/prod/cable_entry/cable_entry_metal/pgm-inox/sku_83627/" TargetMode="External"/><Relationship Id="rId5621" Type="http://schemas.openxmlformats.org/officeDocument/2006/relationships/hyperlink" Target="https://techelectro.ru/prod/metal-hose-fittings/hose/r3ch_p/r3ch32_p/" TargetMode="External"/><Relationship Id="rId1817" Type="http://schemas.openxmlformats.org/officeDocument/2006/relationships/hyperlink" Target="https://techelectro.ru/prod/cable-kits/muffs10kv/3stp10/3stp10-25-50_b/" TargetMode="External"/><Relationship Id="rId3172" Type="http://schemas.openxmlformats.org/officeDocument/2006/relationships/hyperlink" Target="https://techelectro.ru/prod/wiring-tools/strippers/wire-strip/ws01d/ws-01d/" TargetMode="External"/><Relationship Id="rId4223" Type="http://schemas.openxmlformats.org/officeDocument/2006/relationships/hyperlink" Target="https://techelectro.ru/prod/abcarm/pierce/ki/ki-16/" TargetMode="External"/><Relationship Id="rId160" Type="http://schemas.openxmlformats.org/officeDocument/2006/relationships/hyperlink" Target="https://techelectro.ru/prod/cable-lugs/cu/tmlu/tmlu_50-6/" TargetMode="External"/><Relationship Id="rId3989" Type="http://schemas.openxmlformats.org/officeDocument/2006/relationships/hyperlink" Target="https://techelectro.ru/prod/construction_hydraulics/hydraulic_pullers/sg30/sg30/" TargetMode="External"/><Relationship Id="rId6048" Type="http://schemas.openxmlformats.org/officeDocument/2006/relationships/hyperlink" Target="https://techelectro.ru/prod/ground_wire/mzm-tng-ls/sku_89137/" TargetMode="External"/><Relationship Id="rId5064" Type="http://schemas.openxmlformats.org/officeDocument/2006/relationships/hyperlink" Target="https://techelectro.ru/prod/strength-ties/screw-ties/sr2/sr29-31w2/" TargetMode="External"/><Relationship Id="rId977" Type="http://schemas.openxmlformats.org/officeDocument/2006/relationships/hyperlink" Target="https://techelectro.ru/prod/e-connectors/nshvi/sku_108917/" TargetMode="External"/><Relationship Id="rId2658" Type="http://schemas.openxmlformats.org/officeDocument/2006/relationships/hyperlink" Target="https://techelectro.ru/prod/hstubes/specialtube/tt200/tt-200-12_7-6_4/" TargetMode="External"/><Relationship Id="rId3709" Type="http://schemas.openxmlformats.org/officeDocument/2006/relationships/hyperlink" Target="https://techelectro.ru/prod/electric-tools/cordless-impact-wrenches/wb20-500/sku_102594/" TargetMode="External"/><Relationship Id="rId4080" Type="http://schemas.openxmlformats.org/officeDocument/2006/relationships/hyperlink" Target="https://techelectro.ru/prod/protection-safety/bags_packs/s1/s-01/" TargetMode="External"/><Relationship Id="rId1674" Type="http://schemas.openxmlformats.org/officeDocument/2006/relationships/hyperlink" Target="https://techelectro.ru/prod/cable-kits/muffs1kv/5pto-1/sku_101913/" TargetMode="External"/><Relationship Id="rId2725" Type="http://schemas.openxmlformats.org/officeDocument/2006/relationships/hyperlink" Target="https://techelectro.ru/prod/insulating/xa/sku_106119/" TargetMode="External"/><Relationship Id="rId5131" Type="http://schemas.openxmlformats.org/officeDocument/2006/relationships/hyperlink" Target="https://techelectro.ru/prod/cable_entry/cable_entry_metal/mgm-inox/sku_85435/" TargetMode="External"/><Relationship Id="rId1327" Type="http://schemas.openxmlformats.org/officeDocument/2006/relationships/hyperlink" Target="https://techelectro.ru/prod/cable-kits/kits-ngls-1kv/4_5pst_ngls-1/4pstb1-25-50_bngls/" TargetMode="External"/><Relationship Id="rId1741" Type="http://schemas.openxmlformats.org/officeDocument/2006/relationships/hyperlink" Target="https://techelectro.ru/prod/cable-kits/muffs10kv/3rkvtp-10/sku_88114/" TargetMode="External"/><Relationship Id="rId4897" Type="http://schemas.openxmlformats.org/officeDocument/2006/relationships/hyperlink" Target="https://techelectro.ru/prod/steel-ties/steel_ties-labels/sks2-316/sks2-316-7x400/" TargetMode="External"/><Relationship Id="rId5948" Type="http://schemas.openxmlformats.org/officeDocument/2006/relationships/hyperlink" Target="https://techelectro.ru/prod/staples/kmp_black/sku_89371/" TargetMode="External"/><Relationship Id="rId33" Type="http://schemas.openxmlformats.org/officeDocument/2006/relationships/hyperlink" Target="https://techelectro.ru/prod/cable-lugs/cu/tmls/tmls_240_16/" TargetMode="External"/><Relationship Id="rId3499" Type="http://schemas.openxmlformats.org/officeDocument/2006/relationships/hyperlink" Target="https://techelectro.ru/prod/wiring-tools/hstools/gt13/sku_88069/" TargetMode="External"/><Relationship Id="rId3566" Type="http://schemas.openxmlformats.org/officeDocument/2006/relationships/hyperlink" Target="https://techelectro.ru/prod/vdetools/pliers/intenscuttersexp180/intenscutterexp-180/" TargetMode="External"/><Relationship Id="rId4964" Type="http://schemas.openxmlformats.org/officeDocument/2006/relationships/hyperlink" Target="https://techelectro.ru/prod/strength-ties/screw-ties/pl9-w1/w1-60-80/" TargetMode="External"/><Relationship Id="rId487" Type="http://schemas.openxmlformats.org/officeDocument/2006/relationships/hyperlink" Target="https://techelectro.ru/prod/insulugs/ilugs/nki/nki_2_5_4/" TargetMode="External"/><Relationship Id="rId2168" Type="http://schemas.openxmlformats.org/officeDocument/2006/relationships/hyperlink" Target="https://techelectro.ru/prod/hstubes/hstube/tnt_hf/sku_82999/" TargetMode="External"/><Relationship Id="rId3219" Type="http://schemas.openxmlformats.org/officeDocument/2006/relationships/hyperlink" Target="https://techelectro.ru/prod/wiring-tools/multitools/mt02t/sku_107663/" TargetMode="External"/><Relationship Id="rId3980" Type="http://schemas.openxmlformats.org/officeDocument/2006/relationships/hyperlink" Target="https://techelectro.ru/prod/construction_hydraulics/jack/jack_hd/da5p/sku_103854/" TargetMode="External"/><Relationship Id="rId4617" Type="http://schemas.openxmlformats.org/officeDocument/2006/relationships/hyperlink" Target="https://techelectro.ru/prod/ties/nylonties/kss-colors/sku_90328/" TargetMode="External"/><Relationship Id="rId1184" Type="http://schemas.openxmlformats.org/officeDocument/2006/relationships/hyperlink" Target="https://techelectro.ru/prod/bolt-lugs/wire10-240/nbel/2nbe_70-120l/" TargetMode="External"/><Relationship Id="rId2582" Type="http://schemas.openxmlformats.org/officeDocument/2006/relationships/hyperlink" Target="https://techelectro.ru/prod/hstubes/hstubeset/set_glue13/sku_85194/" TargetMode="External"/><Relationship Id="rId3633" Type="http://schemas.openxmlformats.org/officeDocument/2006/relationships/hyperlink" Target="https://techelectro.ru/prod/vdetools/vde-knives/nmi1/nmi-01/" TargetMode="External"/><Relationship Id="rId554" Type="http://schemas.openxmlformats.org/officeDocument/2006/relationships/hyperlink" Target="https://techelectro.ru/prod/insulugs/ilugs/nkin/sku_108535/" TargetMode="External"/><Relationship Id="rId2235" Type="http://schemas.openxmlformats.org/officeDocument/2006/relationships/hyperlink" Target="https://techelectro.ru/prod/hstubes/hstube/tut_hf/sku_83018/" TargetMode="External"/><Relationship Id="rId3700" Type="http://schemas.openxmlformats.org/officeDocument/2006/relationships/hyperlink" Target="https://techelectro.ru/prod/electric-tools/grinders/gb20-125r_ncs/sku_104541/" TargetMode="External"/><Relationship Id="rId207" Type="http://schemas.openxmlformats.org/officeDocument/2006/relationships/hyperlink" Target="https://techelectro.ru/prod/cable-lugs/cu/pm/pm_6_6/" TargetMode="External"/><Relationship Id="rId621" Type="http://schemas.openxmlformats.org/officeDocument/2006/relationships/hyperlink" Target="https://techelectro.ru/prod/insulugs/ilugs/nkit/nkit_1_5_4/" TargetMode="External"/><Relationship Id="rId1251" Type="http://schemas.openxmlformats.org/officeDocument/2006/relationships/hyperlink" Target="https://techelectro.ru/prod/cable-kits/kits-ngls-1kv/4_5pktp-1_ngls/4pktpng-ls1-70-120_b/" TargetMode="External"/><Relationship Id="rId2302" Type="http://schemas.openxmlformats.org/officeDocument/2006/relationships/hyperlink" Target="https://techelectro.ru/prod/hstubes/hstube/tut-hf/tut_hf4-2_blue/" TargetMode="External"/><Relationship Id="rId5458" Type="http://schemas.openxmlformats.org/officeDocument/2006/relationships/hyperlink" Target="https://techelectro.ru/prod/metal-hose-fittings/hose/mrping/sku_64850/" TargetMode="External"/><Relationship Id="rId5872" Type="http://schemas.openxmlformats.org/officeDocument/2006/relationships/hyperlink" Target="https://techelectro.ru/prod/staples/smr15/smr_32-15/" TargetMode="External"/><Relationship Id="rId4474" Type="http://schemas.openxmlformats.org/officeDocument/2006/relationships/hyperlink" Target="https://techelectro.ru/prod/ties/nylonties/nss/sku_84810/" TargetMode="External"/><Relationship Id="rId5525" Type="http://schemas.openxmlformats.org/officeDocument/2006/relationships/hyperlink" Target="https://techelectro.ru/prod/metal-hose-fittings/hose/mrping-p_termo/sku_88494/" TargetMode="External"/><Relationship Id="rId3076" Type="http://schemas.openxmlformats.org/officeDocument/2006/relationships/hyperlink" Target="https://techelectro.ru/prod/wiring-tools/cutters/wirecutters/cablecutter170master/sku_101853/" TargetMode="External"/><Relationship Id="rId3490" Type="http://schemas.openxmlformats.org/officeDocument/2006/relationships/hyperlink" Target="https://techelectro.ru/prod/wiring-tools/hstools/tt2000lcd/sku_102934/" TargetMode="External"/><Relationship Id="rId4127" Type="http://schemas.openxmlformats.org/officeDocument/2006/relationships/hyperlink" Target="https://techelectro.ru/prod/protection-safety/cases/k-4/k04/" TargetMode="External"/><Relationship Id="rId4541" Type="http://schemas.openxmlformats.org/officeDocument/2006/relationships/hyperlink" Target="https://techelectro.ru/prod/ties/nylonties/nss-black/sku_84815/" TargetMode="External"/><Relationship Id="rId2092" Type="http://schemas.openxmlformats.org/officeDocument/2006/relationships/hyperlink" Target="https://techelectro.ru/prod/hstubes/hstube/tut_ng-ls_3_1/tut31_ng_ls_4816/" TargetMode="External"/><Relationship Id="rId3143" Type="http://schemas.openxmlformats.org/officeDocument/2006/relationships/hyperlink" Target="https://techelectro.ru/prod/wiring-tools/cutters_din/br-brg-cutters/brk-200/brk_200/" TargetMode="External"/><Relationship Id="rId131" Type="http://schemas.openxmlformats.org/officeDocument/2006/relationships/hyperlink" Target="https://techelectro.ru/prod/cable-lugs/cu/tmldin/tml_din_25_6/" TargetMode="External"/><Relationship Id="rId3210" Type="http://schemas.openxmlformats.org/officeDocument/2006/relationships/hyperlink" Target="https://techelectro.ru/prod/wiring-tools/strippers/knives/nm2/nm-02/" TargetMode="External"/><Relationship Id="rId2976" Type="http://schemas.openxmlformats.org/officeDocument/2006/relationships/hyperlink" Target="https://techelectro.ru/prod/wiring-tools/crimpers_pgr/hv-crimpers/matrix_pg60t/a-45/" TargetMode="External"/><Relationship Id="rId5382" Type="http://schemas.openxmlformats.org/officeDocument/2006/relationships/hyperlink" Target="https://techelectro.ru/prod/cable_entry/cable_entry_plastic/kvp-m12-white/sku_88852/" TargetMode="External"/><Relationship Id="rId6019" Type="http://schemas.openxmlformats.org/officeDocument/2006/relationships/hyperlink" Target="https://techelectro.ru/prod/ground_wire/pzu/pzu-6-700/" TargetMode="External"/><Relationship Id="rId948" Type="http://schemas.openxmlformats.org/officeDocument/2006/relationships/hyperlink" Target="https://techelectro.ru/prod/e-connectors/nshvi/nshvi_16_12/" TargetMode="External"/><Relationship Id="rId1578" Type="http://schemas.openxmlformats.org/officeDocument/2006/relationships/hyperlink" Target="https://techelectro.ru/prod/cable-kits/muffs1kv/2pst-1/2pstb1-16-25/" TargetMode="External"/><Relationship Id="rId1992" Type="http://schemas.openxmlformats.org/officeDocument/2006/relationships/hyperlink" Target="https://techelectro.ru/prod/cable_kits_acs/kti/kti2/" TargetMode="External"/><Relationship Id="rId2629" Type="http://schemas.openxmlformats.org/officeDocument/2006/relationships/hyperlink" Target="https://techelectro.ru/prod/hstubes/specialtube/tt-s_ng-ls/sku_83642/" TargetMode="External"/><Relationship Id="rId5035" Type="http://schemas.openxmlformats.org/officeDocument/2006/relationships/hyperlink" Target="https://techelectro.ru/prod/strength-ties/screw-ties/sr/sr_32-35_w1/" TargetMode="External"/><Relationship Id="rId1645" Type="http://schemas.openxmlformats.org/officeDocument/2006/relationships/hyperlink" Target="https://techelectro.ru/prod/cable-kits/muffs1kv/pstk/pstk_1937/" TargetMode="External"/><Relationship Id="rId4051" Type="http://schemas.openxmlformats.org/officeDocument/2006/relationships/hyperlink" Target="https://techelectro.ru/prod/maintenance_tools/rj-crimp/ht-200r/sku_86603/" TargetMode="External"/><Relationship Id="rId5102" Type="http://schemas.openxmlformats.org/officeDocument/2006/relationships/hyperlink" Target="https://techelectro.ru/prod/strength-ties/pipe-ties/thk/thk3-1_2/" TargetMode="External"/><Relationship Id="rId1712" Type="http://schemas.openxmlformats.org/officeDocument/2006/relationships/hyperlink" Target="https://techelectro.ru/prod/cable-kits/muffs10kv/1pknt10/1pknt10-35-50_b/" TargetMode="External"/><Relationship Id="rId4868" Type="http://schemas.openxmlformats.org/officeDocument/2006/relationships/hyperlink" Target="https://techelectro.ru/prod/steel-ties/steel_ties-labels/sksp/sksp4h500/" TargetMode="External"/><Relationship Id="rId5919" Type="http://schemas.openxmlformats.org/officeDocument/2006/relationships/hyperlink" Target="https://techelectro.ru/prod/staples/snk/snk-16/" TargetMode="External"/><Relationship Id="rId3884" Type="http://schemas.openxmlformats.org/officeDocument/2006/relationships/hyperlink" Target="https://techelectro.ru/prod/metalworking-tools/ft_endheads/nai-07_94/nai0794/" TargetMode="External"/><Relationship Id="rId4935" Type="http://schemas.openxmlformats.org/officeDocument/2006/relationships/hyperlink" Target="https://techelectro.ru/prod/steel-ties/steel_tape-brace/lks/lks304-1204/" TargetMode="External"/><Relationship Id="rId2486" Type="http://schemas.openxmlformats.org/officeDocument/2006/relationships/hyperlink" Target="https://techelectro.ru/prod/hstubes/gluetube/ttv/ttv4_1-75_22-600/" TargetMode="External"/><Relationship Id="rId3537" Type="http://schemas.openxmlformats.org/officeDocument/2006/relationships/hyperlink" Target="https://techelectro.ru/prod/vdetools/pliers/combplierspro/plierspro-160/" TargetMode="External"/><Relationship Id="rId3951" Type="http://schemas.openxmlformats.org/officeDocument/2006/relationships/hyperlink" Target="https://techelectro.ru/prod/construction_hydraulics/jack/jack_hd/dgp/dg-50p50/" TargetMode="External"/><Relationship Id="rId458" Type="http://schemas.openxmlformats.org/officeDocument/2006/relationships/hyperlink" Target="https://techelectro.ru/prod/cable-lugs/al/nsham/sku_89239/" TargetMode="External"/><Relationship Id="rId872" Type="http://schemas.openxmlformats.org/officeDocument/2006/relationships/hyperlink" Target="https://techelectro.ru/prod/insulugs/screw_clamp/shni-din/sku_87188/" TargetMode="External"/><Relationship Id="rId1088" Type="http://schemas.openxmlformats.org/officeDocument/2006/relationships/hyperlink" Target="https://techelectro.ru/prod/e-connectors/nshvi_k1490-1/sku_105673/" TargetMode="External"/><Relationship Id="rId2139" Type="http://schemas.openxmlformats.org/officeDocument/2006/relationships/hyperlink" Target="https://techelectro.ru/prod/hstubes/hstube/tnt_hf/sku_82962/" TargetMode="External"/><Relationship Id="rId2553" Type="http://schemas.openxmlformats.org/officeDocument/2006/relationships/hyperlink" Target="https://techelectro.ru/prod/hstubes/hstubeset/monohrom/monohrom-4-2/" TargetMode="External"/><Relationship Id="rId3604" Type="http://schemas.openxmlformats.org/officeDocument/2006/relationships/hyperlink" Target="https://techelectro.ru/prod/vdetools/vde-screwdrivers/nio-2202/sku_88929/" TargetMode="External"/><Relationship Id="rId6010" Type="http://schemas.openxmlformats.org/officeDocument/2006/relationships/hyperlink" Target="https://techelectro.ru/prod/ground_wire/pzu/pzu-6-150/" TargetMode="External"/><Relationship Id="rId525" Type="http://schemas.openxmlformats.org/officeDocument/2006/relationships/hyperlink" Target="https://techelectro.ru/prod/insulugs/ilugs/nki_easyfix/sku_108552/" TargetMode="External"/><Relationship Id="rId1155" Type="http://schemas.openxmlformats.org/officeDocument/2006/relationships/hyperlink" Target="https://techelectro.ru/prod/bolt-lugs/wire10-240/nb/2nb_70-120/" TargetMode="External"/><Relationship Id="rId2206" Type="http://schemas.openxmlformats.org/officeDocument/2006/relationships/hyperlink" Target="https://techelectro.ru/prod/hstubes/hstube/tutng/tutng30/" TargetMode="External"/><Relationship Id="rId2620" Type="http://schemas.openxmlformats.org/officeDocument/2006/relationships/hyperlink" Target="https://techelectro.ru/prod/hstubes/specialtube/tt-auto/sku_88183/" TargetMode="External"/><Relationship Id="rId5776" Type="http://schemas.openxmlformats.org/officeDocument/2006/relationships/hyperlink" Target="https://techelectro.ru/prod/staples/smo_inox/smo_inox-19-20/" TargetMode="External"/><Relationship Id="rId1222" Type="http://schemas.openxmlformats.org/officeDocument/2006/relationships/hyperlink" Target="https://techelectro.ru/prod/bolt-lugs/wire300-800/sbe35_300-800/6sbe35_300-400/" TargetMode="External"/><Relationship Id="rId4378" Type="http://schemas.openxmlformats.org/officeDocument/2006/relationships/hyperlink" Target="https://techelectro.ru/prod/digital_meters/ecotesters/kt622a/kt-622a/" TargetMode="External"/><Relationship Id="rId5429" Type="http://schemas.openxmlformats.org/officeDocument/2006/relationships/hyperlink" Target="https://techelectro.ru/prod/metal-hose-fittings/hose/r3cp-ngls/r3cpngls8/" TargetMode="External"/><Relationship Id="rId3394" Type="http://schemas.openxmlformats.org/officeDocument/2006/relationships/hyperlink" Target="https://techelectro.ru/prod/wiring-tools/unwinding/hvltools/chm3/sku_109916/" TargetMode="External"/><Relationship Id="rId4792" Type="http://schemas.openxmlformats.org/officeDocument/2006/relationships/hyperlink" Target="https://techelectro.ru/prod/steel-ties/steel_ties-labels/sks316/sku_103068/" TargetMode="External"/><Relationship Id="rId5843" Type="http://schemas.openxmlformats.org/officeDocument/2006/relationships/hyperlink" Target="https://techelectro.ru/prod/staples/smo_withouthole/sku_89325/" TargetMode="External"/><Relationship Id="rId3047" Type="http://schemas.openxmlformats.org/officeDocument/2006/relationships/hyperlink" Target="https://techelectro.ru/prod/wiring-tools/crimpers_pgr/hv-crimpers/matrix_pg100t/c-33-100t/" TargetMode="External"/><Relationship Id="rId4445" Type="http://schemas.openxmlformats.org/officeDocument/2006/relationships/hyperlink" Target="https://techelectro.ru/prod/ties/nylonties/kss_multilock_white/sku_102314/" TargetMode="External"/><Relationship Id="rId5910" Type="http://schemas.openxmlformats.org/officeDocument/2006/relationships/hyperlink" Target="https://techelectro.ru/prod/staples/spp/sku_103942/" TargetMode="External"/><Relationship Id="rId3461" Type="http://schemas.openxmlformats.org/officeDocument/2006/relationships/hyperlink" Target="https://techelectro.ru/prod/wiring-tools/unwinding/fishtape/fgp4_5/fgp4_5-15r/" TargetMode="External"/><Relationship Id="rId4512" Type="http://schemas.openxmlformats.org/officeDocument/2006/relationships/hyperlink" Target="https://techelectro.ru/prod/ties/nylonties/kss-uv/sku_89910/" TargetMode="External"/><Relationship Id="rId382" Type="http://schemas.openxmlformats.org/officeDocument/2006/relationships/hyperlink" Target="https://techelectro.ru/prod/cable-lugs/al/ta/ta_25-8-7/" TargetMode="External"/><Relationship Id="rId2063" Type="http://schemas.openxmlformats.org/officeDocument/2006/relationships/hyperlink" Target="https://techelectro.ru/prod/hstubes/hstube/tutng-color/sku_102193/" TargetMode="External"/><Relationship Id="rId3114" Type="http://schemas.openxmlformats.org/officeDocument/2006/relationships/hyperlink" Target="https://techelectro.ru/prod/wiring-tools/cutters/hdcutters/ng85/ng-85/" TargetMode="External"/><Relationship Id="rId2130" Type="http://schemas.openxmlformats.org/officeDocument/2006/relationships/hyperlink" Target="https://techelectro.ru/prod/hstubes/hstube/tnt_hf/sku_82971/" TargetMode="External"/><Relationship Id="rId5286" Type="http://schemas.openxmlformats.org/officeDocument/2006/relationships/hyperlink" Target="https://techelectro.ru/prod/cable_entry/cable_entry_metal/gpm/sku_88232/" TargetMode="External"/><Relationship Id="rId102" Type="http://schemas.openxmlformats.org/officeDocument/2006/relationships/hyperlink" Target="https://techelectro.ru/prod/cable-lugs/cu/tm/sku_86997/" TargetMode="External"/><Relationship Id="rId5353" Type="http://schemas.openxmlformats.org/officeDocument/2006/relationships/hyperlink" Target="https://techelectro.ru/prod/cable_entry/cable_entry_plastic/m/m50/" TargetMode="External"/><Relationship Id="rId1896" Type="http://schemas.openxmlformats.org/officeDocument/2006/relationships/hyperlink" Target="https://techelectro.ru/prod/cable_kits_acs/tpi/4tpi-150-240/" TargetMode="External"/><Relationship Id="rId2947" Type="http://schemas.openxmlformats.org/officeDocument/2006/relationships/hyperlink" Target="https://techelectro.ru/prod/wiring-tools/crimpers_pgr/hdcrimp/pgra25/sku_109776/" TargetMode="External"/><Relationship Id="rId5006" Type="http://schemas.openxmlformats.org/officeDocument/2006/relationships/hyperlink" Target="https://techelectro.ru/prod/strength-ties/screw-ties/pl9-w4/pl9-70-90w4/" TargetMode="External"/><Relationship Id="rId919" Type="http://schemas.openxmlformats.org/officeDocument/2006/relationships/hyperlink" Target="https://techelectro.ru/prod/insulugs/autoterminals/rga/sku_89505/" TargetMode="External"/><Relationship Id="rId1549" Type="http://schemas.openxmlformats.org/officeDocument/2006/relationships/hyperlink" Target="https://techelectro.ru/prod/cable-kits/muffs1kv/4_3stp-1/4stp1-70-120/" TargetMode="External"/><Relationship Id="rId1963" Type="http://schemas.openxmlformats.org/officeDocument/2006/relationships/hyperlink" Target="https://techelectro.ru/prod/cable_kits_acs/kt/kt-l/" TargetMode="External"/><Relationship Id="rId4022" Type="http://schemas.openxmlformats.org/officeDocument/2006/relationships/hyperlink" Target="https://techelectro.ru/prod/construction_hydraulics/flange_spreaders/rfg14/sku_87718/" TargetMode="External"/><Relationship Id="rId5420" Type="http://schemas.openxmlformats.org/officeDocument/2006/relationships/hyperlink" Target="https://techelectro.ru/prod/metal-hose-fittings/hose/mrping_nord-p/mrping_nord_15_p/" TargetMode="External"/><Relationship Id="rId1616" Type="http://schemas.openxmlformats.org/officeDocument/2006/relationships/hyperlink" Target="https://techelectro.ru/prod/cable-kits/muffs1kv/4_5pst-1/4pstb1-25-50_b/" TargetMode="External"/><Relationship Id="rId3788" Type="http://schemas.openxmlformats.org/officeDocument/2006/relationships/hyperlink" Target="https://techelectro.ru/prod/metalworking-tools/ft_pliers/minisidecuttersft115/minisidecuttersft-115/" TargetMode="External"/><Relationship Id="rId4839" Type="http://schemas.openxmlformats.org/officeDocument/2006/relationships/hyperlink" Target="https://techelectro.ru/prod/steel-ties/steel_ties-labels/sks316p/sks316p-4x1000/" TargetMode="External"/><Relationship Id="rId3855" Type="http://schemas.openxmlformats.org/officeDocument/2006/relationships/hyperlink" Target="https://techelectro.ru/prod/metalworking-tools/ft_wrench/ntk8/sku_91949/" TargetMode="External"/><Relationship Id="rId776" Type="http://schemas.openxmlformats.org/officeDocument/2006/relationships/hyperlink" Target="https://techelectro.ru/prod/insulugs/iquick/gsin/sku_108630/" TargetMode="External"/><Relationship Id="rId2457" Type="http://schemas.openxmlformats.org/officeDocument/2006/relationships/hyperlink" Target="https://techelectro.ru/prod/hstubes/gluetube/ttk31_blue/sku_102427/" TargetMode="External"/><Relationship Id="rId3508" Type="http://schemas.openxmlformats.org/officeDocument/2006/relationships/hyperlink" Target="https://techelectro.ru/prod/wiring-tools/steeltiestools/tg_3/tg-03/" TargetMode="External"/><Relationship Id="rId4906" Type="http://schemas.openxmlformats.org/officeDocument/2006/relationships/hyperlink" Target="https://techelectro.ru/prod/steel-ties/steel_ties-labels/sks2-304/sks2-304-7x600/" TargetMode="External"/><Relationship Id="rId429" Type="http://schemas.openxmlformats.org/officeDocument/2006/relationships/hyperlink" Target="https://techelectro.ru/prod/cable-lugs/al/gam/gam_70-50/" TargetMode="External"/><Relationship Id="rId1059" Type="http://schemas.openxmlformats.org/officeDocument/2006/relationships/hyperlink" Target="https://techelectro.ru/prod/e-connectors/nshv/nshv_4_0_9/" TargetMode="External"/><Relationship Id="rId1473" Type="http://schemas.openxmlformats.org/officeDocument/2006/relationships/hyperlink" Target="https://techelectro.ru/prod/cable-kits/muffs1kv/2-pktp-1/2pktp_b-1-16_25/" TargetMode="External"/><Relationship Id="rId2871" Type="http://schemas.openxmlformats.org/officeDocument/2006/relationships/hyperlink" Target="https://techelectro.ru/prod/wiring-tools/crimpers/insulugs-crimp/pke01/sku_87730/" TargetMode="External"/><Relationship Id="rId3922" Type="http://schemas.openxmlformats.org/officeDocument/2006/relationships/hyperlink" Target="https://techelectro.ru/prod/metalworking-tools/ft_cutters/nma250lsr/sku_104582/" TargetMode="External"/><Relationship Id="rId843" Type="http://schemas.openxmlformats.org/officeDocument/2006/relationships/hyperlink" Target="https://techelectro.ru/prod/insulugs/screw_clamp/zvi-u/sku_109260/" TargetMode="External"/><Relationship Id="rId1126" Type="http://schemas.openxmlformats.org/officeDocument/2006/relationships/hyperlink" Target="https://techelectro.ru/prod/clamps_wago-smk/smk_222-2411/sku_109308/" TargetMode="External"/><Relationship Id="rId2524" Type="http://schemas.openxmlformats.org/officeDocument/2006/relationships/hyperlink" Target="https://techelectro.ru/prod/hstubes/gluetube/tt6x/tt6x-87/" TargetMode="External"/><Relationship Id="rId910" Type="http://schemas.openxmlformats.org/officeDocument/2006/relationships/hyperlink" Target="https://techelectro.ru/prod/insulugs/autoterminals/gs_2_5/sku_109252/" TargetMode="External"/><Relationship Id="rId1540" Type="http://schemas.openxmlformats.org/officeDocument/2006/relationships/hyperlink" Target="https://techelectro.ru/prod/cable-kits/muffs1kv/pktp_mini/2pktp_mini_2-5_10/" TargetMode="External"/><Relationship Id="rId4696" Type="http://schemas.openxmlformats.org/officeDocument/2006/relationships/hyperlink" Target="https://techelectro.ru/prod/ties/nylonties/sv/ksv12x135g/" TargetMode="External"/><Relationship Id="rId5747" Type="http://schemas.openxmlformats.org/officeDocument/2006/relationships/hyperlink" Target="https://techelectro.ru/prod/metal-hose-fittings/fittings/mvpng/mvpng20/" TargetMode="External"/><Relationship Id="rId3298" Type="http://schemas.openxmlformats.org/officeDocument/2006/relationships/hyperlink" Target="https://techelectro.ru/prod/wiring-tools/bustools/mpsho-95/mpsho-16/" TargetMode="External"/><Relationship Id="rId4349" Type="http://schemas.openxmlformats.org/officeDocument/2006/relationships/hyperlink" Target="https://techelectro.ru/prod/digital_meters/testers_detectors/kt-90/sku_87242/" TargetMode="External"/><Relationship Id="rId4763" Type="http://schemas.openxmlformats.org/officeDocument/2006/relationships/hyperlink" Target="https://techelectro.ru/prod/ties/markers/fm1/fm-1/" TargetMode="External"/><Relationship Id="rId5814" Type="http://schemas.openxmlformats.org/officeDocument/2006/relationships/hyperlink" Target="https://techelectro.ru/prod/staples/smd/smd_14-15/" TargetMode="External"/><Relationship Id="rId3365" Type="http://schemas.openxmlformats.org/officeDocument/2006/relationships/hyperlink" Target="https://techelectro.ru/prod/wiring-tools/unwinding/hvltools/vm-15/vm-15/" TargetMode="External"/><Relationship Id="rId4416" Type="http://schemas.openxmlformats.org/officeDocument/2006/relationships/hyperlink" Target="https://techelectro.ru/prod/ties/nylonties/kss/kss8h400/" TargetMode="External"/><Relationship Id="rId4830" Type="http://schemas.openxmlformats.org/officeDocument/2006/relationships/hyperlink" Target="https://techelectro.ru/prod/steel-ties/steel_ties-labels/sks316p/sks316p-4x150/" TargetMode="External"/><Relationship Id="rId286" Type="http://schemas.openxmlformats.org/officeDocument/2006/relationships/hyperlink" Target="https://techelectro.ru/prod/cable-lugs/cu/gm/sku_46043/" TargetMode="External"/><Relationship Id="rId2381" Type="http://schemas.openxmlformats.org/officeDocument/2006/relationships/hyperlink" Target="https://techelectro.ru/prod/hstubes/gluetube/ttk_flex_3_1/sku_85204/" TargetMode="External"/><Relationship Id="rId3018" Type="http://schemas.openxmlformats.org/officeDocument/2006/relationships/hyperlink" Target="https://techelectro.ru/prod/wiring-tools/crimpers_pgr/hv-crimpers/matrix_pg60t/sku_69232/" TargetMode="External"/><Relationship Id="rId3432" Type="http://schemas.openxmlformats.org/officeDocument/2006/relationships/hyperlink" Target="https://techelectro.ru/prod/wiring-tools/unwinding/fishtape/stp4/stp4_20/" TargetMode="External"/><Relationship Id="rId353" Type="http://schemas.openxmlformats.org/officeDocument/2006/relationships/hyperlink" Target="https://techelectro.ru/prod/cable-lugs/cu/gmls/sku_88083/" TargetMode="External"/><Relationship Id="rId2034" Type="http://schemas.openxmlformats.org/officeDocument/2006/relationships/hyperlink" Target="https://techelectro.ru/prod/hstubes/hstube/tutng-color/sku_102164/" TargetMode="External"/><Relationship Id="rId420" Type="http://schemas.openxmlformats.org/officeDocument/2006/relationships/hyperlink" Target="https://techelectro.ru/prod/cable-lugs/al/gam/gam_25-16/" TargetMode="External"/><Relationship Id="rId1050" Type="http://schemas.openxmlformats.org/officeDocument/2006/relationships/hyperlink" Target="https://techelectro.ru/prod/e-connectors/nshvi2_euro/sku_108982/" TargetMode="External"/><Relationship Id="rId2101" Type="http://schemas.openxmlformats.org/officeDocument/2006/relationships/hyperlink" Target="https://techelectro.ru/prod/hstubes/hstube/tut_ng-ls_3_1/sku_91900/" TargetMode="External"/><Relationship Id="rId5257" Type="http://schemas.openxmlformats.org/officeDocument/2006/relationships/hyperlink" Target="https://techelectro.ru/prod/cable_entry/cable_entry_metal/vk-m-mr/sku_87951/" TargetMode="External"/><Relationship Id="rId5671" Type="http://schemas.openxmlformats.org/officeDocument/2006/relationships/hyperlink" Target="https://techelectro.ru/prod/metal-hose-fittings/fittings/vmn/vmn32/" TargetMode="External"/><Relationship Id="rId1867" Type="http://schemas.openxmlformats.org/officeDocument/2006/relationships/hyperlink" Target="https://techelectro.ru/prod/cable_kits_acs/rics/riks_70-150/" TargetMode="External"/><Relationship Id="rId2918" Type="http://schemas.openxmlformats.org/officeDocument/2006/relationships/hyperlink" Target="https://techelectro.ru/prod/wiring-tools/crimpers/conn-crimp/pkv6/pkv-6/" TargetMode="External"/><Relationship Id="rId4273" Type="http://schemas.openxmlformats.org/officeDocument/2006/relationships/hyperlink" Target="https://techelectro.ru/prod/abcarm/sealinslugs/nim-cptau50/sku_109231/" TargetMode="External"/><Relationship Id="rId5324" Type="http://schemas.openxmlformats.org/officeDocument/2006/relationships/hyperlink" Target="https://techelectro.ru/prod/cable_entry/cable_entry_plastic/pg/pg36/" TargetMode="External"/><Relationship Id="rId1934" Type="http://schemas.openxmlformats.org/officeDocument/2006/relationships/hyperlink" Target="https://techelectro.ru/prod/cable_kits_acs/trma/sku_89434/" TargetMode="External"/><Relationship Id="rId4340" Type="http://schemas.openxmlformats.org/officeDocument/2006/relationships/hyperlink" Target="https://techelectro.ru/prod/digital_meters/testers_detectors/kt-2302/sku_87240/" TargetMode="External"/><Relationship Id="rId3759" Type="http://schemas.openxmlformats.org/officeDocument/2006/relationships/hyperlink" Target="https://techelectro.ru/prod/electric-tools/accessories/direct-fastening/ggn-nails_mg/sku_110468/" TargetMode="External"/><Relationship Id="rId5181" Type="http://schemas.openxmlformats.org/officeDocument/2006/relationships/hyperlink" Target="https://techelectro.ru/prod/cable_entry/cable_entry_metal/mgm-r/sku_88630/" TargetMode="External"/><Relationship Id="rId2775" Type="http://schemas.openxmlformats.org/officeDocument/2006/relationships/hyperlink" Target="https://techelectro.ru/prod/insulating/xs-mini/sku_90927/" TargetMode="External"/><Relationship Id="rId3826" Type="http://schemas.openxmlformats.org/officeDocument/2006/relationships/hyperlink" Target="https://techelectro.ru/prod/metalworking-tools/ft_pumpliers/pumpliersft-125profi/sku_110476/" TargetMode="External"/><Relationship Id="rId747" Type="http://schemas.openxmlformats.org/officeDocument/2006/relationships/hyperlink" Target="https://techelectro.ru/prod/insulugs/iplug/iplugsets-rpip/sku_91023/" TargetMode="External"/><Relationship Id="rId1377" Type="http://schemas.openxmlformats.org/officeDocument/2006/relationships/hyperlink" Target="https://techelectro.ru/prod/cable-kits/kits-ngls-10kv/1pkvt10ngls/1pkvt10-150-240ngls/" TargetMode="External"/><Relationship Id="rId1791" Type="http://schemas.openxmlformats.org/officeDocument/2006/relationships/hyperlink" Target="https://techelectro.ru/prod/cable-kits/muffs10kv/1pst10/1pst10-800b/" TargetMode="External"/><Relationship Id="rId2428" Type="http://schemas.openxmlformats.org/officeDocument/2006/relationships/hyperlink" Target="https://techelectro.ru/prod/hstubes/gluetube/ttk31_white/sku_84878/" TargetMode="External"/><Relationship Id="rId2842" Type="http://schemas.openxmlformats.org/officeDocument/2006/relationships/hyperlink" Target="https://techelectro.ru/prod/wiring-tools/crimpers/insulugs-crimp/ctb/ctb10/" TargetMode="External"/><Relationship Id="rId5998" Type="http://schemas.openxmlformats.org/officeDocument/2006/relationships/hyperlink" Target="https://techelectro.ru/prod/ground_wire/pz/pz_35-500/" TargetMode="External"/><Relationship Id="rId83" Type="http://schemas.openxmlformats.org/officeDocument/2006/relationships/hyperlink" Target="https://techelectro.ru/prod/cable-lugs/cu/tml/tml_185_20_21/" TargetMode="External"/><Relationship Id="rId814" Type="http://schemas.openxmlformats.org/officeDocument/2006/relationships/hyperlink" Target="https://techelectro.ru/prod/insulugs/siz_kiz/sizk/sizk6/" TargetMode="External"/><Relationship Id="rId1444" Type="http://schemas.openxmlformats.org/officeDocument/2006/relationships/hyperlink" Target="https://techelectro.ru/prod/cable-kits/muffs1kv/4_3-kvntp-1/4kvntp1-70-120/" TargetMode="External"/><Relationship Id="rId1511" Type="http://schemas.openxmlformats.org/officeDocument/2006/relationships/hyperlink" Target="https://techelectro.ru/prod/cable-kits/muffs1kv/4_5-pktp-1/4pktp_b-1-25_50_b/" TargetMode="External"/><Relationship Id="rId4667" Type="http://schemas.openxmlformats.org/officeDocument/2006/relationships/hyperlink" Target="https://techelectro.ru/prod/ties/nylonties/ksov/sku_90334/" TargetMode="External"/><Relationship Id="rId5718" Type="http://schemas.openxmlformats.org/officeDocument/2006/relationships/hyperlink" Target="https://techelectro.ru/prod/metal-hose-fittings/fittings/stmr/stmr25/" TargetMode="External"/><Relationship Id="rId3269" Type="http://schemas.openxmlformats.org/officeDocument/2006/relationships/hyperlink" Target="https://techelectro.ru/prod/wiring-tools/boxtools/mpo_square/sku_85310/" TargetMode="External"/><Relationship Id="rId3683" Type="http://schemas.openxmlformats.org/officeDocument/2006/relationships/hyperlink" Target="https://techelectro.ru/prod/electric-tools/cordless-drills/sd4-5/sku_105417/" TargetMode="External"/><Relationship Id="rId2285" Type="http://schemas.openxmlformats.org/officeDocument/2006/relationships/hyperlink" Target="https://techelectro.ru/prod/hstubes/hstube/tut-hf/tut_hf60-30_green/" TargetMode="External"/><Relationship Id="rId3336" Type="http://schemas.openxmlformats.org/officeDocument/2006/relationships/hyperlink" Target="https://techelectro.ru/prod/wiring-tools/hdrtools/hdr_tools/pme7050y-k2/pme-7050y-k2/" TargetMode="External"/><Relationship Id="rId4734" Type="http://schemas.openxmlformats.org/officeDocument/2006/relationships/hyperlink" Target="https://techelectro.ru/prod/ties/montage-acs/psk2/psk2_black/" TargetMode="External"/><Relationship Id="rId257" Type="http://schemas.openxmlformats.org/officeDocument/2006/relationships/hyperlink" Target="https://techelectro.ru/prod/cable-lugs/cu/tmls90/tmls_90_50-8/" TargetMode="External"/><Relationship Id="rId3750" Type="http://schemas.openxmlformats.org/officeDocument/2006/relationships/hyperlink" Target="https://techelectro.ru/prod/electric-tools/accessories/crowns/m16-16_dust_remove/sku_102564/" TargetMode="External"/><Relationship Id="rId4801" Type="http://schemas.openxmlformats.org/officeDocument/2006/relationships/hyperlink" Target="https://techelectro.ru/prod/steel-ties/steel_ties-labels/sks/sks4h600/" TargetMode="External"/><Relationship Id="rId671" Type="http://schemas.openxmlformats.org/officeDocument/2006/relationships/hyperlink" Target="https://techelectro.ru/prod/insulugs/iplug/rpim/sku_108587/" TargetMode="External"/><Relationship Id="rId2352" Type="http://schemas.openxmlformats.org/officeDocument/2006/relationships/hyperlink" Target="https://techelectro.ru/prod/hstubes/gluetube/ttk21/sku_101548/" TargetMode="External"/><Relationship Id="rId3403" Type="http://schemas.openxmlformats.org/officeDocument/2006/relationships/hyperlink" Target="https://techelectro.ru/prod/wiring-tools/unwinding/hvltools/chm2s/sku_109869/" TargetMode="External"/><Relationship Id="rId324" Type="http://schemas.openxmlformats.org/officeDocument/2006/relationships/hyperlink" Target="https://techelectro.ru/prod/cable-lugs/cu/gmldin/gmldin_95/" TargetMode="External"/><Relationship Id="rId2005" Type="http://schemas.openxmlformats.org/officeDocument/2006/relationships/hyperlink" Target="https://techelectro.ru/prod/ukpt_ogt/ukpt/sku_89453/" TargetMode="External"/><Relationship Id="rId5575" Type="http://schemas.openxmlformats.org/officeDocument/2006/relationships/hyperlink" Target="https://techelectro.ru/prod/metal-hose-fittings/hose/mrping-inox_p/sku_104464/" TargetMode="External"/><Relationship Id="rId1021" Type="http://schemas.openxmlformats.org/officeDocument/2006/relationships/hyperlink" Target="https://techelectro.ru/prod/e-connectors/nshvi2/nshvi2_4_0-12/" TargetMode="External"/><Relationship Id="rId4177" Type="http://schemas.openxmlformats.org/officeDocument/2006/relationships/hyperlink" Target="https://techelectro.ru/prod/plumbing-tools/battery_pipe_tool/b16-32/sku_89620/" TargetMode="External"/><Relationship Id="rId4591" Type="http://schemas.openxmlformats.org/officeDocument/2006/relationships/hyperlink" Target="https://techelectro.ru/prod/ties/nylonties/kss100-nord_black/sku_89940/" TargetMode="External"/><Relationship Id="rId5228" Type="http://schemas.openxmlformats.org/officeDocument/2006/relationships/hyperlink" Target="https://techelectro.ru/prod/cable_entry/cable_entry_metal/pgm-l/sku_88834/" TargetMode="External"/><Relationship Id="rId5642" Type="http://schemas.openxmlformats.org/officeDocument/2006/relationships/hyperlink" Target="https://techelectro.ru/prod/metal-hose-fittings/fittings/vm-m/sku_88911/" TargetMode="External"/><Relationship Id="rId3193" Type="http://schemas.openxmlformats.org/officeDocument/2006/relationships/hyperlink" Target="https://techelectro.ru/prod/wiring-tools/strippers/cable-strip/ks25/ks-25/" TargetMode="External"/><Relationship Id="rId4244" Type="http://schemas.openxmlformats.org/officeDocument/2006/relationships/hyperlink" Target="https://techelectro.ru/prod/abcarm/sealinslugs/gif-mjpt16/sku_103148/" TargetMode="External"/><Relationship Id="rId1838" Type="http://schemas.openxmlformats.org/officeDocument/2006/relationships/hyperlink" Target="https://techelectro.ru/prod/cable-kits/muffs-35kv/1pst-20/1pst20-300-400b/" TargetMode="External"/><Relationship Id="rId3260" Type="http://schemas.openxmlformats.org/officeDocument/2006/relationships/hyperlink" Target="https://techelectro.ru/prod/wiring-tools/boxtools/singlempo/sku_85307/" TargetMode="External"/><Relationship Id="rId4311" Type="http://schemas.openxmlformats.org/officeDocument/2006/relationships/hyperlink" Target="https://techelectro.ru/prod/digital_meters/multimeters/kt93/sku_91916/" TargetMode="External"/><Relationship Id="rId181" Type="http://schemas.openxmlformats.org/officeDocument/2006/relationships/hyperlink" Target="https://techelectro.ru/prod/cable-lugs/cu/tmlr/sku_87474/" TargetMode="External"/><Relationship Id="rId1905" Type="http://schemas.openxmlformats.org/officeDocument/2006/relationships/hyperlink" Target="https://techelectro.ru/prod/cable_kits_acs/roller_springs/ppd/" TargetMode="External"/><Relationship Id="rId6069" Type="http://schemas.openxmlformats.org/officeDocument/2006/relationships/hyperlink" Target="https://techelectro.ru/prod/ground_wire/thz_inox/thz_inox_12/" TargetMode="External"/><Relationship Id="rId5085" Type="http://schemas.openxmlformats.org/officeDocument/2006/relationships/hyperlink" Target="https://techelectro.ru/prod/strength-ties/screw-ties/sr2/sr149-161w2/" TargetMode="External"/><Relationship Id="rId998" Type="http://schemas.openxmlformats.org/officeDocument/2006/relationships/hyperlink" Target="https://techelectro.ru/prod/e-connectors/nshvi_euro/sku_103209/" TargetMode="External"/><Relationship Id="rId2679" Type="http://schemas.openxmlformats.org/officeDocument/2006/relationships/hyperlink" Target="https://techelectro.ru/prod/insulating/pvc19master/sku_90814/" TargetMode="External"/><Relationship Id="rId1695" Type="http://schemas.openxmlformats.org/officeDocument/2006/relationships/hyperlink" Target="https://techelectro.ru/prod/cable-kits/muffs10kv/1pkvt-10/1pkvt10-70-120/" TargetMode="External"/><Relationship Id="rId2746" Type="http://schemas.openxmlformats.org/officeDocument/2006/relationships/hyperlink" Target="https://techelectro.ru/prod/insulating/xp_mini/sku_90920/" TargetMode="External"/><Relationship Id="rId5152" Type="http://schemas.openxmlformats.org/officeDocument/2006/relationships/hyperlink" Target="https://techelectro.ru/prod/cable_entry/cable_entry_metal/mgm/sku_87980/" TargetMode="External"/><Relationship Id="rId718" Type="http://schemas.openxmlformats.org/officeDocument/2006/relationships/hyperlink" Target="https://techelectro.ru/prod/insulugs/iplug/rfimn/sku_108606/" TargetMode="External"/><Relationship Id="rId1348" Type="http://schemas.openxmlformats.org/officeDocument/2006/relationships/hyperlink" Target="https://techelectro.ru/prod/cable-kits/kits-ngls-1kv/1pstb_ngls/1pstb1-70-120b_ngls/" TargetMode="External"/><Relationship Id="rId1762" Type="http://schemas.openxmlformats.org/officeDocument/2006/relationships/hyperlink" Target="https://techelectro.ru/prod/cable-kits/muffs10kv/3kntp10sold/sku_88758/" TargetMode="External"/><Relationship Id="rId1415" Type="http://schemas.openxmlformats.org/officeDocument/2006/relationships/hyperlink" Target="https://techelectro.ru/prod/cable-kits/kits-ngls-10kv/1pst10ngls/1pst10-35-50_bngls/" TargetMode="External"/><Relationship Id="rId2813" Type="http://schemas.openxmlformats.org/officeDocument/2006/relationships/hyperlink" Target="https://techelectro.ru/prod/wiring-tools/crimpers/insulugs-crimp/ctk/ctk15/" TargetMode="External"/><Relationship Id="rId5969" Type="http://schemas.openxmlformats.org/officeDocument/2006/relationships/hyperlink" Target="https://techelectro.ru/prod/ground_wire/pz/pz_10-300/" TargetMode="External"/><Relationship Id="rId54" Type="http://schemas.openxmlformats.org/officeDocument/2006/relationships/hyperlink" Target="https://techelectro.ru/prod/cable-lugs/cu/tml/tml_25-10-8/" TargetMode="External"/><Relationship Id="rId4985" Type="http://schemas.openxmlformats.org/officeDocument/2006/relationships/hyperlink" Target="https://techelectro.ru/prod/strength-ties/screw-ties/pl9-w2/w2-50-70/" TargetMode="External"/><Relationship Id="rId2189" Type="http://schemas.openxmlformats.org/officeDocument/2006/relationships/hyperlink" Target="https://techelectro.ru/prod/hstubes/hstube/tnt_ng-ls_colors/sku_84999/" TargetMode="External"/><Relationship Id="rId3587" Type="http://schemas.openxmlformats.org/officeDocument/2006/relationships/hyperlink" Target="https://techelectro.ru/prod/vdetools/vde-screwdrivers/nio-12/sku_103016/" TargetMode="External"/><Relationship Id="rId4638" Type="http://schemas.openxmlformats.org/officeDocument/2006/relationships/hyperlink" Target="https://techelectro.ru/prod/ties/nylonties/ksz/ksz3x100/" TargetMode="External"/><Relationship Id="rId6060" Type="http://schemas.openxmlformats.org/officeDocument/2006/relationships/hyperlink" Target="https://techelectro.ru/prod/ground_wire/uhz/uhz-110-130-w2/" TargetMode="External"/><Relationship Id="rId3654" Type="http://schemas.openxmlformats.org/officeDocument/2006/relationships/hyperlink" Target="https://techelectro.ru/prod/vdetools/vde-sets/vde-sets-nii/nii9/nii-09/" TargetMode="External"/><Relationship Id="rId4705" Type="http://schemas.openxmlformats.org/officeDocument/2006/relationships/hyperlink" Target="https://techelectro.ru/prod/ties/dowel_clamps/dh_11_18/dh11-18/" TargetMode="External"/><Relationship Id="rId575" Type="http://schemas.openxmlformats.org/officeDocument/2006/relationships/hyperlink" Target="https://techelectro.ru/prod/insulugs/ilugs/nvi/nvi_2_5_5/" TargetMode="External"/><Relationship Id="rId2256" Type="http://schemas.openxmlformats.org/officeDocument/2006/relationships/hyperlink" Target="https://techelectro.ru/prod/hstubes/hstube/tut-hf/sku_84965/" TargetMode="External"/><Relationship Id="rId2670" Type="http://schemas.openxmlformats.org/officeDocument/2006/relationships/hyperlink" Target="https://techelectro.ru/prod/insulating/pvc-15-0_13/sku_90805/" TargetMode="External"/><Relationship Id="rId3307" Type="http://schemas.openxmlformats.org/officeDocument/2006/relationships/hyperlink" Target="https://techelectro.ru/prod/wiring-tools/bustools/mpsho-110/sku_85328/" TargetMode="External"/><Relationship Id="rId3721" Type="http://schemas.openxmlformats.org/officeDocument/2006/relationships/hyperlink" Target="https://techelectro.ru/prod/electric-tools/power-saws/shn140/sku_106937/" TargetMode="External"/><Relationship Id="rId228" Type="http://schemas.openxmlformats.org/officeDocument/2006/relationships/hyperlink" Target="https://techelectro.ru/prod/cable-lugs/cu/nsp/nshp_10_12/" TargetMode="External"/><Relationship Id="rId642" Type="http://schemas.openxmlformats.org/officeDocument/2006/relationships/hyperlink" Target="https://techelectro.ru/prod/insulugs/ilugs/ilugsets-nki/sku_91003/" TargetMode="External"/><Relationship Id="rId1272" Type="http://schemas.openxmlformats.org/officeDocument/2006/relationships/hyperlink" Target="https://techelectro.ru/prod/cable-kits/kits-ngls-1kv/5pktp-1_ngls/5pktp_bng-ls1-150-240/" TargetMode="External"/><Relationship Id="rId2323" Type="http://schemas.openxmlformats.org/officeDocument/2006/relationships/hyperlink" Target="https://techelectro.ru/prod/hstubes/hstube/t-box-color/tbox4w/" TargetMode="External"/><Relationship Id="rId5479" Type="http://schemas.openxmlformats.org/officeDocument/2006/relationships/hyperlink" Target="https://techelectro.ru/prod/metal-hose-fittings/hose/mrping_p/sku_65024/" TargetMode="External"/><Relationship Id="rId5893" Type="http://schemas.openxmlformats.org/officeDocument/2006/relationships/hyperlink" Target="https://techelectro.ru/prod/staples/lmp/lmpv17/" TargetMode="External"/><Relationship Id="rId4495" Type="http://schemas.openxmlformats.org/officeDocument/2006/relationships/hyperlink" Target="https://techelectro.ru/prod/ties/nylonties/kss-uv/kss5x500b/" TargetMode="External"/><Relationship Id="rId5546" Type="http://schemas.openxmlformats.org/officeDocument/2006/relationships/hyperlink" Target="https://techelectro.ru/prod/metal-hose-fittings/hose/mg-p/sku_88435/" TargetMode="External"/><Relationship Id="rId3097" Type="http://schemas.openxmlformats.org/officeDocument/2006/relationships/hyperlink" Target="https://techelectro.ru/prod/wiring-tools/cutters/sectioncutters/ns-70m/sku_84391/" TargetMode="External"/><Relationship Id="rId4148" Type="http://schemas.openxmlformats.org/officeDocument/2006/relationships/hyperlink" Target="https://techelectro.ru/prod/protection-safety/safety/sl21a/sl-21a/" TargetMode="External"/><Relationship Id="rId5960" Type="http://schemas.openxmlformats.org/officeDocument/2006/relationships/hyperlink" Target="https://techelectro.ru/prod/staples/u/u-2/" TargetMode="External"/><Relationship Id="rId3164" Type="http://schemas.openxmlformats.org/officeDocument/2006/relationships/hyperlink" Target="https://techelectro.ru/prod/wiring-tools/cutters_din/din-cutters/dr4/sku_89396/" TargetMode="External"/><Relationship Id="rId4562" Type="http://schemas.openxmlformats.org/officeDocument/2006/relationships/hyperlink" Target="https://techelectro.ru/prod/ties/nylonties/kss100-nord_white/kss_nord_3-150_white/" TargetMode="External"/><Relationship Id="rId5613" Type="http://schemas.openxmlformats.org/officeDocument/2006/relationships/hyperlink" Target="https://techelectro.ru/prod/metal-hose-fittings/hose/r3ch_p/r3ch10_p/" TargetMode="External"/><Relationship Id="rId1809" Type="http://schemas.openxmlformats.org/officeDocument/2006/relationships/hyperlink" Target="https://techelectro.ru/prod/cable-kits/muffs10kv/3stp10sold/sku_88765/" TargetMode="External"/><Relationship Id="rId4215" Type="http://schemas.openxmlformats.org/officeDocument/2006/relationships/hyperlink" Target="https://techelectro.ru/prod/abcarm/pierce/pza16-70/sku_108667/" TargetMode="External"/><Relationship Id="rId2180" Type="http://schemas.openxmlformats.org/officeDocument/2006/relationships/hyperlink" Target="https://techelectro.ru/prod/hstubes/hstube/tnt_ng-ls_colors/sku_84986/" TargetMode="External"/><Relationship Id="rId3231" Type="http://schemas.openxmlformats.org/officeDocument/2006/relationships/hyperlink" Target="https://techelectro.ru/prod/wiring-tools/boxtools/pgrop60a/pgrop-60a/" TargetMode="External"/><Relationship Id="rId152" Type="http://schemas.openxmlformats.org/officeDocument/2006/relationships/hyperlink" Target="https://techelectro.ru/prod/cable-lugs/cu/tmldin/tml_din_300_16/" TargetMode="External"/><Relationship Id="rId2997" Type="http://schemas.openxmlformats.org/officeDocument/2006/relationships/hyperlink" Target="https://techelectro.ru/prod/wiring-tools/crimpers_pgr/hv-crimpers/matrix_pg60t/msh-20-8/" TargetMode="External"/><Relationship Id="rId969" Type="http://schemas.openxmlformats.org/officeDocument/2006/relationships/hyperlink" Target="https://techelectro.ru/prod/e-connectors/nshvi/sku_108909/" TargetMode="External"/><Relationship Id="rId1599" Type="http://schemas.openxmlformats.org/officeDocument/2006/relationships/hyperlink" Target="https://techelectro.ru/prod/cable-kits/muffs1kv/3pst-1/3pstb1-150-240_b/" TargetMode="External"/><Relationship Id="rId5056" Type="http://schemas.openxmlformats.org/officeDocument/2006/relationships/hyperlink" Target="https://techelectro.ru/prod/strength-ties/screw-ties/sr/sr_162-174_w1/" TargetMode="External"/><Relationship Id="rId5470" Type="http://schemas.openxmlformats.org/officeDocument/2006/relationships/hyperlink" Target="https://techelectro.ru/prod/metal-hose-fittings/hose/mrping_p/sku_65018/" TargetMode="External"/><Relationship Id="rId4072" Type="http://schemas.openxmlformats.org/officeDocument/2006/relationships/hyperlink" Target="https://techelectro.ru/prod/fixing_tools/zr4/zr-4/" TargetMode="External"/><Relationship Id="rId5123" Type="http://schemas.openxmlformats.org/officeDocument/2006/relationships/hyperlink" Target="https://techelectro.ru/prod/strength-ties/pipe-ties/th/th1_2/" TargetMode="External"/><Relationship Id="rId1666" Type="http://schemas.openxmlformats.org/officeDocument/2006/relationships/hyperlink" Target="https://techelectro.ru/prod/cable-kits/muffs1kv/4_5pto-1/sku_101907/" TargetMode="External"/><Relationship Id="rId2717" Type="http://schemas.openxmlformats.org/officeDocument/2006/relationships/hyperlink" Target="https://techelectro.ru/prod/insulating/bsp/bsp12/" TargetMode="External"/><Relationship Id="rId1319" Type="http://schemas.openxmlformats.org/officeDocument/2006/relationships/hyperlink" Target="https://techelectro.ru/prod/cable-kits/kits-ngls-1kv/4_5pst_ngls-1/4pst1-25-50_bngls/" TargetMode="External"/><Relationship Id="rId1733" Type="http://schemas.openxmlformats.org/officeDocument/2006/relationships/hyperlink" Target="https://techelectro.ru/prod/cable-kits/muffs10kv/3pkntp-10/sku_92348/" TargetMode="External"/><Relationship Id="rId4889" Type="http://schemas.openxmlformats.org/officeDocument/2006/relationships/hyperlink" Target="https://techelectro.ru/prod/steel-ties/steel_ties-labels/sksp304_50pcs/sku_103085/" TargetMode="External"/><Relationship Id="rId25" Type="http://schemas.openxmlformats.org/officeDocument/2006/relationships/hyperlink" Target="https://techelectro.ru/prod/cable-lugs/cu/tmls/tmls_95_12/" TargetMode="External"/><Relationship Id="rId1800" Type="http://schemas.openxmlformats.org/officeDocument/2006/relationships/hyperlink" Target="https://techelectro.ru/prod/cable-kits/muffs10kv/3rst-10/sku_88131/" TargetMode="External"/><Relationship Id="rId4956" Type="http://schemas.openxmlformats.org/officeDocument/2006/relationships/hyperlink" Target="https://techelectro.ru/prod/strength-ties/screw-ties/pl9-w1/sku_103907/" TargetMode="External"/><Relationship Id="rId3558" Type="http://schemas.openxmlformats.org/officeDocument/2006/relationships/hyperlink" Target="https://techelectro.ru/prod/vdetools/pliers/combpliersexp160/pliersexp-160/" TargetMode="External"/><Relationship Id="rId3972" Type="http://schemas.openxmlformats.org/officeDocument/2006/relationships/hyperlink" Target="https://techelectro.ru/prod/construction_hydraulics/jack/jack_hd/dgpg/sku_84586/" TargetMode="External"/><Relationship Id="rId4609" Type="http://schemas.openxmlformats.org/officeDocument/2006/relationships/hyperlink" Target="https://techelectro.ru/prod/ties/nylonties/kss100-nord_black/sku_89945/" TargetMode="External"/><Relationship Id="rId479" Type="http://schemas.openxmlformats.org/officeDocument/2006/relationships/hyperlink" Target="https://techelectro.ru/prod/cable-lugs/clamps/u859m/sku_108500/" TargetMode="External"/><Relationship Id="rId893" Type="http://schemas.openxmlformats.org/officeDocument/2006/relationships/hyperlink" Target="https://techelectro.ru/prod/insulugs/autoterminals/rp-p_1_5_4_8/sku_85671/" TargetMode="External"/><Relationship Id="rId2574" Type="http://schemas.openxmlformats.org/officeDocument/2006/relationships/hyperlink" Target="https://techelectro.ru/prod/hstubes/hstubeset/5_colors/sku_85299/" TargetMode="External"/><Relationship Id="rId3625" Type="http://schemas.openxmlformats.org/officeDocument/2006/relationships/hyperlink" Target="https://techelectro.ru/prod/vdetools/vde-screwdrivers/nio-4405/sku_83785/" TargetMode="External"/><Relationship Id="rId6031" Type="http://schemas.openxmlformats.org/officeDocument/2006/relationships/hyperlink" Target="https://techelectro.ru/prod/ground_wire/pzu/pzu-10-800/" TargetMode="External"/><Relationship Id="rId546" Type="http://schemas.openxmlformats.org/officeDocument/2006/relationships/hyperlink" Target="https://techelectro.ru/prod/insulugs/ilugs/nkin/sku_108527/" TargetMode="External"/><Relationship Id="rId1176" Type="http://schemas.openxmlformats.org/officeDocument/2006/relationships/hyperlink" Target="https://techelectro.ru/prod/bolt-lugs/wire10-240/sbe/4sbe_25-50/" TargetMode="External"/><Relationship Id="rId2227" Type="http://schemas.openxmlformats.org/officeDocument/2006/relationships/hyperlink" Target="https://techelectro.ru/prod/hstubes/hstube/ygtutng/tutng30-15/" TargetMode="External"/><Relationship Id="rId960" Type="http://schemas.openxmlformats.org/officeDocument/2006/relationships/hyperlink" Target="https://techelectro.ru/prod/e-connectors/nshvi/sku_108898/" TargetMode="External"/><Relationship Id="rId1243" Type="http://schemas.openxmlformats.org/officeDocument/2006/relationships/hyperlink" Target="https://techelectro.ru/prod/cable-kits/kits-ngls-1kv/3_kvntp-1_ngls/3kvntpngls1-70-120_b/" TargetMode="External"/><Relationship Id="rId1590" Type="http://schemas.openxmlformats.org/officeDocument/2006/relationships/hyperlink" Target="https://techelectro.ru/prod/cable-kits/muffs1kv/3pst-1/3pst1-70-120_b/" TargetMode="External"/><Relationship Id="rId2641" Type="http://schemas.openxmlformats.org/officeDocument/2006/relationships/hyperlink" Target="https://techelectro.ru/prod/hstubes/specialtube/tt150/sku_104420/" TargetMode="External"/><Relationship Id="rId4399" Type="http://schemas.openxmlformats.org/officeDocument/2006/relationships/hyperlink" Target="https://techelectro.ru/prod/ties/nylonties/kss/kss4h150/" TargetMode="External"/><Relationship Id="rId5797" Type="http://schemas.openxmlformats.org/officeDocument/2006/relationships/hyperlink" Target="https://techelectro.ru/prod/staples/smo/smo_16_17/" TargetMode="External"/><Relationship Id="rId613" Type="http://schemas.openxmlformats.org/officeDocument/2006/relationships/hyperlink" Target="https://techelectro.ru/prod/insulugs/ilugs/nshpi/sku_108578/" TargetMode="External"/><Relationship Id="rId5864" Type="http://schemas.openxmlformats.org/officeDocument/2006/relationships/hyperlink" Target="https://techelectro.ru/prod/staples/smr15/smr_18-15/" TargetMode="External"/><Relationship Id="rId1310" Type="http://schemas.openxmlformats.org/officeDocument/2006/relationships/hyperlink" Target="https://techelectro.ru/prod/cable-kits/kits-ngls-1kv/1pst_ngls/1pst1-150-240b_ngls/" TargetMode="External"/><Relationship Id="rId4466" Type="http://schemas.openxmlformats.org/officeDocument/2006/relationships/hyperlink" Target="https://techelectro.ru/prod/ties/nylonties/nss/sku_87780/" TargetMode="External"/><Relationship Id="rId4880" Type="http://schemas.openxmlformats.org/officeDocument/2006/relationships/hyperlink" Target="https://techelectro.ru/prod/steel-ties/steel_ties-labels/sksp/sksp7h800/" TargetMode="External"/><Relationship Id="rId5517" Type="http://schemas.openxmlformats.org/officeDocument/2006/relationships/hyperlink" Target="https://techelectro.ru/prod/metal-hose-fittings/hose/mrping-p_termo/sku_88486/" TargetMode="External"/><Relationship Id="rId5931" Type="http://schemas.openxmlformats.org/officeDocument/2006/relationships/hyperlink" Target="https://techelectro.ru/prod/staples/fastener/krepezh-klipsa_16/" TargetMode="External"/><Relationship Id="rId3068" Type="http://schemas.openxmlformats.org/officeDocument/2006/relationships/hyperlink" Target="https://techelectro.ru/prod/wiring-tools/crimpers_pgr/hv-crimpers/matrix_pg100t/msh-28-6c-100t/" TargetMode="External"/><Relationship Id="rId3482" Type="http://schemas.openxmlformats.org/officeDocument/2006/relationships/hyperlink" Target="https://techelectro.ru/prod/wiring-tools/unwinding/fishtape/fgp11/fgp11-150/" TargetMode="External"/><Relationship Id="rId4119" Type="http://schemas.openxmlformats.org/officeDocument/2006/relationships/hyperlink" Target="https://techelectro.ru/prod/protection-safety/bags_packs/sk1/sk-1/" TargetMode="External"/><Relationship Id="rId4533" Type="http://schemas.openxmlformats.org/officeDocument/2006/relationships/hyperlink" Target="https://techelectro.ru/prod/ties/nylonties/kss_outlock_black/sku_111521/" TargetMode="External"/><Relationship Id="rId2084" Type="http://schemas.openxmlformats.org/officeDocument/2006/relationships/hyperlink" Target="https://techelectro.ru/prod/hstubes/hstube/tutng-color/sku_102214/" TargetMode="External"/><Relationship Id="rId3135" Type="http://schemas.openxmlformats.org/officeDocument/2006/relationships/hyperlink" Target="https://techelectro.ru/prod/wiring-tools/cutters_din/steelcutters/tr10m/sku_101990/" TargetMode="External"/><Relationship Id="rId4600" Type="http://schemas.openxmlformats.org/officeDocument/2006/relationships/hyperlink" Target="https://techelectro.ru/prod/ties/nylonties/kss100-nord_black/kss_nord_5-250_black/" TargetMode="External"/><Relationship Id="rId470" Type="http://schemas.openxmlformats.org/officeDocument/2006/relationships/hyperlink" Target="https://techelectro.ru/prod/cable-lugs/clamps/u_731m/u-731m/" TargetMode="External"/><Relationship Id="rId2151" Type="http://schemas.openxmlformats.org/officeDocument/2006/relationships/hyperlink" Target="https://techelectro.ru/prod/hstubes/hstube/tnt_hf/sku_82988/" TargetMode="External"/><Relationship Id="rId3202" Type="http://schemas.openxmlformats.org/officeDocument/2006/relationships/hyperlink" Target="https://techelectro.ru/prod/wiring-tools/strippers/xlpe-strip/ksp40/ksp-40/" TargetMode="External"/><Relationship Id="rId123" Type="http://schemas.openxmlformats.org/officeDocument/2006/relationships/hyperlink" Target="https://techelectro.ru/prod/cable-lugs/cu/tmldin/tml_din_6-5/" TargetMode="External"/><Relationship Id="rId5374" Type="http://schemas.openxmlformats.org/officeDocument/2006/relationships/hyperlink" Target="https://techelectro.ru/prod/cable_entry/cable_entry_plastic/okp-m/sku_88674/" TargetMode="External"/><Relationship Id="rId2968" Type="http://schemas.openxmlformats.org/officeDocument/2006/relationships/hyperlink" Target="https://techelectro.ru/prod/wiring-tools/crimpers_pgr/hv-crimpers/matrix_pg60t/a-28/" TargetMode="External"/><Relationship Id="rId5027" Type="http://schemas.openxmlformats.org/officeDocument/2006/relationships/hyperlink" Target="https://techelectro.ru/prod/strength-ties/screw-ties/pl12-w2/pl-12_150-170_w2/" TargetMode="External"/><Relationship Id="rId1984" Type="http://schemas.openxmlformats.org/officeDocument/2006/relationships/hyperlink" Target="https://techelectro.ru/prod/cable_kits_acs/kmle/kmle2/" TargetMode="External"/><Relationship Id="rId4390" Type="http://schemas.openxmlformats.org/officeDocument/2006/relationships/hyperlink" Target="https://techelectro.ru/prod/digital_meters/measuring_electrode/kt3101/kt-3101/" TargetMode="External"/><Relationship Id="rId5441" Type="http://schemas.openxmlformats.org/officeDocument/2006/relationships/hyperlink" Target="https://techelectro.ru/prod/metal-hose-fittings/hose/r3cp-ngls/r3cpngls60/" TargetMode="External"/><Relationship Id="rId1637" Type="http://schemas.openxmlformats.org/officeDocument/2006/relationships/hyperlink" Target="https://techelectro.ru/prod/cable-kits/muffs1kv/4rst1/4rst1-35-50/" TargetMode="External"/><Relationship Id="rId4043" Type="http://schemas.openxmlformats.org/officeDocument/2006/relationships/hyperlink" Target="https://techelectro.ru/prod/maintenance_tools/rj-crimp/jt2/sku_84626/" TargetMode="External"/><Relationship Id="rId1704" Type="http://schemas.openxmlformats.org/officeDocument/2006/relationships/hyperlink" Target="https://techelectro.ru/prod/cable-kits/muffs10kv/1pkvt-10/1pkvt10-500-630_b/" TargetMode="External"/><Relationship Id="rId4110" Type="http://schemas.openxmlformats.org/officeDocument/2006/relationships/hyperlink" Target="https://techelectro.ru/prod/protection-safety/bags_packs/sm07/sku_91980/" TargetMode="External"/><Relationship Id="rId797" Type="http://schemas.openxmlformats.org/officeDocument/2006/relationships/hyperlink" Target="https://techelectro.ru/prod/insulugs/iquick/iquicksets-gsi/sku_91018/" TargetMode="External"/><Relationship Id="rId2478" Type="http://schemas.openxmlformats.org/officeDocument/2006/relationships/hyperlink" Target="https://techelectro.ru/prod/hstubes/gluetube/ttk41_inrolls/sku_106543/" TargetMode="External"/><Relationship Id="rId3876" Type="http://schemas.openxmlformats.org/officeDocument/2006/relationships/hyperlink" Target="https://techelectro.ru/prod/metalworking-tools/ft_wrench/ksh-9-s2/ksh9s2/" TargetMode="External"/><Relationship Id="rId4927" Type="http://schemas.openxmlformats.org/officeDocument/2006/relationships/hyperlink" Target="https://techelectro.ru/prod/steel-ties/steel_ties-labels/mbs316-89-19/mbs316-89x19/" TargetMode="External"/><Relationship Id="rId2892" Type="http://schemas.openxmlformats.org/officeDocument/2006/relationships/hyperlink" Target="https://techelectro.ru/prod/wiring-tools/crimpers/mechcrimp/pk16m/pk-16m/" TargetMode="External"/><Relationship Id="rId3529" Type="http://schemas.openxmlformats.org/officeDocument/2006/relationships/hyperlink" Target="https://techelectro.ru/prod/vdetools/pliers/pliers200ergoline/sku_105213/" TargetMode="External"/><Relationship Id="rId3943" Type="http://schemas.openxmlformats.org/officeDocument/2006/relationships/hyperlink" Target="https://techelectro.ru/prod/construction_hydraulics/jack/jack_hd/dgp/dg-20p50/" TargetMode="External"/><Relationship Id="rId6002" Type="http://schemas.openxmlformats.org/officeDocument/2006/relationships/hyperlink" Target="https://techelectro.ru/prod/ground_wire/pzki/pzki-16-200/" TargetMode="External"/><Relationship Id="rId864" Type="http://schemas.openxmlformats.org/officeDocument/2006/relationships/hyperlink" Target="https://techelectro.ru/prod/insulugs/screw_clamp/kzvi/sku_109272/" TargetMode="External"/><Relationship Id="rId1494" Type="http://schemas.openxmlformats.org/officeDocument/2006/relationships/hyperlink" Target="https://techelectro.ru/prod/cable-kits/muffs1kv/3-pktp-1/3pktp_b-1-150_240_b/" TargetMode="External"/><Relationship Id="rId2545" Type="http://schemas.openxmlformats.org/officeDocument/2006/relationships/hyperlink" Target="https://techelectro.ru/prod/hstubes/hstubeset/hs-set-kvadro/sku_89781/" TargetMode="External"/><Relationship Id="rId517" Type="http://schemas.openxmlformats.org/officeDocument/2006/relationships/hyperlink" Target="https://techelectro.ru/prod/insulugs/ilugs/nki_easyfix/sku_90895/" TargetMode="External"/><Relationship Id="rId931" Type="http://schemas.openxmlformats.org/officeDocument/2006/relationships/hyperlink" Target="https://techelectro.ru/prod/e-connectors/nshvi/nshvi_1_0_8/" TargetMode="External"/><Relationship Id="rId1147" Type="http://schemas.openxmlformats.org/officeDocument/2006/relationships/hyperlink" Target="https://techelectro.ru/prod/clamps_wago-smk/smk221/sku_90361/" TargetMode="External"/><Relationship Id="rId1561" Type="http://schemas.openxmlformats.org/officeDocument/2006/relationships/hyperlink" Target="https://techelectro.ru/prod/cable-kits/muffs1kv/3stp-1/3stp1-70-120/" TargetMode="External"/><Relationship Id="rId2612" Type="http://schemas.openxmlformats.org/officeDocument/2006/relationships/hyperlink" Target="https://techelectro.ru/prod/hstubes/highvoltagetube/tst/tst35_14/" TargetMode="External"/><Relationship Id="rId5768" Type="http://schemas.openxmlformats.org/officeDocument/2006/relationships/hyperlink" Target="https://techelectro.ru/prod/metal-hose-fittings/fittings/krvl/krvl50/" TargetMode="External"/><Relationship Id="rId1214" Type="http://schemas.openxmlformats.org/officeDocument/2006/relationships/hyperlink" Target="https://techelectro.ru/prod/bolt-lugs/wire300-800/3nbe/3nbe_800/" TargetMode="External"/><Relationship Id="rId4784" Type="http://schemas.openxmlformats.org/officeDocument/2006/relationships/hyperlink" Target="https://techelectro.ru/prod/steel-ties/steel_ties-labels/sks316/sks316-7x800/" TargetMode="External"/><Relationship Id="rId5835" Type="http://schemas.openxmlformats.org/officeDocument/2006/relationships/hyperlink" Target="https://techelectro.ru/prod/staples/smdp/smd-p_16-17/" TargetMode="External"/><Relationship Id="rId3386" Type="http://schemas.openxmlformats.org/officeDocument/2006/relationships/hyperlink" Target="https://techelectro.ru/prod/wiring-tools/unwinding/hvltools/chms/sku_109883/" TargetMode="External"/><Relationship Id="rId4437" Type="http://schemas.openxmlformats.org/officeDocument/2006/relationships/hyperlink" Target="https://techelectro.ru/prod/ties/nylonties/kss_multilock_white/sku_102306/" TargetMode="External"/><Relationship Id="rId3039" Type="http://schemas.openxmlformats.org/officeDocument/2006/relationships/hyperlink" Target="https://techelectro.ru/prod/wiring-tools/crimpers_pgr/hv-crimpers/matrix_pg100t/c-21-100t/" TargetMode="External"/><Relationship Id="rId3453" Type="http://schemas.openxmlformats.org/officeDocument/2006/relationships/hyperlink" Target="https://techelectro.ru/prod/wiring-tools/unwinding/fishtape/fgp3_5/fgp3_5-03r/" TargetMode="External"/><Relationship Id="rId4851" Type="http://schemas.openxmlformats.org/officeDocument/2006/relationships/hyperlink" Target="https://techelectro.ru/prod/steel-ties/steel_ties-labels/sks316p/sks316p-12x300/" TargetMode="External"/><Relationship Id="rId5902" Type="http://schemas.openxmlformats.org/officeDocument/2006/relationships/hyperlink" Target="https://techelectro.ru/prod/staples/spk/sku_103938/" TargetMode="External"/><Relationship Id="rId374" Type="http://schemas.openxmlformats.org/officeDocument/2006/relationships/hyperlink" Target="https://techelectro.ru/prod/cable-lugs/cu/lugset-gmlo/set-gmlo6-10/" TargetMode="External"/><Relationship Id="rId2055" Type="http://schemas.openxmlformats.org/officeDocument/2006/relationships/hyperlink" Target="https://techelectro.ru/prod/hstubes/hstube/tutng-color/sku_102185/" TargetMode="External"/><Relationship Id="rId3106" Type="http://schemas.openxmlformats.org/officeDocument/2006/relationships/hyperlink" Target="https://techelectro.ru/prod/wiring-tools/cutters/sectioncutters/nl-55/nl55/" TargetMode="External"/><Relationship Id="rId4504" Type="http://schemas.openxmlformats.org/officeDocument/2006/relationships/hyperlink" Target="https://techelectro.ru/prod/ties/nylonties/kss-uv/sku_89907/" TargetMode="External"/><Relationship Id="rId3520" Type="http://schemas.openxmlformats.org/officeDocument/2006/relationships/hyperlink" Target="https://techelectro.ru/prod/wiring-tools/bags_sets/nim70/sku_101926/" TargetMode="External"/><Relationship Id="rId441" Type="http://schemas.openxmlformats.org/officeDocument/2006/relationships/hyperlink" Target="https://techelectro.ru/prod/cable-lugs/al/gam/gam_185-150/" TargetMode="External"/><Relationship Id="rId1071" Type="http://schemas.openxmlformats.org/officeDocument/2006/relationships/hyperlink" Target="https://techelectro.ru/prod/e-connectors/nshv/sku_108944/" TargetMode="External"/><Relationship Id="rId2122" Type="http://schemas.openxmlformats.org/officeDocument/2006/relationships/hyperlink" Target="https://techelectro.ru/prod/hstubes/hstube/tnt_hf/sku_84989/" TargetMode="External"/><Relationship Id="rId5278" Type="http://schemas.openxmlformats.org/officeDocument/2006/relationships/hyperlink" Target="https://techelectro.ru/prod/cable_entry/cable_entry_metal/mpl-m_reduce/sku_89606/" TargetMode="External"/><Relationship Id="rId5692" Type="http://schemas.openxmlformats.org/officeDocument/2006/relationships/hyperlink" Target="https://techelectro.ru/prod/metal-hose-fittings/fittings/stmr_inox/sku_83766/" TargetMode="External"/><Relationship Id="rId1888" Type="http://schemas.openxmlformats.org/officeDocument/2006/relationships/hyperlink" Target="https://techelectro.ru/prod/cable_kits_acs/tpi/2tpi-70-120/" TargetMode="External"/><Relationship Id="rId2939" Type="http://schemas.openxmlformats.org/officeDocument/2006/relationships/hyperlink" Target="https://techelectro.ru/prod/wiring-tools/crimpers_pgr/hdcrimp/pgrs300u/pgrs300u/" TargetMode="External"/><Relationship Id="rId4294" Type="http://schemas.openxmlformats.org/officeDocument/2006/relationships/hyperlink" Target="https://techelectro.ru/prod/abcarm/abctools/rm1/rm-1/" TargetMode="External"/><Relationship Id="rId5345" Type="http://schemas.openxmlformats.org/officeDocument/2006/relationships/hyperlink" Target="https://techelectro.ru/prod/cable_entry/cable_entry_plastic/m/sku_88160/" TargetMode="External"/><Relationship Id="rId4361" Type="http://schemas.openxmlformats.org/officeDocument/2006/relationships/hyperlink" Target="https://techelectro.ru/prod/digital_meters/pyrometers/kt-650c/sku_87243/" TargetMode="External"/><Relationship Id="rId5412" Type="http://schemas.openxmlformats.org/officeDocument/2006/relationships/hyperlink" Target="https://techelectro.ru/prod/metal-hose-fittings/hose/mrping_nord/mrping32_nord/" TargetMode="External"/><Relationship Id="rId1955" Type="http://schemas.openxmlformats.org/officeDocument/2006/relationships/hyperlink" Target="https://techelectro.ru/prod/cable_kits_acs/tlk/sku_84907/" TargetMode="External"/><Relationship Id="rId4014" Type="http://schemas.openxmlformats.org/officeDocument/2006/relationships/hyperlink" Target="https://techelectro.ru/prod/construction_hydraulics/bending_tools/tgr1/sku_87567/" TargetMode="External"/><Relationship Id="rId1608" Type="http://schemas.openxmlformats.org/officeDocument/2006/relationships/hyperlink" Target="https://techelectro.ru/prod/cable-kits/muffs1kv/4_5pst-1/4pst1-150-240_b/" TargetMode="External"/><Relationship Id="rId3030" Type="http://schemas.openxmlformats.org/officeDocument/2006/relationships/hyperlink" Target="https://techelectro.ru/prod/wiring-tools/crimpers_pgr/hv-crimpers/matrix_pg100t/a-44-100t/" TargetMode="External"/><Relationship Id="rId2796" Type="http://schemas.openxmlformats.org/officeDocument/2006/relationships/hyperlink" Target="https://techelectro.ru/prod/insulating/xt/sku_85374/" TargetMode="External"/><Relationship Id="rId3847" Type="http://schemas.openxmlformats.org/officeDocument/2006/relationships/hyperlink" Target="https://techelectro.ru/prod/metalworking-tools/ft_pumpliers/rkp150/sku_92063/" TargetMode="External"/><Relationship Id="rId768" Type="http://schemas.openxmlformats.org/officeDocument/2006/relationships/hyperlink" Target="https://techelectro.ru/prod/insulugs/iquick/gsi_easyfix/sku_108631/" TargetMode="External"/><Relationship Id="rId1398" Type="http://schemas.openxmlformats.org/officeDocument/2006/relationships/hyperlink" Target="https://techelectro.ru/prod/cable-kits/kits-ngls-10kv/3rkvtp_ngls/sku_88126/" TargetMode="External"/><Relationship Id="rId2449" Type="http://schemas.openxmlformats.org/officeDocument/2006/relationships/hyperlink" Target="https://techelectro.ru/prod/hstubes/gluetube/ttk31_yellow/sku_106553/" TargetMode="External"/><Relationship Id="rId2863" Type="http://schemas.openxmlformats.org/officeDocument/2006/relationships/hyperlink" Target="https://techelectro.ru/prod/wiring-tools/crimpers/insulugs-crimp/ctm/set_ctm/" TargetMode="External"/><Relationship Id="rId3914" Type="http://schemas.openxmlformats.org/officeDocument/2006/relationships/hyperlink" Target="https://techelectro.ru/prod/metalworking-tools/ft_knives/nsm12/nsm-12/" TargetMode="External"/><Relationship Id="rId835" Type="http://schemas.openxmlformats.org/officeDocument/2006/relationships/hyperlink" Target="https://techelectro.ru/prod/insulugs/screw_clamp/zvi-u/sku_87159/" TargetMode="External"/><Relationship Id="rId1465" Type="http://schemas.openxmlformats.org/officeDocument/2006/relationships/hyperlink" Target="https://techelectro.ru/prod/cable-kits/muffs1kv/3kvntp1sold/sku_88786/" TargetMode="External"/><Relationship Id="rId2516" Type="http://schemas.openxmlformats.org/officeDocument/2006/relationships/hyperlink" Target="https://techelectro.ru/prod/hstubes/gluetube/nttk31/nttk31-115/" TargetMode="External"/><Relationship Id="rId1118" Type="http://schemas.openxmlformats.org/officeDocument/2006/relationships/hyperlink" Target="https://techelectro.ru/prod/clamps_wago-smk/smk_222-413/sku_109302/" TargetMode="External"/><Relationship Id="rId1532" Type="http://schemas.openxmlformats.org/officeDocument/2006/relationships/hyperlink" Target="https://techelectro.ru/prod/cable-kits/muffs1kv/kktng-ls/sku_82600/" TargetMode="External"/><Relationship Id="rId2930" Type="http://schemas.openxmlformats.org/officeDocument/2006/relationships/hyperlink" Target="https://techelectro.ru/prod/wiring-tools/crimpers_pgr/hdcrimp/pgr120/pgr-120/" TargetMode="External"/><Relationship Id="rId4688" Type="http://schemas.openxmlformats.org/officeDocument/2006/relationships/hyperlink" Target="https://techelectro.ru/prod/ties/nylonties/ksdp/ksdp25x100/" TargetMode="External"/><Relationship Id="rId902" Type="http://schemas.openxmlformats.org/officeDocument/2006/relationships/hyperlink" Target="https://techelectro.ru/prod/insulugs/autoterminals/rp-m_2_5_6_3/sku_109246/" TargetMode="External"/><Relationship Id="rId5739" Type="http://schemas.openxmlformats.org/officeDocument/2006/relationships/hyperlink" Target="https://techelectro.ru/prod/metal-hose-fittings/fittings/ozm/ozm_20/" TargetMode="External"/><Relationship Id="rId4755" Type="http://schemas.openxmlformats.org/officeDocument/2006/relationships/hyperlink" Target="https://techelectro.ru/prod/ties/markers/up/up255g/" TargetMode="External"/><Relationship Id="rId5806" Type="http://schemas.openxmlformats.org/officeDocument/2006/relationships/hyperlink" Target="https://techelectro.ru/prod/staples/sdk/label_102661/" TargetMode="External"/><Relationship Id="rId278" Type="http://schemas.openxmlformats.org/officeDocument/2006/relationships/hyperlink" Target="https://techelectro.ru/prod/cable-lugs/cu/tmls45/tmls_45_50-10/" TargetMode="External"/><Relationship Id="rId3357" Type="http://schemas.openxmlformats.org/officeDocument/2006/relationships/hyperlink" Target="https://techelectro.ru/prod/wiring-tools/unwinding/hvltools/dk10gmp/sku_109531/" TargetMode="External"/><Relationship Id="rId3771" Type="http://schemas.openxmlformats.org/officeDocument/2006/relationships/hyperlink" Target="https://techelectro.ru/prod/generators/inverter-generators/gfi5500/sku_110035/" TargetMode="External"/><Relationship Id="rId4408" Type="http://schemas.openxmlformats.org/officeDocument/2006/relationships/hyperlink" Target="https://techelectro.ru/prod/ties/nylonties/kss/kss5h350/" TargetMode="External"/><Relationship Id="rId4822" Type="http://schemas.openxmlformats.org/officeDocument/2006/relationships/hyperlink" Target="https://techelectro.ru/prod/steel-ties/steel_ties-labels/sks304_50pcs/sku_103078/" TargetMode="External"/><Relationship Id="rId692" Type="http://schemas.openxmlformats.org/officeDocument/2006/relationships/hyperlink" Target="https://techelectro.ru/prod/insulugs/iplug/vrpip/vrpip_15/" TargetMode="External"/><Relationship Id="rId2373" Type="http://schemas.openxmlformats.org/officeDocument/2006/relationships/hyperlink" Target="https://techelectro.ru/prod/hstubes/gluetube/ttk31_inrolls/sku_89_690/" TargetMode="External"/><Relationship Id="rId3424" Type="http://schemas.openxmlformats.org/officeDocument/2006/relationships/hyperlink" Target="https://techelectro.ru/prod/wiring-tools/unwinding/hvltools/chmt/sku_109913/" TargetMode="External"/><Relationship Id="rId345" Type="http://schemas.openxmlformats.org/officeDocument/2006/relationships/hyperlink" Target="https://techelectro.ru/prod/cable-lugs/cu/gmlo/gmlo_25/" TargetMode="External"/><Relationship Id="rId2026" Type="http://schemas.openxmlformats.org/officeDocument/2006/relationships/hyperlink" Target="https://techelectro.ru/prod/ukpt_ogt/ukpto/sku_87836/" TargetMode="External"/><Relationship Id="rId2440" Type="http://schemas.openxmlformats.org/officeDocument/2006/relationships/hyperlink" Target="https://techelectro.ru/prod/hstubes/gluetube/ttk31_yellow/sku_102411/" TargetMode="External"/><Relationship Id="rId5596" Type="http://schemas.openxmlformats.org/officeDocument/2006/relationships/hyperlink" Target="https://techelectro.ru/prod/metal-hose-fittings/hose/mrn-inox_p/sku_104466/" TargetMode="External"/><Relationship Id="rId412" Type="http://schemas.openxmlformats.org/officeDocument/2006/relationships/hyperlink" Target="https://techelectro.ru/prod/cable-lugs/al/tam/tam_150-12-17/" TargetMode="External"/><Relationship Id="rId1042" Type="http://schemas.openxmlformats.org/officeDocument/2006/relationships/hyperlink" Target="https://techelectro.ru/prod/e-connectors/nshvi2_euro/sku_103247/" TargetMode="External"/><Relationship Id="rId4198" Type="http://schemas.openxmlformats.org/officeDocument/2006/relationships/hyperlink" Target="https://techelectro.ru/prod/abcarm/pierce/zpon25-150_25-150/sku_87401/" TargetMode="External"/><Relationship Id="rId5249" Type="http://schemas.openxmlformats.org/officeDocument/2006/relationships/hyperlink" Target="https://techelectro.ru/prod/cable_entry/cable_entry_metal/vk-m-mr/sku_87944/" TargetMode="External"/><Relationship Id="rId5663" Type="http://schemas.openxmlformats.org/officeDocument/2006/relationships/hyperlink" Target="https://techelectro.ru/prod/metal-hose-fittings/fittings/vmu/vmu15/" TargetMode="External"/><Relationship Id="rId4265" Type="http://schemas.openxmlformats.org/officeDocument/2006/relationships/hyperlink" Target="https://techelectro.ru/prod/abcarm/sealinslugs/gin-mjpt95n/sku_109219/" TargetMode="External"/><Relationship Id="rId5316" Type="http://schemas.openxmlformats.org/officeDocument/2006/relationships/hyperlink" Target="https://techelectro.ru/prod/cable_entry/cable_entry_plastic/pg/pg9/" TargetMode="External"/><Relationship Id="rId1859" Type="http://schemas.openxmlformats.org/officeDocument/2006/relationships/hyperlink" Target="https://techelectro.ru/prod/cable-kits/lighting_solutions/5pktp_b/sku_89479/" TargetMode="External"/><Relationship Id="rId5730" Type="http://schemas.openxmlformats.org/officeDocument/2006/relationships/hyperlink" Target="https://techelectro.ru/prod/metal-hose-fittings/fittings/atk/sku_92324/" TargetMode="External"/><Relationship Id="rId1926" Type="http://schemas.openxmlformats.org/officeDocument/2006/relationships/hyperlink" Target="https://techelectro.ru/prod/cable_kits_acs/trm/trm_164_42-600/" TargetMode="External"/><Relationship Id="rId3281" Type="http://schemas.openxmlformats.org/officeDocument/2006/relationships/hyperlink" Target="https://techelectro.ru/prod/wiring-tools/bustools/shr150neo/shr-150neo/" TargetMode="External"/><Relationship Id="rId4332" Type="http://schemas.openxmlformats.org/officeDocument/2006/relationships/hyperlink" Target="https://techelectro.ru/prod/digital_meters/multimeters/kt205d/sku_90386/" TargetMode="External"/><Relationship Id="rId3001" Type="http://schemas.openxmlformats.org/officeDocument/2006/relationships/hyperlink" Target="https://techelectro.ru/prod/wiring-tools/crimpers_pgr/hv-crimpers/matrix_pg60t/msh-30-3/" TargetMode="External"/><Relationship Id="rId2767" Type="http://schemas.openxmlformats.org/officeDocument/2006/relationships/hyperlink" Target="https://techelectro.ru/prod/insulating/xp_bw/sku_102341/" TargetMode="External"/><Relationship Id="rId5173" Type="http://schemas.openxmlformats.org/officeDocument/2006/relationships/hyperlink" Target="https://techelectro.ru/prod/cable_entry/cable_entry_metal/mgm-l/sku_88617/" TargetMode="External"/><Relationship Id="rId739" Type="http://schemas.openxmlformats.org/officeDocument/2006/relationships/hyperlink" Target="https://techelectro.ru/prod/insulugs/iplug/ovt/ovt1/" TargetMode="External"/><Relationship Id="rId1369" Type="http://schemas.openxmlformats.org/officeDocument/2006/relationships/hyperlink" Target="https://techelectro.ru/prod/cable-kits/kits-ngls-1kv/pst-mini-ng_ls/sku_88062/" TargetMode="External"/><Relationship Id="rId3818" Type="http://schemas.openxmlformats.org/officeDocument/2006/relationships/hyperlink" Target="https://techelectro.ru/prod/metalworking-tools/ft_screwdrivers/no37/sku_103023/" TargetMode="External"/><Relationship Id="rId5240" Type="http://schemas.openxmlformats.org/officeDocument/2006/relationships/hyperlink" Target="https://techelectro.ru/prod/cable_entry/cable_entry_metal/vk-m-mr-inox/sku_89110/" TargetMode="External"/><Relationship Id="rId1783" Type="http://schemas.openxmlformats.org/officeDocument/2006/relationships/hyperlink" Target="https://techelectro.ru/prod/cable-kits/muffs10kv/1pst10/1pst10-300-400/" TargetMode="External"/><Relationship Id="rId2834" Type="http://schemas.openxmlformats.org/officeDocument/2006/relationships/hyperlink" Target="https://techelectro.ru/prod/wiring-tools/crimpers/insulugs-crimp/ctb/ctb02/" TargetMode="External"/><Relationship Id="rId75" Type="http://schemas.openxmlformats.org/officeDocument/2006/relationships/hyperlink" Target="https://techelectro.ru/prod/cable-lugs/cu/tml/tml_120-16-18/" TargetMode="External"/><Relationship Id="rId806" Type="http://schemas.openxmlformats.org/officeDocument/2006/relationships/hyperlink" Target="https://techelectro.ru/prod/insulugs/siz_kiz/siz/siz3/" TargetMode="External"/><Relationship Id="rId1436" Type="http://schemas.openxmlformats.org/officeDocument/2006/relationships/hyperlink" Target="https://techelectro.ru/prod/cable-kits/kits-ngls-10kv/3rst-10ng-_ls/sku_88146/" TargetMode="External"/><Relationship Id="rId1850" Type="http://schemas.openxmlformats.org/officeDocument/2006/relationships/hyperlink" Target="https://techelectro.ru/prod/cable-kits/muffs-35kv/3pkvtp-35/sku_110678/" TargetMode="External"/><Relationship Id="rId2901" Type="http://schemas.openxmlformats.org/officeDocument/2006/relationships/hyperlink" Target="https://techelectro.ru/prod/wiring-tools/crimpers/mechcrimp/pk5-600t/sku_91984/" TargetMode="External"/><Relationship Id="rId1503" Type="http://schemas.openxmlformats.org/officeDocument/2006/relationships/hyperlink" Target="https://techelectro.ru/prod/cable-kits/muffs1kv/4_5-pktp-1/4pktp-1-150_240_b/" TargetMode="External"/><Relationship Id="rId4659" Type="http://schemas.openxmlformats.org/officeDocument/2006/relationships/hyperlink" Target="https://techelectro.ru/prod/ties/nylonties/ksu/sku_91705/" TargetMode="External"/><Relationship Id="rId3675" Type="http://schemas.openxmlformats.org/officeDocument/2006/relationships/hyperlink" Target="https://techelectro.ru/prod/vdetools/vde-sets/vde-wrench-sets/nik-n05/sku_105671/" TargetMode="External"/><Relationship Id="rId4726" Type="http://schemas.openxmlformats.org/officeDocument/2006/relationships/hyperlink" Target="https://techelectro.ru/prod/ties/montage-acs/pmop_29h20_white/sku_92034/" TargetMode="External"/><Relationship Id="rId596" Type="http://schemas.openxmlformats.org/officeDocument/2006/relationships/hyperlink" Target="https://techelectro.ru/prod/insulugs/ilugs/nvi_easyfix/sku_108563/" TargetMode="External"/><Relationship Id="rId2277" Type="http://schemas.openxmlformats.org/officeDocument/2006/relationships/hyperlink" Target="https://techelectro.ru/prod/hstubes/hstube/tut-hf/tut_hf10-5_green/" TargetMode="External"/><Relationship Id="rId2691" Type="http://schemas.openxmlformats.org/officeDocument/2006/relationships/hyperlink" Target="https://techelectro.ru/prod/insulating/pvc19-heavy/pvc19heavyblack/" TargetMode="External"/><Relationship Id="rId3328" Type="http://schemas.openxmlformats.org/officeDocument/2006/relationships/hyperlink" Target="https://techelectro.ru/prod/wiring-tools/hdrtools/hdr_tools/pmn7012a/pmn-7012a/" TargetMode="External"/><Relationship Id="rId3742" Type="http://schemas.openxmlformats.org/officeDocument/2006/relationships/hyperlink" Target="https://techelectro.ru/prod/electric-tools/accessories/crowns/sf-68_65_5t_sds-plus/sku_102560/" TargetMode="External"/><Relationship Id="rId249" Type="http://schemas.openxmlformats.org/officeDocument/2006/relationships/hyperlink" Target="https://techelectro.ru/prod/cable-lugs/cu/tmls90/tmls_90_10-6/" TargetMode="External"/><Relationship Id="rId663" Type="http://schemas.openxmlformats.org/officeDocument/2006/relationships/hyperlink" Target="https://techelectro.ru/prod/insulugs/iplug/rpip/sku_108585/" TargetMode="External"/><Relationship Id="rId1293" Type="http://schemas.openxmlformats.org/officeDocument/2006/relationships/hyperlink" Target="https://techelectro.ru/prod/cable-kits/kits-ngls-1kv/pktp_mini_ngls/4pktp_b_mini_-_2_5_10_ng-ls/" TargetMode="External"/><Relationship Id="rId2344" Type="http://schemas.openxmlformats.org/officeDocument/2006/relationships/hyperlink" Target="https://techelectro.ru/prod/hstubes/hstube/t-box-y_g/tbox20yg/" TargetMode="External"/><Relationship Id="rId316" Type="http://schemas.openxmlformats.org/officeDocument/2006/relationships/hyperlink" Target="https://techelectro.ru/prod/cable-lugs/cu/gml/gml_240/" TargetMode="External"/><Relationship Id="rId730" Type="http://schemas.openxmlformats.org/officeDocument/2006/relationships/hyperlink" Target="https://techelectro.ru/prod/insulugs/iplug/vrshipn/sku_108623/" TargetMode="External"/><Relationship Id="rId1013" Type="http://schemas.openxmlformats.org/officeDocument/2006/relationships/hyperlink" Target="https://techelectro.ru/prod/e-connectors/nshvi2/nshvi2_0_75-8/" TargetMode="External"/><Relationship Id="rId1360" Type="http://schemas.openxmlformats.org/officeDocument/2006/relationships/hyperlink" Target="https://techelectro.ru/prod/cable-kits/kits-ngls-1kv/pst-mini-ng_ls/5pstm-1_ngls/" TargetMode="External"/><Relationship Id="rId2411" Type="http://schemas.openxmlformats.org/officeDocument/2006/relationships/hyperlink" Target="https://techelectro.ru/prod/hstubes/gluetube/ttk31_red/ttk31-4r/" TargetMode="External"/><Relationship Id="rId4169" Type="http://schemas.openxmlformats.org/officeDocument/2006/relationships/hyperlink" Target="https://techelectro.ru/prod/protection-safety/flashlights/fl-8033/sku_88898/" TargetMode="External"/><Relationship Id="rId5567" Type="http://schemas.openxmlformats.org/officeDocument/2006/relationships/hyperlink" Target="https://techelectro.ru/prod/metal-hose-fittings/hose/mrping-inox/mrnping-inox-75/" TargetMode="External"/><Relationship Id="rId5981" Type="http://schemas.openxmlformats.org/officeDocument/2006/relationships/hyperlink" Target="https://techelectro.ru/prod/ground_wire/pz/pz_16-400/" TargetMode="External"/><Relationship Id="rId4583" Type="http://schemas.openxmlformats.org/officeDocument/2006/relationships/hyperlink" Target="https://techelectro.ru/prod/ties/nylonties/kss100-nord_white/kss_nord_8-500_white/" TargetMode="External"/><Relationship Id="rId5634" Type="http://schemas.openxmlformats.org/officeDocument/2006/relationships/hyperlink" Target="https://techelectro.ru/prod/metal-hose-fittings/fittings/vm/vm100/" TargetMode="External"/><Relationship Id="rId3185" Type="http://schemas.openxmlformats.org/officeDocument/2006/relationships/hyperlink" Target="https://techelectro.ru/prod/wiring-tools/strippers/wire-strip/ws25/sku_104425/" TargetMode="External"/><Relationship Id="rId4236" Type="http://schemas.openxmlformats.org/officeDocument/2006/relationships/hyperlink" Target="https://techelectro.ru/prod/abcarm/sealinslugs/gia-mjpb10-16/sku_103159/" TargetMode="External"/><Relationship Id="rId4650" Type="http://schemas.openxmlformats.org/officeDocument/2006/relationships/hyperlink" Target="https://techelectro.ru/prod/ties/nylonties/ksz-uv/ksz-8x300/" TargetMode="External"/><Relationship Id="rId5701" Type="http://schemas.openxmlformats.org/officeDocument/2006/relationships/hyperlink" Target="https://techelectro.ru/prod/metal-hose-fittings/fittings/stm/stm32/" TargetMode="External"/><Relationship Id="rId3252" Type="http://schemas.openxmlformats.org/officeDocument/2006/relationships/hyperlink" Target="https://techelectro.ru/prod/wiring-tools/boxtools/singlempo/sku_61825/" TargetMode="External"/><Relationship Id="rId4303" Type="http://schemas.openxmlformats.org/officeDocument/2006/relationships/hyperlink" Target="https://techelectro.ru/prod/abcarm/abctools/rku140/rku-140/" TargetMode="External"/><Relationship Id="rId173" Type="http://schemas.openxmlformats.org/officeDocument/2006/relationships/hyperlink" Target="https://techelectro.ru/prod/cable-lugs/cu/tmlu/tmlu_240-10/" TargetMode="External"/><Relationship Id="rId240" Type="http://schemas.openxmlformats.org/officeDocument/2006/relationships/hyperlink" Target="https://techelectro.ru/prod/cable-lugs/cu/nshml/sku_87461/" TargetMode="External"/><Relationship Id="rId5077" Type="http://schemas.openxmlformats.org/officeDocument/2006/relationships/hyperlink" Target="https://techelectro.ru/prod/strength-ties/screw-ties/sr2/sr86-91w2/" TargetMode="External"/><Relationship Id="rId4093" Type="http://schemas.openxmlformats.org/officeDocument/2006/relationships/hyperlink" Target="https://techelectro.ru/prod/protection-safety/bags_packs/s17/s-17/" TargetMode="External"/><Relationship Id="rId5144" Type="http://schemas.openxmlformats.org/officeDocument/2006/relationships/hyperlink" Target="https://techelectro.ru/prod/cable_entry/cable_entry_metal/mgm/mgm12/" TargetMode="External"/><Relationship Id="rId5491" Type="http://schemas.openxmlformats.org/officeDocument/2006/relationships/hyperlink" Target="https://techelectro.ru/prod/metal-hose-fittings/hose/mrping_p_grey/sku_88304/" TargetMode="External"/><Relationship Id="rId1687" Type="http://schemas.openxmlformats.org/officeDocument/2006/relationships/hyperlink" Target="https://techelectro.ru/prod/cable-kits/muffs10kv/3rktp-6/sku_78358/" TargetMode="External"/><Relationship Id="rId2738" Type="http://schemas.openxmlformats.org/officeDocument/2006/relationships/hyperlink" Target="https://techelectro.ru/prod/insulating/xn/sku_106110/" TargetMode="External"/><Relationship Id="rId1754" Type="http://schemas.openxmlformats.org/officeDocument/2006/relationships/hyperlink" Target="https://techelectro.ru/prod/cable-kits/muffs10kv/3kvtp10sold/sku_88756/" TargetMode="External"/><Relationship Id="rId2805" Type="http://schemas.openxmlformats.org/officeDocument/2006/relationships/hyperlink" Target="https://techelectro.ru/prod/wiring-tools/crimpers/insulugs-crimp/ctk/ctk06/" TargetMode="External"/><Relationship Id="rId4160" Type="http://schemas.openxmlformats.org/officeDocument/2006/relationships/hyperlink" Target="https://techelectro.ru/prod/protection-safety/flashlights/hl-6567/sku_88899/" TargetMode="External"/><Relationship Id="rId5211" Type="http://schemas.openxmlformats.org/officeDocument/2006/relationships/hyperlink" Target="https://techelectro.ru/prod/cable_entry/cable_entry_metal/pgm-inox/sku_88033/" TargetMode="External"/><Relationship Id="rId46" Type="http://schemas.openxmlformats.org/officeDocument/2006/relationships/hyperlink" Target="https://techelectro.ru/prod/cable-lugs/cu/tml/tml_10-6-5/" TargetMode="External"/><Relationship Id="rId1407" Type="http://schemas.openxmlformats.org/officeDocument/2006/relationships/hyperlink" Target="https://techelectro.ru/prod/cable-kits/kits-ngls-10kv/3kvtp-10_ngls/3kvtp10-70-120_b_ngls/" TargetMode="External"/><Relationship Id="rId1821" Type="http://schemas.openxmlformats.org/officeDocument/2006/relationships/hyperlink" Target="https://techelectro.ru/prod/cable-kits/muffs10kv/3stpr10/3stpr10-70-120_b/" TargetMode="External"/><Relationship Id="rId4977" Type="http://schemas.openxmlformats.org/officeDocument/2006/relationships/hyperlink" Target="https://techelectro.ru/prod/strength-ties/screw-ties/pl9-w2/w2-12-20/" TargetMode="External"/><Relationship Id="rId3579" Type="http://schemas.openxmlformats.org/officeDocument/2006/relationships/hyperlink" Target="https://techelectro.ru/prod/vdetools/vde-screwdrivers/vde-screwdrivers-profi/profi_pzfl_1-80/" TargetMode="External"/><Relationship Id="rId2595" Type="http://schemas.openxmlformats.org/officeDocument/2006/relationships/hyperlink" Target="https://techelectro.ru/prod/hstubes/highvoltagetube/ttsh10/sku_84895/" TargetMode="External"/><Relationship Id="rId3993" Type="http://schemas.openxmlformats.org/officeDocument/2006/relationships/hyperlink" Target="https://techelectro.ru/prod/construction_hydraulics/hydraulic_pullers/sgs20k/sku_91802/" TargetMode="External"/><Relationship Id="rId6052" Type="http://schemas.openxmlformats.org/officeDocument/2006/relationships/hyperlink" Target="https://techelectro.ru/prod/ground_wire/lhz/sku_111047/" TargetMode="External"/><Relationship Id="rId567" Type="http://schemas.openxmlformats.org/officeDocument/2006/relationships/hyperlink" Target="https://techelectro.ru/prod/insulugs/ilugs/vnki/sku_108612/" TargetMode="External"/><Relationship Id="rId1197" Type="http://schemas.openxmlformats.org/officeDocument/2006/relationships/hyperlink" Target="https://techelectro.ru/prod/bolt-lugs/wire10-240/nbe_gph/sku_105917/" TargetMode="External"/><Relationship Id="rId2248" Type="http://schemas.openxmlformats.org/officeDocument/2006/relationships/hyperlink" Target="https://techelectro.ru/prod/hstubes/hstube/tut-hf/tut_hf8-4_white/" TargetMode="External"/><Relationship Id="rId3646" Type="http://schemas.openxmlformats.org/officeDocument/2006/relationships/hyperlink" Target="https://techelectro.ru/prod/vdetools/vde-knives/nki12/sku_101856/" TargetMode="External"/><Relationship Id="rId981" Type="http://schemas.openxmlformats.org/officeDocument/2006/relationships/hyperlink" Target="https://techelectro.ru/prod/e-connectors/nshvi/sku_108924/" TargetMode="External"/><Relationship Id="rId2662" Type="http://schemas.openxmlformats.org/officeDocument/2006/relationships/hyperlink" Target="https://techelectro.ru/prod/hstubes/specialtube/tt200_rolls/sku_91837/" TargetMode="External"/><Relationship Id="rId3713" Type="http://schemas.openxmlformats.org/officeDocument/2006/relationships/hyperlink" Target="https://techelectro.ru/prod/electric-tools/cordless-impact-wrenches/wb20-2000/sku_106053/" TargetMode="External"/><Relationship Id="rId634" Type="http://schemas.openxmlformats.org/officeDocument/2006/relationships/hyperlink" Target="https://techelectro.ru/prod/insulugs/ilugs/iset-m9500/iset-m-950-0/" TargetMode="External"/><Relationship Id="rId1264" Type="http://schemas.openxmlformats.org/officeDocument/2006/relationships/hyperlink" Target="https://techelectro.ru/prod/cable-kits/kits-ngls-1kv/5pktp-1_ngls/5pktpng-ls1-150-240/" TargetMode="External"/><Relationship Id="rId2315" Type="http://schemas.openxmlformats.org/officeDocument/2006/relationships/hyperlink" Target="https://techelectro.ru/prod/hstubes/hstube/tut-hf/tut_hf4-2_transparent/" TargetMode="External"/><Relationship Id="rId5885" Type="http://schemas.openxmlformats.org/officeDocument/2006/relationships/hyperlink" Target="https://techelectro.ru/prod/staples/smr15-inox/smr_inox_32-15/" TargetMode="External"/><Relationship Id="rId701" Type="http://schemas.openxmlformats.org/officeDocument/2006/relationships/hyperlink" Target="https://techelectro.ru/prod/insulugs/iplug/vrpim/sku_108616/" TargetMode="External"/><Relationship Id="rId1331" Type="http://schemas.openxmlformats.org/officeDocument/2006/relationships/hyperlink" Target="https://techelectro.ru/prod/cable-kits/kits-ngls-1kv/5pst_ngls-1/5pst1-25-50ngls/" TargetMode="External"/><Relationship Id="rId4487" Type="http://schemas.openxmlformats.org/officeDocument/2006/relationships/hyperlink" Target="https://techelectro.ru/prod/ties/nylonties/kss-uv/kss4x370b/" TargetMode="External"/><Relationship Id="rId5538" Type="http://schemas.openxmlformats.org/officeDocument/2006/relationships/hyperlink" Target="https://techelectro.ru/prod/metal-hose-fittings/hose/m-g/sku_87882/" TargetMode="External"/><Relationship Id="rId5952" Type="http://schemas.openxmlformats.org/officeDocument/2006/relationships/hyperlink" Target="https://techelectro.ru/prod/staples/pipe_clamp/pipetie_20/" TargetMode="External"/><Relationship Id="rId3089" Type="http://schemas.openxmlformats.org/officeDocument/2006/relationships/hyperlink" Target="https://techelectro.ru/prod/wiring-tools/cutters/sectioncutters/nst32/sku_84393/" TargetMode="External"/><Relationship Id="rId4554" Type="http://schemas.openxmlformats.org/officeDocument/2006/relationships/hyperlink" Target="https://techelectro.ru/prod/ties/nylonties/nss-black/sku_84820/" TargetMode="External"/><Relationship Id="rId5605" Type="http://schemas.openxmlformats.org/officeDocument/2006/relationships/hyperlink" Target="https://techelectro.ru/prod/metal-hose-fittings/hose/r3ch/r3-ch-22/" TargetMode="External"/><Relationship Id="rId3156" Type="http://schemas.openxmlformats.org/officeDocument/2006/relationships/hyperlink" Target="https://techelectro.ru/prod/wiring-tools/cutters_din/br-brg-cutters/brm_600/sku_92112/" TargetMode="External"/><Relationship Id="rId4207" Type="http://schemas.openxmlformats.org/officeDocument/2006/relationships/hyperlink" Target="https://techelectro.ru/prod/abcarm/pierce/zpo50-6/sku_108656/" TargetMode="External"/><Relationship Id="rId491" Type="http://schemas.openxmlformats.org/officeDocument/2006/relationships/hyperlink" Target="https://techelectro.ru/prod/insulugs/ilugs/nki/nki_6_0_4/" TargetMode="External"/><Relationship Id="rId2172" Type="http://schemas.openxmlformats.org/officeDocument/2006/relationships/hyperlink" Target="https://techelectro.ru/prod/hstubes/hstube/tnt_hf/sku_85001/" TargetMode="External"/><Relationship Id="rId3223" Type="http://schemas.openxmlformats.org/officeDocument/2006/relationships/hyperlink" Target="https://techelectro.ru/prod/wiring-tools/multitools/longnose205-multifunction/sku_101596/" TargetMode="External"/><Relationship Id="rId3570" Type="http://schemas.openxmlformats.org/officeDocument/2006/relationships/hyperlink" Target="https://techelectro.ru/prod/vdetools/vde-screwdrivers/vde-screwdrivers-profi/profi_5_5-125/" TargetMode="External"/><Relationship Id="rId4621" Type="http://schemas.openxmlformats.org/officeDocument/2006/relationships/hyperlink" Target="https://techelectro.ru/prod/ties/nylonties/kss-colors/kss3x100b/" TargetMode="External"/><Relationship Id="rId144" Type="http://schemas.openxmlformats.org/officeDocument/2006/relationships/hyperlink" Target="https://techelectro.ru/prod/cable-lugs/cu/tmldin/tml_din_120_12/" TargetMode="External"/><Relationship Id="rId2989" Type="http://schemas.openxmlformats.org/officeDocument/2006/relationships/hyperlink" Target="https://techelectro.ru/prod/wiring-tools/crimpers_pgr/hv-crimpers/matrix_pg60t/c-27/" TargetMode="External"/><Relationship Id="rId5395" Type="http://schemas.openxmlformats.org/officeDocument/2006/relationships/hyperlink" Target="https://techelectro.ru/prod/waterproof_connections/ffc-25_rj45-ip68/sku_101766/" TargetMode="External"/><Relationship Id="rId211" Type="http://schemas.openxmlformats.org/officeDocument/2006/relationships/hyperlink" Target="https://techelectro.ru/prod/cable-lugs/cu/pm/pm_16_6/" TargetMode="External"/><Relationship Id="rId5048" Type="http://schemas.openxmlformats.org/officeDocument/2006/relationships/hyperlink" Target="https://techelectro.ru/prod/strength-ties/screw-ties/sr/sr_92-97_w1/" TargetMode="External"/><Relationship Id="rId5462" Type="http://schemas.openxmlformats.org/officeDocument/2006/relationships/hyperlink" Target="https://techelectro.ru/prod/metal-hose-fittings/hose/mrping/sku_87675/" TargetMode="External"/><Relationship Id="rId1658" Type="http://schemas.openxmlformats.org/officeDocument/2006/relationships/hyperlink" Target="https://techelectro.ru/prod/cable-kits/muffs1kv/mks/sku_102652/" TargetMode="External"/><Relationship Id="rId2709" Type="http://schemas.openxmlformats.org/officeDocument/2006/relationships/hyperlink" Target="https://techelectro.ru/prod/insulating/lse/sku_81971/" TargetMode="External"/><Relationship Id="rId4064" Type="http://schemas.openxmlformats.org/officeDocument/2006/relationships/hyperlink" Target="https://techelectro.ru/prod/maintenance_tools/network_repair_tool/ks352/sku_89440/" TargetMode="External"/><Relationship Id="rId5115" Type="http://schemas.openxmlformats.org/officeDocument/2006/relationships/hyperlink" Target="https://techelectro.ru/prod/strength-ties/pipe-ties/thn/th_inox_-3/" TargetMode="External"/><Relationship Id="rId3080" Type="http://schemas.openxmlformats.org/officeDocument/2006/relationships/hyperlink" Target="https://techelectro.ru/prod/wiring-tools/cutters/wirecutters/nk35/sku_101857/" TargetMode="External"/><Relationship Id="rId4131" Type="http://schemas.openxmlformats.org/officeDocument/2006/relationships/hyperlink" Target="https://techelectro.ru/prod/protection-safety/protection/s31/s-31l/" TargetMode="External"/><Relationship Id="rId1725" Type="http://schemas.openxmlformats.org/officeDocument/2006/relationships/hyperlink" Target="https://techelectro.ru/prod/cable-kits/muffs10kv/3pkvntp-10/sku_92346/" TargetMode="External"/><Relationship Id="rId17" Type="http://schemas.openxmlformats.org/officeDocument/2006/relationships/hyperlink" Target="https://techelectro.ru/prod/cable-lugs/cu/tmls/tmls_35_8/" TargetMode="External"/><Relationship Id="rId3897" Type="http://schemas.openxmlformats.org/officeDocument/2006/relationships/hyperlink" Target="https://techelectro.ru/prod/metalworking-tools/ft_hummers/mkk600/mkk-600/" TargetMode="External"/><Relationship Id="rId4948" Type="http://schemas.openxmlformats.org/officeDocument/2006/relationships/hyperlink" Target="https://techelectro.ru/prod/steel-ties/steel_tape-brace/sm/sm304-15/" TargetMode="External"/><Relationship Id="rId2499" Type="http://schemas.openxmlformats.org/officeDocument/2006/relationships/hyperlink" Target="https://techelectro.ru/prod/hstubes/gluetube/sttk31/mttk33/" TargetMode="External"/><Relationship Id="rId3964" Type="http://schemas.openxmlformats.org/officeDocument/2006/relationships/hyperlink" Target="https://techelectro.ru/prod/construction_hydraulics/jack/jack_hd/dpp/sku_84590/" TargetMode="External"/><Relationship Id="rId1" Type="http://schemas.openxmlformats.org/officeDocument/2006/relationships/hyperlink" Target="https://techelectro.ru/prod/cable-lugs/cu/tmls/tmls_1-5_4/" TargetMode="External"/><Relationship Id="rId885" Type="http://schemas.openxmlformats.org/officeDocument/2006/relationships/hyperlink" Target="https://techelectro.ru/prod/insulugs/lighting_clamps/ke10-3/sku_88975/" TargetMode="External"/><Relationship Id="rId2566" Type="http://schemas.openxmlformats.org/officeDocument/2006/relationships/hyperlink" Target="https://techelectro.ru/prod/hstubes/hstubeset/5_colors/sku_85292/" TargetMode="External"/><Relationship Id="rId2980" Type="http://schemas.openxmlformats.org/officeDocument/2006/relationships/hyperlink" Target="https://techelectro.ru/prod/wiring-tools/crimpers_pgr/hv-crimpers/matrix_pg60t/a-56/" TargetMode="External"/><Relationship Id="rId3617" Type="http://schemas.openxmlformats.org/officeDocument/2006/relationships/hyperlink" Target="https://techelectro.ru/prod/vdetools/vde-screwdrivers/nio3306/sku_90952/" TargetMode="External"/><Relationship Id="rId6023" Type="http://schemas.openxmlformats.org/officeDocument/2006/relationships/hyperlink" Target="https://techelectro.ru/prod/ground_wire/pzu/pzu-10-150/" TargetMode="External"/><Relationship Id="rId538" Type="http://schemas.openxmlformats.org/officeDocument/2006/relationships/hyperlink" Target="https://techelectro.ru/prod/insulugs/ilugs/nkin/nkin_2_5_6/" TargetMode="External"/><Relationship Id="rId952" Type="http://schemas.openxmlformats.org/officeDocument/2006/relationships/hyperlink" Target="https://techelectro.ru/prod/e-connectors/nshvi/nshvi_70_20/" TargetMode="External"/><Relationship Id="rId1168" Type="http://schemas.openxmlformats.org/officeDocument/2006/relationships/hyperlink" Target="https://techelectro.ru/prod/bolt-lugs/wire10-240/nbp/sku_83724/" TargetMode="External"/><Relationship Id="rId1582" Type="http://schemas.openxmlformats.org/officeDocument/2006/relationships/hyperlink" Target="https://techelectro.ru/prod/cable-kits/muffs1kv/2pst-1/2pstb1-25-50_b/" TargetMode="External"/><Relationship Id="rId2219" Type="http://schemas.openxmlformats.org/officeDocument/2006/relationships/hyperlink" Target="https://techelectro.ru/prod/hstubes/hstube/ygtutng/tutng4-2/" TargetMode="External"/><Relationship Id="rId2633" Type="http://schemas.openxmlformats.org/officeDocument/2006/relationships/hyperlink" Target="https://techelectro.ru/prod/hstubes/specialtube/ttgsm/ttgsm-9_5-4_8/" TargetMode="External"/><Relationship Id="rId5789" Type="http://schemas.openxmlformats.org/officeDocument/2006/relationships/hyperlink" Target="https://techelectro.ru/prod/staples/smd_inox/smd_inox_31-32/" TargetMode="External"/><Relationship Id="rId605" Type="http://schemas.openxmlformats.org/officeDocument/2006/relationships/hyperlink" Target="https://techelectro.ru/prod/insulugs/ilugs/nvin/sku_108545/" TargetMode="External"/><Relationship Id="rId1235" Type="http://schemas.openxmlformats.org/officeDocument/2006/relationships/hyperlink" Target="https://techelectro.ru/prod/cable-kits/kits-ngls-1kv/4_kvntp-1_ngls/4kvntpngls1-150-240/" TargetMode="External"/><Relationship Id="rId1302" Type="http://schemas.openxmlformats.org/officeDocument/2006/relationships/hyperlink" Target="https://techelectro.ru/prod/cable-kits/kits-ngls-1kv/4_3stp_ngls/4stpngls1-70-120/" TargetMode="External"/><Relationship Id="rId2700" Type="http://schemas.openxmlformats.org/officeDocument/2006/relationships/hyperlink" Target="https://techelectro.ru/prod/insulating/slp/sku_91603/" TargetMode="External"/><Relationship Id="rId4458" Type="http://schemas.openxmlformats.org/officeDocument/2006/relationships/hyperlink" Target="https://techelectro.ru/prod/ties/nylonties/nss/sku_89915/" TargetMode="External"/><Relationship Id="rId5856" Type="http://schemas.openxmlformats.org/officeDocument/2006/relationships/hyperlink" Target="https://techelectro.ru/prod/staples/smp/smp-25/" TargetMode="External"/><Relationship Id="rId4872" Type="http://schemas.openxmlformats.org/officeDocument/2006/relationships/hyperlink" Target="https://techelectro.ru/prod/steel-ties/steel_ties-labels/sksp/sksp7h150/" TargetMode="External"/><Relationship Id="rId5509" Type="http://schemas.openxmlformats.org/officeDocument/2006/relationships/hyperlink" Target="https://techelectro.ru/prod/metal-hose-fittings/hose/mrping-diesel_p/sku_88466/" TargetMode="External"/><Relationship Id="rId5923" Type="http://schemas.openxmlformats.org/officeDocument/2006/relationships/hyperlink" Target="https://techelectro.ru/prod/staples/snk_black/sku_103930/" TargetMode="External"/><Relationship Id="rId395" Type="http://schemas.openxmlformats.org/officeDocument/2006/relationships/hyperlink" Target="https://techelectro.ru/prod/cable-lugs/al/ga/ga_35/" TargetMode="External"/><Relationship Id="rId2076" Type="http://schemas.openxmlformats.org/officeDocument/2006/relationships/hyperlink" Target="https://techelectro.ru/prod/hstubes/hstube/tutng-color/sku_102206/" TargetMode="External"/><Relationship Id="rId3474" Type="http://schemas.openxmlformats.org/officeDocument/2006/relationships/hyperlink" Target="https://techelectro.ru/prod/wiring-tools/unwinding/fishtape/fgp3_5k/fgp-3_5_30k/" TargetMode="External"/><Relationship Id="rId4525" Type="http://schemas.openxmlformats.org/officeDocument/2006/relationships/hyperlink" Target="https://techelectro.ru/prod/ties/nylonties/kss_multilock_uv/sku_102323/" TargetMode="External"/><Relationship Id="rId2490" Type="http://schemas.openxmlformats.org/officeDocument/2006/relationships/hyperlink" Target="https://techelectro.ru/prod/hstubes/gluetube/ttv/ttv120-600/" TargetMode="External"/><Relationship Id="rId3127" Type="http://schemas.openxmlformats.org/officeDocument/2006/relationships/hyperlink" Target="https://techelectro.ru/prod/wiring-tools/cutters_sidecutters/mc01c/sku_86592/" TargetMode="External"/><Relationship Id="rId3541" Type="http://schemas.openxmlformats.org/officeDocument/2006/relationships/hyperlink" Target="https://techelectro.ru/prod/vdetools/pliers/sidecutterspro/sidecutterpro-160/" TargetMode="External"/><Relationship Id="rId462" Type="http://schemas.openxmlformats.org/officeDocument/2006/relationships/hyperlink" Target="https://techelectro.ru/prod/cable-lugs/al/nsham-p/sku_91880/" TargetMode="External"/><Relationship Id="rId1092" Type="http://schemas.openxmlformats.org/officeDocument/2006/relationships/hyperlink" Target="https://techelectro.ru/prod/clamps_wago-smk/smk_2273-243_paste/sku_109318/" TargetMode="External"/><Relationship Id="rId2143" Type="http://schemas.openxmlformats.org/officeDocument/2006/relationships/hyperlink" Target="https://techelectro.ru/prod/hstubes/hstube/tnt_hf/sku_82982/" TargetMode="External"/><Relationship Id="rId5299" Type="http://schemas.openxmlformats.org/officeDocument/2006/relationships/hyperlink" Target="https://techelectro.ru/prod/cable_entry/cable_entry_metal/okm-m/sku_88666/" TargetMode="External"/><Relationship Id="rId115" Type="http://schemas.openxmlformats.org/officeDocument/2006/relationships/hyperlink" Target="https://techelectro.ru/prod/cable-lugs/cu/tm/tm_120_16_17/" TargetMode="External"/><Relationship Id="rId2210" Type="http://schemas.openxmlformats.org/officeDocument/2006/relationships/hyperlink" Target="https://techelectro.ru/prod/hstubes/hstube/tutng/sku_92355/" TargetMode="External"/><Relationship Id="rId5366" Type="http://schemas.openxmlformats.org/officeDocument/2006/relationships/hyperlink" Target="https://techelectro.ru/prod/cable_entry/cable_entry_plastic/pg-r/pg-r-13_5/" TargetMode="External"/><Relationship Id="rId4382" Type="http://schemas.openxmlformats.org/officeDocument/2006/relationships/hyperlink" Target="https://techelectro.ru/prod/digital_meters/ecotesters/kt-632/sku_87282/" TargetMode="External"/><Relationship Id="rId5019" Type="http://schemas.openxmlformats.org/officeDocument/2006/relationships/hyperlink" Target="https://techelectro.ru/prod/strength-ties/screw-ties/pl12-w2/pl-12_60-80_w2/" TargetMode="External"/><Relationship Id="rId5433" Type="http://schemas.openxmlformats.org/officeDocument/2006/relationships/hyperlink" Target="https://techelectro.ru/prod/metal-hose-fittings/hose/r3cp-ngls/sku_87690/" TargetMode="External"/><Relationship Id="rId5780" Type="http://schemas.openxmlformats.org/officeDocument/2006/relationships/hyperlink" Target="https://techelectro.ru/prod/staples/smo_inox/smo_inox-38-40/" TargetMode="External"/><Relationship Id="rId1976" Type="http://schemas.openxmlformats.org/officeDocument/2006/relationships/hyperlink" Target="https://techelectro.ru/prod/cable_kits_acs/kmpb/kmpb2/" TargetMode="External"/><Relationship Id="rId4035" Type="http://schemas.openxmlformats.org/officeDocument/2006/relationships/hyperlink" Target="https://techelectro.ru/prod/construction_hydraulics/glg-cutters/glg_4150/glg-4150/" TargetMode="External"/><Relationship Id="rId1629" Type="http://schemas.openxmlformats.org/officeDocument/2006/relationships/hyperlink" Target="https://techelectro.ru/prod/cable-kits/muffs1kv/5pst-1/5pstb1-25-50/" TargetMode="External"/><Relationship Id="rId5500" Type="http://schemas.openxmlformats.org/officeDocument/2006/relationships/hyperlink" Target="https://techelectro.ru/prod/metal-hose-fittings/hose/mrping_p_grey/sku_88313/" TargetMode="External"/><Relationship Id="rId3051" Type="http://schemas.openxmlformats.org/officeDocument/2006/relationships/hyperlink" Target="https://techelectro.ru/prod/wiring-tools/crimpers_pgr/hv-crimpers/matrix_pg100t/msh-25a-100t/" TargetMode="External"/><Relationship Id="rId4102" Type="http://schemas.openxmlformats.org/officeDocument/2006/relationships/hyperlink" Target="https://techelectro.ru/prod/protection-safety/bags_packs/zp1/zp-001/" TargetMode="External"/><Relationship Id="rId3868" Type="http://schemas.openxmlformats.org/officeDocument/2006/relationships/hyperlink" Target="https://techelectro.ru/prod/metalworking-tools/ft_wrench/ratchet-wrench-piece/ratchet-wrench-piece-19/" TargetMode="External"/><Relationship Id="rId4919" Type="http://schemas.openxmlformats.org/officeDocument/2006/relationships/hyperlink" Target="https://techelectro.ru/prod/steel-ties/steel_ties-labels/skl316/skl316-7x450/" TargetMode="External"/><Relationship Id="rId789" Type="http://schemas.openxmlformats.org/officeDocument/2006/relationships/hyperlink" Target="https://techelectro.ru/prod/insulugs/iquick/pk-t/sku_108963/" TargetMode="External"/><Relationship Id="rId2884" Type="http://schemas.openxmlformats.org/officeDocument/2006/relationships/hyperlink" Target="https://techelectro.ru/prod/wiring-tools/crimpers/insulugs-crimp/mpk11/mpk_11/" TargetMode="External"/><Relationship Id="rId5290" Type="http://schemas.openxmlformats.org/officeDocument/2006/relationships/hyperlink" Target="https://techelectro.ru/prod/cable_entry/cable_entry_metal/gpm/sku_88236/" TargetMode="External"/><Relationship Id="rId856" Type="http://schemas.openxmlformats.org/officeDocument/2006/relationships/hyperlink" Target="https://techelectro.ru/prod/insulugs/screw_clamp/zvi-ng_black/sku_87167/" TargetMode="External"/><Relationship Id="rId1486" Type="http://schemas.openxmlformats.org/officeDocument/2006/relationships/hyperlink" Target="https://techelectro.ru/prod/cable-kits/muffs1kv/3-pktp-1/3pktp-1-150_240_b/" TargetMode="External"/><Relationship Id="rId2537" Type="http://schemas.openxmlformats.org/officeDocument/2006/relationships/hyperlink" Target="https://techelectro.ru/prod/hstubes/hstubeset/germokomplekt/germokomplekt-4_8-1_6/" TargetMode="External"/><Relationship Id="rId3935" Type="http://schemas.openxmlformats.org/officeDocument/2006/relationships/hyperlink" Target="https://techelectro.ru/prod/construction_hydraulics/jack/jack_hd/dnmt20/sku_84594/" TargetMode="External"/><Relationship Id="rId509" Type="http://schemas.openxmlformats.org/officeDocument/2006/relationships/hyperlink" Target="https://techelectro.ru/prod/insulugs/ilugs/nki_easyfix/sku_90887/" TargetMode="External"/><Relationship Id="rId1139" Type="http://schemas.openxmlformats.org/officeDocument/2006/relationships/hyperlink" Target="https://techelectro.ru/prod/clamps_wago-smk/smk_2273/sku_90364/" TargetMode="External"/><Relationship Id="rId2951" Type="http://schemas.openxmlformats.org/officeDocument/2006/relationships/hyperlink" Target="https://techelectro.ru/prod/wiring-tools/crimpers_pgr/hdcrimp/pgra300/pgra-300/" TargetMode="External"/><Relationship Id="rId5010" Type="http://schemas.openxmlformats.org/officeDocument/2006/relationships/hyperlink" Target="https://techelectro.ru/prod/strength-ties/screw-ties/pl12-w2/pl-12_10-16_w2/" TargetMode="External"/><Relationship Id="rId923" Type="http://schemas.openxmlformats.org/officeDocument/2006/relationships/hyperlink" Target="https://techelectro.ru/prod/insulugs/autoterminals/rga/sku_109240/" TargetMode="External"/><Relationship Id="rId1553" Type="http://schemas.openxmlformats.org/officeDocument/2006/relationships/hyperlink" Target="https://techelectro.ru/prod/cable-kits/muffs1kv/4_3stp-1/4stp1-150-240_b/" TargetMode="External"/><Relationship Id="rId2604" Type="http://schemas.openxmlformats.org/officeDocument/2006/relationships/hyperlink" Target="https://techelectro.ru/prod/hstubes/highvoltagetube/ttsh10/sku_84904/" TargetMode="External"/><Relationship Id="rId1206" Type="http://schemas.openxmlformats.org/officeDocument/2006/relationships/hyperlink" Target="https://techelectro.ru/prod/bolt-lugs/wire10-240/nbtk/nbtk_50-150/" TargetMode="External"/><Relationship Id="rId1620" Type="http://schemas.openxmlformats.org/officeDocument/2006/relationships/hyperlink" Target="https://techelectro.ru/prod/cable-kits/muffs1kv/5pst-1/5pst1-16-25/" TargetMode="External"/><Relationship Id="rId4776" Type="http://schemas.openxmlformats.org/officeDocument/2006/relationships/hyperlink" Target="https://techelectro.ru/prod/steel-ties/steel_ties-labels/sks316/sks316-7x150/" TargetMode="External"/><Relationship Id="rId5827" Type="http://schemas.openxmlformats.org/officeDocument/2006/relationships/hyperlink" Target="https://techelectro.ru/prod/staples/smop/smo-p_19-20/" TargetMode="External"/><Relationship Id="rId3378" Type="http://schemas.openxmlformats.org/officeDocument/2006/relationships/hyperlink" Target="https://techelectro.ru/prod/wiring-tools/unwinding/hvltools/chm/sku_109876/" TargetMode="External"/><Relationship Id="rId3792" Type="http://schemas.openxmlformats.org/officeDocument/2006/relationships/hyperlink" Target="https://techelectro.ru/prod/metalworking-tools/ft_pliers/mini-longnose115profi/sku_92056/" TargetMode="External"/><Relationship Id="rId4429" Type="http://schemas.openxmlformats.org/officeDocument/2006/relationships/hyperlink" Target="https://techelectro.ru/prod/ties/nylonties/kss/kss12h650/" TargetMode="External"/><Relationship Id="rId4843" Type="http://schemas.openxmlformats.org/officeDocument/2006/relationships/hyperlink" Target="https://techelectro.ru/prod/steel-ties/steel_ties-labels/sks316p/sks316p-7x300/" TargetMode="External"/><Relationship Id="rId299" Type="http://schemas.openxmlformats.org/officeDocument/2006/relationships/hyperlink" Target="https://techelectro.ru/prod/cable-lugs/cu/gm/sku_41640/" TargetMode="External"/><Relationship Id="rId2394" Type="http://schemas.openxmlformats.org/officeDocument/2006/relationships/hyperlink" Target="https://techelectro.ru/prod/hstubes/gluetube/ttk2/sku_88175/" TargetMode="External"/><Relationship Id="rId3445" Type="http://schemas.openxmlformats.org/officeDocument/2006/relationships/hyperlink" Target="https://techelectro.ru/prod/wiring-tools/unwinding/fishtape/pet1-4k/pet4_20k/" TargetMode="External"/><Relationship Id="rId366" Type="http://schemas.openxmlformats.org/officeDocument/2006/relationships/hyperlink" Target="https://techelectro.ru/prod/cable-lugs/cu/lugset-tmls/set-tmls4-6/" TargetMode="External"/><Relationship Id="rId780" Type="http://schemas.openxmlformats.org/officeDocument/2006/relationships/hyperlink" Target="https://techelectro.ru/prod/insulugs/iquick/gsit/sku_108958/" TargetMode="External"/><Relationship Id="rId2047" Type="http://schemas.openxmlformats.org/officeDocument/2006/relationships/hyperlink" Target="https://techelectro.ru/prod/hstubes/hstube/tutng-color/sku_102177/" TargetMode="External"/><Relationship Id="rId2461" Type="http://schemas.openxmlformats.org/officeDocument/2006/relationships/hyperlink" Target="https://techelectro.ru/prod/hstubes/gluetube/ttk135/sku_104408/" TargetMode="External"/><Relationship Id="rId3512" Type="http://schemas.openxmlformats.org/officeDocument/2006/relationships/hyperlink" Target="https://techelectro.ru/prod/wiring-tools/steeltiestools/int20mini/int-20mini/" TargetMode="External"/><Relationship Id="rId4910" Type="http://schemas.openxmlformats.org/officeDocument/2006/relationships/hyperlink" Target="https://techelectro.ru/prod/steel-ties/steel_ties-labels/sks2-304/sks2-304-12x1200/" TargetMode="External"/><Relationship Id="rId433" Type="http://schemas.openxmlformats.org/officeDocument/2006/relationships/hyperlink" Target="https://techelectro.ru/prod/cable-lugs/al/gam/sku_90846/" TargetMode="External"/><Relationship Id="rId1063" Type="http://schemas.openxmlformats.org/officeDocument/2006/relationships/hyperlink" Target="https://techelectro.ru/prod/e-connectors/nshv/nshv_25_16/" TargetMode="External"/><Relationship Id="rId2114" Type="http://schemas.openxmlformats.org/officeDocument/2006/relationships/hyperlink" Target="https://techelectro.ru/prod/hstubes/hstube/tnt_hf/sku_84326/" TargetMode="External"/><Relationship Id="rId4286" Type="http://schemas.openxmlformats.org/officeDocument/2006/relationships/hyperlink" Target="https://techelectro.ru/prod/abcarm/abctools/mz22/mz-22/" TargetMode="External"/><Relationship Id="rId5684" Type="http://schemas.openxmlformats.org/officeDocument/2006/relationships/hyperlink" Target="https://techelectro.ru/prod/metal-hose-fittings/fittings/stm_inox/sku_106747/" TargetMode="External"/><Relationship Id="rId500" Type="http://schemas.openxmlformats.org/officeDocument/2006/relationships/hyperlink" Target="https://techelectro.ru/prod/insulugs/ilugs/nki/sku_108517/" TargetMode="External"/><Relationship Id="rId1130" Type="http://schemas.openxmlformats.org/officeDocument/2006/relationships/hyperlink" Target="https://techelectro.ru/prod/clamps_wago-smk/smk_222-2413/sku_109311/" TargetMode="External"/><Relationship Id="rId5337" Type="http://schemas.openxmlformats.org/officeDocument/2006/relationships/hyperlink" Target="https://techelectro.ru/prod/cable_entry/cable_entry_plastic/mg/mg32/" TargetMode="External"/><Relationship Id="rId5751" Type="http://schemas.openxmlformats.org/officeDocument/2006/relationships/hyperlink" Target="https://techelectro.ru/prod/metal-hose-fittings/fittings/mvpng/mvpng50/" TargetMode="External"/><Relationship Id="rId1947" Type="http://schemas.openxmlformats.org/officeDocument/2006/relationships/hyperlink" Target="https://techelectro.ru/prod/cable_kits_acs/pml/pml-25-600_nk/" TargetMode="External"/><Relationship Id="rId4353" Type="http://schemas.openxmlformats.org/officeDocument/2006/relationships/hyperlink" Target="https://techelectro.ru/prod/digital_meters/testers_detectors/kt103/sku_90951/" TargetMode="External"/><Relationship Id="rId5404" Type="http://schemas.openxmlformats.org/officeDocument/2006/relationships/hyperlink" Target="https://techelectro.ru/prod/metal-hose-fittings/hose/mrping_nord/mrping10_nord/" TargetMode="External"/><Relationship Id="rId4006" Type="http://schemas.openxmlformats.org/officeDocument/2006/relationships/hyperlink" Target="https://techelectro.ru/prod/construction_hydraulics/hydraulic_pullers/sgn20/sku_84631/" TargetMode="External"/><Relationship Id="rId4420" Type="http://schemas.openxmlformats.org/officeDocument/2006/relationships/hyperlink" Target="https://techelectro.ru/prod/ties/nylonties/kss/sku_89897/" TargetMode="External"/><Relationship Id="rId290" Type="http://schemas.openxmlformats.org/officeDocument/2006/relationships/hyperlink" Target="https://techelectro.ru/prod/cable-lugs/cu/gm/sku_41834/" TargetMode="External"/><Relationship Id="rId3022" Type="http://schemas.openxmlformats.org/officeDocument/2006/relationships/hyperlink" Target="https://techelectro.ru/prod/wiring-tools/crimpers_pgr/hv-crimpers/matrix_pg100t/a-26-100t/" TargetMode="External"/><Relationship Id="rId5194" Type="http://schemas.openxmlformats.org/officeDocument/2006/relationships/hyperlink" Target="https://techelectro.ru/prod/cable_entry/cable_entry_metal/mgm-emc/sku_89320/" TargetMode="External"/><Relationship Id="rId2788" Type="http://schemas.openxmlformats.org/officeDocument/2006/relationships/hyperlink" Target="https://techelectro.ru/prod/insulating/xv_mini/sku_90933/" TargetMode="External"/><Relationship Id="rId3839" Type="http://schemas.openxmlformats.org/officeDocument/2006/relationships/hyperlink" Target="https://techelectro.ru/prod/metalworking-tools/ft_pumpliers/npk03u/sku_101544/" TargetMode="External"/><Relationship Id="rId2855" Type="http://schemas.openxmlformats.org/officeDocument/2006/relationships/hyperlink" Target="https://techelectro.ru/prod/wiring-tools/crimpers/insulugs-crimp/ctkset5/ctk5-set/" TargetMode="External"/><Relationship Id="rId3906" Type="http://schemas.openxmlformats.org/officeDocument/2006/relationships/hyperlink" Target="https://techelectro.ru/prod/metalworking-tools/ft_ringassemblies/nks3/sku_84384/" TargetMode="External"/><Relationship Id="rId5261" Type="http://schemas.openxmlformats.org/officeDocument/2006/relationships/hyperlink" Target="https://techelectro.ru/prod/cable_entry/cable_entry_metal/vk-m-mr/sku_87954/" TargetMode="External"/><Relationship Id="rId96" Type="http://schemas.openxmlformats.org/officeDocument/2006/relationships/hyperlink" Target="https://techelectro.ru/prod/cable-lugs/cu/tm/tm_10_6_5/" TargetMode="External"/><Relationship Id="rId827" Type="http://schemas.openxmlformats.org/officeDocument/2006/relationships/hyperlink" Target="https://techelectro.ru/prod/insulugs/screw_clamp/zvi-u/sku_87151/" TargetMode="External"/><Relationship Id="rId1457" Type="http://schemas.openxmlformats.org/officeDocument/2006/relationships/hyperlink" Target="https://techelectro.ru/prod/cable-kits/muffs1kv/3-kvntp-1/3kvntp1-150-240/" TargetMode="External"/><Relationship Id="rId1871" Type="http://schemas.openxmlformats.org/officeDocument/2006/relationships/hyperlink" Target="https://techelectro.ru/prod/cable_kits_acs/tping_mini/sku_81508/" TargetMode="External"/><Relationship Id="rId2508" Type="http://schemas.openxmlformats.org/officeDocument/2006/relationships/hyperlink" Target="https://techelectro.ru/prod/hstubes/gluetube/sttk31/sku_102103/" TargetMode="External"/><Relationship Id="rId2922" Type="http://schemas.openxmlformats.org/officeDocument/2006/relationships/hyperlink" Target="https://techelectro.ru/prod/wiring-tools/crimpers_pgr/hdcrimp/pgr70m/sku_106481/" TargetMode="External"/><Relationship Id="rId1524" Type="http://schemas.openxmlformats.org/officeDocument/2006/relationships/hyperlink" Target="https://techelectro.ru/prod/cable-kits/muffs1kv/5-pktp-1/5pktp_b-1-25_50/" TargetMode="External"/><Relationship Id="rId3696" Type="http://schemas.openxmlformats.org/officeDocument/2006/relationships/hyperlink" Target="https://techelectro.ru/prod/electric-tools/grinders/gbr20-125/sku_106682/" TargetMode="External"/><Relationship Id="rId4747" Type="http://schemas.openxmlformats.org/officeDocument/2006/relationships/hyperlink" Target="https://techelectro.ru/prod/ties/markers/u-136mg/u136mg/" TargetMode="External"/><Relationship Id="rId2298" Type="http://schemas.openxmlformats.org/officeDocument/2006/relationships/hyperlink" Target="https://techelectro.ru/prod/hstubes/hstube/tut-hf/sku_84980/" TargetMode="External"/><Relationship Id="rId3349" Type="http://schemas.openxmlformats.org/officeDocument/2006/relationships/hyperlink" Target="https://techelectro.ru/prod/wiring-tools/hdrtools/jack_hd_acs/ma-1_4_-3_8/sku_85079/" TargetMode="External"/><Relationship Id="rId684" Type="http://schemas.openxmlformats.org/officeDocument/2006/relationships/hyperlink" Target="https://techelectro.ru/prod/insulugs/iplug/rppim/sku_108594/" TargetMode="External"/><Relationship Id="rId2365" Type="http://schemas.openxmlformats.org/officeDocument/2006/relationships/hyperlink" Target="https://techelectro.ru/prod/hstubes/gluetube/ttk31/sku_85091/" TargetMode="External"/><Relationship Id="rId3763" Type="http://schemas.openxmlformats.org/officeDocument/2006/relationships/hyperlink" Target="https://techelectro.ru/prod/electric-tools/accessories/direct-fastening/ggn-nails/sku_110472/" TargetMode="External"/><Relationship Id="rId4814" Type="http://schemas.openxmlformats.org/officeDocument/2006/relationships/hyperlink" Target="https://techelectro.ru/prod/steel-ties/steel_ties-labels/sks/sku_103072/" TargetMode="External"/><Relationship Id="rId337" Type="http://schemas.openxmlformats.org/officeDocument/2006/relationships/hyperlink" Target="https://techelectro.ru/prod/cable-lugs/cu/gmlp/gmlp10/" TargetMode="External"/><Relationship Id="rId2018" Type="http://schemas.openxmlformats.org/officeDocument/2006/relationships/hyperlink" Target="https://techelectro.ru/prod/ukpt_ogt/ukptr/ukptr200/" TargetMode="External"/><Relationship Id="rId3416" Type="http://schemas.openxmlformats.org/officeDocument/2006/relationships/hyperlink" Target="https://techelectro.ru/prod/wiring-tools/unwinding/hvltools/chmp/sku_109905/" TargetMode="External"/><Relationship Id="rId3830" Type="http://schemas.openxmlformats.org/officeDocument/2006/relationships/hyperlink" Target="https://techelectro.ru/prod/metalworking-tools/ft_pumpliers/pumpliersft300profi/pumpliersft-300profi/" TargetMode="External"/><Relationship Id="rId751" Type="http://schemas.openxmlformats.org/officeDocument/2006/relationships/hyperlink" Target="https://techelectro.ru/prod/insulugs/iplug/iplugsets-rppim/sku_91029/" TargetMode="External"/><Relationship Id="rId1381" Type="http://schemas.openxmlformats.org/officeDocument/2006/relationships/hyperlink" Target="https://techelectro.ru/prod/cable-kits/kits-ngls-10kv/1pkvt10ngls/1pkvt10-35-50_bngls/" TargetMode="External"/><Relationship Id="rId2432" Type="http://schemas.openxmlformats.org/officeDocument/2006/relationships/hyperlink" Target="https://techelectro.ru/prod/hstubes/gluetube/ttk31_green/sku_102431/" TargetMode="External"/><Relationship Id="rId5588" Type="http://schemas.openxmlformats.org/officeDocument/2006/relationships/hyperlink" Target="https://techelectro.ru/prod/metal-hose-fittings/hose/mrn-inox/mrn-inox-38/" TargetMode="External"/><Relationship Id="rId404" Type="http://schemas.openxmlformats.org/officeDocument/2006/relationships/hyperlink" Target="https://techelectro.ru/prod/cable-lugs/al/tam/tam_10-8-45/" TargetMode="External"/><Relationship Id="rId1034" Type="http://schemas.openxmlformats.org/officeDocument/2006/relationships/hyperlink" Target="https://techelectro.ru/prod/e-connectors/nshvi2/sku_108933/" TargetMode="External"/><Relationship Id="rId5655" Type="http://schemas.openxmlformats.org/officeDocument/2006/relationships/hyperlink" Target="https://techelectro.ru/prod/metal-hose-fittings/fittings/rk-n/sku_87898/" TargetMode="External"/><Relationship Id="rId1101" Type="http://schemas.openxmlformats.org/officeDocument/2006/relationships/hyperlink" Target="https://techelectro.ru/prod/clamps_wago-smk/smk_2273-203/sku_87653/" TargetMode="External"/><Relationship Id="rId4257" Type="http://schemas.openxmlformats.org/officeDocument/2006/relationships/hyperlink" Target="https://techelectro.ru/prod/abcarm/sealinslugs/gif-mjpt120/sku_109220/" TargetMode="External"/><Relationship Id="rId4671" Type="http://schemas.openxmlformats.org/officeDocument/2006/relationships/hyperlink" Target="https://techelectro.ru/prod/ties/nylonties/kso-black/sku_90335/" TargetMode="External"/><Relationship Id="rId5308" Type="http://schemas.openxmlformats.org/officeDocument/2006/relationships/hyperlink" Target="https://techelectro.ru/prod/cable_entry/cable_entry_plastic/pg_black/sku_88645/" TargetMode="External"/><Relationship Id="rId5722" Type="http://schemas.openxmlformats.org/officeDocument/2006/relationships/hyperlink" Target="https://techelectro.ru/prod/metal-hose-fittings/fittings/stmv/stmv15/" TargetMode="External"/><Relationship Id="rId3273" Type="http://schemas.openxmlformats.org/officeDocument/2006/relationships/hyperlink" Target="https://techelectro.ru/prod/wiring-tools/boxtools/mpo_rectangle/mpo-22h30/" TargetMode="External"/><Relationship Id="rId4324" Type="http://schemas.openxmlformats.org/officeDocument/2006/relationships/hyperlink" Target="https://techelectro.ru/prod/digital_meters/multimeters/kt130a/sku_88549/" TargetMode="External"/><Relationship Id="rId194" Type="http://schemas.openxmlformats.org/officeDocument/2006/relationships/hyperlink" Target="https://techelectro.ru/prod/cable-lugs/cu/tmlr/sku_87455/" TargetMode="External"/><Relationship Id="rId1918" Type="http://schemas.openxmlformats.org/officeDocument/2006/relationships/hyperlink" Target="https://techelectro.ru/prod/cable_kits_acs/trm/trm_200/" TargetMode="External"/><Relationship Id="rId261" Type="http://schemas.openxmlformats.org/officeDocument/2006/relationships/hyperlink" Target="https://techelectro.ru/prod/cable-lugs/cu/tmls90/tmls_90_70-12/" TargetMode="External"/><Relationship Id="rId3340" Type="http://schemas.openxmlformats.org/officeDocument/2006/relationships/hyperlink" Target="https://techelectro.ru/prod/wiring-tools/hdrtools/hdr_tools/pmb7190-k2/pmb-7190-k2/" TargetMode="External"/><Relationship Id="rId5098" Type="http://schemas.openxmlformats.org/officeDocument/2006/relationships/hyperlink" Target="https://techelectro.ru/prod/strength-ties/pipe-ties/thk/thk1-1_2/" TargetMode="External"/><Relationship Id="rId2759" Type="http://schemas.openxmlformats.org/officeDocument/2006/relationships/hyperlink" Target="https://techelectro.ru/prod/insulating/xp_bw/sku_102333/" TargetMode="External"/><Relationship Id="rId5165" Type="http://schemas.openxmlformats.org/officeDocument/2006/relationships/hyperlink" Target="https://techelectro.ru/prod/cable_entry/cable_entry_metal/mgm/sku_87993/" TargetMode="External"/><Relationship Id="rId1775" Type="http://schemas.openxmlformats.org/officeDocument/2006/relationships/hyperlink" Target="https://techelectro.ru/prod/cable-kits/muffs10kv/3pst6/3pst6-70-120/" TargetMode="External"/><Relationship Id="rId2826" Type="http://schemas.openxmlformats.org/officeDocument/2006/relationships/hyperlink" Target="https://techelectro.ru/prod/wiring-tools/crimpers/insulugs-crimp/sto/sku_90757/" TargetMode="External"/><Relationship Id="rId4181" Type="http://schemas.openxmlformats.org/officeDocument/2006/relationships/hyperlink" Target="https://techelectro.ru/prod/plumbing-tools/pipe_cutters/ntp32u/sku_92146/" TargetMode="External"/><Relationship Id="rId5232" Type="http://schemas.openxmlformats.org/officeDocument/2006/relationships/hyperlink" Target="https://techelectro.ru/prod/cable_entry/cable_entry_metal/pgm-l/sku_88840/" TargetMode="External"/><Relationship Id="rId67" Type="http://schemas.openxmlformats.org/officeDocument/2006/relationships/hyperlink" Target="https://techelectro.ru/prod/cable-lugs/cu/tml/tml_95-10-15/" TargetMode="External"/><Relationship Id="rId1428" Type="http://schemas.openxmlformats.org/officeDocument/2006/relationships/hyperlink" Target="https://techelectro.ru/prod/cable-kits/kits-ngls-10kv/3pst10_ng-ls/sku_92354/" TargetMode="External"/><Relationship Id="rId1842" Type="http://schemas.openxmlformats.org/officeDocument/2006/relationships/hyperlink" Target="https://techelectro.ru/prod/cable-kits/muffs-35kv/1pkt-35/1pkvt35-300-400b/" TargetMode="External"/><Relationship Id="rId4998" Type="http://schemas.openxmlformats.org/officeDocument/2006/relationships/hyperlink" Target="https://techelectro.ru/prod/strength-ties/screw-ties/pl9-w4/sku_103914/" TargetMode="External"/><Relationship Id="rId6073" Type="http://schemas.openxmlformats.org/officeDocument/2006/relationships/hyperlink" Target="https://techelectro.ru/prod/ground_wire/thz_inox/thz_inox_1_1_2/" TargetMode="External"/><Relationship Id="rId3667" Type="http://schemas.openxmlformats.org/officeDocument/2006/relationships/hyperlink" Target="https://techelectro.ru/prod/vdetools/vde-sets/vde-wrench-sets/ratchet3_8_torque/sku_87296/" TargetMode="External"/><Relationship Id="rId4718" Type="http://schemas.openxmlformats.org/officeDocument/2006/relationships/hyperlink" Target="https://techelectro.ru/prod/ties/dowel_clamps/bd/bd6x35/" TargetMode="External"/><Relationship Id="rId588" Type="http://schemas.openxmlformats.org/officeDocument/2006/relationships/hyperlink" Target="https://techelectro.ru/prod/insulugs/ilugs/nvi/sku_108544/" TargetMode="External"/><Relationship Id="rId2269" Type="http://schemas.openxmlformats.org/officeDocument/2006/relationships/hyperlink" Target="https://techelectro.ru/prod/hstubes/hstube/tut-hf/tut_hf40-20_yellow/" TargetMode="External"/><Relationship Id="rId2683" Type="http://schemas.openxmlformats.org/officeDocument/2006/relationships/hyperlink" Target="https://techelectro.ru/prod/insulating/pvc19/pvc19white/" TargetMode="External"/><Relationship Id="rId3734" Type="http://schemas.openxmlformats.org/officeDocument/2006/relationships/hyperlink" Target="https://techelectro.ru/prod/electric-tools/batteries-chargers/b20-li40a/sku_104543/" TargetMode="External"/><Relationship Id="rId655" Type="http://schemas.openxmlformats.org/officeDocument/2006/relationships/hyperlink" Target="https://techelectro.ru/prod/insulugs/iplug/rpip/sku_85159/" TargetMode="External"/><Relationship Id="rId1285" Type="http://schemas.openxmlformats.org/officeDocument/2006/relationships/hyperlink" Target="https://techelectro.ru/prod/cable-kits/kits-ngls-1kv/1pktb_ng_ls/1pktb1-25-50b_ngls/" TargetMode="External"/><Relationship Id="rId2336" Type="http://schemas.openxmlformats.org/officeDocument/2006/relationships/hyperlink" Target="https://techelectro.ru/prod/hstubes/hstube/t-box-color/tbox4g/" TargetMode="External"/><Relationship Id="rId2750" Type="http://schemas.openxmlformats.org/officeDocument/2006/relationships/hyperlink" Target="https://techelectro.ru/prod/insulating/xp/sku_85361/" TargetMode="External"/><Relationship Id="rId3801" Type="http://schemas.openxmlformats.org/officeDocument/2006/relationships/hyperlink" Target="https://techelectro.ru/prod/metalworking-tools/ft_screwdrivers/screwdriversft/ft4_100/" TargetMode="External"/><Relationship Id="rId308" Type="http://schemas.openxmlformats.org/officeDocument/2006/relationships/hyperlink" Target="https://techelectro.ru/prod/cable-lugs/cu/gml/gml_35/" TargetMode="External"/><Relationship Id="rId722" Type="http://schemas.openxmlformats.org/officeDocument/2006/relationships/hyperlink" Target="https://techelectro.ru/prod/insulugs/iplug/rship/sku_108624/" TargetMode="External"/><Relationship Id="rId1352" Type="http://schemas.openxmlformats.org/officeDocument/2006/relationships/hyperlink" Target="https://techelectro.ru/prod/cable-kits/kits-ngls-1kv/pst-mini-ng_ls/sku_88054/" TargetMode="External"/><Relationship Id="rId2403" Type="http://schemas.openxmlformats.org/officeDocument/2006/relationships/hyperlink" Target="https://techelectro.ru/prod/hstubes/gluetube/ttk31_clear/ttk31-9t/" TargetMode="External"/><Relationship Id="rId5559" Type="http://schemas.openxmlformats.org/officeDocument/2006/relationships/hyperlink" Target="https://techelectro.ru/prod/metal-hose-fittings/hose/mrping-inox/sku_83048/" TargetMode="External"/><Relationship Id="rId1005" Type="http://schemas.openxmlformats.org/officeDocument/2006/relationships/hyperlink" Target="https://techelectro.ru/prod/e-connectors/nshvi_euro/sku_108997/" TargetMode="External"/><Relationship Id="rId4575" Type="http://schemas.openxmlformats.org/officeDocument/2006/relationships/hyperlink" Target="https://techelectro.ru/prod/ties/nylonties/kss100-nord_white/sku_89934/" TargetMode="External"/><Relationship Id="rId5973" Type="http://schemas.openxmlformats.org/officeDocument/2006/relationships/hyperlink" Target="https://techelectro.ru/prod/ground_wire/pz/pz_10-600/" TargetMode="External"/><Relationship Id="rId3177" Type="http://schemas.openxmlformats.org/officeDocument/2006/relationships/hyperlink" Target="https://techelectro.ru/prod/wiring-tools/strippers/wire-strip/ws03/sku_101542/" TargetMode="External"/><Relationship Id="rId4228" Type="http://schemas.openxmlformats.org/officeDocument/2006/relationships/hyperlink" Target="https://techelectro.ru/prod/abcarm/anchor/kab/kab-25/" TargetMode="External"/><Relationship Id="rId5626" Type="http://schemas.openxmlformats.org/officeDocument/2006/relationships/hyperlink" Target="https://techelectro.ru/prod/metal-hose-fittings/fittings/vm/vm15/" TargetMode="External"/><Relationship Id="rId3591" Type="http://schemas.openxmlformats.org/officeDocument/2006/relationships/hyperlink" Target="https://techelectro.ru/prod/vdetools/vde-screwdrivers/vde-screwdrivers-slim/sku_103003/" TargetMode="External"/><Relationship Id="rId4642" Type="http://schemas.openxmlformats.org/officeDocument/2006/relationships/hyperlink" Target="https://techelectro.ru/prod/ties/nylonties/ksz/ksz8x200/" TargetMode="External"/><Relationship Id="rId2193" Type="http://schemas.openxmlformats.org/officeDocument/2006/relationships/hyperlink" Target="https://techelectro.ru/prod/hstubes/hstube/tnt_ng-ls_colors/tntng6030yg/" TargetMode="External"/><Relationship Id="rId3244" Type="http://schemas.openxmlformats.org/officeDocument/2006/relationships/hyperlink" Target="https://techelectro.ru/prod/wiring-tools/boxtools/singlempo/sku_61817/" TargetMode="External"/><Relationship Id="rId165" Type="http://schemas.openxmlformats.org/officeDocument/2006/relationships/hyperlink" Target="https://techelectro.ru/prod/cable-lugs/cu/tmlu/sku_92344/" TargetMode="External"/><Relationship Id="rId2260" Type="http://schemas.openxmlformats.org/officeDocument/2006/relationships/hyperlink" Target="https://techelectro.ru/prod/hstubes/hstube/tut-hf/tut_hf4-2_yellow/" TargetMode="External"/><Relationship Id="rId3311" Type="http://schemas.openxmlformats.org/officeDocument/2006/relationships/hyperlink" Target="https://techelectro.ru/prod/wiring-tools/bustools/mpsho-110_oval/sku_85333/" TargetMode="External"/><Relationship Id="rId232" Type="http://schemas.openxmlformats.org/officeDocument/2006/relationships/hyperlink" Target="https://techelectro.ru/prod/cable-lugs/cu/nsp/nshp_50_20/" TargetMode="External"/><Relationship Id="rId5069" Type="http://schemas.openxmlformats.org/officeDocument/2006/relationships/hyperlink" Target="https://techelectro.ru/prod/strength-ties/screw-ties/sr2/sr48-51w2/" TargetMode="External"/><Relationship Id="rId5483" Type="http://schemas.openxmlformats.org/officeDocument/2006/relationships/hyperlink" Target="https://techelectro.ru/prod/metal-hose-fittings/hose/mrping_grey/sku_88294/" TargetMode="External"/><Relationship Id="rId1679" Type="http://schemas.openxmlformats.org/officeDocument/2006/relationships/hyperlink" Target="https://techelectro.ru/prod/cable-kits/muffs1kv/4_pktp_b_sip_1/4pktp_b-1-16-25_b/" TargetMode="External"/><Relationship Id="rId4085" Type="http://schemas.openxmlformats.org/officeDocument/2006/relationships/hyperlink" Target="https://techelectro.ru/prod/protection-safety/bags_packs/s10/s-10/" TargetMode="External"/><Relationship Id="rId5136" Type="http://schemas.openxmlformats.org/officeDocument/2006/relationships/hyperlink" Target="https://techelectro.ru/prod/cable_entry/cable_entry_metal/mgm-inox/sku_85439/" TargetMode="External"/><Relationship Id="rId4152" Type="http://schemas.openxmlformats.org/officeDocument/2006/relationships/hyperlink" Target="https://techelectro.ru/prod/protection-safety/safety/ksl10-2/ksl10_2/" TargetMode="External"/><Relationship Id="rId5203" Type="http://schemas.openxmlformats.org/officeDocument/2006/relationships/hyperlink" Target="https://techelectro.ru/prod/cable_entry/cable_entry_metal/pgm-inox/sku_83625/" TargetMode="External"/><Relationship Id="rId5550" Type="http://schemas.openxmlformats.org/officeDocument/2006/relationships/hyperlink" Target="https://techelectro.ru/prod/metal-hose-fittings/hose/mg-p/sku_88405/" TargetMode="External"/><Relationship Id="rId1746" Type="http://schemas.openxmlformats.org/officeDocument/2006/relationships/hyperlink" Target="https://techelectro.ru/prod/cable-kits/muffs10kv/3rkntp-10/sku_88119/" TargetMode="External"/><Relationship Id="rId38" Type="http://schemas.openxmlformats.org/officeDocument/2006/relationships/hyperlink" Target="https://techelectro.ru/prod/cable-lugs/cu/tml/tml_25-6-26/" TargetMode="External"/><Relationship Id="rId1813" Type="http://schemas.openxmlformats.org/officeDocument/2006/relationships/hyperlink" Target="https://techelectro.ru/prod/cable-kits/muffs10kv/3stp10sold/sku_88769/" TargetMode="External"/><Relationship Id="rId4969" Type="http://schemas.openxmlformats.org/officeDocument/2006/relationships/hyperlink" Target="https://techelectro.ru/prod/strength-ties/screw-ties/pl9-w1/w1-110-130/" TargetMode="External"/><Relationship Id="rId3985" Type="http://schemas.openxmlformats.org/officeDocument/2006/relationships/hyperlink" Target="https://techelectro.ru/prod/construction_hydraulics/hydraulic_pullers/sgn-u-150u/sku_88609/" TargetMode="External"/><Relationship Id="rId2587" Type="http://schemas.openxmlformats.org/officeDocument/2006/relationships/hyperlink" Target="https://techelectro.ru/prod/hstubes/highvoltagetube/ttsh10/ttsh10-30/" TargetMode="External"/><Relationship Id="rId3638" Type="http://schemas.openxmlformats.org/officeDocument/2006/relationships/hyperlink" Target="https://techelectro.ru/prod/vdetools/vde-knives/nmi11/sku_86566/" TargetMode="External"/><Relationship Id="rId6044" Type="http://schemas.openxmlformats.org/officeDocument/2006/relationships/hyperlink" Target="https://techelectro.ru/prod/ground_wire/mzm-tng-ls/sku_88952/" TargetMode="External"/><Relationship Id="rId559" Type="http://schemas.openxmlformats.org/officeDocument/2006/relationships/hyperlink" Target="https://techelectro.ru/prod/insulugs/ilugs/vnki/vnki_2_5_5/" TargetMode="External"/><Relationship Id="rId1189" Type="http://schemas.openxmlformats.org/officeDocument/2006/relationships/hyperlink" Target="https://techelectro.ru/prod/bolt-lugs/wire10-240/sbel/4sbe_150-240l/" TargetMode="External"/><Relationship Id="rId5060" Type="http://schemas.openxmlformats.org/officeDocument/2006/relationships/hyperlink" Target="https://techelectro.ru/prod/strength-ties/screw-ties/sr2/sr17-19w2/" TargetMode="External"/><Relationship Id="rId626" Type="http://schemas.openxmlformats.org/officeDocument/2006/relationships/hyperlink" Target="https://techelectro.ru/prod/insulugs/ilugs/nkit/nkit_6_0_8/" TargetMode="External"/><Relationship Id="rId973" Type="http://schemas.openxmlformats.org/officeDocument/2006/relationships/hyperlink" Target="https://techelectro.ru/prod/e-connectors/nshvi/sku_108913/" TargetMode="External"/><Relationship Id="rId1256" Type="http://schemas.openxmlformats.org/officeDocument/2006/relationships/hyperlink" Target="https://techelectro.ru/prod/cable-kits/kits-ngls-1kv/4_5pktp-1_ngls/4pktp_bng-ls1-150-240/" TargetMode="External"/><Relationship Id="rId2307" Type="http://schemas.openxmlformats.org/officeDocument/2006/relationships/hyperlink" Target="https://techelectro.ru/prod/hstubes/hstube/tut-hf/tut_hf16-8_blue/" TargetMode="External"/><Relationship Id="rId2654" Type="http://schemas.openxmlformats.org/officeDocument/2006/relationships/hyperlink" Target="https://techelectro.ru/prod/hstubes/specialtube/tt200/sku_91838/" TargetMode="External"/><Relationship Id="rId3705" Type="http://schemas.openxmlformats.org/officeDocument/2006/relationships/hyperlink" Target="https://techelectro.ru/prod/electric-tools/cordless-impact-wrenches/wbr20-500/sku_106681/" TargetMode="External"/><Relationship Id="rId1670" Type="http://schemas.openxmlformats.org/officeDocument/2006/relationships/hyperlink" Target="https://techelectro.ru/prod/cable-kits/muffs1kv/4_5pto-1/sku_101909/" TargetMode="External"/><Relationship Id="rId2721" Type="http://schemas.openxmlformats.org/officeDocument/2006/relationships/hyperlink" Target="https://techelectro.ru/prod/insulating/bsk/bsk15/" TargetMode="External"/><Relationship Id="rId5877" Type="http://schemas.openxmlformats.org/officeDocument/2006/relationships/hyperlink" Target="https://techelectro.ru/prod/staples/smr15/smr_55-15/" TargetMode="External"/><Relationship Id="rId1323" Type="http://schemas.openxmlformats.org/officeDocument/2006/relationships/hyperlink" Target="https://techelectro.ru/prod/cable-kits/kits-ngls-1kv/4_5pst_ngls-1/4pstb1-25-50ngls/" TargetMode="External"/><Relationship Id="rId4479" Type="http://schemas.openxmlformats.org/officeDocument/2006/relationships/hyperlink" Target="https://techelectro.ru/prod/ties/nylonties/kss-uv/kss3x150b/" TargetMode="External"/><Relationship Id="rId4893" Type="http://schemas.openxmlformats.org/officeDocument/2006/relationships/hyperlink" Target="https://techelectro.ru/prod/steel-ties/steel_ties-labels/sksp304_50pcs/sku_103089/" TargetMode="External"/><Relationship Id="rId5944" Type="http://schemas.openxmlformats.org/officeDocument/2006/relationships/hyperlink" Target="https://techelectro.ru/prod/staples/kmp_black/sku_89336/" TargetMode="External"/><Relationship Id="rId3495" Type="http://schemas.openxmlformats.org/officeDocument/2006/relationships/hyperlink" Target="https://techelectro.ru/prod/wiring-tools/hstools/xz1/xz-1/" TargetMode="External"/><Relationship Id="rId4546" Type="http://schemas.openxmlformats.org/officeDocument/2006/relationships/hyperlink" Target="https://techelectro.ru/prod/ties/nylonties/nss-black/sku_84817/" TargetMode="External"/><Relationship Id="rId4960" Type="http://schemas.openxmlformats.org/officeDocument/2006/relationships/hyperlink" Target="https://techelectro.ru/prod/strength-ties/screw-ties/pl9-w1/w1-25-40/" TargetMode="External"/><Relationship Id="rId2097" Type="http://schemas.openxmlformats.org/officeDocument/2006/relationships/hyperlink" Target="https://techelectro.ru/prod/hstubes/hstube/tut_ng-ls_3_1/sku_85089/" TargetMode="External"/><Relationship Id="rId3148" Type="http://schemas.openxmlformats.org/officeDocument/2006/relationships/hyperlink" Target="https://techelectro.ru/prod/wiring-tools/cutters_din/br-brg-cutters/br_350/sku_92109/" TargetMode="External"/><Relationship Id="rId3562" Type="http://schemas.openxmlformats.org/officeDocument/2006/relationships/hyperlink" Target="https://techelectro.ru/prod/vdetools/pliers/bentnoseexp160/bentnoseexp-160/" TargetMode="External"/><Relationship Id="rId4613" Type="http://schemas.openxmlformats.org/officeDocument/2006/relationships/hyperlink" Target="https://techelectro.ru/prod/ties/nylonties/kss100-nord_black/kss_nord_9-760_black/" TargetMode="External"/><Relationship Id="rId483" Type="http://schemas.openxmlformats.org/officeDocument/2006/relationships/hyperlink" Target="https://techelectro.ru/prod/insulugs/ilugs/nki/nki_1_5-3/" TargetMode="External"/><Relationship Id="rId2164" Type="http://schemas.openxmlformats.org/officeDocument/2006/relationships/hyperlink" Target="https://techelectro.ru/prod/hstubes/hstube/tnt_hf/sku_82995/" TargetMode="External"/><Relationship Id="rId3215" Type="http://schemas.openxmlformats.org/officeDocument/2006/relationships/hyperlink" Target="https://techelectro.ru/prod/wiring-tools/strippers/knives/nm10/nm-10/" TargetMode="External"/><Relationship Id="rId136" Type="http://schemas.openxmlformats.org/officeDocument/2006/relationships/hyperlink" Target="https://techelectro.ru/prod/cable-lugs/cu/tmldin/tml_din_50_8/" TargetMode="External"/><Relationship Id="rId550" Type="http://schemas.openxmlformats.org/officeDocument/2006/relationships/hyperlink" Target="https://techelectro.ru/prod/insulugs/ilugs/nkin/sku_108531/" TargetMode="External"/><Relationship Id="rId1180" Type="http://schemas.openxmlformats.org/officeDocument/2006/relationships/hyperlink" Target="https://techelectro.ru/prod/bolt-lugs/wire10-240/sbr/4sbr_70-120/" TargetMode="External"/><Relationship Id="rId2231" Type="http://schemas.openxmlformats.org/officeDocument/2006/relationships/hyperlink" Target="https://techelectro.ru/prod/hstubes/hstube/tut_hf/sku_85119/" TargetMode="External"/><Relationship Id="rId5387" Type="http://schemas.openxmlformats.org/officeDocument/2006/relationships/hyperlink" Target="https://techelectro.ru/prod/waterproof_connections/mg_box_m-3_ip68/sku_89512/" TargetMode="External"/><Relationship Id="rId203" Type="http://schemas.openxmlformats.org/officeDocument/2006/relationships/hyperlink" Target="https://techelectro.ru/prod/cable-lugs/cu/pm/pm_2_5_6/" TargetMode="External"/><Relationship Id="rId1997" Type="http://schemas.openxmlformats.org/officeDocument/2006/relationships/hyperlink" Target="https://techelectro.ru/prod/ukpt_ogt/ogt-55_25/ogt55/" TargetMode="External"/><Relationship Id="rId4056" Type="http://schemas.openxmlformats.org/officeDocument/2006/relationships/hyperlink" Target="https://techelectro.ru/prod/maintenance_tools/network_repair_tool/pd-03/sku_85738/" TargetMode="External"/><Relationship Id="rId5454" Type="http://schemas.openxmlformats.org/officeDocument/2006/relationships/hyperlink" Target="https://techelectro.ru/prod/metal-hose-fittings/hose/r3cpnglsp/r3cpnglsp-50/" TargetMode="External"/><Relationship Id="rId4470" Type="http://schemas.openxmlformats.org/officeDocument/2006/relationships/hyperlink" Target="https://techelectro.ru/prod/ties/nylonties/nss/sku_89918/" TargetMode="External"/><Relationship Id="rId5107" Type="http://schemas.openxmlformats.org/officeDocument/2006/relationships/hyperlink" Target="https://techelectro.ru/prod/strength-ties/pipe-ties/thn/th_inox_-3_8/" TargetMode="External"/><Relationship Id="rId5521" Type="http://schemas.openxmlformats.org/officeDocument/2006/relationships/hyperlink" Target="https://techelectro.ru/prod/metal-hose-fittings/hose/mrping-p_termo/sku_88490/" TargetMode="External"/><Relationship Id="rId1717" Type="http://schemas.openxmlformats.org/officeDocument/2006/relationships/hyperlink" Target="https://techelectro.ru/prod/cable-kits/muffs10kv/1pknt10/1pknt10-800b/" TargetMode="External"/><Relationship Id="rId3072" Type="http://schemas.openxmlformats.org/officeDocument/2006/relationships/hyperlink" Target="https://techelectro.ru/prod/wiring-tools/cutters/wirecutters/mc5/mc-05/" TargetMode="External"/><Relationship Id="rId4123" Type="http://schemas.openxmlformats.org/officeDocument/2006/relationships/hyperlink" Target="https://techelectro.ru/prod/protection-safety/bags_packs/sk12/sk-12/" TargetMode="External"/><Relationship Id="rId3889" Type="http://schemas.openxmlformats.org/officeDocument/2006/relationships/hyperlink" Target="https://techelectro.ru/prod/metalworking-tools/ft_hummers/msk500/msk-500/" TargetMode="External"/><Relationship Id="rId3956" Type="http://schemas.openxmlformats.org/officeDocument/2006/relationships/hyperlink" Target="https://techelectro.ru/prod/construction_hydraulics/jack/jack_hd/dgp/sku_84554/" TargetMode="External"/><Relationship Id="rId6015" Type="http://schemas.openxmlformats.org/officeDocument/2006/relationships/hyperlink" Target="https://techelectro.ru/prod/ground_wire/pzu/pzu-6-400/" TargetMode="External"/><Relationship Id="rId877" Type="http://schemas.openxmlformats.org/officeDocument/2006/relationships/hyperlink" Target="https://techelectro.ru/prod/insulugs/lighting_clamps/nk-15/nk-15/" TargetMode="External"/><Relationship Id="rId2558" Type="http://schemas.openxmlformats.org/officeDocument/2006/relationships/hyperlink" Target="https://techelectro.ru/prod/hstubes/hstubeset/monohrom/monohrom-12-6/" TargetMode="External"/><Relationship Id="rId2972" Type="http://schemas.openxmlformats.org/officeDocument/2006/relationships/hyperlink" Target="https://techelectro.ru/prod/wiring-tools/crimpers_pgr/hv-crimpers/matrix_pg60t/a-39-5/" TargetMode="External"/><Relationship Id="rId3609" Type="http://schemas.openxmlformats.org/officeDocument/2006/relationships/hyperlink" Target="https://techelectro.ru/prod/vdetools/vde-screwdrivers/nio-2206-s/sku_88925/" TargetMode="External"/><Relationship Id="rId944" Type="http://schemas.openxmlformats.org/officeDocument/2006/relationships/hyperlink" Target="https://techelectro.ru/prod/e-connectors/nshvi/sku_92306/" TargetMode="External"/><Relationship Id="rId1574" Type="http://schemas.openxmlformats.org/officeDocument/2006/relationships/hyperlink" Target="https://techelectro.ru/prod/cable-kits/muffs1kv/2pst-1/2pst1-70-120/" TargetMode="External"/><Relationship Id="rId2625" Type="http://schemas.openxmlformats.org/officeDocument/2006/relationships/hyperlink" Target="https://techelectro.ru/prod/hstubes/specialtube/tt-s_ng-ls/sku_83633/" TargetMode="External"/><Relationship Id="rId5031" Type="http://schemas.openxmlformats.org/officeDocument/2006/relationships/hyperlink" Target="https://techelectro.ru/prod/strength-ties/screw-ties/sr/sr_20-22_w1/" TargetMode="External"/><Relationship Id="rId1227" Type="http://schemas.openxmlformats.org/officeDocument/2006/relationships/hyperlink" Target="https://techelectro.ru/prod/bolt-lugs/wire300-800/sbe_gph_300-800/sku_105913/" TargetMode="External"/><Relationship Id="rId1641" Type="http://schemas.openxmlformats.org/officeDocument/2006/relationships/hyperlink" Target="https://techelectro.ru/prod/cable-kits/muffs1kv/4rst1/4rst1-70-120b/" TargetMode="External"/><Relationship Id="rId4797" Type="http://schemas.openxmlformats.org/officeDocument/2006/relationships/hyperlink" Target="https://techelectro.ru/prod/steel-ties/steel_ties-labels/sks/sks4h300/" TargetMode="External"/><Relationship Id="rId5848" Type="http://schemas.openxmlformats.org/officeDocument/2006/relationships/hyperlink" Target="https://techelectro.ru/prod/staples/smo_withouthole/sku_85585/" TargetMode="External"/><Relationship Id="rId3399" Type="http://schemas.openxmlformats.org/officeDocument/2006/relationships/hyperlink" Target="https://techelectro.ru/prod/wiring-tools/unwinding/hvltools/chm2s/sku_109865/" TargetMode="External"/><Relationship Id="rId4864" Type="http://schemas.openxmlformats.org/officeDocument/2006/relationships/hyperlink" Target="https://techelectro.ru/prod/steel-ties/steel_ties-labels/sksp/sksp4x250/" TargetMode="External"/><Relationship Id="rId3466" Type="http://schemas.openxmlformats.org/officeDocument/2006/relationships/hyperlink" Target="https://techelectro.ru/prod/wiring-tools/unwinding/fishtape/fgp4_5mk/fgp4_5r-30mk/" TargetMode="External"/><Relationship Id="rId4517" Type="http://schemas.openxmlformats.org/officeDocument/2006/relationships/hyperlink" Target="https://techelectro.ru/prod/ties/nylonties/kss_multilock_uv/sku_102315/" TargetMode="External"/><Relationship Id="rId5915" Type="http://schemas.openxmlformats.org/officeDocument/2006/relationships/hyperlink" Target="https://techelectro.ru/prod/staples/snk/snk-5/" TargetMode="External"/><Relationship Id="rId387" Type="http://schemas.openxmlformats.org/officeDocument/2006/relationships/hyperlink" Target="https://techelectro.ru/prod/cable-lugs/al/ta/ta_120-12-14/" TargetMode="External"/><Relationship Id="rId2068" Type="http://schemas.openxmlformats.org/officeDocument/2006/relationships/hyperlink" Target="https://techelectro.ru/prod/hstubes/hstube/tutng-color/sku_102198/" TargetMode="External"/><Relationship Id="rId3119" Type="http://schemas.openxmlformats.org/officeDocument/2006/relationships/hyperlink" Target="https://techelectro.ru/prod/wiring-tools/cutters/hdcutters/ngra65/ngra-65/" TargetMode="External"/><Relationship Id="rId3880" Type="http://schemas.openxmlformats.org/officeDocument/2006/relationships/hyperlink" Target="https://techelectro.ru/prod/metalworking-tools/ft_endheads/nmb6/nmb6/" TargetMode="External"/><Relationship Id="rId4931" Type="http://schemas.openxmlformats.org/officeDocument/2006/relationships/hyperlink" Target="https://techelectro.ru/prod/steel-ties/steel_tape-brace/lks304_2007/sku_101754/" TargetMode="External"/><Relationship Id="rId1084" Type="http://schemas.openxmlformats.org/officeDocument/2006/relationships/hyperlink" Target="https://techelectro.ru/prod/e-connectors/nshviset-m3450-1/set-nshvi-m-3450-1/" TargetMode="External"/><Relationship Id="rId2482" Type="http://schemas.openxmlformats.org/officeDocument/2006/relationships/hyperlink" Target="https://techelectro.ru/prod/hstubes/gluetube/ttk41_inrolls/sku_106547/" TargetMode="External"/><Relationship Id="rId3533" Type="http://schemas.openxmlformats.org/officeDocument/2006/relationships/hyperlink" Target="https://techelectro.ru/prod/vdetools/pliers/longnose200ergoline_multifunction/sku_107267/" TargetMode="External"/><Relationship Id="rId107" Type="http://schemas.openxmlformats.org/officeDocument/2006/relationships/hyperlink" Target="https://techelectro.ru/prod/cable-lugs/cu/tm/sku_87000/" TargetMode="External"/><Relationship Id="rId454" Type="http://schemas.openxmlformats.org/officeDocument/2006/relationships/hyperlink" Target="https://techelectro.ru/prod/cable-lugs/al/nsham/sku_89235/" TargetMode="External"/><Relationship Id="rId2135" Type="http://schemas.openxmlformats.org/officeDocument/2006/relationships/hyperlink" Target="https://techelectro.ru/prod/hstubes/hstube/tnt_hf/sku_82975/" TargetMode="External"/><Relationship Id="rId3600" Type="http://schemas.openxmlformats.org/officeDocument/2006/relationships/hyperlink" Target="https://techelectro.ru/prod/vdetools/vde-screwdrivers/vde-screwdrivers-slim/sku_103012/" TargetMode="External"/><Relationship Id="rId521" Type="http://schemas.openxmlformats.org/officeDocument/2006/relationships/hyperlink" Target="https://techelectro.ru/prod/insulugs/ilugs/nki_easyfix/sku_90899/" TargetMode="External"/><Relationship Id="rId1151" Type="http://schemas.openxmlformats.org/officeDocument/2006/relationships/hyperlink" Target="https://techelectro.ru/prod/bolt-lugs/wire10-240/nb/1nb_10-25/" TargetMode="External"/><Relationship Id="rId2202" Type="http://schemas.openxmlformats.org/officeDocument/2006/relationships/hyperlink" Target="https://techelectro.ru/prod/hstubes/hstube/tutng/sku_89489/" TargetMode="External"/><Relationship Id="rId5358" Type="http://schemas.openxmlformats.org/officeDocument/2006/relationships/hyperlink" Target="https://techelectro.ru/prod/cable_entry/cable_entry_plastic/m-l/sku_85478/" TargetMode="External"/><Relationship Id="rId5772" Type="http://schemas.openxmlformats.org/officeDocument/2006/relationships/hyperlink" Target="https://techelectro.ru/prod/staples/smo_inox/smo_inox-10-11/" TargetMode="External"/><Relationship Id="rId1968" Type="http://schemas.openxmlformats.org/officeDocument/2006/relationships/hyperlink" Target="https://techelectro.ru/prod/cable_kits_acs/kbm-k/sku_84297/" TargetMode="External"/><Relationship Id="rId4374" Type="http://schemas.openxmlformats.org/officeDocument/2006/relationships/hyperlink" Target="https://techelectro.ru/prod/digital_meters/ecotesters/kt621/sku_101568/" TargetMode="External"/><Relationship Id="rId5425" Type="http://schemas.openxmlformats.org/officeDocument/2006/relationships/hyperlink" Target="https://techelectro.ru/prod/metal-hose-fittings/hose/mrping_nord-p/mrping_nord_25_p/" TargetMode="External"/><Relationship Id="rId3390" Type="http://schemas.openxmlformats.org/officeDocument/2006/relationships/hyperlink" Target="https://techelectro.ru/prod/wiring-tools/unwinding/hvltools/chms/sku_109893/" TargetMode="External"/><Relationship Id="rId4027" Type="http://schemas.openxmlformats.org/officeDocument/2006/relationships/hyperlink" Target="https://techelectro.ru/prod/construction_hydraulics/flange_spreaders/rfn538max/sku_109353/" TargetMode="External"/><Relationship Id="rId4441" Type="http://schemas.openxmlformats.org/officeDocument/2006/relationships/hyperlink" Target="https://techelectro.ru/prod/ties/nylonties/kss_multilock_white/sku_102310/" TargetMode="External"/><Relationship Id="rId3043" Type="http://schemas.openxmlformats.org/officeDocument/2006/relationships/hyperlink" Target="https://techelectro.ru/prod/wiring-tools/crimpers_pgr/hv-crimpers/matrix_pg100t/c-26-100t/" TargetMode="External"/><Relationship Id="rId3110" Type="http://schemas.openxmlformats.org/officeDocument/2006/relationships/hyperlink" Target="https://techelectro.ru/prod/wiring-tools/cutters/hdcutters/ngr53/ngr-53/" TargetMode="External"/><Relationship Id="rId2876" Type="http://schemas.openxmlformats.org/officeDocument/2006/relationships/hyperlink" Target="https://techelectro.ru/prod/wiring-tools/crimpers/insulugs-crimp/mpk3/mpk_03/" TargetMode="External"/><Relationship Id="rId3927" Type="http://schemas.openxmlformats.org/officeDocument/2006/relationships/hyperlink" Target="https://techelectro.ru/prod/metalworking-tools/ft_cutters/nma300sl/sku_102043/" TargetMode="External"/><Relationship Id="rId5282" Type="http://schemas.openxmlformats.org/officeDocument/2006/relationships/hyperlink" Target="https://techelectro.ru/prod/cable_entry/cable_entry_metal/mpl-m_increase/sku_89600/" TargetMode="External"/><Relationship Id="rId848" Type="http://schemas.openxmlformats.org/officeDocument/2006/relationships/hyperlink" Target="https://techelectro.ru/prod/insulugs/screw_clamp/zvi-ng_white/sku_87172/" TargetMode="External"/><Relationship Id="rId1478" Type="http://schemas.openxmlformats.org/officeDocument/2006/relationships/hyperlink" Target="https://techelectro.ru/prod/cable-kits/muffs1kv/2-pktp-1/2pktp_b-1-_70_120_b/" TargetMode="External"/><Relationship Id="rId1892" Type="http://schemas.openxmlformats.org/officeDocument/2006/relationships/hyperlink" Target="https://techelectro.ru/prod/cable_kits_acs/tpi/3tpi-150-240/" TargetMode="External"/><Relationship Id="rId2529" Type="http://schemas.openxmlformats.org/officeDocument/2006/relationships/hyperlink" Target="https://techelectro.ru/prod/hstubes/hstubeset/kolorit/kolorit-6-3/" TargetMode="External"/><Relationship Id="rId915" Type="http://schemas.openxmlformats.org/officeDocument/2006/relationships/hyperlink" Target="https://techelectro.ru/prod/insulugs/autoterminals/rp-p_l_2_5_-_6_3/sku_109251/" TargetMode="External"/><Relationship Id="rId1545" Type="http://schemas.openxmlformats.org/officeDocument/2006/relationships/hyperlink" Target="https://techelectro.ru/prod/cable-kits/muffs1kv/pktp_mini/3pktpb_mini_2-5_10/" TargetMode="External"/><Relationship Id="rId2943" Type="http://schemas.openxmlformats.org/officeDocument/2006/relationships/hyperlink" Target="https://techelectro.ru/prod/wiring-tools/crimpers_pgr/hdcrimp/pgr6t/sku_92048/" TargetMode="External"/><Relationship Id="rId5002" Type="http://schemas.openxmlformats.org/officeDocument/2006/relationships/hyperlink" Target="https://techelectro.ru/prod/strength-ties/screw-ties/pl9-w4/pl9-32-50w4/" TargetMode="External"/><Relationship Id="rId1612" Type="http://schemas.openxmlformats.org/officeDocument/2006/relationships/hyperlink" Target="https://techelectro.ru/prod/cable-kits/muffs1kv/4_5pst-1/4pstb1-70-120/" TargetMode="External"/><Relationship Id="rId4768" Type="http://schemas.openxmlformats.org/officeDocument/2006/relationships/hyperlink" Target="https://techelectro.ru/prod/steel-ties/steel_ties-labels/sks316/sks316-4x250/" TargetMode="External"/><Relationship Id="rId5819" Type="http://schemas.openxmlformats.org/officeDocument/2006/relationships/hyperlink" Target="https://techelectro.ru/prod/staples/smd/smd_31-32/" TargetMode="External"/><Relationship Id="rId3784" Type="http://schemas.openxmlformats.org/officeDocument/2006/relationships/hyperlink" Target="https://techelectro.ru/prod/metalworking-tools/ft_pliers/pliers_vampire/pliers-vampire/" TargetMode="External"/><Relationship Id="rId4835" Type="http://schemas.openxmlformats.org/officeDocument/2006/relationships/hyperlink" Target="https://techelectro.ru/prod/steel-ties/steel_ties-labels/sks316p/sks316p-4x400/" TargetMode="External"/><Relationship Id="rId2386" Type="http://schemas.openxmlformats.org/officeDocument/2006/relationships/hyperlink" Target="https://techelectro.ru/prod/hstubes/gluetube/ttk_flex_3_1/sku_85209/" TargetMode="External"/><Relationship Id="rId3437" Type="http://schemas.openxmlformats.org/officeDocument/2006/relationships/hyperlink" Target="https://techelectro.ru/prod/wiring-tools/unwinding/fishtape/pet1-3/sku_89624/" TargetMode="External"/><Relationship Id="rId3851" Type="http://schemas.openxmlformats.org/officeDocument/2006/relationships/hyperlink" Target="https://techelectro.ru/prod/metalworking-tools/ft_wrench/nkk8/nkk8/" TargetMode="External"/><Relationship Id="rId4902" Type="http://schemas.openxmlformats.org/officeDocument/2006/relationships/hyperlink" Target="https://techelectro.ru/prod/steel-ties/steel_ties-labels/sks2-316/sks2-316-12x1200/" TargetMode="External"/><Relationship Id="rId358" Type="http://schemas.openxmlformats.org/officeDocument/2006/relationships/hyperlink" Target="https://techelectro.ru/prod/cable-lugs/cu/gmls/sku_88088/" TargetMode="External"/><Relationship Id="rId772" Type="http://schemas.openxmlformats.org/officeDocument/2006/relationships/hyperlink" Target="https://techelectro.ru/prod/insulugs/iquick/gsin/gsin_2/" TargetMode="External"/><Relationship Id="rId2039" Type="http://schemas.openxmlformats.org/officeDocument/2006/relationships/hyperlink" Target="https://techelectro.ru/prod/hstubes/hstube/tutng-color/sku_102169/" TargetMode="External"/><Relationship Id="rId2453" Type="http://schemas.openxmlformats.org/officeDocument/2006/relationships/hyperlink" Target="https://techelectro.ru/prod/hstubes/gluetube/ttk31_blue/sku_102423/" TargetMode="External"/><Relationship Id="rId3504" Type="http://schemas.openxmlformats.org/officeDocument/2006/relationships/hyperlink" Target="https://techelectro.ru/prod/wiring-tools/hstools/gt18/sku_88074/" TargetMode="External"/><Relationship Id="rId425" Type="http://schemas.openxmlformats.org/officeDocument/2006/relationships/hyperlink" Target="https://techelectro.ru/prod/cable-lugs/al/gam/sku_90839/" TargetMode="External"/><Relationship Id="rId1055" Type="http://schemas.openxmlformats.org/officeDocument/2006/relationships/hyperlink" Target="https://techelectro.ru/prod/e-connectors/nshv/nshv_0_75_8/" TargetMode="External"/><Relationship Id="rId2106" Type="http://schemas.openxmlformats.org/officeDocument/2006/relationships/hyperlink" Target="https://techelectro.ru/prod/hstubes/hstube/tnt_hf/sku_84319/" TargetMode="External"/><Relationship Id="rId2520" Type="http://schemas.openxmlformats.org/officeDocument/2006/relationships/hyperlink" Target="https://techelectro.ru/prod/hstubes/gluetube/tt6x/tt6x-35/" TargetMode="External"/><Relationship Id="rId5676" Type="http://schemas.openxmlformats.org/officeDocument/2006/relationships/hyperlink" Target="https://techelectro.ru/prod/metal-hose-fittings/fittings/vm-l/sku_88855/" TargetMode="External"/><Relationship Id="rId1122" Type="http://schemas.openxmlformats.org/officeDocument/2006/relationships/hyperlink" Target="https://techelectro.ru/prod/clamps_wago-smk/smk_222-415/sku_109304/" TargetMode="External"/><Relationship Id="rId4278" Type="http://schemas.openxmlformats.org/officeDocument/2006/relationships/hyperlink" Target="https://techelectro.ru/prod/abcarm/sealinslugs/nim-cptau120/sku_103169/" TargetMode="External"/><Relationship Id="rId5329" Type="http://schemas.openxmlformats.org/officeDocument/2006/relationships/hyperlink" Target="https://techelectro.ru/prod/cable_entry/cable_entry_plastic/mg/sku_80033/" TargetMode="External"/><Relationship Id="rId3294" Type="http://schemas.openxmlformats.org/officeDocument/2006/relationships/hyperlink" Target="https://techelectro.ru/prod/wiring-tools/bustools/mpsho-95/mpsho-6/" TargetMode="External"/><Relationship Id="rId4345" Type="http://schemas.openxmlformats.org/officeDocument/2006/relationships/hyperlink" Target="https://techelectro.ru/prod/digital_meters/testers_detectors/kt105d/kt-105d/" TargetMode="External"/><Relationship Id="rId4692" Type="http://schemas.openxmlformats.org/officeDocument/2006/relationships/hyperlink" Target="https://techelectro.ru/prod/ties/nylonties/sv/ksv16x210/" TargetMode="External"/><Relationship Id="rId5743" Type="http://schemas.openxmlformats.org/officeDocument/2006/relationships/hyperlink" Target="https://techelectro.ru/prod/metal-hose-fittings/fittings/ozm/ozm_50/" TargetMode="External"/><Relationship Id="rId1939" Type="http://schemas.openxmlformats.org/officeDocument/2006/relationships/hyperlink" Target="https://techelectro.ru/prod/cable_kits_acs/pml/sku_84293/" TargetMode="External"/><Relationship Id="rId5810" Type="http://schemas.openxmlformats.org/officeDocument/2006/relationships/hyperlink" Target="https://techelectro.ru/prod/staples/sdk/label_102665/" TargetMode="External"/><Relationship Id="rId3361" Type="http://schemas.openxmlformats.org/officeDocument/2006/relationships/hyperlink" Target="https://techelectro.ru/prod/wiring-tools/unwinding/hvltools/dr40/sku_88553/" TargetMode="External"/><Relationship Id="rId4412" Type="http://schemas.openxmlformats.org/officeDocument/2006/relationships/hyperlink" Target="https://techelectro.ru/prod/ties/nylonties/kss/kss8h200/" TargetMode="External"/><Relationship Id="rId282" Type="http://schemas.openxmlformats.org/officeDocument/2006/relationships/hyperlink" Target="https://techelectro.ru/prod/cable-lugs/cu/tmls45/tmls_45_95-12/" TargetMode="External"/><Relationship Id="rId3014" Type="http://schemas.openxmlformats.org/officeDocument/2006/relationships/hyperlink" Target="https://techelectro.ru/prod/wiring-tools/crimpers_pgr/hv-crimpers/matrix_pg60t/msh-18-6/" TargetMode="External"/><Relationship Id="rId2030" Type="http://schemas.openxmlformats.org/officeDocument/2006/relationships/hyperlink" Target="https://techelectro.ru/prod/ukpt_ogt/ukpto/sku_89442/" TargetMode="External"/><Relationship Id="rId5186" Type="http://schemas.openxmlformats.org/officeDocument/2006/relationships/hyperlink" Target="https://techelectro.ru/prod/cable_entry/cable_entry_metal/mgm-dl/sku_88631/" TargetMode="External"/><Relationship Id="rId5253" Type="http://schemas.openxmlformats.org/officeDocument/2006/relationships/hyperlink" Target="https://techelectro.ru/prod/cable_entry/cable_entry_metal/vk-m-mr/sku_87948/" TargetMode="External"/><Relationship Id="rId1449" Type="http://schemas.openxmlformats.org/officeDocument/2006/relationships/hyperlink" Target="https://techelectro.ru/prod/cable-kits/muffs1kv/4kvntp1sold/sku_88770/" TargetMode="External"/><Relationship Id="rId1796" Type="http://schemas.openxmlformats.org/officeDocument/2006/relationships/hyperlink" Target="https://techelectro.ru/prod/cable-kits/muffs10kv/3pst10/3pst10-70-120b/" TargetMode="External"/><Relationship Id="rId2847" Type="http://schemas.openxmlformats.org/officeDocument/2006/relationships/hyperlink" Target="https://techelectro.ru/prod/wiring-tools/crimpers/insulugs-crimp/ctb/ctb15/" TargetMode="External"/><Relationship Id="rId88" Type="http://schemas.openxmlformats.org/officeDocument/2006/relationships/hyperlink" Target="https://techelectro.ru/prod/cable-lugs/cu/tml/tml_240_20_24/" TargetMode="External"/><Relationship Id="rId819" Type="http://schemas.openxmlformats.org/officeDocument/2006/relationships/hyperlink" Target="https://techelectro.ru/prod/insulugs/siz_kiz/sizk/sku_108954/" TargetMode="External"/><Relationship Id="rId1863" Type="http://schemas.openxmlformats.org/officeDocument/2006/relationships/hyperlink" Target="https://techelectro.ru/prod/cable_kits_acs/ekat-20/sku_89717/" TargetMode="External"/><Relationship Id="rId2914" Type="http://schemas.openxmlformats.org/officeDocument/2006/relationships/hyperlink" Target="https://techelectro.ru/prod/wiring-tools/crimpers/conn-crimp/pkvsh16m/pkvsh-16m/" TargetMode="External"/><Relationship Id="rId5320" Type="http://schemas.openxmlformats.org/officeDocument/2006/relationships/hyperlink" Target="https://techelectro.ru/prod/cable_entry/cable_entry_plastic/pg/sku_88164/" TargetMode="External"/><Relationship Id="rId1516" Type="http://schemas.openxmlformats.org/officeDocument/2006/relationships/hyperlink" Target="https://techelectro.ru/prod/cable-kits/muffs1kv/5-pktp-1/5pktp-1-25_50/" TargetMode="External"/><Relationship Id="rId1930" Type="http://schemas.openxmlformats.org/officeDocument/2006/relationships/hyperlink" Target="https://techelectro.ru/prod/cable_kits_acs/trma/trma_75/" TargetMode="External"/><Relationship Id="rId3688" Type="http://schemas.openxmlformats.org/officeDocument/2006/relationships/hyperlink" Target="https://techelectro.ru/prod/electric-tools/cordless-drills/db20-13_ncs/sku_104534/" TargetMode="External"/><Relationship Id="rId4739" Type="http://schemas.openxmlformats.org/officeDocument/2006/relationships/hyperlink" Target="https://techelectro.ru/prod/ties/markers/u_153/u_153/" TargetMode="External"/><Relationship Id="rId3755" Type="http://schemas.openxmlformats.org/officeDocument/2006/relationships/hyperlink" Target="https://techelectro.ru/prod/electric-tools/accessories/direct-fastening/ggn-nails_mg/sku_106196/" TargetMode="External"/><Relationship Id="rId4806" Type="http://schemas.openxmlformats.org/officeDocument/2006/relationships/hyperlink" Target="https://techelectro.ru/prod/steel-ties/steel_ties-labels/sks/sks7h250/" TargetMode="External"/><Relationship Id="rId676" Type="http://schemas.openxmlformats.org/officeDocument/2006/relationships/hyperlink" Target="https://techelectro.ru/prod/insulugs/iplug/rppim/rppim_15-28/" TargetMode="External"/><Relationship Id="rId2357" Type="http://schemas.openxmlformats.org/officeDocument/2006/relationships/hyperlink" Target="https://techelectro.ru/prod/hstubes/gluetube/ttk31/ttk31-4b/" TargetMode="External"/><Relationship Id="rId3408" Type="http://schemas.openxmlformats.org/officeDocument/2006/relationships/hyperlink" Target="https://techelectro.ru/prod/wiring-tools/unwinding/hvltools/chmp/sku_109901/" TargetMode="External"/><Relationship Id="rId329" Type="http://schemas.openxmlformats.org/officeDocument/2006/relationships/hyperlink" Target="https://techelectro.ru/prod/cable-lugs/cu/gmldin/gmldin_300/" TargetMode="External"/><Relationship Id="rId1373" Type="http://schemas.openxmlformats.org/officeDocument/2006/relationships/hyperlink" Target="https://techelectro.ru/prod/cable-kits/kits-ngls-1kv/pst-mini-ng_ls/5pstbm-4_ngls/" TargetMode="External"/><Relationship Id="rId2771" Type="http://schemas.openxmlformats.org/officeDocument/2006/relationships/hyperlink" Target="https://techelectro.ru/prod/insulating/xs-mini/sku_90923/" TargetMode="External"/><Relationship Id="rId3822" Type="http://schemas.openxmlformats.org/officeDocument/2006/relationships/hyperlink" Target="https://techelectro.ru/prod/metalworking-tools/ft_screwdrivers/nb39ft/nb-39/" TargetMode="External"/><Relationship Id="rId743" Type="http://schemas.openxmlformats.org/officeDocument/2006/relationships/hyperlink" Target="https://techelectro.ru/prod/insulugs/iplug/ovt/sku_108491/" TargetMode="External"/><Relationship Id="rId1026" Type="http://schemas.openxmlformats.org/officeDocument/2006/relationships/hyperlink" Target="https://techelectro.ru/prod/e-connectors/nshvi2/sku_108925/" TargetMode="External"/><Relationship Id="rId2424" Type="http://schemas.openxmlformats.org/officeDocument/2006/relationships/hyperlink" Target="https://techelectro.ru/prod/hstubes/gluetube/ttk31_white/ttk31-12w/" TargetMode="External"/><Relationship Id="rId5994" Type="http://schemas.openxmlformats.org/officeDocument/2006/relationships/hyperlink" Target="https://techelectro.ru/prod/ground_wire/pz/sku_82190/" TargetMode="External"/><Relationship Id="rId810" Type="http://schemas.openxmlformats.org/officeDocument/2006/relationships/hyperlink" Target="https://techelectro.ru/prod/insulugs/siz_kiz/siz/sku_108948/" TargetMode="External"/><Relationship Id="rId1440" Type="http://schemas.openxmlformats.org/officeDocument/2006/relationships/hyperlink" Target="https://techelectro.ru/prod/cable-kits/kits-ngls-10kv/3stp10_ngls/3stp10-25-50_b_ngls/" TargetMode="External"/><Relationship Id="rId4596" Type="http://schemas.openxmlformats.org/officeDocument/2006/relationships/hyperlink" Target="https://techelectro.ru/prod/ties/nylonties/kss100-nord_black/kss_nord_4-300_black/" TargetMode="External"/><Relationship Id="rId5647" Type="http://schemas.openxmlformats.org/officeDocument/2006/relationships/hyperlink" Target="https://techelectro.ru/prod/metal-hose-fittings/fittings/rk-n/sku_87890/" TargetMode="External"/><Relationship Id="rId3198" Type="http://schemas.openxmlformats.org/officeDocument/2006/relationships/hyperlink" Target="https://techelectro.ru/prod/wiring-tools/strippers/xlpe-strip/ims1052/sku_101904/" TargetMode="External"/><Relationship Id="rId4249" Type="http://schemas.openxmlformats.org/officeDocument/2006/relationships/hyperlink" Target="https://techelectro.ru/prod/abcarm/sealinslugs/gif-mjpt35/sku_109223/" TargetMode="External"/><Relationship Id="rId4663" Type="http://schemas.openxmlformats.org/officeDocument/2006/relationships/hyperlink" Target="https://techelectro.ru/prod/ties/nylonties/pkt/pkt-160/" TargetMode="External"/><Relationship Id="rId5714" Type="http://schemas.openxmlformats.org/officeDocument/2006/relationships/hyperlink" Target="https://techelectro.ru/prod/metal-hose-fittings/fittings/att/sku_92322/" TargetMode="External"/><Relationship Id="rId3265" Type="http://schemas.openxmlformats.org/officeDocument/2006/relationships/hyperlink" Target="https://techelectro.ru/prod/wiring-tools/boxtools/mpo_square/mpo-46h46/" TargetMode="External"/><Relationship Id="rId4316" Type="http://schemas.openxmlformats.org/officeDocument/2006/relationships/hyperlink" Target="https://techelectro.ru/prod/digital_meters/multimeters/kt-116/sku_87248/" TargetMode="External"/><Relationship Id="rId4730" Type="http://schemas.openxmlformats.org/officeDocument/2006/relationships/hyperlink" Target="https://techelectro.ru/prod/ties/montage-acs/pms_25h25_black/pms25x25b/" TargetMode="External"/><Relationship Id="rId186" Type="http://schemas.openxmlformats.org/officeDocument/2006/relationships/hyperlink" Target="https://techelectro.ru/prod/cable-lugs/cu/tmlr/sku_87479/" TargetMode="External"/><Relationship Id="rId2281" Type="http://schemas.openxmlformats.org/officeDocument/2006/relationships/hyperlink" Target="https://techelectro.ru/prod/hstubes/hstube/tut-hf/sku_84975/" TargetMode="External"/><Relationship Id="rId3332" Type="http://schemas.openxmlformats.org/officeDocument/2006/relationships/hyperlink" Target="https://techelectro.ru/prod/wiring-tools/hdrtools/hdr_tools/pme7050/pme-7050/" TargetMode="External"/><Relationship Id="rId253" Type="http://schemas.openxmlformats.org/officeDocument/2006/relationships/hyperlink" Target="https://techelectro.ru/prod/cable-lugs/cu/tmls90/tmls_90_25-8/" TargetMode="External"/><Relationship Id="rId320" Type="http://schemas.openxmlformats.org/officeDocument/2006/relationships/hyperlink" Target="https://techelectro.ru/prod/cable-lugs/cu/gmldin/gmldin_25/" TargetMode="External"/><Relationship Id="rId2001" Type="http://schemas.openxmlformats.org/officeDocument/2006/relationships/hyperlink" Target="https://techelectro.ru/prod/ukpt_ogt/ogt-120_55/ogt120/" TargetMode="External"/><Relationship Id="rId5157" Type="http://schemas.openxmlformats.org/officeDocument/2006/relationships/hyperlink" Target="https://techelectro.ru/prod/cable_entry/cable_entry_metal/mgm/sku_87986/" TargetMode="External"/><Relationship Id="rId5571" Type="http://schemas.openxmlformats.org/officeDocument/2006/relationships/hyperlink" Target="https://techelectro.ru/prod/metal-hose-fittings/hose/mrping-inox_p/sku_82614/" TargetMode="External"/><Relationship Id="rId1767" Type="http://schemas.openxmlformats.org/officeDocument/2006/relationships/hyperlink" Target="https://techelectro.ru/prod/cable-kits/muffs10kv/3kntp10sold/sku_88763/" TargetMode="External"/><Relationship Id="rId2818" Type="http://schemas.openxmlformats.org/officeDocument/2006/relationships/hyperlink" Target="https://techelectro.ru/prod/wiring-tools/crimpers/insulugs-crimp/sto/sku_90749/" TargetMode="External"/><Relationship Id="rId4173" Type="http://schemas.openxmlformats.org/officeDocument/2006/relationships/hyperlink" Target="https://techelectro.ru/prod/plumbing-tools/battery_pipe_tool/pgra-sz-32/sku_89615/" TargetMode="External"/><Relationship Id="rId5224" Type="http://schemas.openxmlformats.org/officeDocument/2006/relationships/hyperlink" Target="https://techelectro.ru/prod/cable_entry/cable_entry_metal/pgm/sku_88010/" TargetMode="External"/><Relationship Id="rId59" Type="http://schemas.openxmlformats.org/officeDocument/2006/relationships/hyperlink" Target="https://techelectro.ru/prod/cable-lugs/cu/tml/tml_35-10-10/" TargetMode="External"/><Relationship Id="rId1834" Type="http://schemas.openxmlformats.org/officeDocument/2006/relationships/hyperlink" Target="https://techelectro.ru/prod/cable-kits/muffs-35kv/1pknt-20/1pknt20-300-400b/" TargetMode="External"/><Relationship Id="rId4240" Type="http://schemas.openxmlformats.org/officeDocument/2006/relationships/hyperlink" Target="https://techelectro.ru/prod/abcarm/sealinslugs/gia-mjpb16-25/sku_103161/" TargetMode="External"/><Relationship Id="rId1901" Type="http://schemas.openxmlformats.org/officeDocument/2006/relationships/hyperlink" Target="https://techelectro.ru/prod/cable_kits_acs/tpi-a/3tpia-25-50/" TargetMode="External"/><Relationship Id="rId3659" Type="http://schemas.openxmlformats.org/officeDocument/2006/relationships/hyperlink" Target="https://techelectro.ru/prod/vdetools/vde-sets/vde-sets-nii/nii26/sku_92069/" TargetMode="External"/><Relationship Id="rId6065" Type="http://schemas.openxmlformats.org/officeDocument/2006/relationships/hyperlink" Target="https://techelectro.ru/prod/ground_wire/uhz_inox/uhz_inox_60-80_w2/" TargetMode="External"/><Relationship Id="rId5081" Type="http://schemas.openxmlformats.org/officeDocument/2006/relationships/hyperlink" Target="https://techelectro.ru/prod/strength-ties/screw-ties/sr2/sr113-121w2/" TargetMode="External"/><Relationship Id="rId994" Type="http://schemas.openxmlformats.org/officeDocument/2006/relationships/hyperlink" Target="https://techelectro.ru/prod/e-connectors/nshvi_euro/sku_103205/" TargetMode="External"/><Relationship Id="rId2675" Type="http://schemas.openxmlformats.org/officeDocument/2006/relationships/hyperlink" Target="https://techelectro.ru/prod/insulating/pvc-15-0_13/sku_90810/" TargetMode="External"/><Relationship Id="rId3726" Type="http://schemas.openxmlformats.org/officeDocument/2006/relationships/hyperlink" Target="https://techelectro.ru/prod/electric-tools/power-saws/sc01/sku_103814/" TargetMode="External"/><Relationship Id="rId647" Type="http://schemas.openxmlformats.org/officeDocument/2006/relationships/hyperlink" Target="https://techelectro.ru/prod/insulugs/ilugs/ilugsets-nvi/sku_91008/" TargetMode="External"/><Relationship Id="rId1277" Type="http://schemas.openxmlformats.org/officeDocument/2006/relationships/hyperlink" Target="https://techelectro.ru/prod/cable-kits/kits-ngls-1kv/1pkt_ng_ls/1pkt1-10-25b_ngls/" TargetMode="External"/><Relationship Id="rId1691" Type="http://schemas.openxmlformats.org/officeDocument/2006/relationships/hyperlink" Target="https://techelectro.ru/prod/cable-kits/muffs10kv/3pktp-6/3pktp6-25-50b/" TargetMode="External"/><Relationship Id="rId2328" Type="http://schemas.openxmlformats.org/officeDocument/2006/relationships/hyperlink" Target="https://techelectro.ru/prod/hstubes/hstube/t-box-color/tbox4y/" TargetMode="External"/><Relationship Id="rId2742" Type="http://schemas.openxmlformats.org/officeDocument/2006/relationships/hyperlink" Target="https://techelectro.ru/prod/insulating/xp_mini/sku_90916/" TargetMode="External"/><Relationship Id="rId5898" Type="http://schemas.openxmlformats.org/officeDocument/2006/relationships/hyperlink" Target="https://techelectro.ru/prod/staples/spk/spk_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R6233"/>
  <sheetViews>
    <sheetView tabSelected="1" workbookViewId="0">
      <pane xSplit="4" ySplit="5" topLeftCell="E6" activePane="bottomRight" state="frozen"/>
      <selection pane="topRight"/>
      <selection pane="bottomLeft"/>
      <selection pane="bottomRight" activeCell="E3" sqref="E3"/>
    </sheetView>
  </sheetViews>
  <sheetFormatPr defaultRowHeight="12" outlineLevelRow="3" x14ac:dyDescent="0.25"/>
  <cols>
    <col min="1" max="1" width="12.85546875" customWidth="1"/>
    <col min="2" max="2" width="31.42578125" customWidth="1"/>
    <col min="3" max="3" width="28.5703125" customWidth="1"/>
    <col min="4" max="4" width="20" customWidth="1"/>
    <col min="5" max="5" width="11.42578125" customWidth="1"/>
    <col min="6" max="6" width="18.5703125" customWidth="1"/>
    <col min="7" max="7" width="13.5703125" customWidth="1"/>
    <col min="8" max="8" width="11.42578125" customWidth="1"/>
    <col min="9" max="9" width="15.7109375" customWidth="1"/>
    <col min="10" max="10" width="17.140625" customWidth="1"/>
    <col min="11" max="16" width="14.28515625" customWidth="1"/>
    <col min="17" max="18" width="11.42578125" hidden="1" customWidth="1" collapsed="1"/>
  </cols>
  <sheetData>
    <row r="1" spans="1:18" ht="18.75" customHeight="1" x14ac:dyDescent="0.25">
      <c r="A1" s="24"/>
      <c r="B1" s="24"/>
      <c r="C1" s="25" t="s">
        <v>0</v>
      </c>
      <c r="D1" s="25"/>
      <c r="E1" s="26">
        <v>0</v>
      </c>
      <c r="F1" s="28" t="s">
        <v>1</v>
      </c>
      <c r="G1" s="29"/>
      <c r="H1" s="29"/>
      <c r="I1" s="2" t="s">
        <v>2</v>
      </c>
      <c r="J1" s="4">
        <f>SUMPRODUCT($J6:$J6233,$M6:$M6233)</f>
        <v>0</v>
      </c>
      <c r="Q1">
        <v>30</v>
      </c>
    </row>
    <row r="2" spans="1:18" ht="18.75" customHeight="1" x14ac:dyDescent="0.25">
      <c r="A2" s="24"/>
      <c r="B2" s="24"/>
      <c r="C2" s="24"/>
      <c r="D2" s="24"/>
      <c r="E2" s="27"/>
      <c r="F2" s="30"/>
      <c r="G2" s="31"/>
      <c r="H2" s="31"/>
      <c r="I2" s="3" t="str">
        <f>CONCATENATE("РРЦ —",$E$1 * 100,"% ")</f>
        <v xml:space="preserve">РРЦ —0% </v>
      </c>
      <c r="J2" s="5">
        <f>SUMPRODUCT($J6:$J6233,$K6:$K6233)</f>
        <v>0</v>
      </c>
    </row>
    <row r="3" spans="1:18" ht="18.75" customHeight="1" x14ac:dyDescent="0.25">
      <c r="A3" s="24"/>
      <c r="B3" s="24"/>
      <c r="G3" s="32" t="s">
        <v>3</v>
      </c>
      <c r="H3" s="24"/>
      <c r="I3" s="24"/>
      <c r="J3" s="5">
        <f>SUMPRODUCT($J6:$J6233,$Q6:$Q6233)</f>
        <v>0</v>
      </c>
    </row>
    <row r="4" spans="1:18" ht="18.75" customHeight="1" x14ac:dyDescent="0.25">
      <c r="B4" s="20" t="s">
        <v>4</v>
      </c>
      <c r="G4" s="33" t="s">
        <v>5</v>
      </c>
      <c r="H4" s="24"/>
      <c r="I4" s="24"/>
      <c r="J4" s="6">
        <f>SUMPRODUCT($J6:$J6233,$R6:$R6233)</f>
        <v>0</v>
      </c>
      <c r="K4" s="22" t="s">
        <v>6</v>
      </c>
      <c r="L4" s="23"/>
      <c r="M4" s="22" t="s">
        <v>7</v>
      </c>
      <c r="N4" s="23"/>
      <c r="O4" s="22" t="s">
        <v>8</v>
      </c>
      <c r="P4" s="23"/>
    </row>
    <row r="5" spans="1:18" ht="31.5" customHeight="1" x14ac:dyDescent="0.25">
      <c r="A5" s="7" t="s">
        <v>9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14</v>
      </c>
      <c r="G5" s="7" t="s">
        <v>15</v>
      </c>
      <c r="H5" s="7" t="s">
        <v>16</v>
      </c>
      <c r="I5" s="7" t="s">
        <v>17</v>
      </c>
      <c r="J5" s="8" t="s">
        <v>18</v>
      </c>
      <c r="K5" s="7" t="s">
        <v>19</v>
      </c>
      <c r="L5" s="7" t="s">
        <v>20</v>
      </c>
      <c r="M5" s="7" t="s">
        <v>19</v>
      </c>
      <c r="N5" s="7" t="s">
        <v>20</v>
      </c>
      <c r="O5" s="7" t="s">
        <v>19</v>
      </c>
      <c r="P5" s="7" t="s">
        <v>20</v>
      </c>
      <c r="Q5" s="7" t="s">
        <v>21</v>
      </c>
      <c r="R5" s="7" t="s">
        <v>22</v>
      </c>
    </row>
    <row r="6" spans="1:18" ht="33.75" customHeight="1" x14ac:dyDescent="0.35">
      <c r="A6" s="9"/>
      <c r="B6" s="10" t="s">
        <v>23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1"/>
    </row>
    <row r="7" spans="1:18" ht="16.5" customHeight="1" outlineLevel="1" x14ac:dyDescent="0.35">
      <c r="A7" s="9"/>
      <c r="B7" s="10" t="s">
        <v>24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1"/>
    </row>
    <row r="8" spans="1:18" ht="13.8" outlineLevel="2" x14ac:dyDescent="0.25">
      <c r="A8">
        <v>78595</v>
      </c>
      <c r="B8" t="s">
        <v>25</v>
      </c>
      <c r="C8" t="s">
        <v>26</v>
      </c>
      <c r="D8" s="14" t="s">
        <v>27</v>
      </c>
      <c r="E8" s="12" t="s">
        <v>28</v>
      </c>
      <c r="F8" s="13" t="s">
        <v>29</v>
      </c>
      <c r="G8">
        <v>100</v>
      </c>
      <c r="H8" t="s">
        <v>30</v>
      </c>
      <c r="I8">
        <v>100</v>
      </c>
      <c r="J8" s="15"/>
      <c r="K8" s="16">
        <f>16.27 - (16.27 * $E$1)</f>
        <v>16.27</v>
      </c>
      <c r="L8" s="16">
        <f>13.34 - (13.34 * $E$1)</f>
        <v>13.34</v>
      </c>
      <c r="M8" s="1">
        <v>16.27</v>
      </c>
      <c r="N8" s="1">
        <v>13.34</v>
      </c>
      <c r="O8" s="1">
        <v>13.83</v>
      </c>
      <c r="P8" s="1">
        <v>11.34</v>
      </c>
      <c r="Q8">
        <v>8.9999999999999998E-4</v>
      </c>
      <c r="R8">
        <v>7.1999999999999999E-7</v>
      </c>
    </row>
    <row r="9" spans="1:18" ht="13.8" outlineLevel="2" x14ac:dyDescent="0.25">
      <c r="A9">
        <v>78596</v>
      </c>
      <c r="B9" t="s">
        <v>25</v>
      </c>
      <c r="C9" t="s">
        <v>31</v>
      </c>
      <c r="D9" s="14" t="s">
        <v>27</v>
      </c>
      <c r="E9" s="12" t="s">
        <v>28</v>
      </c>
      <c r="F9" s="13" t="s">
        <v>29</v>
      </c>
      <c r="G9">
        <v>100</v>
      </c>
      <c r="H9" t="s">
        <v>30</v>
      </c>
      <c r="I9">
        <v>100</v>
      </c>
      <c r="J9" s="15"/>
      <c r="K9" s="16">
        <f>16.27 - (16.27 * $E$1)</f>
        <v>16.27</v>
      </c>
      <c r="L9" s="16">
        <f>13.34 - (13.34 * $E$1)</f>
        <v>13.34</v>
      </c>
      <c r="M9" s="1">
        <v>16.27</v>
      </c>
      <c r="N9" s="1">
        <v>13.34</v>
      </c>
      <c r="O9" s="1">
        <v>13.83</v>
      </c>
      <c r="P9" s="1">
        <v>11.34</v>
      </c>
      <c r="Q9">
        <v>8.0000000000000004E-4</v>
      </c>
      <c r="R9">
        <v>7.1999999999999999E-7</v>
      </c>
    </row>
    <row r="10" spans="1:18" ht="13.8" outlineLevel="2" x14ac:dyDescent="0.25">
      <c r="A10">
        <v>78597</v>
      </c>
      <c r="B10" t="s">
        <v>25</v>
      </c>
      <c r="C10" t="s">
        <v>32</v>
      </c>
      <c r="D10" s="14" t="s">
        <v>27</v>
      </c>
      <c r="E10" s="12" t="s">
        <v>28</v>
      </c>
      <c r="F10" s="13" t="s">
        <v>29</v>
      </c>
      <c r="G10">
        <v>100</v>
      </c>
      <c r="H10" t="s">
        <v>30</v>
      </c>
      <c r="I10">
        <v>100</v>
      </c>
      <c r="J10" s="15"/>
      <c r="K10" s="16">
        <f>18.67 - (18.67 * $E$1)</f>
        <v>18.670000000000002</v>
      </c>
      <c r="L10" s="16">
        <f>15.3 - (15.3 * $E$1)</f>
        <v>15.3</v>
      </c>
      <c r="M10" s="1">
        <v>18.670000000000002</v>
      </c>
      <c r="N10" s="1">
        <v>15.3</v>
      </c>
      <c r="O10" s="1">
        <v>15.87</v>
      </c>
      <c r="P10" s="1">
        <v>13.01</v>
      </c>
      <c r="Q10">
        <v>1E-3</v>
      </c>
      <c r="R10">
        <v>1.08E-6</v>
      </c>
    </row>
    <row r="11" spans="1:18" ht="13.8" outlineLevel="2" x14ac:dyDescent="0.25">
      <c r="A11">
        <v>78599</v>
      </c>
      <c r="B11" t="s">
        <v>25</v>
      </c>
      <c r="C11" t="s">
        <v>33</v>
      </c>
      <c r="D11" s="14" t="s">
        <v>27</v>
      </c>
      <c r="E11" s="12" t="s">
        <v>28</v>
      </c>
      <c r="F11" s="13" t="s">
        <v>29</v>
      </c>
      <c r="G11">
        <v>100</v>
      </c>
      <c r="H11" t="s">
        <v>30</v>
      </c>
      <c r="I11">
        <v>100</v>
      </c>
      <c r="J11" s="15"/>
      <c r="K11" s="16">
        <f>18.67 - (18.67 * $E$1)</f>
        <v>18.670000000000002</v>
      </c>
      <c r="L11" s="16">
        <f>15.3 - (15.3 * $E$1)</f>
        <v>15.3</v>
      </c>
      <c r="M11" s="1">
        <v>18.670000000000002</v>
      </c>
      <c r="N11" s="1">
        <v>15.3</v>
      </c>
      <c r="O11" s="1">
        <v>15.87</v>
      </c>
      <c r="P11" s="1">
        <v>13.01</v>
      </c>
      <c r="Q11">
        <v>1.1999999999999999E-3</v>
      </c>
      <c r="R11">
        <v>1.08E-6</v>
      </c>
    </row>
    <row r="12" spans="1:18" ht="13.8" outlineLevel="2" x14ac:dyDescent="0.25">
      <c r="A12">
        <v>78600</v>
      </c>
      <c r="B12" t="s">
        <v>25</v>
      </c>
      <c r="C12" t="s">
        <v>34</v>
      </c>
      <c r="D12" s="14" t="s">
        <v>27</v>
      </c>
      <c r="E12" s="12" t="s">
        <v>28</v>
      </c>
      <c r="F12" s="13" t="s">
        <v>29</v>
      </c>
      <c r="G12">
        <v>100</v>
      </c>
      <c r="H12" t="s">
        <v>30</v>
      </c>
      <c r="I12">
        <v>100</v>
      </c>
      <c r="J12" s="15"/>
      <c r="K12" s="16">
        <f>20.9 - (20.9 * $E$1)</f>
        <v>20.9</v>
      </c>
      <c r="L12" s="16">
        <f>17.13 - (17.13 * $E$1)</f>
        <v>17.13</v>
      </c>
      <c r="M12" s="1">
        <v>20.9</v>
      </c>
      <c r="N12" s="1">
        <v>17.13</v>
      </c>
      <c r="O12" s="1">
        <v>17.760000000000002</v>
      </c>
      <c r="P12" s="1">
        <v>14.56</v>
      </c>
      <c r="Q12">
        <v>1.4E-3</v>
      </c>
      <c r="R12">
        <v>1.44E-6</v>
      </c>
    </row>
    <row r="13" spans="1:18" ht="13.8" outlineLevel="2" x14ac:dyDescent="0.25">
      <c r="A13">
        <v>78601</v>
      </c>
      <c r="B13" t="s">
        <v>25</v>
      </c>
      <c r="C13" t="s">
        <v>35</v>
      </c>
      <c r="D13" s="14" t="s">
        <v>27</v>
      </c>
      <c r="E13" s="12" t="s">
        <v>28</v>
      </c>
      <c r="F13" s="13" t="s">
        <v>29</v>
      </c>
      <c r="G13">
        <v>100</v>
      </c>
      <c r="H13" t="s">
        <v>30</v>
      </c>
      <c r="I13">
        <v>100</v>
      </c>
      <c r="J13" s="15"/>
      <c r="K13" s="16">
        <f>20.9 - (20.9 * $E$1)</f>
        <v>20.9</v>
      </c>
      <c r="L13" s="16">
        <f>17.13 - (17.13 * $E$1)</f>
        <v>17.13</v>
      </c>
      <c r="M13" s="1">
        <v>20.9</v>
      </c>
      <c r="N13" s="1">
        <v>17.13</v>
      </c>
      <c r="O13" s="1">
        <v>17.760000000000002</v>
      </c>
      <c r="P13" s="1">
        <v>14.56</v>
      </c>
      <c r="Q13">
        <v>1.5E-3</v>
      </c>
      <c r="R13">
        <v>1.44E-6</v>
      </c>
    </row>
    <row r="14" spans="1:18" ht="13.8" outlineLevel="2" x14ac:dyDescent="0.25">
      <c r="A14">
        <v>60906</v>
      </c>
      <c r="B14" t="s">
        <v>25</v>
      </c>
      <c r="C14" t="s">
        <v>36</v>
      </c>
      <c r="D14" s="14" t="s">
        <v>27</v>
      </c>
      <c r="E14" s="12" t="s">
        <v>28</v>
      </c>
      <c r="F14" s="13" t="s">
        <v>29</v>
      </c>
      <c r="G14">
        <v>100</v>
      </c>
      <c r="H14" t="s">
        <v>30</v>
      </c>
      <c r="I14">
        <v>100</v>
      </c>
      <c r="J14" s="15"/>
      <c r="K14" s="16">
        <f>25.44 - (25.44 * $E$1)</f>
        <v>25.44</v>
      </c>
      <c r="L14" s="16">
        <f>20.85 - (20.85 * $E$1)</f>
        <v>20.85</v>
      </c>
      <c r="M14" s="1">
        <v>25.44</v>
      </c>
      <c r="N14" s="1">
        <v>20.85</v>
      </c>
      <c r="O14" s="1">
        <v>21.62</v>
      </c>
      <c r="P14" s="1">
        <v>17.72</v>
      </c>
      <c r="Q14">
        <v>2E-3</v>
      </c>
      <c r="R14">
        <v>3.2399999999999999E-6</v>
      </c>
    </row>
    <row r="15" spans="1:18" ht="13.8" outlineLevel="2" x14ac:dyDescent="0.25">
      <c r="A15">
        <v>60907</v>
      </c>
      <c r="B15" t="s">
        <v>25</v>
      </c>
      <c r="C15" t="s">
        <v>37</v>
      </c>
      <c r="D15" s="14" t="s">
        <v>27</v>
      </c>
      <c r="E15" s="12" t="s">
        <v>28</v>
      </c>
      <c r="F15" s="13" t="s">
        <v>29</v>
      </c>
      <c r="G15">
        <v>100</v>
      </c>
      <c r="H15" t="s">
        <v>30</v>
      </c>
      <c r="I15">
        <v>100</v>
      </c>
      <c r="J15" s="15"/>
      <c r="K15" s="16">
        <f>25.44 - (25.44 * $E$1)</f>
        <v>25.44</v>
      </c>
      <c r="L15" s="16">
        <f>20.85 - (20.85 * $E$1)</f>
        <v>20.85</v>
      </c>
      <c r="M15" s="1">
        <v>25.44</v>
      </c>
      <c r="N15" s="1">
        <v>20.85</v>
      </c>
      <c r="O15" s="1">
        <v>21.62</v>
      </c>
      <c r="P15" s="1">
        <v>17.72</v>
      </c>
      <c r="Q15">
        <v>2E-3</v>
      </c>
      <c r="R15">
        <v>1.95E-6</v>
      </c>
    </row>
    <row r="16" spans="1:18" ht="13.8" outlineLevel="2" x14ac:dyDescent="0.25">
      <c r="A16">
        <v>60908</v>
      </c>
      <c r="B16" t="s">
        <v>25</v>
      </c>
      <c r="C16" t="s">
        <v>38</v>
      </c>
      <c r="D16" s="14" t="s">
        <v>27</v>
      </c>
      <c r="E16" s="12" t="s">
        <v>28</v>
      </c>
      <c r="F16" s="13" t="s">
        <v>29</v>
      </c>
      <c r="G16">
        <v>100</v>
      </c>
      <c r="H16" t="s">
        <v>30</v>
      </c>
      <c r="I16">
        <v>100</v>
      </c>
      <c r="J16" s="15"/>
      <c r="K16" s="16">
        <f>48.5 - (48.5 * $E$1)</f>
        <v>48.5</v>
      </c>
      <c r="L16" s="16">
        <f>39.75 - (39.75 * $E$1)</f>
        <v>39.75</v>
      </c>
      <c r="M16" s="1">
        <v>48.5</v>
      </c>
      <c r="N16" s="1">
        <v>39.75</v>
      </c>
      <c r="O16" s="1">
        <v>41.22</v>
      </c>
      <c r="P16" s="1">
        <v>33.79</v>
      </c>
      <c r="Q16">
        <v>3.2000000000000002E-3</v>
      </c>
      <c r="R16">
        <v>2.3999999999999999E-6</v>
      </c>
    </row>
    <row r="17" spans="1:18" ht="13.8" outlineLevel="2" x14ac:dyDescent="0.25">
      <c r="A17">
        <v>60909</v>
      </c>
      <c r="B17" t="s">
        <v>25</v>
      </c>
      <c r="C17" t="s">
        <v>39</v>
      </c>
      <c r="D17" s="14" t="s">
        <v>27</v>
      </c>
      <c r="E17" s="12" t="s">
        <v>28</v>
      </c>
      <c r="F17" s="13" t="s">
        <v>29</v>
      </c>
      <c r="G17">
        <v>100</v>
      </c>
      <c r="H17" t="s">
        <v>30</v>
      </c>
      <c r="I17">
        <v>100</v>
      </c>
      <c r="J17" s="15"/>
      <c r="K17" s="16">
        <f>48.5 - (48.5 * $E$1)</f>
        <v>48.5</v>
      </c>
      <c r="L17" s="16">
        <f>39.75 - (39.75 * $E$1)</f>
        <v>39.75</v>
      </c>
      <c r="M17" s="1">
        <v>48.5</v>
      </c>
      <c r="N17" s="1">
        <v>39.75</v>
      </c>
      <c r="O17" s="1">
        <v>41.22</v>
      </c>
      <c r="P17" s="1">
        <v>33.79</v>
      </c>
      <c r="Q17">
        <v>3.3999999999999998E-3</v>
      </c>
      <c r="R17">
        <v>3.0000000000000001E-6</v>
      </c>
    </row>
    <row r="18" spans="1:18" ht="13.8" outlineLevel="2" x14ac:dyDescent="0.25">
      <c r="A18">
        <v>60910</v>
      </c>
      <c r="B18" t="s">
        <v>25</v>
      </c>
      <c r="C18" t="s">
        <v>40</v>
      </c>
      <c r="D18" s="14" t="s">
        <v>27</v>
      </c>
      <c r="E18" s="12" t="s">
        <v>28</v>
      </c>
      <c r="F18" s="13" t="s">
        <v>29</v>
      </c>
      <c r="G18">
        <v>100</v>
      </c>
      <c r="H18" t="s">
        <v>30</v>
      </c>
      <c r="I18">
        <v>100</v>
      </c>
      <c r="J18" s="15"/>
      <c r="K18" s="16">
        <f>61.09 - (61.09 * $E$1)</f>
        <v>61.09</v>
      </c>
      <c r="L18" s="16">
        <f>50.07 - (50.07 * $E$1)</f>
        <v>50.07</v>
      </c>
      <c r="M18" s="1">
        <v>61.09</v>
      </c>
      <c r="N18" s="1">
        <v>50.07</v>
      </c>
      <c r="O18" s="1">
        <v>51.92</v>
      </c>
      <c r="P18" s="1">
        <v>42.56</v>
      </c>
      <c r="Q18">
        <v>5.8999999999999999E-3</v>
      </c>
      <c r="R18">
        <v>4.3499999999999999E-6</v>
      </c>
    </row>
    <row r="19" spans="1:18" ht="13.8" outlineLevel="2" x14ac:dyDescent="0.25">
      <c r="A19">
        <v>60911</v>
      </c>
      <c r="B19" t="s">
        <v>25</v>
      </c>
      <c r="C19" t="s">
        <v>41</v>
      </c>
      <c r="D19" s="14" t="s">
        <v>27</v>
      </c>
      <c r="E19" s="12" t="s">
        <v>28</v>
      </c>
      <c r="F19" s="13" t="s">
        <v>29</v>
      </c>
      <c r="G19">
        <v>100</v>
      </c>
      <c r="H19" t="s">
        <v>30</v>
      </c>
      <c r="I19">
        <v>100</v>
      </c>
      <c r="J19" s="15"/>
      <c r="K19" s="16">
        <f>61.09 - (61.09 * $E$1)</f>
        <v>61.09</v>
      </c>
      <c r="L19" s="16">
        <f>50.07 - (50.07 * $E$1)</f>
        <v>50.07</v>
      </c>
      <c r="M19" s="1">
        <v>61.09</v>
      </c>
      <c r="N19" s="1">
        <v>50.07</v>
      </c>
      <c r="O19" s="1">
        <v>51.92</v>
      </c>
      <c r="P19" s="1">
        <v>42.56</v>
      </c>
      <c r="Q19">
        <v>6.3E-3</v>
      </c>
      <c r="R19">
        <v>4.6399999999999996E-6</v>
      </c>
    </row>
    <row r="20" spans="1:18" ht="13.8" outlineLevel="2" x14ac:dyDescent="0.25">
      <c r="A20">
        <v>92334</v>
      </c>
      <c r="B20" t="s">
        <v>25</v>
      </c>
      <c r="C20" t="s">
        <v>42</v>
      </c>
      <c r="D20" s="14" t="s">
        <v>27</v>
      </c>
      <c r="E20" s="12" t="s">
        <v>28</v>
      </c>
      <c r="F20" s="13" t="s">
        <v>29</v>
      </c>
      <c r="G20">
        <v>100</v>
      </c>
      <c r="H20" t="s">
        <v>30</v>
      </c>
      <c r="I20">
        <v>100</v>
      </c>
      <c r="J20" s="15"/>
      <c r="K20" s="16">
        <f>61.09 - (61.09 * $E$1)</f>
        <v>61.09</v>
      </c>
      <c r="L20" s="16">
        <f>50.07 - (50.07 * $E$1)</f>
        <v>50.07</v>
      </c>
      <c r="M20" s="1">
        <v>61.09</v>
      </c>
      <c r="N20" s="1">
        <v>50.07</v>
      </c>
      <c r="O20" s="1">
        <v>51.92</v>
      </c>
      <c r="P20" s="1">
        <v>42.56</v>
      </c>
      <c r="Q20">
        <v>8.0400000000000003E-3</v>
      </c>
      <c r="R20">
        <v>4.4000000000000002E-6</v>
      </c>
    </row>
    <row r="21" spans="1:18" ht="13.8" outlineLevel="2" x14ac:dyDescent="0.25">
      <c r="A21">
        <v>60912</v>
      </c>
      <c r="B21" t="s">
        <v>25</v>
      </c>
      <c r="C21" t="s">
        <v>43</v>
      </c>
      <c r="D21" s="14" t="s">
        <v>27</v>
      </c>
      <c r="E21" s="12" t="s">
        <v>28</v>
      </c>
      <c r="F21" s="13" t="s">
        <v>29</v>
      </c>
      <c r="G21">
        <v>100</v>
      </c>
      <c r="H21" t="s">
        <v>30</v>
      </c>
      <c r="I21">
        <v>100</v>
      </c>
      <c r="J21" s="15"/>
      <c r="K21" s="16">
        <f>85.49 - (85.49 * $E$1)</f>
        <v>85.49</v>
      </c>
      <c r="L21" s="16">
        <f>70.07 - (70.07 * $E$1)</f>
        <v>70.069999999999993</v>
      </c>
      <c r="M21" s="1">
        <v>85.49</v>
      </c>
      <c r="N21" s="1">
        <v>70.069999999999993</v>
      </c>
      <c r="O21" s="1">
        <v>72.66</v>
      </c>
      <c r="P21" s="1">
        <v>59.56</v>
      </c>
      <c r="Q21">
        <v>9.1999999999999998E-3</v>
      </c>
      <c r="R21">
        <v>4.8500000000000002E-6</v>
      </c>
    </row>
    <row r="22" spans="1:18" ht="13.8" outlineLevel="2" x14ac:dyDescent="0.25">
      <c r="A22">
        <v>60913</v>
      </c>
      <c r="B22" t="s">
        <v>25</v>
      </c>
      <c r="C22" t="s">
        <v>44</v>
      </c>
      <c r="D22" s="14" t="s">
        <v>27</v>
      </c>
      <c r="E22" s="12" t="s">
        <v>28</v>
      </c>
      <c r="F22" s="13" t="s">
        <v>29</v>
      </c>
      <c r="G22">
        <v>100</v>
      </c>
      <c r="H22" t="s">
        <v>30</v>
      </c>
      <c r="I22">
        <v>100</v>
      </c>
      <c r="J22" s="15"/>
      <c r="K22" s="16">
        <f>85.49 - (85.49 * $E$1)</f>
        <v>85.49</v>
      </c>
      <c r="L22" s="16">
        <f>70.07 - (70.07 * $E$1)</f>
        <v>70.069999999999993</v>
      </c>
      <c r="M22" s="1">
        <v>85.49</v>
      </c>
      <c r="N22" s="1">
        <v>70.069999999999993</v>
      </c>
      <c r="O22" s="1">
        <v>72.66</v>
      </c>
      <c r="P22" s="1">
        <v>59.56</v>
      </c>
      <c r="Q22">
        <v>9.7999999999999997E-3</v>
      </c>
      <c r="R22">
        <v>6.1199999999999999E-6</v>
      </c>
    </row>
    <row r="23" spans="1:18" ht="13.8" outlineLevel="2" x14ac:dyDescent="0.25">
      <c r="A23">
        <v>65667</v>
      </c>
      <c r="B23" t="s">
        <v>25</v>
      </c>
      <c r="C23" t="s">
        <v>45</v>
      </c>
      <c r="D23" s="14" t="s">
        <v>27</v>
      </c>
      <c r="E23" s="12" t="s">
        <v>28</v>
      </c>
      <c r="F23" s="13" t="s">
        <v>29</v>
      </c>
      <c r="G23">
        <v>100</v>
      </c>
      <c r="H23" t="s">
        <v>30</v>
      </c>
      <c r="I23">
        <v>100</v>
      </c>
      <c r="J23" s="15"/>
      <c r="K23" s="16">
        <f>98.41 - (98.41 * $E$1)</f>
        <v>98.41</v>
      </c>
      <c r="L23" s="16">
        <f>80.66 - (80.66 * $E$1)</f>
        <v>80.66</v>
      </c>
      <c r="M23" s="1">
        <v>98.41</v>
      </c>
      <c r="N23" s="1">
        <v>80.66</v>
      </c>
      <c r="O23" s="1">
        <v>83.64</v>
      </c>
      <c r="P23" s="1">
        <v>68.56</v>
      </c>
      <c r="Q23">
        <v>1.0500000000000001E-2</v>
      </c>
      <c r="R23">
        <v>6.8000000000000001E-6</v>
      </c>
    </row>
    <row r="24" spans="1:18" ht="13.8" outlineLevel="2" x14ac:dyDescent="0.25">
      <c r="A24">
        <v>60914</v>
      </c>
      <c r="B24" t="s">
        <v>25</v>
      </c>
      <c r="C24" t="s">
        <v>46</v>
      </c>
      <c r="D24" s="14" t="s">
        <v>27</v>
      </c>
      <c r="E24" s="12" t="s">
        <v>28</v>
      </c>
      <c r="F24" s="13" t="s">
        <v>29</v>
      </c>
      <c r="G24">
        <v>100</v>
      </c>
      <c r="H24" t="s">
        <v>30</v>
      </c>
      <c r="I24">
        <v>100</v>
      </c>
      <c r="J24" s="15"/>
      <c r="K24" s="16">
        <f>123.54 - (123.54 * $E$1)</f>
        <v>123.54</v>
      </c>
      <c r="L24" s="16">
        <f>101.26 - (101.26 * $E$1)</f>
        <v>101.26</v>
      </c>
      <c r="M24" s="1">
        <v>123.54</v>
      </c>
      <c r="N24" s="1">
        <v>101.26</v>
      </c>
      <c r="O24" s="1">
        <v>105.01</v>
      </c>
      <c r="P24" s="1">
        <v>86.07</v>
      </c>
      <c r="Q24">
        <v>1.34E-2</v>
      </c>
      <c r="R24">
        <v>7.6499999999999996E-6</v>
      </c>
    </row>
    <row r="25" spans="1:18" ht="13.8" outlineLevel="2" x14ac:dyDescent="0.25">
      <c r="A25">
        <v>60915</v>
      </c>
      <c r="B25" t="s">
        <v>25</v>
      </c>
      <c r="C25" t="s">
        <v>47</v>
      </c>
      <c r="D25" s="14" t="s">
        <v>27</v>
      </c>
      <c r="E25" s="12" t="s">
        <v>28</v>
      </c>
      <c r="F25" s="13" t="s">
        <v>29</v>
      </c>
      <c r="G25">
        <v>100</v>
      </c>
      <c r="H25" t="s">
        <v>30</v>
      </c>
      <c r="I25">
        <v>100</v>
      </c>
      <c r="J25" s="15"/>
      <c r="K25" s="16">
        <f>123.54 - (123.54 * $E$1)</f>
        <v>123.54</v>
      </c>
      <c r="L25" s="16">
        <f>101.26 - (101.26 * $E$1)</f>
        <v>101.26</v>
      </c>
      <c r="M25" s="1">
        <v>123.54</v>
      </c>
      <c r="N25" s="1">
        <v>101.26</v>
      </c>
      <c r="O25" s="1">
        <v>105.01</v>
      </c>
      <c r="P25" s="1">
        <v>86.07</v>
      </c>
      <c r="Q25">
        <v>1.41E-2</v>
      </c>
      <c r="R25">
        <v>8.6400000000000003E-6</v>
      </c>
    </row>
    <row r="26" spans="1:18" ht="13.8" outlineLevel="2" x14ac:dyDescent="0.25">
      <c r="A26">
        <v>60916</v>
      </c>
      <c r="B26" t="s">
        <v>25</v>
      </c>
      <c r="C26" t="s">
        <v>48</v>
      </c>
      <c r="D26" s="14" t="s">
        <v>27</v>
      </c>
      <c r="E26" s="12" t="s">
        <v>28</v>
      </c>
      <c r="F26" s="13" t="s">
        <v>29</v>
      </c>
      <c r="G26">
        <v>100</v>
      </c>
      <c r="H26" t="s">
        <v>30</v>
      </c>
      <c r="I26">
        <v>100</v>
      </c>
      <c r="J26" s="15"/>
      <c r="K26" s="16">
        <f>158.01 - (158.01 * $E$1)</f>
        <v>158.01</v>
      </c>
      <c r="L26" s="16">
        <f>129.52 - (129.52 * $E$1)</f>
        <v>129.52000000000001</v>
      </c>
      <c r="M26" s="1">
        <v>158.01</v>
      </c>
      <c r="N26" s="1">
        <v>129.52000000000001</v>
      </c>
      <c r="O26" s="1">
        <v>134.31</v>
      </c>
      <c r="P26" s="1">
        <v>110.09</v>
      </c>
      <c r="Q26">
        <v>1.77E-2</v>
      </c>
      <c r="R26">
        <v>1.077E-5</v>
      </c>
    </row>
    <row r="27" spans="1:18" ht="13.8" outlineLevel="2" x14ac:dyDescent="0.25">
      <c r="A27">
        <v>60917</v>
      </c>
      <c r="B27" t="s">
        <v>25</v>
      </c>
      <c r="C27" t="s">
        <v>49</v>
      </c>
      <c r="D27" s="14" t="s">
        <v>27</v>
      </c>
      <c r="E27" s="12" t="s">
        <v>28</v>
      </c>
      <c r="F27" s="13" t="s">
        <v>29</v>
      </c>
      <c r="G27">
        <v>100</v>
      </c>
      <c r="H27" t="s">
        <v>30</v>
      </c>
      <c r="I27">
        <v>100</v>
      </c>
      <c r="J27" s="15"/>
      <c r="K27" s="16">
        <f>158.01 - (158.01 * $E$1)</f>
        <v>158.01</v>
      </c>
      <c r="L27" s="16">
        <f>129.52 - (129.52 * $E$1)</f>
        <v>129.52000000000001</v>
      </c>
      <c r="M27" s="1">
        <v>158.01</v>
      </c>
      <c r="N27" s="1">
        <v>129.52000000000001</v>
      </c>
      <c r="O27" s="1">
        <v>134.31</v>
      </c>
      <c r="P27" s="1">
        <v>110.09</v>
      </c>
      <c r="Q27">
        <v>9.9000000000000008E-3</v>
      </c>
      <c r="R27">
        <v>8.1599999999999998E-6</v>
      </c>
    </row>
    <row r="28" spans="1:18" ht="13.8" outlineLevel="2" x14ac:dyDescent="0.25">
      <c r="A28">
        <v>92335</v>
      </c>
      <c r="B28" t="s">
        <v>25</v>
      </c>
      <c r="C28" t="s">
        <v>50</v>
      </c>
      <c r="D28" s="14" t="s">
        <v>27</v>
      </c>
      <c r="E28" s="12" t="s">
        <v>28</v>
      </c>
      <c r="F28" s="13" t="s">
        <v>29</v>
      </c>
      <c r="G28">
        <v>50</v>
      </c>
      <c r="H28" t="s">
        <v>30</v>
      </c>
      <c r="I28">
        <v>50</v>
      </c>
      <c r="J28" s="15"/>
      <c r="K28" s="16">
        <f>196.31 - (196.31 * $E$1)</f>
        <v>196.31</v>
      </c>
      <c r="L28" s="16">
        <f>160.91 - (160.91 * $E$1)</f>
        <v>160.91</v>
      </c>
      <c r="M28" s="1">
        <v>196.31</v>
      </c>
      <c r="N28" s="1">
        <v>160.91</v>
      </c>
      <c r="O28" s="1">
        <v>166.86</v>
      </c>
      <c r="P28" s="1">
        <v>136.77000000000001</v>
      </c>
      <c r="Q28">
        <v>2.376E-2</v>
      </c>
      <c r="R28">
        <v>1.56E-5</v>
      </c>
    </row>
    <row r="29" spans="1:18" ht="13.8" outlineLevel="2" x14ac:dyDescent="0.25">
      <c r="A29">
        <v>60918</v>
      </c>
      <c r="B29" t="s">
        <v>25</v>
      </c>
      <c r="C29" t="s">
        <v>51</v>
      </c>
      <c r="D29" s="14" t="s">
        <v>27</v>
      </c>
      <c r="E29" s="12" t="s">
        <v>28</v>
      </c>
      <c r="F29" s="13" t="s">
        <v>29</v>
      </c>
      <c r="G29">
        <v>50</v>
      </c>
      <c r="H29" t="s">
        <v>30</v>
      </c>
      <c r="I29">
        <v>50</v>
      </c>
      <c r="J29" s="15"/>
      <c r="K29" s="16">
        <f>196.31 - (196.31 * $E$1)</f>
        <v>196.31</v>
      </c>
      <c r="L29" s="16">
        <f>160.91 - (160.91 * $E$1)</f>
        <v>160.91</v>
      </c>
      <c r="M29" s="1">
        <v>196.31</v>
      </c>
      <c r="N29" s="1">
        <v>160.91</v>
      </c>
      <c r="O29" s="1">
        <v>166.86</v>
      </c>
      <c r="P29" s="1">
        <v>136.77000000000001</v>
      </c>
      <c r="Q29">
        <v>2.46E-2</v>
      </c>
      <c r="R29">
        <v>1.52E-5</v>
      </c>
    </row>
    <row r="30" spans="1:18" ht="13.8" outlineLevel="2" x14ac:dyDescent="0.25">
      <c r="A30">
        <v>60919</v>
      </c>
      <c r="B30" t="s">
        <v>25</v>
      </c>
      <c r="C30" t="s">
        <v>52</v>
      </c>
      <c r="D30" s="14" t="s">
        <v>27</v>
      </c>
      <c r="E30" s="12" t="s">
        <v>28</v>
      </c>
      <c r="F30" s="13" t="s">
        <v>29</v>
      </c>
      <c r="G30">
        <v>50</v>
      </c>
      <c r="H30" t="s">
        <v>30</v>
      </c>
      <c r="I30">
        <v>50</v>
      </c>
      <c r="J30" s="15"/>
      <c r="K30" s="16">
        <f>196.31 - (196.31 * $E$1)</f>
        <v>196.31</v>
      </c>
      <c r="L30" s="16">
        <f>160.91 - (160.91 * $E$1)</f>
        <v>160.91</v>
      </c>
      <c r="M30" s="1">
        <v>196.31</v>
      </c>
      <c r="N30" s="1">
        <v>160.91</v>
      </c>
      <c r="O30" s="1">
        <v>166.86</v>
      </c>
      <c r="P30" s="1">
        <v>136.77000000000001</v>
      </c>
      <c r="Q30">
        <v>2.52E-2</v>
      </c>
      <c r="R30">
        <v>1.7099999999999999E-5</v>
      </c>
    </row>
    <row r="31" spans="1:18" ht="13.8" outlineLevel="2" x14ac:dyDescent="0.25">
      <c r="A31">
        <v>60920</v>
      </c>
      <c r="B31" t="s">
        <v>25</v>
      </c>
      <c r="C31" t="s">
        <v>53</v>
      </c>
      <c r="D31" s="14" t="s">
        <v>27</v>
      </c>
      <c r="E31" s="12" t="s">
        <v>28</v>
      </c>
      <c r="F31" s="13" t="s">
        <v>29</v>
      </c>
      <c r="G31">
        <v>25</v>
      </c>
      <c r="H31" t="s">
        <v>30</v>
      </c>
      <c r="I31">
        <v>25</v>
      </c>
      <c r="J31" s="15"/>
      <c r="K31" s="16">
        <f>363.84 - (363.84 * $E$1)</f>
        <v>363.84</v>
      </c>
      <c r="L31" s="16">
        <f>298.23 - (298.23 * $E$1)</f>
        <v>298.23</v>
      </c>
      <c r="M31" s="1">
        <v>363.84</v>
      </c>
      <c r="N31" s="1">
        <v>298.23</v>
      </c>
      <c r="O31" s="1">
        <v>309.26</v>
      </c>
      <c r="P31" s="1">
        <v>253.5</v>
      </c>
      <c r="Q31">
        <v>4.5600000000000002E-2</v>
      </c>
      <c r="R31">
        <v>2.584E-5</v>
      </c>
    </row>
    <row r="32" spans="1:18" ht="13.8" outlineLevel="2" x14ac:dyDescent="0.25">
      <c r="A32">
        <v>60921</v>
      </c>
      <c r="B32" t="s">
        <v>25</v>
      </c>
      <c r="C32" t="s">
        <v>54</v>
      </c>
      <c r="D32" s="14" t="s">
        <v>27</v>
      </c>
      <c r="E32" s="12" t="s">
        <v>28</v>
      </c>
      <c r="F32" s="13" t="s">
        <v>29</v>
      </c>
      <c r="G32">
        <v>25</v>
      </c>
      <c r="H32" t="s">
        <v>30</v>
      </c>
      <c r="I32">
        <v>25</v>
      </c>
      <c r="J32" s="15"/>
      <c r="K32" s="16">
        <f>363.84 - (363.84 * $E$1)</f>
        <v>363.84</v>
      </c>
      <c r="L32" s="16">
        <f>298.23 - (298.23 * $E$1)</f>
        <v>298.23</v>
      </c>
      <c r="M32" s="1">
        <v>363.84</v>
      </c>
      <c r="N32" s="1">
        <v>298.23</v>
      </c>
      <c r="O32" s="1">
        <v>309.26</v>
      </c>
      <c r="P32" s="1">
        <v>253.5</v>
      </c>
      <c r="Q32">
        <v>4.5600000000000002E-2</v>
      </c>
      <c r="R32">
        <v>3.1359999999999998E-5</v>
      </c>
    </row>
    <row r="33" spans="1:18" ht="13.8" outlineLevel="2" x14ac:dyDescent="0.25">
      <c r="A33">
        <v>65668</v>
      </c>
      <c r="B33" t="s">
        <v>25</v>
      </c>
      <c r="C33" t="s">
        <v>55</v>
      </c>
      <c r="D33" s="14" t="s">
        <v>27</v>
      </c>
      <c r="E33" s="12" t="s">
        <v>28</v>
      </c>
      <c r="F33" s="13" t="s">
        <v>29</v>
      </c>
      <c r="G33">
        <v>25</v>
      </c>
      <c r="H33" t="s">
        <v>30</v>
      </c>
      <c r="I33">
        <v>25</v>
      </c>
      <c r="J33" s="15"/>
      <c r="K33" s="16">
        <f>489.33 - (489.33 * $E$1)</f>
        <v>489.33</v>
      </c>
      <c r="L33" s="16">
        <f>401.09 - (401.09 * $E$1)</f>
        <v>401.09</v>
      </c>
      <c r="M33" s="1">
        <v>489.33</v>
      </c>
      <c r="N33" s="1">
        <v>401.09</v>
      </c>
      <c r="O33" s="1">
        <v>415.93</v>
      </c>
      <c r="P33" s="1">
        <v>340.93</v>
      </c>
      <c r="Q33">
        <v>0.06</v>
      </c>
      <c r="R33">
        <v>4.2559999999999999E-5</v>
      </c>
    </row>
    <row r="34" spans="1:18" ht="13.8" outlineLevel="2" x14ac:dyDescent="0.25">
      <c r="A34">
        <v>60922</v>
      </c>
      <c r="B34" t="s">
        <v>25</v>
      </c>
      <c r="C34" t="s">
        <v>56</v>
      </c>
      <c r="D34" s="14" t="s">
        <v>27</v>
      </c>
      <c r="E34" s="12" t="s">
        <v>28</v>
      </c>
      <c r="F34" s="13" t="s">
        <v>29</v>
      </c>
      <c r="G34">
        <v>25</v>
      </c>
      <c r="H34" t="s">
        <v>30</v>
      </c>
      <c r="I34">
        <v>25</v>
      </c>
      <c r="J34" s="15"/>
      <c r="K34" s="16">
        <f>489.33 - (489.33 * $E$1)</f>
        <v>489.33</v>
      </c>
      <c r="L34" s="16">
        <f>401.09 - (401.09 * $E$1)</f>
        <v>401.09</v>
      </c>
      <c r="M34" s="1">
        <v>489.33</v>
      </c>
      <c r="N34" s="1">
        <v>401.09</v>
      </c>
      <c r="O34" s="1">
        <v>415.93</v>
      </c>
      <c r="P34" s="1">
        <v>340.93</v>
      </c>
      <c r="Q34">
        <v>5.8799999999999998E-2</v>
      </c>
      <c r="R34">
        <v>5.024E-5</v>
      </c>
    </row>
    <row r="35" spans="1:18" ht="13.8" outlineLevel="2" x14ac:dyDescent="0.25">
      <c r="A35">
        <v>65669</v>
      </c>
      <c r="B35" t="s">
        <v>25</v>
      </c>
      <c r="C35" t="s">
        <v>57</v>
      </c>
      <c r="D35" s="14" t="s">
        <v>27</v>
      </c>
      <c r="E35" s="12" t="s">
        <v>28</v>
      </c>
      <c r="F35" s="13" t="s">
        <v>29</v>
      </c>
      <c r="G35">
        <v>25</v>
      </c>
      <c r="H35" t="s">
        <v>30</v>
      </c>
      <c r="I35">
        <v>25</v>
      </c>
      <c r="J35" s="15"/>
      <c r="K35" s="16">
        <f>622.75 - (622.75 * $E$1)</f>
        <v>622.75</v>
      </c>
      <c r="L35" s="16">
        <f>510.45 - (510.45 * $E$1)</f>
        <v>510.45</v>
      </c>
      <c r="M35" s="1">
        <v>622.75</v>
      </c>
      <c r="N35" s="1">
        <v>510.45</v>
      </c>
      <c r="O35" s="1">
        <v>529.34</v>
      </c>
      <c r="P35" s="1">
        <v>433.88</v>
      </c>
      <c r="Q35">
        <v>7.1599999999999997E-2</v>
      </c>
      <c r="R35">
        <v>6.0479999999999997E-5</v>
      </c>
    </row>
    <row r="36" spans="1:18" ht="13.8" outlineLevel="2" x14ac:dyDescent="0.25">
      <c r="A36">
        <v>60923</v>
      </c>
      <c r="B36" t="s">
        <v>25</v>
      </c>
      <c r="C36" t="s">
        <v>58</v>
      </c>
      <c r="D36" s="14" t="s">
        <v>27</v>
      </c>
      <c r="E36" s="12" t="s">
        <v>28</v>
      </c>
      <c r="F36" s="13" t="s">
        <v>29</v>
      </c>
      <c r="G36">
        <v>25</v>
      </c>
      <c r="H36" t="s">
        <v>30</v>
      </c>
      <c r="I36">
        <v>25</v>
      </c>
      <c r="J36" s="15"/>
      <c r="K36" s="16">
        <f>622.75 - (622.75 * $E$1)</f>
        <v>622.75</v>
      </c>
      <c r="L36" s="16">
        <f>510.45 - (510.45 * $E$1)</f>
        <v>510.45</v>
      </c>
      <c r="M36" s="1">
        <v>622.75</v>
      </c>
      <c r="N36" s="1">
        <v>510.45</v>
      </c>
      <c r="O36" s="1">
        <v>529.34</v>
      </c>
      <c r="P36" s="1">
        <v>433.88</v>
      </c>
      <c r="Q36">
        <v>7.3200000000000001E-2</v>
      </c>
      <c r="R36">
        <v>5.8799999999999999E-5</v>
      </c>
    </row>
    <row r="37" spans="1:18" ht="13.8" outlineLevel="2" x14ac:dyDescent="0.25">
      <c r="A37">
        <v>65670</v>
      </c>
      <c r="B37" t="s">
        <v>25</v>
      </c>
      <c r="C37" t="s">
        <v>59</v>
      </c>
      <c r="D37" s="14" t="s">
        <v>27</v>
      </c>
      <c r="E37" s="12" t="s">
        <v>28</v>
      </c>
      <c r="F37" s="13" t="s">
        <v>29</v>
      </c>
      <c r="G37">
        <v>25</v>
      </c>
      <c r="H37" t="s">
        <v>30</v>
      </c>
      <c r="I37">
        <v>25</v>
      </c>
      <c r="J37" s="15"/>
      <c r="K37" s="16">
        <f>801.19 - (801.19 * $E$1)</f>
        <v>801.19</v>
      </c>
      <c r="L37" s="16">
        <f>656.71 - (656.71 * $E$1)</f>
        <v>656.71</v>
      </c>
      <c r="M37" s="1">
        <v>801.19</v>
      </c>
      <c r="N37" s="1">
        <v>656.71</v>
      </c>
      <c r="O37" s="1">
        <v>681.01</v>
      </c>
      <c r="P37" s="1">
        <v>558.20000000000005</v>
      </c>
      <c r="Q37">
        <v>9.9599999999999994E-2</v>
      </c>
      <c r="R37">
        <v>6.8040000000000006E-5</v>
      </c>
    </row>
    <row r="38" spans="1:18" ht="13.8" outlineLevel="2" x14ac:dyDescent="0.25">
      <c r="A38">
        <v>60924</v>
      </c>
      <c r="B38" t="s">
        <v>25</v>
      </c>
      <c r="C38" t="s">
        <v>60</v>
      </c>
      <c r="D38" s="14" t="s">
        <v>27</v>
      </c>
      <c r="E38" s="12" t="s">
        <v>28</v>
      </c>
      <c r="F38" s="13" t="s">
        <v>29</v>
      </c>
      <c r="G38">
        <v>25</v>
      </c>
      <c r="H38" t="s">
        <v>30</v>
      </c>
      <c r="I38">
        <v>25</v>
      </c>
      <c r="J38" s="15"/>
      <c r="K38" s="16">
        <f>801.19 - (801.19 * $E$1)</f>
        <v>801.19</v>
      </c>
      <c r="L38" s="16">
        <f>656.71 - (656.71 * $E$1)</f>
        <v>656.71</v>
      </c>
      <c r="M38" s="1">
        <v>801.19</v>
      </c>
      <c r="N38" s="1">
        <v>656.71</v>
      </c>
      <c r="O38" s="1">
        <v>681.01</v>
      </c>
      <c r="P38" s="1">
        <v>558.20000000000005</v>
      </c>
      <c r="Q38">
        <v>9.6799999999999997E-2</v>
      </c>
      <c r="R38">
        <v>6.8040000000000006E-5</v>
      </c>
    </row>
    <row r="39" spans="1:18" ht="13.8" outlineLevel="2" x14ac:dyDescent="0.25">
      <c r="A39">
        <v>65671</v>
      </c>
      <c r="B39" t="s">
        <v>25</v>
      </c>
      <c r="C39" t="s">
        <v>61</v>
      </c>
      <c r="D39" s="14" t="s">
        <v>27</v>
      </c>
      <c r="E39" s="12" t="s">
        <v>28</v>
      </c>
      <c r="F39" s="13" t="s">
        <v>29</v>
      </c>
      <c r="G39">
        <v>10</v>
      </c>
      <c r="H39" t="s">
        <v>30</v>
      </c>
      <c r="I39">
        <v>10</v>
      </c>
      <c r="J39" s="15"/>
      <c r="K39" s="16">
        <f>1196.38 - (1196.38 * $E$1)</f>
        <v>1196.3800000000001</v>
      </c>
      <c r="L39" s="16">
        <f>980.64 - (980.64 * $E$1)</f>
        <v>980.64</v>
      </c>
      <c r="M39" s="1">
        <v>1196.3800000000001</v>
      </c>
      <c r="N39" s="1">
        <v>980.64</v>
      </c>
      <c r="O39" s="1">
        <v>1016.92</v>
      </c>
      <c r="P39" s="1">
        <v>833.54</v>
      </c>
      <c r="Q39">
        <v>0.124</v>
      </c>
      <c r="R39">
        <v>1.131E-4</v>
      </c>
    </row>
    <row r="40" spans="1:18" ht="13.8" outlineLevel="2" x14ac:dyDescent="0.25">
      <c r="A40">
        <v>60925</v>
      </c>
      <c r="B40" t="s">
        <v>25</v>
      </c>
      <c r="C40" t="s">
        <v>62</v>
      </c>
      <c r="D40" s="14" t="s">
        <v>27</v>
      </c>
      <c r="E40" s="12" t="s">
        <v>28</v>
      </c>
      <c r="F40" s="13" t="s">
        <v>29</v>
      </c>
      <c r="G40">
        <v>10</v>
      </c>
      <c r="H40" t="s">
        <v>30</v>
      </c>
      <c r="I40">
        <v>10</v>
      </c>
      <c r="J40" s="15"/>
      <c r="K40" s="16">
        <f>1196.38 - (1196.38 * $E$1)</f>
        <v>1196.3800000000001</v>
      </c>
      <c r="L40" s="16">
        <f>980.64 - (980.64 * $E$1)</f>
        <v>980.64</v>
      </c>
      <c r="M40" s="1">
        <v>1196.3800000000001</v>
      </c>
      <c r="N40" s="1">
        <v>980.64</v>
      </c>
      <c r="O40" s="1">
        <v>1016.92</v>
      </c>
      <c r="P40" s="1">
        <v>833.54</v>
      </c>
      <c r="Q40">
        <v>0.121</v>
      </c>
      <c r="R40">
        <v>1.08E-4</v>
      </c>
    </row>
    <row r="41" spans="1:18" ht="13.8" outlineLevel="2" x14ac:dyDescent="0.25">
      <c r="A41">
        <v>81540</v>
      </c>
      <c r="B41" t="s">
        <v>25</v>
      </c>
      <c r="C41" t="s">
        <v>63</v>
      </c>
      <c r="D41" s="14" t="s">
        <v>27</v>
      </c>
      <c r="E41" s="12" t="s">
        <v>28</v>
      </c>
      <c r="F41" s="13" t="s">
        <v>29</v>
      </c>
      <c r="G41">
        <v>5</v>
      </c>
      <c r="H41" t="s">
        <v>30</v>
      </c>
      <c r="I41">
        <v>5</v>
      </c>
      <c r="J41" s="15"/>
      <c r="K41" s="16">
        <f>2051.32 - (2051.32 * $E$1)</f>
        <v>2051.3200000000002</v>
      </c>
      <c r="L41" s="16">
        <f>1681.41 - (1681.41 * $E$1)</f>
        <v>1681.41</v>
      </c>
      <c r="M41" s="1">
        <v>2051.3200000000002</v>
      </c>
      <c r="N41" s="1">
        <v>1681.41</v>
      </c>
      <c r="O41" s="1">
        <v>1743.62</v>
      </c>
      <c r="P41" s="1">
        <v>1429.2</v>
      </c>
      <c r="Q41">
        <v>0.22</v>
      </c>
      <c r="R41">
        <v>2.9920000000000001E-4</v>
      </c>
    </row>
    <row r="42" spans="1:18" ht="13.8" outlineLevel="2" x14ac:dyDescent="0.25">
      <c r="A42">
        <v>81541</v>
      </c>
      <c r="B42" t="s">
        <v>25</v>
      </c>
      <c r="C42" t="s">
        <v>64</v>
      </c>
      <c r="D42" s="14" t="s">
        <v>27</v>
      </c>
      <c r="E42" s="12" t="s">
        <v>28</v>
      </c>
      <c r="F42" s="13" t="s">
        <v>29</v>
      </c>
      <c r="G42">
        <v>5</v>
      </c>
      <c r="H42" t="s">
        <v>30</v>
      </c>
      <c r="I42">
        <v>5</v>
      </c>
      <c r="J42" s="15"/>
      <c r="K42" s="16">
        <f>2655.85 - (2655.85 * $E$1)</f>
        <v>2655.85</v>
      </c>
      <c r="L42" s="16">
        <f>2176.93 - (2176.93 * $E$1)</f>
        <v>2176.9299999999998</v>
      </c>
      <c r="M42" s="1">
        <v>2655.85</v>
      </c>
      <c r="N42" s="1">
        <v>2176.9299999999998</v>
      </c>
      <c r="O42" s="1">
        <v>2257.48</v>
      </c>
      <c r="P42" s="1">
        <v>1850.39</v>
      </c>
      <c r="Q42">
        <v>0.28000000000000003</v>
      </c>
      <c r="R42">
        <v>4.0000000000000002E-4</v>
      </c>
    </row>
    <row r="43" spans="1:18" ht="13.8" outlineLevel="2" x14ac:dyDescent="0.25">
      <c r="A43">
        <v>65666</v>
      </c>
      <c r="B43" t="s">
        <v>65</v>
      </c>
      <c r="C43" t="s">
        <v>66</v>
      </c>
      <c r="D43" s="14" t="s">
        <v>67</v>
      </c>
      <c r="E43" s="12" t="s">
        <v>28</v>
      </c>
      <c r="F43" s="13" t="s">
        <v>29</v>
      </c>
      <c r="G43">
        <v>100</v>
      </c>
      <c r="H43" t="s">
        <v>30</v>
      </c>
      <c r="I43">
        <v>100</v>
      </c>
      <c r="J43" s="15"/>
      <c r="K43" s="16">
        <f>24.81 - (24.81 * $E$1)</f>
        <v>24.81</v>
      </c>
      <c r="L43" s="16">
        <f>20.34 - (20.34 * $E$1)</f>
        <v>20.34</v>
      </c>
      <c r="M43" s="1">
        <v>24.81</v>
      </c>
      <c r="N43" s="1">
        <v>20.34</v>
      </c>
      <c r="O43" s="1">
        <v>21.09</v>
      </c>
      <c r="P43" s="1">
        <v>17.29</v>
      </c>
      <c r="Q43">
        <v>2.5200000000000001E-3</v>
      </c>
      <c r="R43">
        <v>2.3999999999999999E-6</v>
      </c>
    </row>
    <row r="44" spans="1:18" ht="13.8" outlineLevel="2" x14ac:dyDescent="0.25">
      <c r="A44">
        <v>40823</v>
      </c>
      <c r="B44" t="s">
        <v>25</v>
      </c>
      <c r="C44" t="s">
        <v>68</v>
      </c>
      <c r="D44" s="14" t="s">
        <v>67</v>
      </c>
      <c r="E44" s="12" t="s">
        <v>28</v>
      </c>
      <c r="F44" s="13" t="s">
        <v>29</v>
      </c>
      <c r="G44">
        <v>100</v>
      </c>
      <c r="H44" t="s">
        <v>30</v>
      </c>
      <c r="I44">
        <v>100</v>
      </c>
      <c r="J44" s="15"/>
      <c r="K44" s="16">
        <f>24.81 - (24.81 * $E$1)</f>
        <v>24.81</v>
      </c>
      <c r="L44" s="16">
        <f>20.34 - (20.34 * $E$1)</f>
        <v>20.34</v>
      </c>
      <c r="M44" s="1">
        <v>24.81</v>
      </c>
      <c r="N44" s="1">
        <v>20.34</v>
      </c>
      <c r="O44" s="1">
        <v>21.09</v>
      </c>
      <c r="P44" s="1">
        <v>17.29</v>
      </c>
      <c r="Q44">
        <v>2.3999999999999998E-3</v>
      </c>
      <c r="R44">
        <v>1.9800000000000001E-6</v>
      </c>
    </row>
    <row r="45" spans="1:18" ht="13.8" outlineLevel="2" x14ac:dyDescent="0.25">
      <c r="A45">
        <v>40824</v>
      </c>
      <c r="B45" t="s">
        <v>65</v>
      </c>
      <c r="C45" t="s">
        <v>69</v>
      </c>
      <c r="D45" s="14" t="s">
        <v>67</v>
      </c>
      <c r="E45" s="12" t="s">
        <v>28</v>
      </c>
      <c r="F45" s="13" t="s">
        <v>29</v>
      </c>
      <c r="G45">
        <v>100</v>
      </c>
      <c r="H45" t="s">
        <v>30</v>
      </c>
      <c r="I45">
        <v>100</v>
      </c>
      <c r="J45" s="15"/>
      <c r="K45" s="16">
        <f>24.81 - (24.81 * $E$1)</f>
        <v>24.81</v>
      </c>
      <c r="L45" s="16">
        <f>20.34 - (20.34 * $E$1)</f>
        <v>20.34</v>
      </c>
      <c r="M45" s="1">
        <v>24.81</v>
      </c>
      <c r="N45" s="1">
        <v>20.34</v>
      </c>
      <c r="O45" s="1">
        <v>21.09</v>
      </c>
      <c r="P45" s="1">
        <v>17.29</v>
      </c>
      <c r="Q45">
        <v>2.5000000000000001E-3</v>
      </c>
      <c r="R45">
        <v>1.88E-6</v>
      </c>
    </row>
    <row r="46" spans="1:18" ht="13.8" outlineLevel="2" x14ac:dyDescent="0.25">
      <c r="A46">
        <v>40826</v>
      </c>
      <c r="B46" t="s">
        <v>65</v>
      </c>
      <c r="C46" t="s">
        <v>70</v>
      </c>
      <c r="D46" s="14" t="s">
        <v>67</v>
      </c>
      <c r="E46" s="12" t="s">
        <v>28</v>
      </c>
      <c r="F46" s="13" t="s">
        <v>29</v>
      </c>
      <c r="G46">
        <v>100</v>
      </c>
      <c r="H46" t="s">
        <v>30</v>
      </c>
      <c r="I46">
        <v>100</v>
      </c>
      <c r="J46" s="15"/>
      <c r="K46" s="16">
        <f>24.83 - (24.83 * $E$1)</f>
        <v>24.83</v>
      </c>
      <c r="L46" s="16">
        <f>20.35 - (20.35 * $E$1)</f>
        <v>20.350000000000001</v>
      </c>
      <c r="M46" s="1">
        <v>24.83</v>
      </c>
      <c r="N46" s="1">
        <v>20.350000000000001</v>
      </c>
      <c r="O46" s="1">
        <v>21.1</v>
      </c>
      <c r="P46" s="1">
        <v>17.3</v>
      </c>
      <c r="Q46">
        <v>2.3E-3</v>
      </c>
      <c r="R46">
        <v>1.1999999999999999E-6</v>
      </c>
    </row>
    <row r="47" spans="1:18" ht="13.8" outlineLevel="2" x14ac:dyDescent="0.25">
      <c r="A47">
        <v>40827</v>
      </c>
      <c r="B47" t="s">
        <v>65</v>
      </c>
      <c r="C47" t="s">
        <v>71</v>
      </c>
      <c r="D47" s="14" t="s">
        <v>67</v>
      </c>
      <c r="E47" s="12" t="s">
        <v>28</v>
      </c>
      <c r="F47" s="13" t="s">
        <v>29</v>
      </c>
      <c r="G47">
        <v>100</v>
      </c>
      <c r="H47" t="s">
        <v>30</v>
      </c>
      <c r="I47">
        <v>100</v>
      </c>
      <c r="J47" s="15"/>
      <c r="K47" s="16">
        <f>24.83 - (24.83 * $E$1)</f>
        <v>24.83</v>
      </c>
      <c r="L47" s="16">
        <f>20.35 - (20.35 * $E$1)</f>
        <v>20.350000000000001</v>
      </c>
      <c r="M47" s="1">
        <v>24.83</v>
      </c>
      <c r="N47" s="1">
        <v>20.350000000000001</v>
      </c>
      <c r="O47" s="1">
        <v>21.1</v>
      </c>
      <c r="P47" s="1">
        <v>17.3</v>
      </c>
      <c r="Q47">
        <v>2.3E-3</v>
      </c>
      <c r="R47">
        <v>1.81E-6</v>
      </c>
    </row>
    <row r="48" spans="1:18" ht="13.8" outlineLevel="2" x14ac:dyDescent="0.25">
      <c r="A48">
        <v>89401</v>
      </c>
      <c r="B48" t="s">
        <v>25</v>
      </c>
      <c r="C48" t="s">
        <v>72</v>
      </c>
      <c r="D48" s="14" t="s">
        <v>67</v>
      </c>
      <c r="E48" s="12" t="s">
        <v>28</v>
      </c>
      <c r="F48" s="13" t="s">
        <v>29</v>
      </c>
      <c r="G48">
        <v>100</v>
      </c>
      <c r="H48" t="s">
        <v>30</v>
      </c>
      <c r="I48">
        <v>100</v>
      </c>
      <c r="J48" s="15"/>
      <c r="K48" s="16">
        <f>24.83 - (24.83 * $E$1)</f>
        <v>24.83</v>
      </c>
      <c r="L48" s="16">
        <f>20.35 - (20.35 * $E$1)</f>
        <v>20.350000000000001</v>
      </c>
      <c r="M48" s="1">
        <v>24.83</v>
      </c>
      <c r="N48" s="1">
        <v>20.350000000000001</v>
      </c>
      <c r="O48" s="1">
        <v>21.1</v>
      </c>
      <c r="P48" s="1">
        <v>17.3</v>
      </c>
      <c r="Q48">
        <v>2E-3</v>
      </c>
      <c r="R48">
        <v>1.81E-6</v>
      </c>
    </row>
    <row r="49" spans="1:18" ht="13.8" outlineLevel="2" x14ac:dyDescent="0.25">
      <c r="A49">
        <v>40829</v>
      </c>
      <c r="B49" t="s">
        <v>65</v>
      </c>
      <c r="C49" t="s">
        <v>73</v>
      </c>
      <c r="D49" s="14" t="s">
        <v>67</v>
      </c>
      <c r="E49" s="12" t="s">
        <v>28</v>
      </c>
      <c r="F49" s="13" t="s">
        <v>29</v>
      </c>
      <c r="G49">
        <v>100</v>
      </c>
      <c r="H49" t="s">
        <v>30</v>
      </c>
      <c r="I49">
        <v>100</v>
      </c>
      <c r="J49" s="15"/>
      <c r="K49" s="16">
        <f>27.76 - (27.76 * $E$1)</f>
        <v>27.76</v>
      </c>
      <c r="L49" s="16">
        <f>22.75 - (22.75 * $E$1)</f>
        <v>22.75</v>
      </c>
      <c r="M49" s="1">
        <v>27.76</v>
      </c>
      <c r="N49" s="1">
        <v>22.75</v>
      </c>
      <c r="O49" s="1">
        <v>23.59</v>
      </c>
      <c r="P49" s="1">
        <v>19.34</v>
      </c>
      <c r="Q49">
        <v>3.0000000000000001E-3</v>
      </c>
      <c r="R49">
        <v>3.14E-6</v>
      </c>
    </row>
    <row r="50" spans="1:18" ht="13.8" outlineLevel="2" x14ac:dyDescent="0.25">
      <c r="A50">
        <v>40830</v>
      </c>
      <c r="B50" t="s">
        <v>65</v>
      </c>
      <c r="C50" t="s">
        <v>74</v>
      </c>
      <c r="D50" s="14" t="s">
        <v>67</v>
      </c>
      <c r="E50" s="12" t="s">
        <v>28</v>
      </c>
      <c r="F50" s="13" t="s">
        <v>29</v>
      </c>
      <c r="G50">
        <v>100</v>
      </c>
      <c r="H50" t="s">
        <v>30</v>
      </c>
      <c r="I50">
        <v>100</v>
      </c>
      <c r="J50" s="15"/>
      <c r="K50" s="16">
        <f>27.76 - (27.76 * $E$1)</f>
        <v>27.76</v>
      </c>
      <c r="L50" s="16">
        <f>22.75 - (22.75 * $E$1)</f>
        <v>22.75</v>
      </c>
      <c r="M50" s="1">
        <v>27.76</v>
      </c>
      <c r="N50" s="1">
        <v>22.75</v>
      </c>
      <c r="O50" s="1">
        <v>23.59</v>
      </c>
      <c r="P50" s="1">
        <v>19.34</v>
      </c>
      <c r="Q50">
        <v>2.8999999999999998E-3</v>
      </c>
      <c r="R50">
        <v>2.0899999999999999E-6</v>
      </c>
    </row>
    <row r="51" spans="1:18" ht="13.8" outlineLevel="2" x14ac:dyDescent="0.25">
      <c r="A51">
        <v>89402</v>
      </c>
      <c r="B51" t="s">
        <v>25</v>
      </c>
      <c r="C51" t="s">
        <v>75</v>
      </c>
      <c r="D51" s="14" t="s">
        <v>67</v>
      </c>
      <c r="E51" s="12" t="s">
        <v>28</v>
      </c>
      <c r="F51" s="13" t="s">
        <v>29</v>
      </c>
      <c r="G51">
        <v>100</v>
      </c>
      <c r="H51" t="s">
        <v>30</v>
      </c>
      <c r="I51">
        <v>100</v>
      </c>
      <c r="J51" s="15"/>
      <c r="K51" s="16">
        <f>27.76 - (27.76 * $E$1)</f>
        <v>27.76</v>
      </c>
      <c r="L51" s="16">
        <f>22.75 - (22.75 * $E$1)</f>
        <v>22.75</v>
      </c>
      <c r="M51" s="1">
        <v>27.76</v>
      </c>
      <c r="N51" s="1">
        <v>22.75</v>
      </c>
      <c r="O51" s="1">
        <v>23.59</v>
      </c>
      <c r="P51" s="1">
        <v>19.34</v>
      </c>
      <c r="Q51">
        <v>2.5000000000000001E-3</v>
      </c>
      <c r="R51">
        <v>2.0899999999999999E-6</v>
      </c>
    </row>
    <row r="52" spans="1:18" ht="13.8" outlineLevel="2" x14ac:dyDescent="0.25">
      <c r="A52">
        <v>40831</v>
      </c>
      <c r="B52" t="s">
        <v>65</v>
      </c>
      <c r="C52" t="s">
        <v>76</v>
      </c>
      <c r="D52" s="14" t="s">
        <v>67</v>
      </c>
      <c r="E52" s="12" t="s">
        <v>28</v>
      </c>
      <c r="F52" s="13" t="s">
        <v>29</v>
      </c>
      <c r="G52">
        <v>100</v>
      </c>
      <c r="H52" t="s">
        <v>30</v>
      </c>
      <c r="I52">
        <v>100</v>
      </c>
      <c r="J52" s="15"/>
      <c r="K52" s="16">
        <f>66.89 - (66.89 * $E$1)</f>
        <v>66.89</v>
      </c>
      <c r="L52" s="16">
        <f>54.83 - (54.83 * $E$1)</f>
        <v>54.83</v>
      </c>
      <c r="M52" s="1">
        <v>66.89</v>
      </c>
      <c r="N52" s="1">
        <v>54.83</v>
      </c>
      <c r="O52" s="1">
        <v>56.86</v>
      </c>
      <c r="P52" s="1">
        <v>46.61</v>
      </c>
      <c r="Q52">
        <v>8.6E-3</v>
      </c>
      <c r="R52">
        <v>4.8999999999999997E-6</v>
      </c>
    </row>
    <row r="53" spans="1:18" ht="13.8" outlineLevel="2" x14ac:dyDescent="0.25">
      <c r="A53">
        <v>40832</v>
      </c>
      <c r="B53" t="s">
        <v>65</v>
      </c>
      <c r="C53" t="s">
        <v>77</v>
      </c>
      <c r="D53" s="14" t="s">
        <v>67</v>
      </c>
      <c r="E53" s="12" t="s">
        <v>28</v>
      </c>
      <c r="F53" s="13" t="s">
        <v>29</v>
      </c>
      <c r="G53">
        <v>100</v>
      </c>
      <c r="H53" t="s">
        <v>30</v>
      </c>
      <c r="I53">
        <v>100</v>
      </c>
      <c r="J53" s="15"/>
      <c r="K53" s="16">
        <f>66.89 - (66.89 * $E$1)</f>
        <v>66.89</v>
      </c>
      <c r="L53" s="16">
        <f>54.83 - (54.83 * $E$1)</f>
        <v>54.83</v>
      </c>
      <c r="M53" s="1">
        <v>66.89</v>
      </c>
      <c r="N53" s="1">
        <v>54.83</v>
      </c>
      <c r="O53" s="1">
        <v>56.86</v>
      </c>
      <c r="P53" s="1">
        <v>46.61</v>
      </c>
      <c r="Q53">
        <v>8.0999999999999996E-3</v>
      </c>
      <c r="R53">
        <v>4.5600000000000004E-6</v>
      </c>
    </row>
    <row r="54" spans="1:18" ht="13.8" outlineLevel="2" x14ac:dyDescent="0.25">
      <c r="A54">
        <v>40834</v>
      </c>
      <c r="B54" t="s">
        <v>65</v>
      </c>
      <c r="C54" t="s">
        <v>78</v>
      </c>
      <c r="D54" s="14" t="s">
        <v>67</v>
      </c>
      <c r="E54" s="12" t="s">
        <v>28</v>
      </c>
      <c r="F54" s="13" t="s">
        <v>29</v>
      </c>
      <c r="G54">
        <v>100</v>
      </c>
      <c r="H54" t="s">
        <v>30</v>
      </c>
      <c r="I54">
        <v>100</v>
      </c>
      <c r="J54" s="15"/>
      <c r="K54" s="16">
        <f>66.89 - (66.89 * $E$1)</f>
        <v>66.89</v>
      </c>
      <c r="L54" s="16">
        <f>54.83 - (54.83 * $E$1)</f>
        <v>54.83</v>
      </c>
      <c r="M54" s="1">
        <v>66.89</v>
      </c>
      <c r="N54" s="1">
        <v>54.83</v>
      </c>
      <c r="O54" s="1">
        <v>56.86</v>
      </c>
      <c r="P54" s="1">
        <v>46.61</v>
      </c>
      <c r="Q54">
        <v>7.7999999999999996E-3</v>
      </c>
      <c r="R54">
        <v>5.2700000000000004E-6</v>
      </c>
    </row>
    <row r="55" spans="1:18" ht="13.8" outlineLevel="2" x14ac:dyDescent="0.25">
      <c r="A55">
        <v>40835</v>
      </c>
      <c r="B55" t="s">
        <v>65</v>
      </c>
      <c r="C55" t="s">
        <v>79</v>
      </c>
      <c r="D55" s="14" t="s">
        <v>67</v>
      </c>
      <c r="E55" s="12" t="s">
        <v>28</v>
      </c>
      <c r="F55" s="13" t="s">
        <v>29</v>
      </c>
      <c r="G55">
        <v>100</v>
      </c>
      <c r="H55" t="s">
        <v>30</v>
      </c>
      <c r="I55">
        <v>100</v>
      </c>
      <c r="J55" s="15"/>
      <c r="K55" s="16">
        <f>74.7 - (74.7 * $E$1)</f>
        <v>74.7</v>
      </c>
      <c r="L55" s="16">
        <f>61.23 - (61.23 * $E$1)</f>
        <v>61.23</v>
      </c>
      <c r="M55" s="1">
        <v>74.7</v>
      </c>
      <c r="N55" s="1">
        <v>61.23</v>
      </c>
      <c r="O55" s="1">
        <v>63.5</v>
      </c>
      <c r="P55" s="1">
        <v>52.05</v>
      </c>
      <c r="Q55">
        <v>9.5600000000000008E-3</v>
      </c>
      <c r="R55">
        <v>7.0899999999999999E-6</v>
      </c>
    </row>
    <row r="56" spans="1:18" ht="13.8" outlineLevel="2" x14ac:dyDescent="0.25">
      <c r="A56">
        <v>40877</v>
      </c>
      <c r="B56" t="s">
        <v>65</v>
      </c>
      <c r="C56" t="s">
        <v>80</v>
      </c>
      <c r="D56" s="14" t="s">
        <v>67</v>
      </c>
      <c r="E56" s="12" t="s">
        <v>28</v>
      </c>
      <c r="F56" s="13" t="s">
        <v>29</v>
      </c>
      <c r="G56">
        <v>100</v>
      </c>
      <c r="H56" t="s">
        <v>30</v>
      </c>
      <c r="I56">
        <v>100</v>
      </c>
      <c r="J56" s="15"/>
      <c r="K56" s="16">
        <f>74.7 - (74.7 * $E$1)</f>
        <v>74.7</v>
      </c>
      <c r="L56" s="16">
        <f>61.23 - (61.23 * $E$1)</f>
        <v>61.23</v>
      </c>
      <c r="M56" s="1">
        <v>74.7</v>
      </c>
      <c r="N56" s="1">
        <v>61.23</v>
      </c>
      <c r="O56" s="1">
        <v>63.5</v>
      </c>
      <c r="P56" s="1">
        <v>52.05</v>
      </c>
      <c r="Q56">
        <v>9.0399999999999994E-3</v>
      </c>
      <c r="R56">
        <v>7.1099999999999997E-6</v>
      </c>
    </row>
    <row r="57" spans="1:18" ht="13.8" outlineLevel="2" x14ac:dyDescent="0.25">
      <c r="A57">
        <v>89403</v>
      </c>
      <c r="B57" t="s">
        <v>25</v>
      </c>
      <c r="C57" t="s">
        <v>81</v>
      </c>
      <c r="D57" s="14" t="s">
        <v>67</v>
      </c>
      <c r="E57" s="12" t="s">
        <v>28</v>
      </c>
      <c r="F57" s="13" t="s">
        <v>29</v>
      </c>
      <c r="G57">
        <v>100</v>
      </c>
      <c r="H57" t="s">
        <v>30</v>
      </c>
      <c r="I57">
        <v>100</v>
      </c>
      <c r="J57" s="15"/>
      <c r="K57" s="16">
        <f>74.7 - (74.7 * $E$1)</f>
        <v>74.7</v>
      </c>
      <c r="L57" s="16">
        <f>61.23 - (61.23 * $E$1)</f>
        <v>61.23</v>
      </c>
      <c r="M57" s="1">
        <v>74.7</v>
      </c>
      <c r="N57" s="1">
        <v>61.23</v>
      </c>
      <c r="O57" s="1">
        <v>63.5</v>
      </c>
      <c r="P57" s="1">
        <v>52.05</v>
      </c>
      <c r="Q57">
        <v>8.0000000000000002E-3</v>
      </c>
      <c r="R57">
        <v>7.1099999999999997E-6</v>
      </c>
    </row>
    <row r="58" spans="1:18" ht="13.8" outlineLevel="2" x14ac:dyDescent="0.25">
      <c r="A58">
        <v>40878</v>
      </c>
      <c r="B58" t="s">
        <v>65</v>
      </c>
      <c r="C58" t="s">
        <v>82</v>
      </c>
      <c r="D58" s="14" t="s">
        <v>67</v>
      </c>
      <c r="E58" s="12" t="s">
        <v>28</v>
      </c>
      <c r="F58" s="13" t="s">
        <v>29</v>
      </c>
      <c r="G58">
        <v>100</v>
      </c>
      <c r="H58" t="s">
        <v>30</v>
      </c>
      <c r="I58">
        <v>100</v>
      </c>
      <c r="J58" s="15"/>
      <c r="K58" s="16">
        <f>93.64 - (93.64 * $E$1)</f>
        <v>93.64</v>
      </c>
      <c r="L58" s="16">
        <f>76.75 - (76.75 * $E$1)</f>
        <v>76.75</v>
      </c>
      <c r="M58" s="1">
        <v>93.64</v>
      </c>
      <c r="N58" s="1">
        <v>76.75</v>
      </c>
      <c r="O58" s="1">
        <v>79.59</v>
      </c>
      <c r="P58" s="1">
        <v>65.239999999999995</v>
      </c>
      <c r="Q58">
        <v>1.2500000000000001E-2</v>
      </c>
      <c r="R58">
        <v>9.5200000000000003E-6</v>
      </c>
    </row>
    <row r="59" spans="1:18" ht="13.8" outlineLevel="2" x14ac:dyDescent="0.25">
      <c r="A59">
        <v>40879</v>
      </c>
      <c r="B59" t="s">
        <v>65</v>
      </c>
      <c r="C59" t="s">
        <v>83</v>
      </c>
      <c r="D59" s="14" t="s">
        <v>67</v>
      </c>
      <c r="E59" s="12" t="s">
        <v>28</v>
      </c>
      <c r="F59" s="13" t="s">
        <v>29</v>
      </c>
      <c r="G59">
        <v>100</v>
      </c>
      <c r="H59" t="s">
        <v>30</v>
      </c>
      <c r="I59">
        <v>100</v>
      </c>
      <c r="J59" s="15"/>
      <c r="K59" s="16">
        <f>93.64 - (93.64 * $E$1)</f>
        <v>93.64</v>
      </c>
      <c r="L59" s="16">
        <f>76.75 - (76.75 * $E$1)</f>
        <v>76.75</v>
      </c>
      <c r="M59" s="1">
        <v>93.64</v>
      </c>
      <c r="N59" s="1">
        <v>76.75</v>
      </c>
      <c r="O59" s="1">
        <v>79.59</v>
      </c>
      <c r="P59" s="1">
        <v>65.239999999999995</v>
      </c>
      <c r="Q59">
        <v>1.1900000000000001E-2</v>
      </c>
      <c r="R59">
        <v>6.1199999999999999E-6</v>
      </c>
    </row>
    <row r="60" spans="1:18" ht="13.8" outlineLevel="2" x14ac:dyDescent="0.25">
      <c r="A60">
        <v>40881</v>
      </c>
      <c r="B60" t="s">
        <v>65</v>
      </c>
      <c r="C60" t="s">
        <v>84</v>
      </c>
      <c r="D60" s="14" t="s">
        <v>67</v>
      </c>
      <c r="E60" s="12" t="s">
        <v>28</v>
      </c>
      <c r="F60" s="13" t="s">
        <v>29</v>
      </c>
      <c r="G60">
        <v>100</v>
      </c>
      <c r="H60" t="s">
        <v>30</v>
      </c>
      <c r="I60">
        <v>100</v>
      </c>
      <c r="J60" s="15"/>
      <c r="K60" s="16">
        <f>115.67 - (115.67 * $E$1)</f>
        <v>115.67</v>
      </c>
      <c r="L60" s="16">
        <f>94.81 - (94.81 * $E$1)</f>
        <v>94.81</v>
      </c>
      <c r="M60" s="1">
        <v>115.67</v>
      </c>
      <c r="N60" s="1">
        <v>94.81</v>
      </c>
      <c r="O60" s="1">
        <v>98.32</v>
      </c>
      <c r="P60" s="1">
        <v>80.59</v>
      </c>
      <c r="Q60">
        <v>1.52E-2</v>
      </c>
      <c r="R60">
        <v>9.7699999999999996E-6</v>
      </c>
    </row>
    <row r="61" spans="1:18" ht="13.8" outlineLevel="2" x14ac:dyDescent="0.25">
      <c r="A61">
        <v>40882</v>
      </c>
      <c r="B61" t="s">
        <v>65</v>
      </c>
      <c r="C61" t="s">
        <v>85</v>
      </c>
      <c r="D61" s="14" t="s">
        <v>67</v>
      </c>
      <c r="E61" s="12" t="s">
        <v>28</v>
      </c>
      <c r="F61" s="13" t="s">
        <v>29</v>
      </c>
      <c r="G61">
        <v>100</v>
      </c>
      <c r="H61" t="s">
        <v>30</v>
      </c>
      <c r="I61">
        <v>100</v>
      </c>
      <c r="J61" s="15"/>
      <c r="K61" s="16">
        <f>115.67 - (115.67 * $E$1)</f>
        <v>115.67</v>
      </c>
      <c r="L61" s="16">
        <f>94.81 - (94.81 * $E$1)</f>
        <v>94.81</v>
      </c>
      <c r="M61" s="1">
        <v>115.67</v>
      </c>
      <c r="N61" s="1">
        <v>94.81</v>
      </c>
      <c r="O61" s="1">
        <v>98.32</v>
      </c>
      <c r="P61" s="1">
        <v>80.59</v>
      </c>
      <c r="Q61">
        <v>1.43E-2</v>
      </c>
      <c r="R61">
        <v>1.11E-5</v>
      </c>
    </row>
    <row r="62" spans="1:18" ht="13.8" outlineLevel="2" x14ac:dyDescent="0.25">
      <c r="A62">
        <v>40883</v>
      </c>
      <c r="B62" t="s">
        <v>65</v>
      </c>
      <c r="C62" t="s">
        <v>86</v>
      </c>
      <c r="D62" s="14" t="s">
        <v>67</v>
      </c>
      <c r="E62" s="12" t="s">
        <v>28</v>
      </c>
      <c r="F62" s="13" t="s">
        <v>29</v>
      </c>
      <c r="G62">
        <v>100</v>
      </c>
      <c r="H62" t="s">
        <v>30</v>
      </c>
      <c r="I62">
        <v>100</v>
      </c>
      <c r="J62" s="15"/>
      <c r="K62" s="16">
        <f>154.05 - (154.05 * $E$1)</f>
        <v>154.05000000000001</v>
      </c>
      <c r="L62" s="16">
        <f>126.27 - (126.27 * $E$1)</f>
        <v>126.27</v>
      </c>
      <c r="M62" s="1">
        <v>154.05000000000001</v>
      </c>
      <c r="N62" s="1">
        <v>126.27</v>
      </c>
      <c r="O62" s="1">
        <v>130.94</v>
      </c>
      <c r="P62" s="1">
        <v>107.33</v>
      </c>
      <c r="Q62">
        <v>2.06E-2</v>
      </c>
      <c r="R62">
        <v>1.8E-5</v>
      </c>
    </row>
    <row r="63" spans="1:18" ht="13.8" outlineLevel="2" x14ac:dyDescent="0.25">
      <c r="A63">
        <v>40884</v>
      </c>
      <c r="B63" t="s">
        <v>65</v>
      </c>
      <c r="C63" t="s">
        <v>87</v>
      </c>
      <c r="D63" s="14" t="s">
        <v>67</v>
      </c>
      <c r="E63" s="12" t="s">
        <v>28</v>
      </c>
      <c r="F63" s="13" t="s">
        <v>29</v>
      </c>
      <c r="G63">
        <v>100</v>
      </c>
      <c r="H63" t="s">
        <v>30</v>
      </c>
      <c r="I63">
        <v>100</v>
      </c>
      <c r="J63" s="15"/>
      <c r="K63" s="16">
        <f>154.05 - (154.05 * $E$1)</f>
        <v>154.05000000000001</v>
      </c>
      <c r="L63" s="16">
        <f>126.27 - (126.27 * $E$1)</f>
        <v>126.27</v>
      </c>
      <c r="M63" s="1">
        <v>154.05000000000001</v>
      </c>
      <c r="N63" s="1">
        <v>126.27</v>
      </c>
      <c r="O63" s="1">
        <v>130.94</v>
      </c>
      <c r="P63" s="1">
        <v>107.33</v>
      </c>
      <c r="Q63">
        <v>2.0199999999999999E-2</v>
      </c>
      <c r="R63">
        <v>1.6200000000000001E-5</v>
      </c>
    </row>
    <row r="64" spans="1:18" ht="13.8" outlineLevel="2" x14ac:dyDescent="0.25">
      <c r="A64">
        <v>40885</v>
      </c>
      <c r="B64" t="s">
        <v>65</v>
      </c>
      <c r="C64" t="s">
        <v>88</v>
      </c>
      <c r="D64" s="14" t="s">
        <v>67</v>
      </c>
      <c r="E64" s="12" t="s">
        <v>28</v>
      </c>
      <c r="F64" s="13" t="s">
        <v>29</v>
      </c>
      <c r="G64">
        <v>100</v>
      </c>
      <c r="H64" t="s">
        <v>30</v>
      </c>
      <c r="I64">
        <v>100</v>
      </c>
      <c r="J64" s="15"/>
      <c r="K64" s="16">
        <f>154.05 - (154.05 * $E$1)</f>
        <v>154.05000000000001</v>
      </c>
      <c r="L64" s="16">
        <f>126.27 - (126.27 * $E$1)</f>
        <v>126.27</v>
      </c>
      <c r="M64" s="1">
        <v>154.05000000000001</v>
      </c>
      <c r="N64" s="1">
        <v>126.27</v>
      </c>
      <c r="O64" s="1">
        <v>130.94</v>
      </c>
      <c r="P64" s="1">
        <v>107.33</v>
      </c>
      <c r="Q64">
        <v>1.9179999999999999E-2</v>
      </c>
      <c r="R64">
        <v>1.1970000000000001E-5</v>
      </c>
    </row>
    <row r="65" spans="1:18" ht="13.8" outlineLevel="2" x14ac:dyDescent="0.25">
      <c r="A65">
        <v>40886</v>
      </c>
      <c r="B65" t="s">
        <v>65</v>
      </c>
      <c r="C65" t="s">
        <v>89</v>
      </c>
      <c r="D65" s="14" t="s">
        <v>67</v>
      </c>
      <c r="E65" s="12" t="s">
        <v>28</v>
      </c>
      <c r="F65" s="13" t="s">
        <v>29</v>
      </c>
      <c r="G65">
        <v>100</v>
      </c>
      <c r="H65" t="s">
        <v>30</v>
      </c>
      <c r="I65">
        <v>100</v>
      </c>
      <c r="J65" s="15"/>
      <c r="K65" s="16">
        <f>175.94 - (175.94 * $E$1)</f>
        <v>175.94</v>
      </c>
      <c r="L65" s="16">
        <f>144.21 - (144.21 * $E$1)</f>
        <v>144.21</v>
      </c>
      <c r="M65" s="1">
        <v>175.94</v>
      </c>
      <c r="N65" s="1">
        <v>144.21</v>
      </c>
      <c r="O65" s="1">
        <v>149.55000000000001</v>
      </c>
      <c r="P65" s="1">
        <v>122.58</v>
      </c>
      <c r="Q65">
        <v>2.4160000000000001E-2</v>
      </c>
      <c r="R65">
        <v>1.7770000000000001E-5</v>
      </c>
    </row>
    <row r="66" spans="1:18" ht="13.8" outlineLevel="2" x14ac:dyDescent="0.25">
      <c r="A66">
        <v>40887</v>
      </c>
      <c r="B66" t="s">
        <v>65</v>
      </c>
      <c r="C66" t="s">
        <v>90</v>
      </c>
      <c r="D66" s="14" t="s">
        <v>67</v>
      </c>
      <c r="E66" s="12" t="s">
        <v>28</v>
      </c>
      <c r="F66" s="13" t="s">
        <v>29</v>
      </c>
      <c r="G66">
        <v>100</v>
      </c>
      <c r="H66" t="s">
        <v>30</v>
      </c>
      <c r="I66">
        <v>100</v>
      </c>
      <c r="J66" s="15"/>
      <c r="K66" s="16">
        <f>175.94 - (175.94 * $E$1)</f>
        <v>175.94</v>
      </c>
      <c r="L66" s="16">
        <f>144.21 - (144.21 * $E$1)</f>
        <v>144.21</v>
      </c>
      <c r="M66" s="1">
        <v>175.94</v>
      </c>
      <c r="N66" s="1">
        <v>144.21</v>
      </c>
      <c r="O66" s="1">
        <v>149.55000000000001</v>
      </c>
      <c r="P66" s="1">
        <v>122.58</v>
      </c>
      <c r="Q66">
        <v>2.3E-2</v>
      </c>
      <c r="R66">
        <v>1.823E-5</v>
      </c>
    </row>
    <row r="67" spans="1:18" ht="13.8" outlineLevel="2" x14ac:dyDescent="0.25">
      <c r="A67">
        <v>40888</v>
      </c>
      <c r="B67" t="s">
        <v>65</v>
      </c>
      <c r="C67" t="s">
        <v>91</v>
      </c>
      <c r="D67" s="14" t="s">
        <v>67</v>
      </c>
      <c r="E67" s="12" t="s">
        <v>28</v>
      </c>
      <c r="F67" s="13" t="s">
        <v>29</v>
      </c>
      <c r="G67">
        <v>100</v>
      </c>
      <c r="H67" t="s">
        <v>30</v>
      </c>
      <c r="I67">
        <v>100</v>
      </c>
      <c r="J67" s="15"/>
      <c r="K67" s="16">
        <f>175.94 - (175.94 * $E$1)</f>
        <v>175.94</v>
      </c>
      <c r="L67" s="16">
        <f>144.21 - (144.21 * $E$1)</f>
        <v>144.21</v>
      </c>
      <c r="M67" s="1">
        <v>175.94</v>
      </c>
      <c r="N67" s="1">
        <v>144.21</v>
      </c>
      <c r="O67" s="1">
        <v>149.55000000000001</v>
      </c>
      <c r="P67" s="1">
        <v>122.58</v>
      </c>
      <c r="Q67">
        <v>2.1999999999999999E-2</v>
      </c>
      <c r="R67">
        <v>2.0400000000000001E-5</v>
      </c>
    </row>
    <row r="68" spans="1:18" ht="13.8" outlineLevel="2" x14ac:dyDescent="0.25">
      <c r="A68">
        <v>40889</v>
      </c>
      <c r="B68" t="s">
        <v>65</v>
      </c>
      <c r="C68" t="s">
        <v>92</v>
      </c>
      <c r="D68" s="14" t="s">
        <v>67</v>
      </c>
      <c r="E68" s="12" t="s">
        <v>28</v>
      </c>
      <c r="F68" s="13" t="s">
        <v>29</v>
      </c>
      <c r="G68">
        <v>100</v>
      </c>
      <c r="H68" t="s">
        <v>30</v>
      </c>
      <c r="I68">
        <v>100</v>
      </c>
      <c r="J68" s="15"/>
      <c r="K68" s="16">
        <f>192.39 - (192.39 * $E$1)</f>
        <v>192.39</v>
      </c>
      <c r="L68" s="16">
        <f>157.7 - (157.7 * $E$1)</f>
        <v>157.69999999999999</v>
      </c>
      <c r="M68" s="1">
        <v>192.39</v>
      </c>
      <c r="N68" s="1">
        <v>157.69999999999999</v>
      </c>
      <c r="O68" s="1">
        <v>163.53</v>
      </c>
      <c r="P68" s="1">
        <v>134.05000000000001</v>
      </c>
      <c r="Q68">
        <v>2.5999999999999999E-2</v>
      </c>
      <c r="R68">
        <v>2.2750000000000001E-5</v>
      </c>
    </row>
    <row r="69" spans="1:18" ht="13.8" outlineLevel="2" x14ac:dyDescent="0.25">
      <c r="A69">
        <v>40890</v>
      </c>
      <c r="B69" t="s">
        <v>65</v>
      </c>
      <c r="C69" t="s">
        <v>93</v>
      </c>
      <c r="D69" s="14" t="s">
        <v>67</v>
      </c>
      <c r="E69" s="12" t="s">
        <v>28</v>
      </c>
      <c r="F69" s="13" t="s">
        <v>29</v>
      </c>
      <c r="G69">
        <v>100</v>
      </c>
      <c r="H69" t="s">
        <v>30</v>
      </c>
      <c r="I69">
        <v>100</v>
      </c>
      <c r="J69" s="15"/>
      <c r="K69" s="16">
        <f>192.39 - (192.39 * $E$1)</f>
        <v>192.39</v>
      </c>
      <c r="L69" s="16">
        <f>157.7 - (157.7 * $E$1)</f>
        <v>157.69999999999999</v>
      </c>
      <c r="M69" s="1">
        <v>192.39</v>
      </c>
      <c r="N69" s="1">
        <v>157.69999999999999</v>
      </c>
      <c r="O69" s="1">
        <v>163.53</v>
      </c>
      <c r="P69" s="1">
        <v>134.05000000000001</v>
      </c>
      <c r="Q69">
        <v>2.5000000000000001E-2</v>
      </c>
      <c r="R69">
        <v>2.0999999999999999E-5</v>
      </c>
    </row>
    <row r="70" spans="1:18" ht="13.8" outlineLevel="2" x14ac:dyDescent="0.25">
      <c r="A70">
        <v>40891</v>
      </c>
      <c r="B70" t="s">
        <v>65</v>
      </c>
      <c r="C70" t="s">
        <v>94</v>
      </c>
      <c r="D70" s="14" t="s">
        <v>67</v>
      </c>
      <c r="E70" s="12" t="s">
        <v>28</v>
      </c>
      <c r="F70" s="13" t="s">
        <v>29</v>
      </c>
      <c r="G70">
        <v>100</v>
      </c>
      <c r="H70" t="s">
        <v>30</v>
      </c>
      <c r="I70">
        <v>100</v>
      </c>
      <c r="J70" s="15"/>
      <c r="K70" s="16">
        <f>192.39 - (192.39 * $E$1)</f>
        <v>192.39</v>
      </c>
      <c r="L70" s="16">
        <f>157.7 - (157.7 * $E$1)</f>
        <v>157.69999999999999</v>
      </c>
      <c r="M70" s="1">
        <v>192.39</v>
      </c>
      <c r="N70" s="1">
        <v>157.69999999999999</v>
      </c>
      <c r="O70" s="1">
        <v>163.53</v>
      </c>
      <c r="P70" s="1">
        <v>134.05000000000001</v>
      </c>
      <c r="Q70">
        <v>2.4500000000000001E-2</v>
      </c>
      <c r="R70">
        <v>2.2099999999999998E-5</v>
      </c>
    </row>
    <row r="71" spans="1:18" ht="13.8" outlineLevel="2" x14ac:dyDescent="0.25">
      <c r="A71">
        <v>89404</v>
      </c>
      <c r="B71" t="s">
        <v>25</v>
      </c>
      <c r="C71" t="s">
        <v>95</v>
      </c>
      <c r="D71" s="14" t="s">
        <v>67</v>
      </c>
      <c r="E71" s="12" t="s">
        <v>28</v>
      </c>
      <c r="F71" s="13" t="s">
        <v>29</v>
      </c>
      <c r="G71">
        <v>50</v>
      </c>
      <c r="H71" t="s">
        <v>30</v>
      </c>
      <c r="I71">
        <v>50</v>
      </c>
      <c r="J71" s="15"/>
      <c r="K71" s="16">
        <f>225.85 - (225.85 * $E$1)</f>
        <v>225.85</v>
      </c>
      <c r="L71" s="16">
        <f>185.12 - (185.12 * $E$1)</f>
        <v>185.12</v>
      </c>
      <c r="M71" s="1">
        <v>225.85</v>
      </c>
      <c r="N71" s="1">
        <v>185.12</v>
      </c>
      <c r="O71" s="1">
        <v>191.97</v>
      </c>
      <c r="P71" s="1">
        <v>157.35</v>
      </c>
      <c r="Q71">
        <v>2.5000000000000001E-2</v>
      </c>
      <c r="R71">
        <v>3.3160000000000001E-5</v>
      </c>
    </row>
    <row r="72" spans="1:18" ht="13.8" outlineLevel="2" x14ac:dyDescent="0.25">
      <c r="A72">
        <v>40895</v>
      </c>
      <c r="B72" t="s">
        <v>65</v>
      </c>
      <c r="C72" t="s">
        <v>96</v>
      </c>
      <c r="D72" s="14" t="s">
        <v>67</v>
      </c>
      <c r="E72" s="12" t="s">
        <v>28</v>
      </c>
      <c r="F72" s="13" t="s">
        <v>29</v>
      </c>
      <c r="G72">
        <v>50</v>
      </c>
      <c r="H72" t="s">
        <v>30</v>
      </c>
      <c r="I72">
        <v>50</v>
      </c>
      <c r="J72" s="15"/>
      <c r="K72" s="16">
        <f>225.85 - (225.85 * $E$1)</f>
        <v>225.85</v>
      </c>
      <c r="L72" s="16">
        <f>185.12 - (185.12 * $E$1)</f>
        <v>185.12</v>
      </c>
      <c r="M72" s="1">
        <v>225.85</v>
      </c>
      <c r="N72" s="1">
        <v>185.12</v>
      </c>
      <c r="O72" s="1">
        <v>191.97</v>
      </c>
      <c r="P72" s="1">
        <v>157.35</v>
      </c>
      <c r="Q72">
        <v>3.0800000000000001E-2</v>
      </c>
      <c r="R72">
        <v>3.3160000000000001E-5</v>
      </c>
    </row>
    <row r="73" spans="1:18" ht="13.8" outlineLevel="2" x14ac:dyDescent="0.25">
      <c r="A73">
        <v>40896</v>
      </c>
      <c r="B73" t="s">
        <v>65</v>
      </c>
      <c r="C73" t="s">
        <v>97</v>
      </c>
      <c r="D73" s="14" t="s">
        <v>67</v>
      </c>
      <c r="E73" s="12" t="s">
        <v>28</v>
      </c>
      <c r="F73" s="13" t="s">
        <v>29</v>
      </c>
      <c r="G73">
        <v>50</v>
      </c>
      <c r="H73" t="s">
        <v>30</v>
      </c>
      <c r="I73">
        <v>50</v>
      </c>
      <c r="J73" s="15"/>
      <c r="K73" s="16">
        <f>225.85 - (225.85 * $E$1)</f>
        <v>225.85</v>
      </c>
      <c r="L73" s="16">
        <f>185.12 - (185.12 * $E$1)</f>
        <v>185.12</v>
      </c>
      <c r="M73" s="1">
        <v>225.85</v>
      </c>
      <c r="N73" s="1">
        <v>185.12</v>
      </c>
      <c r="O73" s="1">
        <v>191.97</v>
      </c>
      <c r="P73" s="1">
        <v>157.35</v>
      </c>
      <c r="Q73">
        <v>2.9399999999999999E-2</v>
      </c>
      <c r="R73">
        <v>2.72E-5</v>
      </c>
    </row>
    <row r="74" spans="1:18" ht="13.8" outlineLevel="2" x14ac:dyDescent="0.25">
      <c r="A74">
        <v>40897</v>
      </c>
      <c r="B74" t="s">
        <v>65</v>
      </c>
      <c r="C74" t="s">
        <v>98</v>
      </c>
      <c r="D74" s="14" t="s">
        <v>67</v>
      </c>
      <c r="E74" s="12" t="s">
        <v>28</v>
      </c>
      <c r="F74" s="13" t="s">
        <v>29</v>
      </c>
      <c r="G74">
        <v>25</v>
      </c>
      <c r="H74" t="s">
        <v>30</v>
      </c>
      <c r="I74">
        <v>25</v>
      </c>
      <c r="J74" s="15"/>
      <c r="K74" s="16">
        <f>391.19 - (391.19 * $E$1)</f>
        <v>391.19</v>
      </c>
      <c r="L74" s="16">
        <f>320.65 - (320.65 * $E$1)</f>
        <v>320.64999999999998</v>
      </c>
      <c r="M74" s="1">
        <v>391.19</v>
      </c>
      <c r="N74" s="1">
        <v>320.64999999999998</v>
      </c>
      <c r="O74" s="1">
        <v>332.51</v>
      </c>
      <c r="P74" s="1">
        <v>272.55</v>
      </c>
      <c r="Q74">
        <v>5.5599999999999997E-2</v>
      </c>
      <c r="R74">
        <v>5.0399999999999999E-5</v>
      </c>
    </row>
    <row r="75" spans="1:18" ht="13.8" outlineLevel="2" x14ac:dyDescent="0.25">
      <c r="A75">
        <v>40898</v>
      </c>
      <c r="B75" t="s">
        <v>65</v>
      </c>
      <c r="C75" t="s">
        <v>99</v>
      </c>
      <c r="D75" s="14" t="s">
        <v>67</v>
      </c>
      <c r="E75" s="12" t="s">
        <v>28</v>
      </c>
      <c r="F75" s="13" t="s">
        <v>29</v>
      </c>
      <c r="G75">
        <v>25</v>
      </c>
      <c r="H75" t="s">
        <v>30</v>
      </c>
      <c r="I75">
        <v>25</v>
      </c>
      <c r="J75" s="15"/>
      <c r="K75" s="16">
        <f>391.19 - (391.19 * $E$1)</f>
        <v>391.19</v>
      </c>
      <c r="L75" s="16">
        <f>320.65 - (320.65 * $E$1)</f>
        <v>320.64999999999998</v>
      </c>
      <c r="M75" s="1">
        <v>391.19</v>
      </c>
      <c r="N75" s="1">
        <v>320.64999999999998</v>
      </c>
      <c r="O75" s="1">
        <v>332.51</v>
      </c>
      <c r="P75" s="1">
        <v>272.55</v>
      </c>
      <c r="Q75">
        <v>5.4399999999999997E-2</v>
      </c>
      <c r="R75">
        <v>4.1999999999999998E-5</v>
      </c>
    </row>
    <row r="76" spans="1:18" ht="13.8" outlineLevel="2" x14ac:dyDescent="0.25">
      <c r="A76">
        <v>40899</v>
      </c>
      <c r="B76" t="s">
        <v>65</v>
      </c>
      <c r="C76" t="s">
        <v>100</v>
      </c>
      <c r="D76" s="14" t="s">
        <v>67</v>
      </c>
      <c r="E76" s="12" t="s">
        <v>28</v>
      </c>
      <c r="F76" s="13" t="s">
        <v>29</v>
      </c>
      <c r="G76">
        <v>25</v>
      </c>
      <c r="H76" t="s">
        <v>30</v>
      </c>
      <c r="I76">
        <v>25</v>
      </c>
      <c r="J76" s="15"/>
      <c r="K76" s="16">
        <f>436.39 - (436.39 * $E$1)</f>
        <v>436.39</v>
      </c>
      <c r="L76" s="16">
        <f>357.7 - (357.7 * $E$1)</f>
        <v>357.7</v>
      </c>
      <c r="M76" s="1">
        <v>436.39</v>
      </c>
      <c r="N76" s="1">
        <v>357.7</v>
      </c>
      <c r="O76" s="1">
        <v>370.93</v>
      </c>
      <c r="P76" s="1">
        <v>304.05</v>
      </c>
      <c r="Q76">
        <v>6.4799999999999996E-2</v>
      </c>
      <c r="R76">
        <v>4.5000000000000003E-5</v>
      </c>
    </row>
    <row r="77" spans="1:18" ht="13.8" outlineLevel="2" x14ac:dyDescent="0.25">
      <c r="A77">
        <v>40900</v>
      </c>
      <c r="B77" t="s">
        <v>65</v>
      </c>
      <c r="C77" t="s">
        <v>101</v>
      </c>
      <c r="D77" s="14" t="s">
        <v>67</v>
      </c>
      <c r="E77" s="12" t="s">
        <v>28</v>
      </c>
      <c r="F77" s="13" t="s">
        <v>29</v>
      </c>
      <c r="G77">
        <v>25</v>
      </c>
      <c r="H77" t="s">
        <v>30</v>
      </c>
      <c r="I77">
        <v>25</v>
      </c>
      <c r="J77" s="15"/>
      <c r="K77" s="16">
        <f>436.39 - (436.39 * $E$1)</f>
        <v>436.39</v>
      </c>
      <c r="L77" s="16">
        <f>357.7 - (357.7 * $E$1)</f>
        <v>357.7</v>
      </c>
      <c r="M77" s="1">
        <v>436.39</v>
      </c>
      <c r="N77" s="1">
        <v>357.7</v>
      </c>
      <c r="O77" s="1">
        <v>370.93</v>
      </c>
      <c r="P77" s="1">
        <v>304.05</v>
      </c>
      <c r="Q77">
        <v>6.6000000000000003E-2</v>
      </c>
      <c r="R77">
        <v>4.5000000000000003E-5</v>
      </c>
    </row>
    <row r="78" spans="1:18" ht="13.8" outlineLevel="2" x14ac:dyDescent="0.25">
      <c r="A78">
        <v>89405</v>
      </c>
      <c r="B78" t="s">
        <v>25</v>
      </c>
      <c r="C78" t="s">
        <v>102</v>
      </c>
      <c r="D78" s="14" t="s">
        <v>67</v>
      </c>
      <c r="E78" s="12" t="s">
        <v>28</v>
      </c>
      <c r="F78" s="13" t="s">
        <v>29</v>
      </c>
      <c r="G78">
        <v>25</v>
      </c>
      <c r="H78" t="s">
        <v>30</v>
      </c>
      <c r="I78">
        <v>25</v>
      </c>
      <c r="J78" s="15"/>
      <c r="K78" s="16">
        <f>593.03 - (593.03 * $E$1)</f>
        <v>593.03</v>
      </c>
      <c r="L78" s="16">
        <f>486.09 - (486.09 * $E$1)</f>
        <v>486.09</v>
      </c>
      <c r="M78" s="1">
        <v>593.03</v>
      </c>
      <c r="N78" s="1">
        <v>486.09</v>
      </c>
      <c r="O78" s="1">
        <v>504.08</v>
      </c>
      <c r="P78" s="1">
        <v>413.18</v>
      </c>
      <c r="Q78">
        <v>7.2800000000000004E-2</v>
      </c>
      <c r="R78">
        <v>5.5439999999999998E-5</v>
      </c>
    </row>
    <row r="79" spans="1:18" ht="13.8" outlineLevel="2" x14ac:dyDescent="0.25">
      <c r="A79">
        <v>40901</v>
      </c>
      <c r="B79" t="s">
        <v>65</v>
      </c>
      <c r="C79" t="s">
        <v>103</v>
      </c>
      <c r="D79" s="14" t="s">
        <v>67</v>
      </c>
      <c r="E79" s="12" t="s">
        <v>28</v>
      </c>
      <c r="F79" s="13" t="s">
        <v>29</v>
      </c>
      <c r="G79">
        <v>25</v>
      </c>
      <c r="H79" t="s">
        <v>30</v>
      </c>
      <c r="I79">
        <v>25</v>
      </c>
      <c r="J79" s="15"/>
      <c r="K79" s="16">
        <f>593.03 - (593.03 * $E$1)</f>
        <v>593.03</v>
      </c>
      <c r="L79" s="16">
        <f>486.09 - (486.09 * $E$1)</f>
        <v>486.09</v>
      </c>
      <c r="M79" s="1">
        <v>593.03</v>
      </c>
      <c r="N79" s="1">
        <v>486.09</v>
      </c>
      <c r="O79" s="1">
        <v>504.08</v>
      </c>
      <c r="P79" s="1">
        <v>413.18</v>
      </c>
      <c r="Q79">
        <v>8.6480000000000001E-2</v>
      </c>
      <c r="R79">
        <v>5.5439999999999998E-5</v>
      </c>
    </row>
    <row r="80" spans="1:18" ht="13.8" outlineLevel="2" x14ac:dyDescent="0.25">
      <c r="A80">
        <v>40902</v>
      </c>
      <c r="B80" t="s">
        <v>65</v>
      </c>
      <c r="C80" t="s">
        <v>104</v>
      </c>
      <c r="D80" s="14" t="s">
        <v>67</v>
      </c>
      <c r="E80" s="12" t="s">
        <v>28</v>
      </c>
      <c r="F80" s="13" t="s">
        <v>29</v>
      </c>
      <c r="G80">
        <v>25</v>
      </c>
      <c r="H80" t="s">
        <v>30</v>
      </c>
      <c r="I80">
        <v>25</v>
      </c>
      <c r="J80" s="15"/>
      <c r="K80" s="16">
        <f>593.03 - (593.03 * $E$1)</f>
        <v>593.03</v>
      </c>
      <c r="L80" s="16">
        <f>486.09 - (486.09 * $E$1)</f>
        <v>486.09</v>
      </c>
      <c r="M80" s="1">
        <v>593.03</v>
      </c>
      <c r="N80" s="1">
        <v>486.09</v>
      </c>
      <c r="O80" s="1">
        <v>504.08</v>
      </c>
      <c r="P80" s="1">
        <v>413.18</v>
      </c>
      <c r="Q80">
        <v>0.09</v>
      </c>
      <c r="R80">
        <v>9.0000000000000006E-5</v>
      </c>
    </row>
    <row r="81" spans="1:18" ht="13.8" outlineLevel="2" x14ac:dyDescent="0.25">
      <c r="A81">
        <v>40903</v>
      </c>
      <c r="B81" t="s">
        <v>65</v>
      </c>
      <c r="C81" t="s">
        <v>105</v>
      </c>
      <c r="D81" s="14" t="s">
        <v>67</v>
      </c>
      <c r="E81" s="12" t="s">
        <v>28</v>
      </c>
      <c r="F81" s="13" t="s">
        <v>29</v>
      </c>
      <c r="G81">
        <v>25</v>
      </c>
      <c r="H81" t="s">
        <v>30</v>
      </c>
      <c r="I81">
        <v>25</v>
      </c>
      <c r="J81" s="15"/>
      <c r="K81" s="16">
        <f>858.34 - (858.34 * $E$1)</f>
        <v>858.34</v>
      </c>
      <c r="L81" s="16">
        <f>703.56 - (703.56 * $E$1)</f>
        <v>703.56</v>
      </c>
      <c r="M81" s="1">
        <v>858.34</v>
      </c>
      <c r="N81" s="1">
        <v>703.56</v>
      </c>
      <c r="O81" s="1">
        <v>729.59</v>
      </c>
      <c r="P81" s="1">
        <v>598.03</v>
      </c>
      <c r="Q81">
        <v>0.104</v>
      </c>
      <c r="R81">
        <v>9.0000000000000006E-5</v>
      </c>
    </row>
    <row r="82" spans="1:18" ht="13.8" outlineLevel="2" x14ac:dyDescent="0.25">
      <c r="A82">
        <v>40904</v>
      </c>
      <c r="B82" t="s">
        <v>65</v>
      </c>
      <c r="C82" t="s">
        <v>106</v>
      </c>
      <c r="D82" s="14" t="s">
        <v>67</v>
      </c>
      <c r="E82" s="12" t="s">
        <v>28</v>
      </c>
      <c r="F82" s="13" t="s">
        <v>29</v>
      </c>
      <c r="G82">
        <v>25</v>
      </c>
      <c r="H82" t="s">
        <v>30</v>
      </c>
      <c r="I82">
        <v>25</v>
      </c>
      <c r="J82" s="15"/>
      <c r="K82" s="16">
        <f>858.34 - (858.34 * $E$1)</f>
        <v>858.34</v>
      </c>
      <c r="L82" s="16">
        <f>703.56 - (703.56 * $E$1)</f>
        <v>703.56</v>
      </c>
      <c r="M82" s="1">
        <v>858.34</v>
      </c>
      <c r="N82" s="1">
        <v>703.56</v>
      </c>
      <c r="O82" s="1">
        <v>729.59</v>
      </c>
      <c r="P82" s="1">
        <v>598.03</v>
      </c>
      <c r="Q82">
        <v>0.11656</v>
      </c>
      <c r="R82">
        <v>6.7600000000000003E-5</v>
      </c>
    </row>
    <row r="83" spans="1:18" ht="13.8" outlineLevel="2" x14ac:dyDescent="0.25">
      <c r="A83">
        <v>89406</v>
      </c>
      <c r="B83" t="s">
        <v>25</v>
      </c>
      <c r="C83" t="s">
        <v>107</v>
      </c>
      <c r="D83" s="14" t="s">
        <v>67</v>
      </c>
      <c r="E83" s="12" t="s">
        <v>28</v>
      </c>
      <c r="F83" s="13" t="s">
        <v>29</v>
      </c>
      <c r="G83">
        <v>25</v>
      </c>
      <c r="H83" t="s">
        <v>30</v>
      </c>
      <c r="I83">
        <v>25</v>
      </c>
      <c r="J83" s="15"/>
      <c r="K83" s="16">
        <f>880.45 - (880.45 * $E$1)</f>
        <v>880.45</v>
      </c>
      <c r="L83" s="16">
        <f>721.68 - (721.68 * $E$1)</f>
        <v>721.68</v>
      </c>
      <c r="M83" s="1">
        <v>880.45</v>
      </c>
      <c r="N83" s="1">
        <v>721.68</v>
      </c>
      <c r="O83" s="1">
        <v>748.38</v>
      </c>
      <c r="P83" s="1">
        <v>613.42999999999995</v>
      </c>
      <c r="Q83">
        <v>0.11</v>
      </c>
      <c r="R83">
        <v>1.2999999999999999E-4</v>
      </c>
    </row>
    <row r="84" spans="1:18" ht="13.8" outlineLevel="2" x14ac:dyDescent="0.25">
      <c r="A84">
        <v>40905</v>
      </c>
      <c r="B84" t="s">
        <v>65</v>
      </c>
      <c r="C84" t="s">
        <v>108</v>
      </c>
      <c r="D84" s="14" t="s">
        <v>67</v>
      </c>
      <c r="E84" s="12" t="s">
        <v>28</v>
      </c>
      <c r="F84" s="13" t="s">
        <v>29</v>
      </c>
      <c r="G84">
        <v>25</v>
      </c>
      <c r="H84" t="s">
        <v>30</v>
      </c>
      <c r="I84">
        <v>25</v>
      </c>
      <c r="J84" s="15"/>
      <c r="K84" s="16">
        <f>880.45 - (880.45 * $E$1)</f>
        <v>880.45</v>
      </c>
      <c r="L84" s="16">
        <f>721.68 - (721.68 * $E$1)</f>
        <v>721.68</v>
      </c>
      <c r="M84" s="1">
        <v>880.45</v>
      </c>
      <c r="N84" s="1">
        <v>721.68</v>
      </c>
      <c r="O84" s="1">
        <v>748.38</v>
      </c>
      <c r="P84" s="1">
        <v>613.42999999999995</v>
      </c>
      <c r="Q84">
        <v>0.128</v>
      </c>
      <c r="R84">
        <v>1.2999999999999999E-4</v>
      </c>
    </row>
    <row r="85" spans="1:18" ht="13.8" outlineLevel="2" x14ac:dyDescent="0.25">
      <c r="A85">
        <v>40906</v>
      </c>
      <c r="B85" t="s">
        <v>65</v>
      </c>
      <c r="C85" t="s">
        <v>109</v>
      </c>
      <c r="D85" s="14" t="s">
        <v>67</v>
      </c>
      <c r="E85" s="12" t="s">
        <v>28</v>
      </c>
      <c r="F85" s="13" t="s">
        <v>29</v>
      </c>
      <c r="G85">
        <v>25</v>
      </c>
      <c r="H85" t="s">
        <v>30</v>
      </c>
      <c r="I85">
        <v>25</v>
      </c>
      <c r="J85" s="15"/>
      <c r="K85" s="16">
        <f>880.45 - (880.45 * $E$1)</f>
        <v>880.45</v>
      </c>
      <c r="L85" s="16">
        <f>721.68 - (721.68 * $E$1)</f>
        <v>721.68</v>
      </c>
      <c r="M85" s="1">
        <v>880.45</v>
      </c>
      <c r="N85" s="1">
        <v>721.68</v>
      </c>
      <c r="O85" s="1">
        <v>748.38</v>
      </c>
      <c r="P85" s="1">
        <v>613.42999999999995</v>
      </c>
      <c r="Q85">
        <v>0.124</v>
      </c>
      <c r="R85">
        <v>9.0000000000000006E-5</v>
      </c>
    </row>
    <row r="86" spans="1:18" ht="13.8" outlineLevel="2" x14ac:dyDescent="0.25">
      <c r="A86">
        <v>40907</v>
      </c>
      <c r="B86" t="s">
        <v>65</v>
      </c>
      <c r="C86" t="s">
        <v>110</v>
      </c>
      <c r="D86" s="14" t="s">
        <v>67</v>
      </c>
      <c r="E86" s="12" t="s">
        <v>28</v>
      </c>
      <c r="F86" s="13" t="s">
        <v>29</v>
      </c>
      <c r="G86">
        <v>25</v>
      </c>
      <c r="H86" t="s">
        <v>30</v>
      </c>
      <c r="I86">
        <v>25</v>
      </c>
      <c r="J86" s="15"/>
      <c r="K86" s="16">
        <f>999.72 - (999.72 * $E$1)</f>
        <v>999.72</v>
      </c>
      <c r="L86" s="16">
        <f>819.44 - (819.44 * $E$1)</f>
        <v>819.44</v>
      </c>
      <c r="M86" s="1">
        <v>999.72</v>
      </c>
      <c r="N86" s="1">
        <v>819.44</v>
      </c>
      <c r="O86" s="1">
        <v>849.76</v>
      </c>
      <c r="P86" s="1">
        <v>696.52</v>
      </c>
      <c r="Q86">
        <v>0.13200000000000001</v>
      </c>
      <c r="R86">
        <v>1.2352000000000001E-4</v>
      </c>
    </row>
    <row r="87" spans="1:18" ht="13.8" outlineLevel="2" x14ac:dyDescent="0.25">
      <c r="A87">
        <v>40908</v>
      </c>
      <c r="B87" t="s">
        <v>65</v>
      </c>
      <c r="C87" t="s">
        <v>111</v>
      </c>
      <c r="D87" s="14" t="s">
        <v>67</v>
      </c>
      <c r="E87" s="12" t="s">
        <v>28</v>
      </c>
      <c r="F87" s="13" t="s">
        <v>29</v>
      </c>
      <c r="G87">
        <v>25</v>
      </c>
      <c r="H87" t="s">
        <v>30</v>
      </c>
      <c r="I87">
        <v>25</v>
      </c>
      <c r="J87" s="15"/>
      <c r="K87" s="16">
        <f>999.72 - (999.72 * $E$1)</f>
        <v>999.72</v>
      </c>
      <c r="L87" s="16">
        <f>819.44 - (819.44 * $E$1)</f>
        <v>819.44</v>
      </c>
      <c r="M87" s="1">
        <v>999.72</v>
      </c>
      <c r="N87" s="1">
        <v>819.44</v>
      </c>
      <c r="O87" s="1">
        <v>849.76</v>
      </c>
      <c r="P87" s="1">
        <v>696.52</v>
      </c>
      <c r="Q87">
        <v>0.14119999999999999</v>
      </c>
      <c r="R87">
        <v>9.0000000000000006E-5</v>
      </c>
    </row>
    <row r="88" spans="1:18" ht="13.8" outlineLevel="2" x14ac:dyDescent="0.25">
      <c r="A88">
        <v>40909</v>
      </c>
      <c r="B88" t="s">
        <v>65</v>
      </c>
      <c r="C88" t="s">
        <v>112</v>
      </c>
      <c r="D88" s="14" t="s">
        <v>67</v>
      </c>
      <c r="E88" s="12" t="s">
        <v>28</v>
      </c>
      <c r="F88" s="13" t="s">
        <v>29</v>
      </c>
      <c r="G88">
        <v>25</v>
      </c>
      <c r="H88" t="s">
        <v>30</v>
      </c>
      <c r="I88">
        <v>25</v>
      </c>
      <c r="J88" s="15"/>
      <c r="K88" s="16">
        <f>1060.68 - (1060.68 * $E$1)</f>
        <v>1060.68</v>
      </c>
      <c r="L88" s="16">
        <f>869.41 - (869.41 * $E$1)</f>
        <v>869.41</v>
      </c>
      <c r="M88" s="1">
        <v>1060.68</v>
      </c>
      <c r="N88" s="1">
        <v>869.41</v>
      </c>
      <c r="O88" s="1">
        <v>901.58</v>
      </c>
      <c r="P88" s="1">
        <v>739</v>
      </c>
      <c r="Q88">
        <v>0.14399999999999999</v>
      </c>
      <c r="R88">
        <v>1.6128E-4</v>
      </c>
    </row>
    <row r="89" spans="1:18" ht="13.8" outlineLevel="2" x14ac:dyDescent="0.25">
      <c r="A89">
        <v>40910</v>
      </c>
      <c r="B89" t="s">
        <v>65</v>
      </c>
      <c r="C89" t="s">
        <v>113</v>
      </c>
      <c r="D89" s="14" t="s">
        <v>67</v>
      </c>
      <c r="E89" s="12" t="s">
        <v>28</v>
      </c>
      <c r="F89" s="13" t="s">
        <v>29</v>
      </c>
      <c r="G89">
        <v>25</v>
      </c>
      <c r="H89" t="s">
        <v>30</v>
      </c>
      <c r="I89">
        <v>25</v>
      </c>
      <c r="J89" s="15"/>
      <c r="K89" s="16">
        <f>1060.68 - (1060.68 * $E$1)</f>
        <v>1060.68</v>
      </c>
      <c r="L89" s="16">
        <f>869.41 - (869.41 * $E$1)</f>
        <v>869.41</v>
      </c>
      <c r="M89" s="1">
        <v>1060.68</v>
      </c>
      <c r="N89" s="1">
        <v>869.41</v>
      </c>
      <c r="O89" s="1">
        <v>901.58</v>
      </c>
      <c r="P89" s="1">
        <v>739</v>
      </c>
      <c r="Q89">
        <v>0.14399999999999999</v>
      </c>
      <c r="R89">
        <v>1.0976000000000001E-4</v>
      </c>
    </row>
    <row r="90" spans="1:18" ht="13.8" outlineLevel="2" x14ac:dyDescent="0.25">
      <c r="A90">
        <v>40911</v>
      </c>
      <c r="B90" t="s">
        <v>65</v>
      </c>
      <c r="C90" t="s">
        <v>114</v>
      </c>
      <c r="D90" s="14" t="s">
        <v>67</v>
      </c>
      <c r="E90" s="12" t="s">
        <v>28</v>
      </c>
      <c r="F90" s="13" t="s">
        <v>29</v>
      </c>
      <c r="G90">
        <v>25</v>
      </c>
      <c r="H90" t="s">
        <v>30</v>
      </c>
      <c r="I90">
        <v>25</v>
      </c>
      <c r="J90" s="15"/>
      <c r="K90" s="16">
        <f>1060.68 - (1060.68 * $E$1)</f>
        <v>1060.68</v>
      </c>
      <c r="L90" s="16">
        <f>869.41 - (869.41 * $E$1)</f>
        <v>869.41</v>
      </c>
      <c r="M90" s="1">
        <v>1060.68</v>
      </c>
      <c r="N90" s="1">
        <v>869.41</v>
      </c>
      <c r="O90" s="1">
        <v>901.58</v>
      </c>
      <c r="P90" s="1">
        <v>739</v>
      </c>
      <c r="Q90">
        <v>0.14000000000000001</v>
      </c>
      <c r="R90">
        <v>1.0192E-4</v>
      </c>
    </row>
    <row r="91" spans="1:18" ht="13.8" outlineLevel="2" x14ac:dyDescent="0.25">
      <c r="A91">
        <v>40912</v>
      </c>
      <c r="B91" t="s">
        <v>65</v>
      </c>
      <c r="C91" t="s">
        <v>115</v>
      </c>
      <c r="D91" s="14" t="s">
        <v>67</v>
      </c>
      <c r="E91" s="12" t="s">
        <v>28</v>
      </c>
      <c r="F91" s="13" t="s">
        <v>29</v>
      </c>
      <c r="G91">
        <v>10</v>
      </c>
      <c r="H91" t="s">
        <v>30</v>
      </c>
      <c r="I91">
        <v>10</v>
      </c>
      <c r="J91" s="15"/>
      <c r="K91" s="16">
        <f>1524.61 - (1524.61 * $E$1)</f>
        <v>1524.61</v>
      </c>
      <c r="L91" s="16">
        <f>1249.68 - (1249.68 * $E$1)</f>
        <v>1249.68</v>
      </c>
      <c r="M91" s="1">
        <v>1524.61</v>
      </c>
      <c r="N91" s="1">
        <v>1249.68</v>
      </c>
      <c r="O91" s="1">
        <v>1295.92</v>
      </c>
      <c r="P91" s="1">
        <v>1062.23</v>
      </c>
      <c r="Q91">
        <v>0.20499999999999999</v>
      </c>
      <c r="R91">
        <v>2.2499999999999999E-4</v>
      </c>
    </row>
    <row r="92" spans="1:18" ht="13.8" outlineLevel="2" x14ac:dyDescent="0.25">
      <c r="A92">
        <v>40913</v>
      </c>
      <c r="B92" t="s">
        <v>65</v>
      </c>
      <c r="C92" t="s">
        <v>116</v>
      </c>
      <c r="D92" s="14" t="s">
        <v>67</v>
      </c>
      <c r="E92" s="12" t="s">
        <v>28</v>
      </c>
      <c r="F92" s="13" t="s">
        <v>29</v>
      </c>
      <c r="G92">
        <v>10</v>
      </c>
      <c r="H92" t="s">
        <v>30</v>
      </c>
      <c r="I92">
        <v>10</v>
      </c>
      <c r="J92" s="15"/>
      <c r="K92" s="16">
        <f>1524.61 - (1524.61 * $E$1)</f>
        <v>1524.61</v>
      </c>
      <c r="L92" s="16">
        <f>1249.68 - (1249.68 * $E$1)</f>
        <v>1249.68</v>
      </c>
      <c r="M92" s="1">
        <v>1524.61</v>
      </c>
      <c r="N92" s="1">
        <v>1249.68</v>
      </c>
      <c r="O92" s="1">
        <v>1295.92</v>
      </c>
      <c r="P92" s="1">
        <v>1062.23</v>
      </c>
      <c r="Q92">
        <v>0.21460000000000001</v>
      </c>
      <c r="R92">
        <v>1.404E-4</v>
      </c>
    </row>
    <row r="93" spans="1:18" ht="13.8" outlineLevel="2" x14ac:dyDescent="0.25">
      <c r="A93">
        <v>89407</v>
      </c>
      <c r="B93" t="s">
        <v>25</v>
      </c>
      <c r="C93" t="s">
        <v>117</v>
      </c>
      <c r="D93" s="14" t="s">
        <v>67</v>
      </c>
      <c r="E93" s="12" t="s">
        <v>28</v>
      </c>
      <c r="F93" s="13" t="s">
        <v>29</v>
      </c>
      <c r="G93">
        <v>10</v>
      </c>
      <c r="H93" t="s">
        <v>30</v>
      </c>
      <c r="I93">
        <v>10</v>
      </c>
      <c r="J93" s="15"/>
      <c r="K93" s="16">
        <f>1725.2 - (1725.2 * $E$1)</f>
        <v>1725.2</v>
      </c>
      <c r="L93" s="16">
        <f>1414.1 - (1414.1 * $E$1)</f>
        <v>1414.1</v>
      </c>
      <c r="M93" s="1">
        <v>1725.2</v>
      </c>
      <c r="N93" s="1">
        <v>1414.1</v>
      </c>
      <c r="O93" s="1">
        <v>1466.42</v>
      </c>
      <c r="P93" s="1">
        <v>1201.99</v>
      </c>
      <c r="Q93">
        <v>0.219</v>
      </c>
      <c r="R93">
        <v>2.0000000000000001E-4</v>
      </c>
    </row>
    <row r="94" spans="1:18" ht="13.8" outlineLevel="2" x14ac:dyDescent="0.25">
      <c r="A94">
        <v>40914</v>
      </c>
      <c r="B94" t="s">
        <v>65</v>
      </c>
      <c r="C94" t="s">
        <v>118</v>
      </c>
      <c r="D94" s="14" t="s">
        <v>67</v>
      </c>
      <c r="E94" s="12" t="s">
        <v>28</v>
      </c>
      <c r="F94" s="13" t="s">
        <v>29</v>
      </c>
      <c r="G94">
        <v>10</v>
      </c>
      <c r="H94" t="s">
        <v>30</v>
      </c>
      <c r="I94">
        <v>10</v>
      </c>
      <c r="J94" s="15"/>
      <c r="K94" s="16">
        <f>1725.2 - (1725.2 * $E$1)</f>
        <v>1725.2</v>
      </c>
      <c r="L94" s="16">
        <f>1414.1 - (1414.1 * $E$1)</f>
        <v>1414.1</v>
      </c>
      <c r="M94" s="1">
        <v>1725.2</v>
      </c>
      <c r="N94" s="1">
        <v>1414.1</v>
      </c>
      <c r="O94" s="1">
        <v>1466.42</v>
      </c>
      <c r="P94" s="1">
        <v>1201.99</v>
      </c>
      <c r="Q94">
        <v>0.25</v>
      </c>
      <c r="R94">
        <v>2.0000000000000001E-4</v>
      </c>
    </row>
    <row r="95" spans="1:18" ht="13.8" outlineLevel="2" x14ac:dyDescent="0.25">
      <c r="A95">
        <v>40915</v>
      </c>
      <c r="B95" t="s">
        <v>65</v>
      </c>
      <c r="C95" t="s">
        <v>119</v>
      </c>
      <c r="D95" s="14" t="s">
        <v>67</v>
      </c>
      <c r="E95" s="12" t="s">
        <v>28</v>
      </c>
      <c r="F95" s="13" t="s">
        <v>29</v>
      </c>
      <c r="G95">
        <v>10</v>
      </c>
      <c r="H95" t="s">
        <v>30</v>
      </c>
      <c r="I95">
        <v>10</v>
      </c>
      <c r="J95" s="15"/>
      <c r="K95" s="16">
        <f>1725.2 - (1725.2 * $E$1)</f>
        <v>1725.2</v>
      </c>
      <c r="L95" s="16">
        <f>1414.1 - (1414.1 * $E$1)</f>
        <v>1414.1</v>
      </c>
      <c r="M95" s="1">
        <v>1725.2</v>
      </c>
      <c r="N95" s="1">
        <v>1414.1</v>
      </c>
      <c r="O95" s="1">
        <v>1466.42</v>
      </c>
      <c r="P95" s="1">
        <v>1201.99</v>
      </c>
      <c r="Q95">
        <v>0.24560000000000001</v>
      </c>
      <c r="R95">
        <v>1.7000000000000001E-4</v>
      </c>
    </row>
    <row r="96" spans="1:18" ht="13.8" outlineLevel="2" x14ac:dyDescent="0.25">
      <c r="A96">
        <v>86987</v>
      </c>
      <c r="B96" t="s">
        <v>65</v>
      </c>
      <c r="C96" t="s">
        <v>120</v>
      </c>
      <c r="D96" s="14" t="s">
        <v>67</v>
      </c>
      <c r="E96" s="12" t="s">
        <v>28</v>
      </c>
      <c r="F96" s="13" t="s">
        <v>29</v>
      </c>
      <c r="G96">
        <v>5</v>
      </c>
      <c r="H96" t="s">
        <v>30</v>
      </c>
      <c r="I96">
        <v>5</v>
      </c>
      <c r="J96" s="15"/>
      <c r="K96" s="16">
        <f>1796.16 - (1796.16 * $E$1)</f>
        <v>1796.16</v>
      </c>
      <c r="L96" s="16">
        <f>1472.26 - (1472.26 * $E$1)</f>
        <v>1472.26</v>
      </c>
      <c r="M96" s="1">
        <v>1796.16</v>
      </c>
      <c r="N96" s="1">
        <v>1472.26</v>
      </c>
      <c r="O96" s="1">
        <v>1526.73</v>
      </c>
      <c r="P96" s="1">
        <v>1251.42</v>
      </c>
      <c r="Q96">
        <v>0.24</v>
      </c>
      <c r="R96">
        <v>3.1199999999999999E-4</v>
      </c>
    </row>
    <row r="97" spans="1:18" ht="13.8" outlineLevel="2" x14ac:dyDescent="0.25">
      <c r="A97">
        <v>86990</v>
      </c>
      <c r="B97" t="s">
        <v>65</v>
      </c>
      <c r="C97" t="s">
        <v>121</v>
      </c>
      <c r="D97" s="14" t="s">
        <v>122</v>
      </c>
      <c r="E97" s="12" t="s">
        <v>28</v>
      </c>
      <c r="F97" s="13" t="s">
        <v>29</v>
      </c>
      <c r="G97">
        <v>100</v>
      </c>
      <c r="H97" t="s">
        <v>30</v>
      </c>
      <c r="I97">
        <v>100</v>
      </c>
      <c r="J97" s="15"/>
      <c r="K97" s="16">
        <f>22.79 - (22.79 * $E$1)</f>
        <v>22.79</v>
      </c>
      <c r="L97" s="16">
        <f>18.68 - (18.68 * $E$1)</f>
        <v>18.68</v>
      </c>
      <c r="M97" s="1">
        <v>22.79</v>
      </c>
      <c r="N97" s="1">
        <v>18.68</v>
      </c>
      <c r="O97" s="1">
        <v>19.37</v>
      </c>
      <c r="P97" s="1">
        <v>15.88</v>
      </c>
      <c r="Q97">
        <v>2.5400000000000002E-3</v>
      </c>
      <c r="R97">
        <v>1.9599999999999999E-6</v>
      </c>
    </row>
    <row r="98" spans="1:18" ht="13.8" outlineLevel="2" x14ac:dyDescent="0.25">
      <c r="A98">
        <v>86991</v>
      </c>
      <c r="B98" t="s">
        <v>65</v>
      </c>
      <c r="C98" t="s">
        <v>123</v>
      </c>
      <c r="D98" s="14" t="s">
        <v>122</v>
      </c>
      <c r="E98" s="12" t="s">
        <v>28</v>
      </c>
      <c r="F98" s="13" t="s">
        <v>29</v>
      </c>
      <c r="G98">
        <v>100</v>
      </c>
      <c r="H98" t="s">
        <v>30</v>
      </c>
      <c r="I98">
        <v>100</v>
      </c>
      <c r="J98" s="15"/>
      <c r="K98" s="16">
        <f>22.79 - (22.79 * $E$1)</f>
        <v>22.79</v>
      </c>
      <c r="L98" s="16">
        <f>18.68 - (18.68 * $E$1)</f>
        <v>18.68</v>
      </c>
      <c r="M98" s="1">
        <v>22.79</v>
      </c>
      <c r="N98" s="1">
        <v>18.68</v>
      </c>
      <c r="O98" s="1">
        <v>19.37</v>
      </c>
      <c r="P98" s="1">
        <v>15.88</v>
      </c>
      <c r="Q98">
        <v>2.7200000000000002E-3</v>
      </c>
      <c r="R98">
        <v>1.9599999999999999E-6</v>
      </c>
    </row>
    <row r="99" spans="1:18" ht="13.8" outlineLevel="2" x14ac:dyDescent="0.25">
      <c r="A99">
        <v>86992</v>
      </c>
      <c r="B99" t="s">
        <v>65</v>
      </c>
      <c r="C99" t="s">
        <v>124</v>
      </c>
      <c r="D99" s="14" t="s">
        <v>122</v>
      </c>
      <c r="E99" s="12" t="s">
        <v>28</v>
      </c>
      <c r="F99" s="13" t="s">
        <v>29</v>
      </c>
      <c r="G99">
        <v>100</v>
      </c>
      <c r="H99" t="s">
        <v>30</v>
      </c>
      <c r="I99">
        <v>100</v>
      </c>
      <c r="J99" s="15"/>
      <c r="K99" s="16">
        <f>21.52 - (21.52 * $E$1)</f>
        <v>21.52</v>
      </c>
      <c r="L99" s="16">
        <f>17.64 - (17.64 * $E$1)</f>
        <v>17.64</v>
      </c>
      <c r="M99" s="1">
        <v>21.52</v>
      </c>
      <c r="N99" s="1">
        <v>17.64</v>
      </c>
      <c r="O99" s="1">
        <v>18.29</v>
      </c>
      <c r="P99" s="1">
        <v>14.99</v>
      </c>
      <c r="Q99">
        <v>2.5400000000000002E-3</v>
      </c>
      <c r="R99">
        <v>1.9599999999999999E-6</v>
      </c>
    </row>
    <row r="100" spans="1:18" ht="13.8" outlineLevel="2" x14ac:dyDescent="0.25">
      <c r="A100">
        <v>86993</v>
      </c>
      <c r="B100" t="s">
        <v>65</v>
      </c>
      <c r="C100" t="s">
        <v>125</v>
      </c>
      <c r="D100" s="14" t="s">
        <v>122</v>
      </c>
      <c r="E100" s="12" t="s">
        <v>28</v>
      </c>
      <c r="F100" s="13" t="s">
        <v>29</v>
      </c>
      <c r="G100">
        <v>100</v>
      </c>
      <c r="H100" t="s">
        <v>30</v>
      </c>
      <c r="I100">
        <v>100</v>
      </c>
      <c r="J100" s="15"/>
      <c r="K100" s="16">
        <f>21.52 - (21.52 * $E$1)</f>
        <v>21.52</v>
      </c>
      <c r="L100" s="16">
        <f>17.64 - (17.64 * $E$1)</f>
        <v>17.64</v>
      </c>
      <c r="M100" s="1">
        <v>21.52</v>
      </c>
      <c r="N100" s="1">
        <v>17.64</v>
      </c>
      <c r="O100" s="1">
        <v>18.29</v>
      </c>
      <c r="P100" s="1">
        <v>14.99</v>
      </c>
      <c r="Q100">
        <v>2.4199999999999998E-3</v>
      </c>
      <c r="R100">
        <v>1.9599999999999999E-6</v>
      </c>
    </row>
    <row r="101" spans="1:18" ht="13.8" outlineLevel="2" x14ac:dyDescent="0.25">
      <c r="A101">
        <v>86994</v>
      </c>
      <c r="B101" t="s">
        <v>65</v>
      </c>
      <c r="C101" t="s">
        <v>126</v>
      </c>
      <c r="D101" s="14" t="s">
        <v>122</v>
      </c>
      <c r="E101" s="12" t="s">
        <v>28</v>
      </c>
      <c r="F101" s="13" t="s">
        <v>29</v>
      </c>
      <c r="G101">
        <v>100</v>
      </c>
      <c r="H101" t="s">
        <v>30</v>
      </c>
      <c r="I101">
        <v>100</v>
      </c>
      <c r="J101" s="15"/>
      <c r="K101" s="16">
        <f>25.4 - (25.4 * $E$1)</f>
        <v>25.4</v>
      </c>
      <c r="L101" s="16">
        <f>20.82 - (20.82 * $E$1)</f>
        <v>20.82</v>
      </c>
      <c r="M101" s="1">
        <v>25.4</v>
      </c>
      <c r="N101" s="1">
        <v>20.82</v>
      </c>
      <c r="O101" s="1">
        <v>21.59</v>
      </c>
      <c r="P101" s="1">
        <v>17.7</v>
      </c>
      <c r="Q101">
        <v>3.1900000000000001E-3</v>
      </c>
      <c r="R101">
        <v>2.5600000000000001E-6</v>
      </c>
    </row>
    <row r="102" spans="1:18" ht="13.8" outlineLevel="2" x14ac:dyDescent="0.25">
      <c r="A102">
        <v>86995</v>
      </c>
      <c r="B102" t="s">
        <v>65</v>
      </c>
      <c r="C102" t="s">
        <v>127</v>
      </c>
      <c r="D102" s="14" t="s">
        <v>122</v>
      </c>
      <c r="E102" s="12" t="s">
        <v>28</v>
      </c>
      <c r="F102" s="13" t="s">
        <v>29</v>
      </c>
      <c r="G102">
        <v>100</v>
      </c>
      <c r="H102" t="s">
        <v>30</v>
      </c>
      <c r="I102">
        <v>100</v>
      </c>
      <c r="J102" s="15"/>
      <c r="K102" s="16">
        <f>25.4 - (25.4 * $E$1)</f>
        <v>25.4</v>
      </c>
      <c r="L102" s="16">
        <f>20.82 - (20.82 * $E$1)</f>
        <v>20.82</v>
      </c>
      <c r="M102" s="1">
        <v>25.4</v>
      </c>
      <c r="N102" s="1">
        <v>20.82</v>
      </c>
      <c r="O102" s="1">
        <v>21.59</v>
      </c>
      <c r="P102" s="1">
        <v>17.7</v>
      </c>
      <c r="Q102">
        <v>3.1199999999999999E-3</v>
      </c>
      <c r="R102">
        <v>2.5600000000000001E-6</v>
      </c>
    </row>
    <row r="103" spans="1:18" ht="13.8" outlineLevel="2" x14ac:dyDescent="0.25">
      <c r="A103">
        <v>41487</v>
      </c>
      <c r="B103" t="s">
        <v>65</v>
      </c>
      <c r="C103" t="s">
        <v>128</v>
      </c>
      <c r="D103" s="14" t="s">
        <v>122</v>
      </c>
      <c r="E103" s="12" t="s">
        <v>28</v>
      </c>
      <c r="F103" s="13" t="s">
        <v>29</v>
      </c>
      <c r="G103">
        <v>100</v>
      </c>
      <c r="H103" t="s">
        <v>30</v>
      </c>
      <c r="I103">
        <v>100</v>
      </c>
      <c r="J103" s="15"/>
      <c r="K103" s="16">
        <f>60.27 - (60.27 * $E$1)</f>
        <v>60.27</v>
      </c>
      <c r="L103" s="16">
        <f>49.4 - (49.4 * $E$1)</f>
        <v>49.4</v>
      </c>
      <c r="M103" s="1">
        <v>60.27</v>
      </c>
      <c r="N103" s="1">
        <v>49.4</v>
      </c>
      <c r="O103" s="1">
        <v>51.23</v>
      </c>
      <c r="P103" s="1">
        <v>41.99</v>
      </c>
      <c r="Q103">
        <v>8.9999999999999993E-3</v>
      </c>
      <c r="R103">
        <v>3.9199999999999997E-6</v>
      </c>
    </row>
    <row r="104" spans="1:18" ht="13.8" outlineLevel="2" x14ac:dyDescent="0.25">
      <c r="A104">
        <v>86996</v>
      </c>
      <c r="B104" t="s">
        <v>65</v>
      </c>
      <c r="C104" t="s">
        <v>129</v>
      </c>
      <c r="D104" s="14" t="s">
        <v>122</v>
      </c>
      <c r="E104" s="12" t="s">
        <v>28</v>
      </c>
      <c r="F104" s="13" t="s">
        <v>29</v>
      </c>
      <c r="G104">
        <v>100</v>
      </c>
      <c r="H104" t="s">
        <v>30</v>
      </c>
      <c r="I104">
        <v>100</v>
      </c>
      <c r="J104" s="15"/>
      <c r="K104" s="16">
        <f>60.27 - (60.27 * $E$1)</f>
        <v>60.27</v>
      </c>
      <c r="L104" s="16">
        <f>49.4 - (49.4 * $E$1)</f>
        <v>49.4</v>
      </c>
      <c r="M104" s="1">
        <v>60.27</v>
      </c>
      <c r="N104" s="1">
        <v>49.4</v>
      </c>
      <c r="O104" s="1">
        <v>51.23</v>
      </c>
      <c r="P104" s="1">
        <v>41.99</v>
      </c>
      <c r="Q104">
        <v>8.3000000000000001E-3</v>
      </c>
      <c r="R104">
        <v>4.5000000000000001E-6</v>
      </c>
    </row>
    <row r="105" spans="1:18" ht="13.8" outlineLevel="2" x14ac:dyDescent="0.25">
      <c r="A105">
        <v>41280</v>
      </c>
      <c r="B105" t="s">
        <v>65</v>
      </c>
      <c r="C105" t="s">
        <v>130</v>
      </c>
      <c r="D105" s="14" t="s">
        <v>122</v>
      </c>
      <c r="E105" s="12" t="s">
        <v>28</v>
      </c>
      <c r="F105" s="13" t="s">
        <v>29</v>
      </c>
      <c r="G105">
        <v>100</v>
      </c>
      <c r="H105" t="s">
        <v>30</v>
      </c>
      <c r="I105">
        <v>100</v>
      </c>
      <c r="J105" s="15"/>
      <c r="K105" s="16">
        <f>68.71 - (68.71 * $E$1)</f>
        <v>68.709999999999994</v>
      </c>
      <c r="L105" s="16">
        <f>56.32 - (56.32 * $E$1)</f>
        <v>56.32</v>
      </c>
      <c r="M105" s="1">
        <v>68.709999999999994</v>
      </c>
      <c r="N105" s="1">
        <v>56.32</v>
      </c>
      <c r="O105" s="1">
        <v>58.4</v>
      </c>
      <c r="P105" s="1">
        <v>47.87</v>
      </c>
      <c r="Q105">
        <v>9.2399999999999999E-3</v>
      </c>
      <c r="R105">
        <v>1.1250000000000001E-5</v>
      </c>
    </row>
    <row r="106" spans="1:18" ht="13.8" outlineLevel="2" x14ac:dyDescent="0.25">
      <c r="A106">
        <v>43030</v>
      </c>
      <c r="B106" t="s">
        <v>65</v>
      </c>
      <c r="C106" t="s">
        <v>131</v>
      </c>
      <c r="D106" s="14" t="s">
        <v>122</v>
      </c>
      <c r="E106" s="12" t="s">
        <v>28</v>
      </c>
      <c r="F106" s="13" t="s">
        <v>29</v>
      </c>
      <c r="G106">
        <v>100</v>
      </c>
      <c r="H106" t="s">
        <v>30</v>
      </c>
      <c r="I106">
        <v>100</v>
      </c>
      <c r="J106" s="15"/>
      <c r="K106" s="16">
        <f>68.71 - (68.71 * $E$1)</f>
        <v>68.709999999999994</v>
      </c>
      <c r="L106" s="16">
        <f>56.32 - (56.32 * $E$1)</f>
        <v>56.32</v>
      </c>
      <c r="M106" s="1">
        <v>68.709999999999994</v>
      </c>
      <c r="N106" s="1">
        <v>56.32</v>
      </c>
      <c r="O106" s="1">
        <v>58.4</v>
      </c>
      <c r="P106" s="1">
        <v>47.87</v>
      </c>
      <c r="Q106">
        <v>0.01</v>
      </c>
      <c r="R106">
        <v>1.1250000000000001E-5</v>
      </c>
    </row>
    <row r="107" spans="1:18" ht="13.8" outlineLevel="2" x14ac:dyDescent="0.25">
      <c r="A107">
        <v>41486</v>
      </c>
      <c r="B107" t="s">
        <v>65</v>
      </c>
      <c r="C107" t="s">
        <v>132</v>
      </c>
      <c r="D107" s="14" t="s">
        <v>122</v>
      </c>
      <c r="E107" s="12" t="s">
        <v>28</v>
      </c>
      <c r="F107" s="13" t="s">
        <v>29</v>
      </c>
      <c r="G107">
        <v>100</v>
      </c>
      <c r="H107" t="s">
        <v>30</v>
      </c>
      <c r="I107">
        <v>100</v>
      </c>
      <c r="J107" s="15"/>
      <c r="K107" s="16">
        <f>86.11 - (86.11 * $E$1)</f>
        <v>86.11</v>
      </c>
      <c r="L107" s="16">
        <f>70.58 - (70.58 * $E$1)</f>
        <v>70.58</v>
      </c>
      <c r="M107" s="1">
        <v>86.11</v>
      </c>
      <c r="N107" s="1">
        <v>70.58</v>
      </c>
      <c r="O107" s="1">
        <v>73.19</v>
      </c>
      <c r="P107" s="1">
        <v>59.99</v>
      </c>
      <c r="Q107">
        <v>1.32E-2</v>
      </c>
      <c r="R107">
        <v>1.1250000000000001E-5</v>
      </c>
    </row>
    <row r="108" spans="1:18" ht="13.8" outlineLevel="2" x14ac:dyDescent="0.25">
      <c r="A108">
        <v>41281</v>
      </c>
      <c r="B108" t="s">
        <v>65</v>
      </c>
      <c r="C108" t="s">
        <v>133</v>
      </c>
      <c r="D108" s="14" t="s">
        <v>122</v>
      </c>
      <c r="E108" s="12" t="s">
        <v>28</v>
      </c>
      <c r="F108" s="13" t="s">
        <v>29</v>
      </c>
      <c r="G108">
        <v>100</v>
      </c>
      <c r="H108" t="s">
        <v>30</v>
      </c>
      <c r="I108">
        <v>100</v>
      </c>
      <c r="J108" s="15"/>
      <c r="K108" s="16">
        <f>86.11 - (86.11 * $E$1)</f>
        <v>86.11</v>
      </c>
      <c r="L108" s="16">
        <f>70.58 - (70.58 * $E$1)</f>
        <v>70.58</v>
      </c>
      <c r="M108" s="1">
        <v>86.11</v>
      </c>
      <c r="N108" s="1">
        <v>70.58</v>
      </c>
      <c r="O108" s="1">
        <v>73.19</v>
      </c>
      <c r="P108" s="1">
        <v>59.99</v>
      </c>
      <c r="Q108">
        <v>1.286E-2</v>
      </c>
      <c r="R108">
        <v>1.4E-5</v>
      </c>
    </row>
    <row r="109" spans="1:18" ht="13.8" outlineLevel="2" x14ac:dyDescent="0.25">
      <c r="A109">
        <v>86997</v>
      </c>
      <c r="B109" t="s">
        <v>65</v>
      </c>
      <c r="C109" t="s">
        <v>134</v>
      </c>
      <c r="D109" s="14" t="s">
        <v>122</v>
      </c>
      <c r="E109" s="12" t="s">
        <v>28</v>
      </c>
      <c r="F109" s="13" t="s">
        <v>29</v>
      </c>
      <c r="G109">
        <v>100</v>
      </c>
      <c r="H109" t="s">
        <v>30</v>
      </c>
      <c r="I109">
        <v>100</v>
      </c>
      <c r="J109" s="15"/>
      <c r="K109" s="16">
        <f>104.97 - (104.97 * $E$1)</f>
        <v>104.97</v>
      </c>
      <c r="L109" s="16">
        <f>86.04 - (86.04 * $E$1)</f>
        <v>86.04</v>
      </c>
      <c r="M109" s="1">
        <v>104.97</v>
      </c>
      <c r="N109" s="1">
        <v>86.04</v>
      </c>
      <c r="O109" s="1">
        <v>89.22</v>
      </c>
      <c r="P109" s="1">
        <v>73.13</v>
      </c>
      <c r="Q109">
        <v>1.5879999999999998E-2</v>
      </c>
      <c r="R109">
        <v>8.6400000000000003E-6</v>
      </c>
    </row>
    <row r="110" spans="1:18" ht="13.8" outlineLevel="2" x14ac:dyDescent="0.25">
      <c r="A110">
        <v>86998</v>
      </c>
      <c r="B110" t="s">
        <v>65</v>
      </c>
      <c r="C110" t="s">
        <v>135</v>
      </c>
      <c r="D110" s="14" t="s">
        <v>122</v>
      </c>
      <c r="E110" s="12" t="s">
        <v>28</v>
      </c>
      <c r="F110" s="13" t="s">
        <v>29</v>
      </c>
      <c r="G110">
        <v>100</v>
      </c>
      <c r="H110" t="s">
        <v>30</v>
      </c>
      <c r="I110">
        <v>100</v>
      </c>
      <c r="J110" s="15"/>
      <c r="K110" s="16">
        <f>104.97 - (104.97 * $E$1)</f>
        <v>104.97</v>
      </c>
      <c r="L110" s="16">
        <f>86.04 - (86.04 * $E$1)</f>
        <v>86.04</v>
      </c>
      <c r="M110" s="1">
        <v>104.97</v>
      </c>
      <c r="N110" s="1">
        <v>86.04</v>
      </c>
      <c r="O110" s="1">
        <v>89.22</v>
      </c>
      <c r="P110" s="1">
        <v>73.13</v>
      </c>
      <c r="Q110">
        <v>1.541E-2</v>
      </c>
      <c r="R110">
        <v>8.6400000000000003E-6</v>
      </c>
    </row>
    <row r="111" spans="1:18" ht="13.8" outlineLevel="2" x14ac:dyDescent="0.25">
      <c r="A111">
        <v>41282</v>
      </c>
      <c r="B111" t="s">
        <v>65</v>
      </c>
      <c r="C111" t="s">
        <v>136</v>
      </c>
      <c r="D111" s="14" t="s">
        <v>122</v>
      </c>
      <c r="E111" s="12" t="s">
        <v>28</v>
      </c>
      <c r="F111" s="13" t="s">
        <v>29</v>
      </c>
      <c r="G111">
        <v>100</v>
      </c>
      <c r="H111" t="s">
        <v>30</v>
      </c>
      <c r="I111">
        <v>100</v>
      </c>
      <c r="J111" s="15"/>
      <c r="K111" s="16">
        <f>140.95 - (140.95 * $E$1)</f>
        <v>140.94999999999999</v>
      </c>
      <c r="L111" s="16">
        <f>115.53 - (115.53 * $E$1)</f>
        <v>115.53</v>
      </c>
      <c r="M111" s="1">
        <v>140.94999999999999</v>
      </c>
      <c r="N111" s="1">
        <v>115.53</v>
      </c>
      <c r="O111" s="1">
        <v>119.8</v>
      </c>
      <c r="P111" s="1">
        <v>98.2</v>
      </c>
      <c r="Q111">
        <v>2.24E-2</v>
      </c>
      <c r="R111">
        <v>2.2500000000000001E-5</v>
      </c>
    </row>
    <row r="112" spans="1:18" ht="13.8" outlineLevel="2" x14ac:dyDescent="0.25">
      <c r="A112">
        <v>86999</v>
      </c>
      <c r="B112" t="s">
        <v>65</v>
      </c>
      <c r="C112" t="s">
        <v>137</v>
      </c>
      <c r="D112" s="14" t="s">
        <v>122</v>
      </c>
      <c r="E112" s="12" t="s">
        <v>28</v>
      </c>
      <c r="F112" s="13" t="s">
        <v>29</v>
      </c>
      <c r="G112">
        <v>100</v>
      </c>
      <c r="H112" t="s">
        <v>30</v>
      </c>
      <c r="I112">
        <v>100</v>
      </c>
      <c r="J112" s="15"/>
      <c r="K112" s="16">
        <f>161.56 - (161.56 * $E$1)</f>
        <v>161.56</v>
      </c>
      <c r="L112" s="16">
        <f>132.43 - (132.43 * $E$1)</f>
        <v>132.43</v>
      </c>
      <c r="M112" s="1">
        <v>161.56</v>
      </c>
      <c r="N112" s="1">
        <v>132.43</v>
      </c>
      <c r="O112" s="1">
        <v>137.33000000000001</v>
      </c>
      <c r="P112" s="1">
        <v>112.57</v>
      </c>
      <c r="Q112">
        <v>2.5010000000000001E-2</v>
      </c>
      <c r="R112">
        <v>1.47E-5</v>
      </c>
    </row>
    <row r="113" spans="1:18" ht="13.8" outlineLevel="2" x14ac:dyDescent="0.25">
      <c r="A113">
        <v>42845</v>
      </c>
      <c r="B113" t="s">
        <v>65</v>
      </c>
      <c r="C113" t="s">
        <v>138</v>
      </c>
      <c r="D113" s="14" t="s">
        <v>122</v>
      </c>
      <c r="E113" s="12" t="s">
        <v>28</v>
      </c>
      <c r="F113" s="13" t="s">
        <v>29</v>
      </c>
      <c r="G113">
        <v>100</v>
      </c>
      <c r="H113" t="s">
        <v>30</v>
      </c>
      <c r="I113">
        <v>100</v>
      </c>
      <c r="J113" s="15"/>
      <c r="K113" s="16">
        <f>140.95 - (140.95 * $E$1)</f>
        <v>140.94999999999999</v>
      </c>
      <c r="L113" s="16">
        <f>115.53 - (115.53 * $E$1)</f>
        <v>115.53</v>
      </c>
      <c r="M113" s="1">
        <v>140.94999999999999</v>
      </c>
      <c r="N113" s="1">
        <v>115.53</v>
      </c>
      <c r="O113" s="1">
        <v>119.8</v>
      </c>
      <c r="P113" s="1">
        <v>98.2</v>
      </c>
      <c r="Q113">
        <v>2.1600000000000001E-2</v>
      </c>
      <c r="R113">
        <v>2.2500000000000001E-5</v>
      </c>
    </row>
    <row r="114" spans="1:18" ht="13.8" outlineLevel="2" x14ac:dyDescent="0.25">
      <c r="A114">
        <v>87000</v>
      </c>
      <c r="B114" t="s">
        <v>65</v>
      </c>
      <c r="C114" t="s">
        <v>139</v>
      </c>
      <c r="D114" s="14" t="s">
        <v>122</v>
      </c>
      <c r="E114" s="12" t="s">
        <v>28</v>
      </c>
      <c r="F114" s="13" t="s">
        <v>29</v>
      </c>
      <c r="G114">
        <v>100</v>
      </c>
      <c r="H114" t="s">
        <v>30</v>
      </c>
      <c r="I114">
        <v>100</v>
      </c>
      <c r="J114" s="15"/>
      <c r="K114" s="16">
        <f>161.56 - (161.56 * $E$1)</f>
        <v>161.56</v>
      </c>
      <c r="L114" s="16">
        <f>132.43 - (132.43 * $E$1)</f>
        <v>132.43</v>
      </c>
      <c r="M114" s="1">
        <v>161.56</v>
      </c>
      <c r="N114" s="1">
        <v>132.43</v>
      </c>
      <c r="O114" s="1">
        <v>137.33000000000001</v>
      </c>
      <c r="P114" s="1">
        <v>112.57</v>
      </c>
      <c r="Q114">
        <v>2.4369999999999999E-2</v>
      </c>
      <c r="R114">
        <v>1.47E-5</v>
      </c>
    </row>
    <row r="115" spans="1:18" ht="13.8" outlineLevel="2" x14ac:dyDescent="0.25">
      <c r="A115">
        <v>41283</v>
      </c>
      <c r="B115" t="s">
        <v>65</v>
      </c>
      <c r="C115" t="s">
        <v>140</v>
      </c>
      <c r="D115" s="14" t="s">
        <v>122</v>
      </c>
      <c r="E115" s="12" t="s">
        <v>28</v>
      </c>
      <c r="F115" s="13" t="s">
        <v>29</v>
      </c>
      <c r="G115">
        <v>100</v>
      </c>
      <c r="H115" t="s">
        <v>30</v>
      </c>
      <c r="I115">
        <v>100</v>
      </c>
      <c r="J115" s="15"/>
      <c r="K115" s="16">
        <f>176.17 - (176.17 * $E$1)</f>
        <v>176.17</v>
      </c>
      <c r="L115" s="16">
        <f>144.4 - (144.4 * $E$1)</f>
        <v>144.4</v>
      </c>
      <c r="M115" s="1">
        <v>176.17</v>
      </c>
      <c r="N115" s="1">
        <v>144.4</v>
      </c>
      <c r="O115" s="1">
        <v>149.74</v>
      </c>
      <c r="P115" s="1">
        <v>122.74</v>
      </c>
      <c r="Q115">
        <v>2.8899999999999999E-2</v>
      </c>
      <c r="R115">
        <v>2.2500000000000001E-5</v>
      </c>
    </row>
    <row r="116" spans="1:18" ht="13.8" outlineLevel="2" x14ac:dyDescent="0.25">
      <c r="A116">
        <v>41441</v>
      </c>
      <c r="B116" t="s">
        <v>65</v>
      </c>
      <c r="C116" t="s">
        <v>141</v>
      </c>
      <c r="D116" s="14" t="s">
        <v>122</v>
      </c>
      <c r="E116" s="12" t="s">
        <v>28</v>
      </c>
      <c r="F116" s="13" t="s">
        <v>29</v>
      </c>
      <c r="G116">
        <v>100</v>
      </c>
      <c r="H116" t="s">
        <v>30</v>
      </c>
      <c r="I116">
        <v>100</v>
      </c>
      <c r="J116" s="15"/>
      <c r="K116" s="16">
        <f>176.17 - (176.17 * $E$1)</f>
        <v>176.17</v>
      </c>
      <c r="L116" s="16">
        <f>144.4 - (144.4 * $E$1)</f>
        <v>144.4</v>
      </c>
      <c r="M116" s="1">
        <v>176.17</v>
      </c>
      <c r="N116" s="1">
        <v>144.4</v>
      </c>
      <c r="O116" s="1">
        <v>149.74</v>
      </c>
      <c r="P116" s="1">
        <v>122.74</v>
      </c>
      <c r="Q116">
        <v>2.7439999999999999E-2</v>
      </c>
      <c r="R116">
        <v>1.3859999999999999E-5</v>
      </c>
    </row>
    <row r="117" spans="1:18" ht="13.8" outlineLevel="2" x14ac:dyDescent="0.25">
      <c r="A117">
        <v>41284</v>
      </c>
      <c r="B117" t="s">
        <v>65</v>
      </c>
      <c r="C117" t="s">
        <v>142</v>
      </c>
      <c r="D117" s="14" t="s">
        <v>122</v>
      </c>
      <c r="E117" s="12" t="s">
        <v>28</v>
      </c>
      <c r="F117" s="13" t="s">
        <v>29</v>
      </c>
      <c r="G117">
        <v>50</v>
      </c>
      <c r="H117" t="s">
        <v>30</v>
      </c>
      <c r="I117">
        <v>50</v>
      </c>
      <c r="J117" s="15"/>
      <c r="K117" s="16">
        <f>203.3 - (203.3 * $E$1)</f>
        <v>203.3</v>
      </c>
      <c r="L117" s="16">
        <f>166.64 - (166.64 * $E$1)</f>
        <v>166.64</v>
      </c>
      <c r="M117" s="1">
        <v>203.3</v>
      </c>
      <c r="N117" s="1">
        <v>166.64</v>
      </c>
      <c r="O117" s="1">
        <v>172.81</v>
      </c>
      <c r="P117" s="1">
        <v>141.63999999999999</v>
      </c>
      <c r="Q117">
        <v>3.2000000000000001E-2</v>
      </c>
      <c r="R117">
        <v>2.5999999999999998E-5</v>
      </c>
    </row>
    <row r="118" spans="1:18" ht="13.8" outlineLevel="2" x14ac:dyDescent="0.25">
      <c r="A118">
        <v>42586</v>
      </c>
      <c r="B118" t="s">
        <v>65</v>
      </c>
      <c r="C118" t="s">
        <v>143</v>
      </c>
      <c r="D118" s="14" t="s">
        <v>122</v>
      </c>
      <c r="E118" s="12" t="s">
        <v>28</v>
      </c>
      <c r="F118" s="13" t="s">
        <v>29</v>
      </c>
      <c r="G118">
        <v>50</v>
      </c>
      <c r="H118" t="s">
        <v>30</v>
      </c>
      <c r="I118">
        <v>50</v>
      </c>
      <c r="J118" s="15"/>
      <c r="K118" s="16">
        <f>203.3 - (203.3 * $E$1)</f>
        <v>203.3</v>
      </c>
      <c r="L118" s="16">
        <f>166.64 - (166.64 * $E$1)</f>
        <v>166.64</v>
      </c>
      <c r="M118" s="1">
        <v>203.3</v>
      </c>
      <c r="N118" s="1">
        <v>166.64</v>
      </c>
      <c r="O118" s="1">
        <v>172.81</v>
      </c>
      <c r="P118" s="1">
        <v>141.63999999999999</v>
      </c>
      <c r="Q118">
        <v>3.2399999999999998E-2</v>
      </c>
      <c r="R118">
        <v>2.2500000000000001E-5</v>
      </c>
    </row>
    <row r="119" spans="1:18" ht="13.8" outlineLevel="2" x14ac:dyDescent="0.25">
      <c r="A119">
        <v>41286</v>
      </c>
      <c r="B119" t="s">
        <v>65</v>
      </c>
      <c r="C119" t="s">
        <v>144</v>
      </c>
      <c r="D119" s="14" t="s">
        <v>122</v>
      </c>
      <c r="E119" s="12" t="s">
        <v>28</v>
      </c>
      <c r="F119" s="13" t="s">
        <v>29</v>
      </c>
      <c r="G119">
        <v>25</v>
      </c>
      <c r="H119" t="s">
        <v>30</v>
      </c>
      <c r="I119">
        <v>25</v>
      </c>
      <c r="J119" s="15"/>
      <c r="K119" s="16">
        <f>353.89 - (353.89 * $E$1)</f>
        <v>353.89</v>
      </c>
      <c r="L119" s="16">
        <f>290.07 - (290.07 * $E$1)</f>
        <v>290.07</v>
      </c>
      <c r="M119" s="1">
        <v>353.89</v>
      </c>
      <c r="N119" s="1">
        <v>290.07</v>
      </c>
      <c r="O119" s="1">
        <v>300.8</v>
      </c>
      <c r="P119" s="1">
        <v>246.56</v>
      </c>
      <c r="Q119">
        <v>6.2E-2</v>
      </c>
      <c r="R119">
        <v>4.5000000000000003E-5</v>
      </c>
    </row>
    <row r="120" spans="1:18" ht="13.8" outlineLevel="2" x14ac:dyDescent="0.25">
      <c r="A120">
        <v>41442</v>
      </c>
      <c r="B120" t="s">
        <v>65</v>
      </c>
      <c r="C120" t="s">
        <v>145</v>
      </c>
      <c r="D120" s="14" t="s">
        <v>122</v>
      </c>
      <c r="E120" s="12" t="s">
        <v>28</v>
      </c>
      <c r="F120" s="13" t="s">
        <v>29</v>
      </c>
      <c r="G120">
        <v>25</v>
      </c>
      <c r="H120" t="s">
        <v>30</v>
      </c>
      <c r="I120">
        <v>25</v>
      </c>
      <c r="J120" s="15"/>
      <c r="K120" s="16">
        <f>353.89 - (353.89 * $E$1)</f>
        <v>353.89</v>
      </c>
      <c r="L120" s="16">
        <f>290.07 - (290.07 * $E$1)</f>
        <v>290.07</v>
      </c>
      <c r="M120" s="1">
        <v>353.89</v>
      </c>
      <c r="N120" s="1">
        <v>290.07</v>
      </c>
      <c r="O120" s="1">
        <v>300.8</v>
      </c>
      <c r="P120" s="1">
        <v>246.56</v>
      </c>
      <c r="Q120">
        <v>6.2E-2</v>
      </c>
      <c r="R120">
        <v>4.5000000000000003E-5</v>
      </c>
    </row>
    <row r="121" spans="1:18" ht="13.8" outlineLevel="2" x14ac:dyDescent="0.25">
      <c r="A121">
        <v>41291</v>
      </c>
      <c r="B121" t="s">
        <v>65</v>
      </c>
      <c r="C121" t="s">
        <v>146</v>
      </c>
      <c r="D121" s="14" t="s">
        <v>122</v>
      </c>
      <c r="E121" s="12" t="s">
        <v>28</v>
      </c>
      <c r="F121" s="13" t="s">
        <v>29</v>
      </c>
      <c r="G121">
        <v>25</v>
      </c>
      <c r="H121" t="s">
        <v>30</v>
      </c>
      <c r="I121">
        <v>25</v>
      </c>
      <c r="J121" s="15"/>
      <c r="K121" s="16">
        <f>533.48 - (533.48 * $E$1)</f>
        <v>533.48</v>
      </c>
      <c r="L121" s="16">
        <f>437.28 - (437.28 * $E$1)</f>
        <v>437.28</v>
      </c>
      <c r="M121" s="1">
        <v>533.48</v>
      </c>
      <c r="N121" s="1">
        <v>437.28</v>
      </c>
      <c r="O121" s="1">
        <v>453.46</v>
      </c>
      <c r="P121" s="1">
        <v>371.69</v>
      </c>
      <c r="Q121">
        <v>0.09</v>
      </c>
      <c r="R121">
        <v>9.0000000000000006E-5</v>
      </c>
    </row>
    <row r="122" spans="1:18" ht="13.8" outlineLevel="2" x14ac:dyDescent="0.25">
      <c r="A122">
        <v>47245</v>
      </c>
      <c r="B122" t="s">
        <v>65</v>
      </c>
      <c r="C122" t="s">
        <v>147</v>
      </c>
      <c r="D122" s="14" t="s">
        <v>122</v>
      </c>
      <c r="E122" s="12" t="s">
        <v>28</v>
      </c>
      <c r="F122" s="13" t="s">
        <v>29</v>
      </c>
      <c r="G122">
        <v>25</v>
      </c>
      <c r="H122" t="s">
        <v>30</v>
      </c>
      <c r="I122">
        <v>25</v>
      </c>
      <c r="J122" s="15"/>
      <c r="K122" s="16">
        <f>533.48 - (533.48 * $E$1)</f>
        <v>533.48</v>
      </c>
      <c r="L122" s="16">
        <f>437.28 - (437.28 * $E$1)</f>
        <v>437.28</v>
      </c>
      <c r="M122" s="1">
        <v>533.48</v>
      </c>
      <c r="N122" s="1">
        <v>437.28</v>
      </c>
      <c r="O122" s="1">
        <v>453.46</v>
      </c>
      <c r="P122" s="1">
        <v>371.69</v>
      </c>
      <c r="Q122">
        <v>0.09</v>
      </c>
      <c r="R122">
        <v>9.0000000000000006E-5</v>
      </c>
    </row>
    <row r="123" spans="1:18" ht="13.8" outlineLevel="2" x14ac:dyDescent="0.25">
      <c r="A123">
        <v>41294</v>
      </c>
      <c r="B123" t="s">
        <v>65</v>
      </c>
      <c r="C123" t="s">
        <v>148</v>
      </c>
      <c r="D123" s="14" t="s">
        <v>122</v>
      </c>
      <c r="E123" s="12" t="s">
        <v>28</v>
      </c>
      <c r="F123" s="13" t="s">
        <v>29</v>
      </c>
      <c r="G123">
        <v>25</v>
      </c>
      <c r="H123" t="s">
        <v>30</v>
      </c>
      <c r="I123">
        <v>25</v>
      </c>
      <c r="J123" s="15"/>
      <c r="K123" s="16">
        <f>791.89 - (791.89 * $E$1)</f>
        <v>791.89</v>
      </c>
      <c r="L123" s="16">
        <f>649.09 - (649.09 * $E$1)</f>
        <v>649.09</v>
      </c>
      <c r="M123" s="1">
        <v>791.89</v>
      </c>
      <c r="N123" s="1">
        <v>649.09</v>
      </c>
      <c r="O123" s="1">
        <v>673.11</v>
      </c>
      <c r="P123" s="1">
        <v>551.73</v>
      </c>
      <c r="Q123">
        <v>0.12792000000000001</v>
      </c>
      <c r="R123">
        <v>8.5680000000000006E-5</v>
      </c>
    </row>
    <row r="124" spans="1:18" ht="13.8" outlineLevel="2" x14ac:dyDescent="0.25">
      <c r="A124">
        <v>41503</v>
      </c>
      <c r="B124" t="s">
        <v>65</v>
      </c>
      <c r="C124" t="s">
        <v>149</v>
      </c>
      <c r="D124" s="14" t="s">
        <v>122</v>
      </c>
      <c r="E124" s="12" t="s">
        <v>28</v>
      </c>
      <c r="F124" s="13" t="s">
        <v>29</v>
      </c>
      <c r="G124">
        <v>25</v>
      </c>
      <c r="H124" t="s">
        <v>30</v>
      </c>
      <c r="I124">
        <v>25</v>
      </c>
      <c r="J124" s="15"/>
      <c r="K124" s="16">
        <f>791.89 - (791.89 * $E$1)</f>
        <v>791.89</v>
      </c>
      <c r="L124" s="16">
        <f>649.09 - (649.09 * $E$1)</f>
        <v>649.09</v>
      </c>
      <c r="M124" s="1">
        <v>791.89</v>
      </c>
      <c r="N124" s="1">
        <v>649.09</v>
      </c>
      <c r="O124" s="1">
        <v>673.11</v>
      </c>
      <c r="P124" s="1">
        <v>551.73</v>
      </c>
      <c r="Q124">
        <v>0.12232</v>
      </c>
      <c r="R124">
        <v>8.5680000000000006E-5</v>
      </c>
    </row>
    <row r="125" spans="1:18" ht="13.8" outlineLevel="2" x14ac:dyDescent="0.25">
      <c r="A125">
        <v>87001</v>
      </c>
      <c r="B125" t="s">
        <v>65</v>
      </c>
      <c r="C125" t="s">
        <v>150</v>
      </c>
      <c r="D125" s="14" t="s">
        <v>122</v>
      </c>
      <c r="E125" s="12" t="s">
        <v>28</v>
      </c>
      <c r="F125" s="13" t="s">
        <v>29</v>
      </c>
      <c r="G125">
        <v>25</v>
      </c>
      <c r="H125" t="s">
        <v>30</v>
      </c>
      <c r="I125">
        <v>25</v>
      </c>
      <c r="J125" s="15"/>
      <c r="K125" s="16">
        <f>994.47 - (994.47 * $E$1)</f>
        <v>994.47</v>
      </c>
      <c r="L125" s="16">
        <f>815.14 - (815.14 * $E$1)</f>
        <v>815.14</v>
      </c>
      <c r="M125" s="1">
        <v>994.47</v>
      </c>
      <c r="N125" s="1">
        <v>815.14</v>
      </c>
      <c r="O125" s="1">
        <v>845.3</v>
      </c>
      <c r="P125" s="1">
        <v>692.87</v>
      </c>
      <c r="Q125">
        <v>0.14988000000000001</v>
      </c>
      <c r="R125">
        <v>1.44E-4</v>
      </c>
    </row>
    <row r="126" spans="1:18" ht="13.8" outlineLevel="2" x14ac:dyDescent="0.25">
      <c r="A126">
        <v>41443</v>
      </c>
      <c r="B126" t="s">
        <v>65</v>
      </c>
      <c r="C126" t="s">
        <v>151</v>
      </c>
      <c r="D126" s="14" t="s">
        <v>122</v>
      </c>
      <c r="E126" s="12" t="s">
        <v>28</v>
      </c>
      <c r="F126" s="13" t="s">
        <v>29</v>
      </c>
      <c r="G126">
        <v>25</v>
      </c>
      <c r="H126" t="s">
        <v>30</v>
      </c>
      <c r="I126">
        <v>25</v>
      </c>
      <c r="J126" s="15"/>
      <c r="K126" s="16">
        <f>994.47 - (994.47 * $E$1)</f>
        <v>994.47</v>
      </c>
      <c r="L126" s="16">
        <f>815.14 - (815.14 * $E$1)</f>
        <v>815.14</v>
      </c>
      <c r="M126" s="1">
        <v>994.47</v>
      </c>
      <c r="N126" s="1">
        <v>815.14</v>
      </c>
      <c r="O126" s="1">
        <v>845.3</v>
      </c>
      <c r="P126" s="1">
        <v>692.87</v>
      </c>
      <c r="Q126">
        <v>0.14335999999999999</v>
      </c>
      <c r="R126">
        <v>1.1616E-4</v>
      </c>
    </row>
    <row r="127" spans="1:18" ht="13.8" outlineLevel="2" x14ac:dyDescent="0.25">
      <c r="A127">
        <v>41300</v>
      </c>
      <c r="B127" t="s">
        <v>65</v>
      </c>
      <c r="C127" t="s">
        <v>152</v>
      </c>
      <c r="D127" s="14" t="s">
        <v>122</v>
      </c>
      <c r="E127" s="12" t="s">
        <v>28</v>
      </c>
      <c r="F127" s="13" t="s">
        <v>29</v>
      </c>
      <c r="G127">
        <v>10</v>
      </c>
      <c r="H127" t="s">
        <v>30</v>
      </c>
      <c r="I127">
        <v>10</v>
      </c>
      <c r="J127" s="15"/>
      <c r="K127" s="16">
        <f>1551.34 - (1551.34 * $E$1)</f>
        <v>1551.34</v>
      </c>
      <c r="L127" s="16">
        <f>1271.59 - (1271.59 * $E$1)</f>
        <v>1271.5899999999999</v>
      </c>
      <c r="M127" s="1">
        <v>1551.34</v>
      </c>
      <c r="N127" s="1">
        <v>1271.5899999999999</v>
      </c>
      <c r="O127" s="1">
        <v>1318.64</v>
      </c>
      <c r="P127" s="1">
        <v>1080.8499999999999</v>
      </c>
      <c r="Q127">
        <v>0.25180000000000002</v>
      </c>
      <c r="R127">
        <v>1.8900000000000001E-4</v>
      </c>
    </row>
    <row r="128" spans="1:18" ht="13.8" outlineLevel="2" x14ac:dyDescent="0.25">
      <c r="A128">
        <v>47182</v>
      </c>
      <c r="B128" t="s">
        <v>65</v>
      </c>
      <c r="C128" t="s">
        <v>153</v>
      </c>
      <c r="D128" s="14" t="s">
        <v>122</v>
      </c>
      <c r="E128" s="12" t="s">
        <v>28</v>
      </c>
      <c r="F128" s="13" t="s">
        <v>29</v>
      </c>
      <c r="G128">
        <v>10</v>
      </c>
      <c r="H128" t="s">
        <v>30</v>
      </c>
      <c r="I128">
        <v>10</v>
      </c>
      <c r="J128" s="15"/>
      <c r="K128" s="16">
        <f>1551.34 - (1551.34 * $E$1)</f>
        <v>1551.34</v>
      </c>
      <c r="L128" s="16">
        <f>1271.59 - (1271.59 * $E$1)</f>
        <v>1271.5899999999999</v>
      </c>
      <c r="M128" s="1">
        <v>1551.34</v>
      </c>
      <c r="N128" s="1">
        <v>1271.5899999999999</v>
      </c>
      <c r="O128" s="1">
        <v>1318.64</v>
      </c>
      <c r="P128" s="1">
        <v>1080.8499999999999</v>
      </c>
      <c r="Q128">
        <v>0.2442</v>
      </c>
      <c r="R128">
        <v>2.1000000000000001E-4</v>
      </c>
    </row>
    <row r="129" spans="1:18" ht="13.8" outlineLevel="2" x14ac:dyDescent="0.25">
      <c r="A129">
        <v>87002</v>
      </c>
      <c r="B129" t="s">
        <v>65</v>
      </c>
      <c r="C129" t="s">
        <v>154</v>
      </c>
      <c r="D129" s="14" t="s">
        <v>122</v>
      </c>
      <c r="E129" s="12" t="s">
        <v>28</v>
      </c>
      <c r="F129" s="13" t="s">
        <v>29</v>
      </c>
      <c r="G129">
        <v>5</v>
      </c>
      <c r="H129" t="s">
        <v>30</v>
      </c>
      <c r="I129">
        <v>5</v>
      </c>
      <c r="J129" s="15"/>
      <c r="K129" s="16">
        <f>1617.04 - (1617.04 * $E$1)</f>
        <v>1617.04</v>
      </c>
      <c r="L129" s="16">
        <f>1325.44 - (1325.44 * $E$1)</f>
        <v>1325.44</v>
      </c>
      <c r="M129" s="1">
        <v>1617.04</v>
      </c>
      <c r="N129" s="1">
        <v>1325.44</v>
      </c>
      <c r="O129" s="1">
        <v>1374.48</v>
      </c>
      <c r="P129" s="1">
        <v>1126.6199999999999</v>
      </c>
      <c r="Q129">
        <v>0.24</v>
      </c>
      <c r="R129">
        <v>3.1199999999999999E-4</v>
      </c>
    </row>
    <row r="130" spans="1:18" ht="13.8" outlineLevel="2" x14ac:dyDescent="0.25">
      <c r="A130">
        <v>58649</v>
      </c>
      <c r="B130" t="s">
        <v>65</v>
      </c>
      <c r="C130" t="s">
        <v>155</v>
      </c>
      <c r="D130" s="14" t="s">
        <v>156</v>
      </c>
      <c r="E130" s="12" t="s">
        <v>28</v>
      </c>
      <c r="F130" s="13" t="s">
        <v>29</v>
      </c>
      <c r="G130">
        <v>100</v>
      </c>
      <c r="H130" t="s">
        <v>30</v>
      </c>
      <c r="I130">
        <v>100</v>
      </c>
      <c r="J130" s="15"/>
      <c r="K130" s="16">
        <f>33.46 - (33.46 * $E$1)</f>
        <v>33.46</v>
      </c>
      <c r="L130" s="16">
        <f>27.43 - (27.43 * $E$1)</f>
        <v>27.43</v>
      </c>
      <c r="M130" s="1">
        <v>33.46</v>
      </c>
      <c r="N130" s="1">
        <v>27.43</v>
      </c>
      <c r="O130" s="1">
        <v>28.44</v>
      </c>
      <c r="P130" s="1">
        <v>23.32</v>
      </c>
      <c r="Q130">
        <v>2.6800000000000001E-3</v>
      </c>
      <c r="R130">
        <v>2.9699999999999999E-6</v>
      </c>
    </row>
    <row r="131" spans="1:18" ht="13.8" outlineLevel="2" x14ac:dyDescent="0.25">
      <c r="A131">
        <v>58650</v>
      </c>
      <c r="B131" t="s">
        <v>65</v>
      </c>
      <c r="C131" t="s">
        <v>157</v>
      </c>
      <c r="D131" s="14" t="s">
        <v>156</v>
      </c>
      <c r="E131" s="12" t="s">
        <v>28</v>
      </c>
      <c r="F131" s="13" t="s">
        <v>29</v>
      </c>
      <c r="G131">
        <v>100</v>
      </c>
      <c r="H131" t="s">
        <v>30</v>
      </c>
      <c r="I131">
        <v>100</v>
      </c>
      <c r="J131" s="15"/>
      <c r="K131" s="16">
        <f>33.46 - (33.46 * $E$1)</f>
        <v>33.46</v>
      </c>
      <c r="L131" s="16">
        <f>27.43 - (27.43 * $E$1)</f>
        <v>27.43</v>
      </c>
      <c r="M131" s="1">
        <v>33.46</v>
      </c>
      <c r="N131" s="1">
        <v>27.43</v>
      </c>
      <c r="O131" s="1">
        <v>28.44</v>
      </c>
      <c r="P131" s="1">
        <v>23.32</v>
      </c>
      <c r="Q131">
        <v>2.7000000000000001E-3</v>
      </c>
      <c r="R131">
        <v>2.61E-6</v>
      </c>
    </row>
    <row r="132" spans="1:18" ht="13.8" outlineLevel="2" x14ac:dyDescent="0.25">
      <c r="A132">
        <v>59570</v>
      </c>
      <c r="B132" t="s">
        <v>65</v>
      </c>
      <c r="C132" t="s">
        <v>158</v>
      </c>
      <c r="D132" s="14" t="s">
        <v>156</v>
      </c>
      <c r="E132" s="12" t="s">
        <v>28</v>
      </c>
      <c r="F132" s="13" t="s">
        <v>29</v>
      </c>
      <c r="G132">
        <v>100</v>
      </c>
      <c r="H132" t="s">
        <v>30</v>
      </c>
      <c r="I132">
        <v>100</v>
      </c>
      <c r="J132" s="15"/>
      <c r="K132" s="16">
        <f>38.88 - (38.88 * $E$1)</f>
        <v>38.880000000000003</v>
      </c>
      <c r="L132" s="16">
        <f>31.87 - (31.87 * $E$1)</f>
        <v>31.87</v>
      </c>
      <c r="M132" s="1">
        <v>38.880000000000003</v>
      </c>
      <c r="N132" s="1">
        <v>31.87</v>
      </c>
      <c r="O132" s="1">
        <v>33.049999999999997</v>
      </c>
      <c r="P132" s="1">
        <v>27.09</v>
      </c>
      <c r="Q132">
        <v>3.5000000000000001E-3</v>
      </c>
      <c r="R132">
        <v>3.0000000000000001E-6</v>
      </c>
    </row>
    <row r="133" spans="1:18" ht="13.8" outlineLevel="2" x14ac:dyDescent="0.25">
      <c r="A133">
        <v>58652</v>
      </c>
      <c r="B133" t="s">
        <v>65</v>
      </c>
      <c r="C133" t="s">
        <v>159</v>
      </c>
      <c r="D133" s="14" t="s">
        <v>156</v>
      </c>
      <c r="E133" s="12" t="s">
        <v>28</v>
      </c>
      <c r="F133" s="13" t="s">
        <v>29</v>
      </c>
      <c r="G133">
        <v>100</v>
      </c>
      <c r="H133" t="s">
        <v>30</v>
      </c>
      <c r="I133">
        <v>100</v>
      </c>
      <c r="J133" s="15"/>
      <c r="K133" s="16">
        <f>38.88 - (38.88 * $E$1)</f>
        <v>38.880000000000003</v>
      </c>
      <c r="L133" s="16">
        <f>31.87 - (31.87 * $E$1)</f>
        <v>31.87</v>
      </c>
      <c r="M133" s="1">
        <v>38.880000000000003</v>
      </c>
      <c r="N133" s="1">
        <v>31.87</v>
      </c>
      <c r="O133" s="1">
        <v>33.049999999999997</v>
      </c>
      <c r="P133" s="1">
        <v>27.09</v>
      </c>
      <c r="Q133">
        <v>3.3600000000000001E-3</v>
      </c>
      <c r="R133">
        <v>2.7E-6</v>
      </c>
    </row>
    <row r="134" spans="1:18" ht="13.8" outlineLevel="2" x14ac:dyDescent="0.25">
      <c r="A134">
        <v>92338</v>
      </c>
      <c r="B134" t="s">
        <v>25</v>
      </c>
      <c r="C134" t="s">
        <v>160</v>
      </c>
      <c r="D134" s="14" t="s">
        <v>156</v>
      </c>
      <c r="E134" s="12" t="s">
        <v>28</v>
      </c>
      <c r="F134" s="13" t="s">
        <v>29</v>
      </c>
      <c r="G134">
        <v>100</v>
      </c>
      <c r="H134" t="s">
        <v>30</v>
      </c>
      <c r="I134">
        <v>100</v>
      </c>
      <c r="J134" s="15"/>
      <c r="K134" s="16">
        <f>38.88 - (38.88 * $E$1)</f>
        <v>38.880000000000003</v>
      </c>
      <c r="L134" s="16">
        <f>31.87 - (31.87 * $E$1)</f>
        <v>31.87</v>
      </c>
      <c r="M134" s="1">
        <v>38.880000000000003</v>
      </c>
      <c r="N134" s="1">
        <v>31.87</v>
      </c>
      <c r="O134" s="1">
        <v>33.049999999999997</v>
      </c>
      <c r="P134" s="1">
        <v>27.09</v>
      </c>
      <c r="Q134">
        <v>3.3999999999999998E-3</v>
      </c>
      <c r="R134">
        <v>2.4200000000000001E-6</v>
      </c>
    </row>
    <row r="135" spans="1:18" ht="13.8" outlineLevel="2" x14ac:dyDescent="0.25">
      <c r="A135">
        <v>58653</v>
      </c>
      <c r="B135" t="s">
        <v>65</v>
      </c>
      <c r="C135" t="s">
        <v>161</v>
      </c>
      <c r="D135" s="14" t="s">
        <v>156</v>
      </c>
      <c r="E135" s="12" t="s">
        <v>28</v>
      </c>
      <c r="F135" s="13" t="s">
        <v>29</v>
      </c>
      <c r="G135">
        <v>100</v>
      </c>
      <c r="H135" t="s">
        <v>30</v>
      </c>
      <c r="I135">
        <v>100</v>
      </c>
      <c r="J135" s="15"/>
      <c r="K135" s="16">
        <f>104.38 - (104.38 * $E$1)</f>
        <v>104.38</v>
      </c>
      <c r="L135" s="16">
        <f>85.56 - (85.56 * $E$1)</f>
        <v>85.56</v>
      </c>
      <c r="M135" s="1">
        <v>104.38</v>
      </c>
      <c r="N135" s="1">
        <v>85.56</v>
      </c>
      <c r="O135" s="1">
        <v>88.73</v>
      </c>
      <c r="P135" s="1">
        <v>72.73</v>
      </c>
      <c r="Q135">
        <v>1.1039999999999999E-2</v>
      </c>
      <c r="R135">
        <v>9.4399999999999994E-6</v>
      </c>
    </row>
    <row r="136" spans="1:18" ht="13.8" outlineLevel="2" x14ac:dyDescent="0.25">
      <c r="A136">
        <v>58654</v>
      </c>
      <c r="B136" t="s">
        <v>65</v>
      </c>
      <c r="C136" t="s">
        <v>162</v>
      </c>
      <c r="D136" s="14" t="s">
        <v>156</v>
      </c>
      <c r="E136" s="12" t="s">
        <v>28</v>
      </c>
      <c r="F136" s="13" t="s">
        <v>29</v>
      </c>
      <c r="G136">
        <v>100</v>
      </c>
      <c r="H136" t="s">
        <v>30</v>
      </c>
      <c r="I136">
        <v>100</v>
      </c>
      <c r="J136" s="15"/>
      <c r="K136" s="16">
        <f>104.38 - (104.38 * $E$1)</f>
        <v>104.38</v>
      </c>
      <c r="L136" s="16">
        <f>85.56 - (85.56 * $E$1)</f>
        <v>85.56</v>
      </c>
      <c r="M136" s="1">
        <v>104.38</v>
      </c>
      <c r="N136" s="1">
        <v>85.56</v>
      </c>
      <c r="O136" s="1">
        <v>88.73</v>
      </c>
      <c r="P136" s="1">
        <v>72.73</v>
      </c>
      <c r="Q136">
        <v>1.0999999999999999E-2</v>
      </c>
      <c r="R136">
        <v>9.1200000000000008E-6</v>
      </c>
    </row>
    <row r="137" spans="1:18" ht="13.8" outlineLevel="2" x14ac:dyDescent="0.25">
      <c r="A137">
        <v>65242</v>
      </c>
      <c r="B137" t="s">
        <v>65</v>
      </c>
      <c r="C137" t="s">
        <v>163</v>
      </c>
      <c r="D137" s="14" t="s">
        <v>156</v>
      </c>
      <c r="E137" s="12" t="s">
        <v>28</v>
      </c>
      <c r="F137" s="13" t="s">
        <v>29</v>
      </c>
      <c r="G137">
        <v>100</v>
      </c>
      <c r="H137" t="s">
        <v>30</v>
      </c>
      <c r="I137">
        <v>100</v>
      </c>
      <c r="J137" s="15"/>
      <c r="K137" s="16">
        <f>104.38 - (104.38 * $E$1)</f>
        <v>104.38</v>
      </c>
      <c r="L137" s="16">
        <f>85.56 - (85.56 * $E$1)</f>
        <v>85.56</v>
      </c>
      <c r="M137" s="1">
        <v>104.38</v>
      </c>
      <c r="N137" s="1">
        <v>85.56</v>
      </c>
      <c r="O137" s="1">
        <v>88.73</v>
      </c>
      <c r="P137" s="1">
        <v>72.73</v>
      </c>
      <c r="Q137">
        <v>1.1339999999999999E-2</v>
      </c>
      <c r="R137">
        <v>9.7499999999999998E-6</v>
      </c>
    </row>
    <row r="138" spans="1:18" ht="13.8" outlineLevel="2" x14ac:dyDescent="0.25">
      <c r="A138">
        <v>58655</v>
      </c>
      <c r="B138" t="s">
        <v>65</v>
      </c>
      <c r="C138" t="s">
        <v>164</v>
      </c>
      <c r="D138" s="14" t="s">
        <v>156</v>
      </c>
      <c r="E138" s="12" t="s">
        <v>28</v>
      </c>
      <c r="F138" s="13" t="s">
        <v>29</v>
      </c>
      <c r="G138">
        <v>100</v>
      </c>
      <c r="H138" t="s">
        <v>30</v>
      </c>
      <c r="I138">
        <v>100</v>
      </c>
      <c r="J138" s="15"/>
      <c r="K138" s="16">
        <f>137.18 - (137.18 * $E$1)</f>
        <v>137.18</v>
      </c>
      <c r="L138" s="16">
        <f>112.44 - (112.44 * $E$1)</f>
        <v>112.44</v>
      </c>
      <c r="M138" s="1">
        <v>137.18</v>
      </c>
      <c r="N138" s="1">
        <v>112.44</v>
      </c>
      <c r="O138" s="1">
        <v>116.6</v>
      </c>
      <c r="P138" s="1">
        <v>95.57</v>
      </c>
      <c r="Q138">
        <v>1.5100000000000001E-2</v>
      </c>
      <c r="R138">
        <v>8.6400000000000003E-6</v>
      </c>
    </row>
    <row r="139" spans="1:18" ht="13.8" outlineLevel="2" x14ac:dyDescent="0.25">
      <c r="A139">
        <v>58657</v>
      </c>
      <c r="B139" t="s">
        <v>65</v>
      </c>
      <c r="C139" t="s">
        <v>165</v>
      </c>
      <c r="D139" s="14" t="s">
        <v>156</v>
      </c>
      <c r="E139" s="12" t="s">
        <v>28</v>
      </c>
      <c r="F139" s="13" t="s">
        <v>29</v>
      </c>
      <c r="G139">
        <v>100</v>
      </c>
      <c r="H139" t="s">
        <v>30</v>
      </c>
      <c r="I139">
        <v>100</v>
      </c>
      <c r="J139" s="15"/>
      <c r="K139" s="16">
        <f>137.18 - (137.18 * $E$1)</f>
        <v>137.18</v>
      </c>
      <c r="L139" s="16">
        <f>112.44 - (112.44 * $E$1)</f>
        <v>112.44</v>
      </c>
      <c r="M139" s="1">
        <v>137.18</v>
      </c>
      <c r="N139" s="1">
        <v>112.44</v>
      </c>
      <c r="O139" s="1">
        <v>116.6</v>
      </c>
      <c r="P139" s="1">
        <v>95.57</v>
      </c>
      <c r="Q139">
        <v>1.502E-2</v>
      </c>
      <c r="R139">
        <v>9.6900000000000004E-6</v>
      </c>
    </row>
    <row r="140" spans="1:18" ht="13.8" outlineLevel="2" x14ac:dyDescent="0.25">
      <c r="A140">
        <v>65243</v>
      </c>
      <c r="B140" t="s">
        <v>65</v>
      </c>
      <c r="C140" t="s">
        <v>166</v>
      </c>
      <c r="D140" s="14" t="s">
        <v>156</v>
      </c>
      <c r="E140" s="12" t="s">
        <v>28</v>
      </c>
      <c r="F140" s="13" t="s">
        <v>29</v>
      </c>
      <c r="G140">
        <v>100</v>
      </c>
      <c r="H140" t="s">
        <v>30</v>
      </c>
      <c r="I140">
        <v>100</v>
      </c>
      <c r="J140" s="15"/>
      <c r="K140" s="16">
        <f>137.18 - (137.18 * $E$1)</f>
        <v>137.18</v>
      </c>
      <c r="L140" s="16">
        <f>112.44 - (112.44 * $E$1)</f>
        <v>112.44</v>
      </c>
      <c r="M140" s="1">
        <v>137.18</v>
      </c>
      <c r="N140" s="1">
        <v>112.44</v>
      </c>
      <c r="O140" s="1">
        <v>116.6</v>
      </c>
      <c r="P140" s="1">
        <v>95.57</v>
      </c>
      <c r="Q140">
        <v>1.5100000000000001E-2</v>
      </c>
      <c r="R140">
        <v>9.1800000000000002E-6</v>
      </c>
    </row>
    <row r="141" spans="1:18" ht="13.8" outlineLevel="2" x14ac:dyDescent="0.25">
      <c r="A141">
        <v>58658</v>
      </c>
      <c r="B141" t="s">
        <v>65</v>
      </c>
      <c r="C141" t="s">
        <v>167</v>
      </c>
      <c r="D141" s="14" t="s">
        <v>156</v>
      </c>
      <c r="E141" s="12" t="s">
        <v>28</v>
      </c>
      <c r="F141" s="13" t="s">
        <v>29</v>
      </c>
      <c r="G141">
        <v>50</v>
      </c>
      <c r="H141" t="s">
        <v>30</v>
      </c>
      <c r="I141">
        <v>50</v>
      </c>
      <c r="J141" s="15"/>
      <c r="K141" s="16">
        <f>259.73 - (259.73 * $E$1)</f>
        <v>259.73</v>
      </c>
      <c r="L141" s="16">
        <f>212.89 - (212.89 * $E$1)</f>
        <v>212.89</v>
      </c>
      <c r="M141" s="1">
        <v>259.73</v>
      </c>
      <c r="N141" s="1">
        <v>212.89</v>
      </c>
      <c r="O141" s="1">
        <v>220.77</v>
      </c>
      <c r="P141" s="1">
        <v>180.96</v>
      </c>
      <c r="Q141">
        <v>2.76E-2</v>
      </c>
      <c r="R141">
        <v>1.52E-5</v>
      </c>
    </row>
    <row r="142" spans="1:18" ht="13.8" outlineLevel="2" x14ac:dyDescent="0.25">
      <c r="A142">
        <v>58659</v>
      </c>
      <c r="B142" t="s">
        <v>65</v>
      </c>
      <c r="C142" t="s">
        <v>168</v>
      </c>
      <c r="D142" s="14" t="s">
        <v>156</v>
      </c>
      <c r="E142" s="12" t="s">
        <v>28</v>
      </c>
      <c r="F142" s="13" t="s">
        <v>29</v>
      </c>
      <c r="G142">
        <v>50</v>
      </c>
      <c r="H142" t="s">
        <v>30</v>
      </c>
      <c r="I142">
        <v>50</v>
      </c>
      <c r="J142" s="15"/>
      <c r="K142" s="16">
        <f>259.73 - (259.73 * $E$1)</f>
        <v>259.73</v>
      </c>
      <c r="L142" s="16">
        <f>212.89 - (212.89 * $E$1)</f>
        <v>212.89</v>
      </c>
      <c r="M142" s="1">
        <v>259.73</v>
      </c>
      <c r="N142" s="1">
        <v>212.89</v>
      </c>
      <c r="O142" s="1">
        <v>220.77</v>
      </c>
      <c r="P142" s="1">
        <v>180.96</v>
      </c>
      <c r="Q142">
        <v>2.836E-2</v>
      </c>
      <c r="R142">
        <v>2.052E-5</v>
      </c>
    </row>
    <row r="143" spans="1:18" ht="13.8" outlineLevel="2" x14ac:dyDescent="0.25">
      <c r="A143">
        <v>58661</v>
      </c>
      <c r="B143" t="s">
        <v>65</v>
      </c>
      <c r="C143" t="s">
        <v>169</v>
      </c>
      <c r="D143" s="14" t="s">
        <v>156</v>
      </c>
      <c r="E143" s="12" t="s">
        <v>28</v>
      </c>
      <c r="F143" s="13" t="s">
        <v>29</v>
      </c>
      <c r="G143">
        <v>50</v>
      </c>
      <c r="H143" t="s">
        <v>30</v>
      </c>
      <c r="I143">
        <v>50</v>
      </c>
      <c r="J143" s="15"/>
      <c r="K143" s="16">
        <f>389.89 - (389.89 * $E$1)</f>
        <v>389.89</v>
      </c>
      <c r="L143" s="16">
        <f>319.58 - (319.58 * $E$1)</f>
        <v>319.58</v>
      </c>
      <c r="M143" s="1">
        <v>389.89</v>
      </c>
      <c r="N143" s="1">
        <v>319.58</v>
      </c>
      <c r="O143" s="1">
        <v>331.4</v>
      </c>
      <c r="P143" s="1">
        <v>271.64</v>
      </c>
      <c r="Q143">
        <v>4.376E-2</v>
      </c>
      <c r="R143">
        <v>3.2379999999999998E-5</v>
      </c>
    </row>
    <row r="144" spans="1:18" ht="13.8" outlineLevel="2" x14ac:dyDescent="0.25">
      <c r="A144">
        <v>58660</v>
      </c>
      <c r="B144" t="s">
        <v>65</v>
      </c>
      <c r="C144" t="s">
        <v>170</v>
      </c>
      <c r="D144" s="14" t="s">
        <v>156</v>
      </c>
      <c r="E144" s="12" t="s">
        <v>28</v>
      </c>
      <c r="F144" s="13" t="s">
        <v>29</v>
      </c>
      <c r="G144">
        <v>50</v>
      </c>
      <c r="H144" t="s">
        <v>30</v>
      </c>
      <c r="I144">
        <v>50</v>
      </c>
      <c r="J144" s="15"/>
      <c r="K144" s="16">
        <f>389.89 - (389.89 * $E$1)</f>
        <v>389.89</v>
      </c>
      <c r="L144" s="16">
        <f>319.58 - (319.58 * $E$1)</f>
        <v>319.58</v>
      </c>
      <c r="M144" s="1">
        <v>389.89</v>
      </c>
      <c r="N144" s="1">
        <v>319.58</v>
      </c>
      <c r="O144" s="1">
        <v>331.4</v>
      </c>
      <c r="P144" s="1">
        <v>271.64</v>
      </c>
      <c r="Q144">
        <v>4.3999999999999997E-2</v>
      </c>
      <c r="R144">
        <v>2.0400000000000001E-5</v>
      </c>
    </row>
    <row r="145" spans="1:18" ht="13.8" outlineLevel="2" x14ac:dyDescent="0.25">
      <c r="A145">
        <v>92339</v>
      </c>
      <c r="B145" t="s">
        <v>25</v>
      </c>
      <c r="C145" t="s">
        <v>171</v>
      </c>
      <c r="D145" s="14" t="s">
        <v>156</v>
      </c>
      <c r="E145" s="12" t="s">
        <v>28</v>
      </c>
      <c r="F145" s="13" t="s">
        <v>29</v>
      </c>
      <c r="G145">
        <v>50</v>
      </c>
      <c r="H145" t="s">
        <v>30</v>
      </c>
      <c r="I145">
        <v>50</v>
      </c>
      <c r="J145" s="15"/>
      <c r="K145" s="16">
        <f>498.41 - (498.41 * $E$1)</f>
        <v>498.41</v>
      </c>
      <c r="L145" s="16">
        <f>408.53 - (408.53 * $E$1)</f>
        <v>408.53</v>
      </c>
      <c r="M145" s="1">
        <v>498.41</v>
      </c>
      <c r="N145" s="1">
        <v>408.53</v>
      </c>
      <c r="O145" s="1">
        <v>423.65</v>
      </c>
      <c r="P145" s="1">
        <v>347.25</v>
      </c>
      <c r="Q145">
        <v>5.7500000000000002E-2</v>
      </c>
      <c r="R145">
        <v>3.1999999999999999E-5</v>
      </c>
    </row>
    <row r="146" spans="1:18" ht="13.8" outlineLevel="2" x14ac:dyDescent="0.25">
      <c r="A146">
        <v>58662</v>
      </c>
      <c r="B146" t="s">
        <v>65</v>
      </c>
      <c r="C146" t="s">
        <v>172</v>
      </c>
      <c r="D146" s="14" t="s">
        <v>156</v>
      </c>
      <c r="E146" s="12" t="s">
        <v>28</v>
      </c>
      <c r="F146" s="13" t="s">
        <v>29</v>
      </c>
      <c r="G146">
        <v>50</v>
      </c>
      <c r="H146" t="s">
        <v>30</v>
      </c>
      <c r="I146">
        <v>50</v>
      </c>
      <c r="J146" s="15"/>
      <c r="K146" s="16">
        <f>498.41 - (498.41 * $E$1)</f>
        <v>498.41</v>
      </c>
      <c r="L146" s="16">
        <f>408.53 - (408.53 * $E$1)</f>
        <v>408.53</v>
      </c>
      <c r="M146" s="1">
        <v>498.41</v>
      </c>
      <c r="N146" s="1">
        <v>408.53</v>
      </c>
      <c r="O146" s="1">
        <v>423.65</v>
      </c>
      <c r="P146" s="1">
        <v>347.25</v>
      </c>
      <c r="Q146">
        <v>5.8799999999999998E-2</v>
      </c>
      <c r="R146">
        <v>4.7599999999999998E-5</v>
      </c>
    </row>
    <row r="147" spans="1:18" ht="13.8" outlineLevel="2" x14ac:dyDescent="0.25">
      <c r="A147">
        <v>58663</v>
      </c>
      <c r="B147" t="s">
        <v>65</v>
      </c>
      <c r="C147" t="s">
        <v>173</v>
      </c>
      <c r="D147" s="14" t="s">
        <v>156</v>
      </c>
      <c r="E147" s="12" t="s">
        <v>28</v>
      </c>
      <c r="F147" s="13" t="s">
        <v>29</v>
      </c>
      <c r="G147">
        <v>50</v>
      </c>
      <c r="H147" t="s">
        <v>30</v>
      </c>
      <c r="I147">
        <v>50</v>
      </c>
      <c r="J147" s="15"/>
      <c r="K147" s="16">
        <f>498.41 - (498.41 * $E$1)</f>
        <v>498.41</v>
      </c>
      <c r="L147" s="16">
        <f>408.53 - (408.53 * $E$1)</f>
        <v>408.53</v>
      </c>
      <c r="M147" s="1">
        <v>498.41</v>
      </c>
      <c r="N147" s="1">
        <v>408.53</v>
      </c>
      <c r="O147" s="1">
        <v>423.65</v>
      </c>
      <c r="P147" s="1">
        <v>347.25</v>
      </c>
      <c r="Q147">
        <v>5.7599999999999998E-2</v>
      </c>
      <c r="R147">
        <v>3.5439999999999999E-5</v>
      </c>
    </row>
    <row r="148" spans="1:18" ht="13.8" outlineLevel="2" x14ac:dyDescent="0.25">
      <c r="A148">
        <v>58664</v>
      </c>
      <c r="B148" t="s">
        <v>65</v>
      </c>
      <c r="C148" t="s">
        <v>174</v>
      </c>
      <c r="D148" s="14" t="s">
        <v>156</v>
      </c>
      <c r="E148" s="12" t="s">
        <v>28</v>
      </c>
      <c r="F148" s="13" t="s">
        <v>29</v>
      </c>
      <c r="G148">
        <v>10</v>
      </c>
      <c r="H148" t="s">
        <v>30</v>
      </c>
      <c r="I148">
        <v>10</v>
      </c>
      <c r="J148" s="15"/>
      <c r="K148" s="16">
        <f>760.84 - (760.84 * $E$1)</f>
        <v>760.84</v>
      </c>
      <c r="L148" s="16">
        <f>623.64 - (623.64 * $E$1)</f>
        <v>623.64</v>
      </c>
      <c r="M148" s="1">
        <v>760.84</v>
      </c>
      <c r="N148" s="1">
        <v>623.64</v>
      </c>
      <c r="O148" s="1">
        <v>646.71</v>
      </c>
      <c r="P148" s="1">
        <v>530.09</v>
      </c>
      <c r="Q148">
        <v>9.1999999999999998E-2</v>
      </c>
      <c r="R148">
        <v>5.3999999999999998E-5</v>
      </c>
    </row>
    <row r="149" spans="1:18" ht="13.8" outlineLevel="2" x14ac:dyDescent="0.25">
      <c r="A149">
        <v>58665</v>
      </c>
      <c r="B149" t="s">
        <v>65</v>
      </c>
      <c r="C149" t="s">
        <v>175</v>
      </c>
      <c r="D149" s="14" t="s">
        <v>156</v>
      </c>
      <c r="E149" s="12" t="s">
        <v>28</v>
      </c>
      <c r="F149" s="13" t="s">
        <v>29</v>
      </c>
      <c r="G149">
        <v>10</v>
      </c>
      <c r="H149" t="s">
        <v>30</v>
      </c>
      <c r="I149">
        <v>10</v>
      </c>
      <c r="J149" s="15"/>
      <c r="K149" s="16">
        <f>760.84 - (760.84 * $E$1)</f>
        <v>760.84</v>
      </c>
      <c r="L149" s="16">
        <f>623.64 - (623.64 * $E$1)</f>
        <v>623.64</v>
      </c>
      <c r="M149" s="1">
        <v>760.84</v>
      </c>
      <c r="N149" s="1">
        <v>623.64</v>
      </c>
      <c r="O149" s="1">
        <v>646.71</v>
      </c>
      <c r="P149" s="1">
        <v>530.09</v>
      </c>
      <c r="Q149">
        <v>9.0999999999999998E-2</v>
      </c>
      <c r="R149">
        <v>6.3700000000000003E-5</v>
      </c>
    </row>
    <row r="150" spans="1:18" ht="13.8" outlineLevel="2" x14ac:dyDescent="0.25">
      <c r="A150">
        <v>65244</v>
      </c>
      <c r="B150" t="s">
        <v>65</v>
      </c>
      <c r="C150" t="s">
        <v>176</v>
      </c>
      <c r="D150" s="14" t="s">
        <v>156</v>
      </c>
      <c r="E150" s="12" t="s">
        <v>28</v>
      </c>
      <c r="F150" s="13" t="s">
        <v>29</v>
      </c>
      <c r="G150">
        <v>10</v>
      </c>
      <c r="H150" t="s">
        <v>30</v>
      </c>
      <c r="I150">
        <v>10</v>
      </c>
      <c r="J150" s="15"/>
      <c r="K150" s="16">
        <f>881.96 - (881.96 * $E$1)</f>
        <v>881.96</v>
      </c>
      <c r="L150" s="16">
        <f>722.92 - (722.92 * $E$1)</f>
        <v>722.92</v>
      </c>
      <c r="M150" s="1">
        <v>881.96</v>
      </c>
      <c r="N150" s="1">
        <v>722.92</v>
      </c>
      <c r="O150" s="1">
        <v>749.67</v>
      </c>
      <c r="P150" s="1">
        <v>614.48</v>
      </c>
      <c r="Q150">
        <v>0.1046</v>
      </c>
      <c r="R150">
        <v>1.01E-4</v>
      </c>
    </row>
    <row r="151" spans="1:18" ht="13.8" outlineLevel="2" x14ac:dyDescent="0.25">
      <c r="A151">
        <v>58666</v>
      </c>
      <c r="B151" t="s">
        <v>65</v>
      </c>
      <c r="C151" t="s">
        <v>177</v>
      </c>
      <c r="D151" s="14" t="s">
        <v>156</v>
      </c>
      <c r="E151" s="12" t="s">
        <v>28</v>
      </c>
      <c r="F151" s="13" t="s">
        <v>29</v>
      </c>
      <c r="G151">
        <v>10</v>
      </c>
      <c r="H151" t="s">
        <v>30</v>
      </c>
      <c r="I151">
        <v>10</v>
      </c>
      <c r="J151" s="15"/>
      <c r="K151" s="16">
        <f>881.96 - (881.96 * $E$1)</f>
        <v>881.96</v>
      </c>
      <c r="L151" s="16">
        <f>722.92 - (722.92 * $E$1)</f>
        <v>722.92</v>
      </c>
      <c r="M151" s="1">
        <v>881.96</v>
      </c>
      <c r="N151" s="1">
        <v>722.92</v>
      </c>
      <c r="O151" s="1">
        <v>749.67</v>
      </c>
      <c r="P151" s="1">
        <v>614.48</v>
      </c>
      <c r="Q151">
        <v>0.10299999999999999</v>
      </c>
      <c r="R151">
        <v>1.131E-4</v>
      </c>
    </row>
    <row r="152" spans="1:18" ht="13.8" outlineLevel="2" x14ac:dyDescent="0.25">
      <c r="A152">
        <v>65245</v>
      </c>
      <c r="B152" t="s">
        <v>65</v>
      </c>
      <c r="C152" t="s">
        <v>178</v>
      </c>
      <c r="D152" s="14" t="s">
        <v>156</v>
      </c>
      <c r="E152" s="12" t="s">
        <v>28</v>
      </c>
      <c r="F152" s="13" t="s">
        <v>29</v>
      </c>
      <c r="G152">
        <v>10</v>
      </c>
      <c r="H152" t="s">
        <v>30</v>
      </c>
      <c r="I152">
        <v>10</v>
      </c>
      <c r="J152" s="15"/>
      <c r="K152" s="16">
        <f>1282.42 - (1282.42 * $E$1)</f>
        <v>1282.42</v>
      </c>
      <c r="L152" s="16">
        <f>1051.16 - (1051.16 * $E$1)</f>
        <v>1051.1600000000001</v>
      </c>
      <c r="M152" s="1">
        <v>1282.42</v>
      </c>
      <c r="N152" s="1">
        <v>1051.1600000000001</v>
      </c>
      <c r="O152" s="1">
        <v>1090.05</v>
      </c>
      <c r="P152" s="1">
        <v>893.49</v>
      </c>
      <c r="Q152">
        <v>0.15160000000000001</v>
      </c>
      <c r="R152">
        <v>1.2210000000000001E-4</v>
      </c>
    </row>
    <row r="153" spans="1:18" ht="13.8" outlineLevel="2" x14ac:dyDescent="0.25">
      <c r="A153">
        <v>58669</v>
      </c>
      <c r="B153" t="s">
        <v>65</v>
      </c>
      <c r="C153" t="s">
        <v>179</v>
      </c>
      <c r="D153" s="14" t="s">
        <v>156</v>
      </c>
      <c r="E153" s="12" t="s">
        <v>28</v>
      </c>
      <c r="F153" s="13" t="s">
        <v>29</v>
      </c>
      <c r="G153">
        <v>10</v>
      </c>
      <c r="H153" t="s">
        <v>30</v>
      </c>
      <c r="I153">
        <v>10</v>
      </c>
      <c r="J153" s="15"/>
      <c r="K153" s="16">
        <f>1282.42 - (1282.42 * $E$1)</f>
        <v>1282.42</v>
      </c>
      <c r="L153" s="16">
        <f>1051.16 - (1051.16 * $E$1)</f>
        <v>1051.1600000000001</v>
      </c>
      <c r="M153" s="1">
        <v>1282.42</v>
      </c>
      <c r="N153" s="1">
        <v>1051.1600000000001</v>
      </c>
      <c r="O153" s="1">
        <v>1090.05</v>
      </c>
      <c r="P153" s="1">
        <v>893.49</v>
      </c>
      <c r="Q153">
        <v>0.15079999999999999</v>
      </c>
      <c r="R153">
        <v>1.097E-4</v>
      </c>
    </row>
    <row r="154" spans="1:18" ht="13.8" outlineLevel="2" x14ac:dyDescent="0.25">
      <c r="A154">
        <v>65246</v>
      </c>
      <c r="B154" t="s">
        <v>65</v>
      </c>
      <c r="C154" t="s">
        <v>180</v>
      </c>
      <c r="D154" s="14" t="s">
        <v>156</v>
      </c>
      <c r="E154" s="12" t="s">
        <v>28</v>
      </c>
      <c r="F154" s="13" t="s">
        <v>29</v>
      </c>
      <c r="G154">
        <v>10</v>
      </c>
      <c r="H154" t="s">
        <v>30</v>
      </c>
      <c r="I154">
        <v>10</v>
      </c>
      <c r="J154" s="15"/>
      <c r="K154" s="16">
        <f>1488.97 - (1488.97 * $E$1)</f>
        <v>1488.97</v>
      </c>
      <c r="L154" s="16">
        <f>1220.47 - (1220.47 * $E$1)</f>
        <v>1220.47</v>
      </c>
      <c r="M154" s="1">
        <v>1488.97</v>
      </c>
      <c r="N154" s="1">
        <v>1220.47</v>
      </c>
      <c r="O154" s="1">
        <v>1265.6300000000001</v>
      </c>
      <c r="P154" s="1">
        <v>1037.4000000000001</v>
      </c>
      <c r="Q154">
        <v>0.17380000000000001</v>
      </c>
      <c r="R154">
        <v>1.404E-4</v>
      </c>
    </row>
    <row r="155" spans="1:18" ht="13.8" outlineLevel="2" x14ac:dyDescent="0.25">
      <c r="A155">
        <v>58668</v>
      </c>
      <c r="B155" t="s">
        <v>65</v>
      </c>
      <c r="C155" t="s">
        <v>181</v>
      </c>
      <c r="D155" s="14" t="s">
        <v>156</v>
      </c>
      <c r="E155" s="12" t="s">
        <v>28</v>
      </c>
      <c r="F155" s="13" t="s">
        <v>29</v>
      </c>
      <c r="G155">
        <v>10</v>
      </c>
      <c r="H155" t="s">
        <v>30</v>
      </c>
      <c r="I155">
        <v>10</v>
      </c>
      <c r="J155" s="15"/>
      <c r="K155" s="16">
        <f>1488.97 - (1488.97 * $E$1)</f>
        <v>1488.97</v>
      </c>
      <c r="L155" s="16">
        <f>1220.47 - (1220.47 * $E$1)</f>
        <v>1220.47</v>
      </c>
      <c r="M155" s="1">
        <v>1488.97</v>
      </c>
      <c r="N155" s="1">
        <v>1220.47</v>
      </c>
      <c r="O155" s="1">
        <v>1265.6300000000001</v>
      </c>
      <c r="P155" s="1">
        <v>1037.4000000000001</v>
      </c>
      <c r="Q155">
        <v>0.17080000000000001</v>
      </c>
      <c r="R155">
        <v>1.44E-4</v>
      </c>
    </row>
    <row r="156" spans="1:18" ht="13.8" outlineLevel="2" x14ac:dyDescent="0.25">
      <c r="A156">
        <v>65247</v>
      </c>
      <c r="B156" t="s">
        <v>65</v>
      </c>
      <c r="C156" t="s">
        <v>182</v>
      </c>
      <c r="D156" s="14" t="s">
        <v>156</v>
      </c>
      <c r="E156" s="12" t="s">
        <v>28</v>
      </c>
      <c r="F156" s="13" t="s">
        <v>29</v>
      </c>
      <c r="G156">
        <v>5</v>
      </c>
      <c r="H156" t="s">
        <v>30</v>
      </c>
      <c r="I156">
        <v>5</v>
      </c>
      <c r="J156" s="15"/>
      <c r="K156" s="16">
        <f>2192.66 - (2192.66 * $E$1)</f>
        <v>2192.66</v>
      </c>
      <c r="L156" s="16">
        <f>1797.26 - (1797.26 * $E$1)</f>
        <v>1797.26</v>
      </c>
      <c r="M156" s="1">
        <v>2192.66</v>
      </c>
      <c r="N156" s="1">
        <v>1797.26</v>
      </c>
      <c r="O156" s="1">
        <v>1863.76</v>
      </c>
      <c r="P156" s="1">
        <v>1527.67</v>
      </c>
      <c r="Q156">
        <v>0.26400000000000001</v>
      </c>
      <c r="R156">
        <v>2.232E-4</v>
      </c>
    </row>
    <row r="157" spans="1:18" ht="13.8" outlineLevel="2" x14ac:dyDescent="0.25">
      <c r="A157">
        <v>58673</v>
      </c>
      <c r="B157" t="s">
        <v>65</v>
      </c>
      <c r="C157" t="s">
        <v>183</v>
      </c>
      <c r="D157" s="14" t="s">
        <v>156</v>
      </c>
      <c r="E157" s="12" t="s">
        <v>28</v>
      </c>
      <c r="F157" s="13" t="s">
        <v>29</v>
      </c>
      <c r="G157">
        <v>5</v>
      </c>
      <c r="H157" t="s">
        <v>30</v>
      </c>
      <c r="I157">
        <v>5</v>
      </c>
      <c r="J157" s="15"/>
      <c r="K157" s="16">
        <f>2192.66 - (2192.66 * $E$1)</f>
        <v>2192.66</v>
      </c>
      <c r="L157" s="16">
        <f>1797.26 - (1797.26 * $E$1)</f>
        <v>1797.26</v>
      </c>
      <c r="M157" s="1">
        <v>2192.66</v>
      </c>
      <c r="N157" s="1">
        <v>1797.26</v>
      </c>
      <c r="O157" s="1">
        <v>1863.76</v>
      </c>
      <c r="P157" s="1">
        <v>1527.67</v>
      </c>
      <c r="Q157">
        <v>0.26</v>
      </c>
      <c r="R157">
        <v>1.188E-4</v>
      </c>
    </row>
    <row r="158" spans="1:18" ht="13.8" outlineLevel="2" x14ac:dyDescent="0.25">
      <c r="A158">
        <v>89392</v>
      </c>
      <c r="B158" t="s">
        <v>25</v>
      </c>
      <c r="C158" t="s">
        <v>184</v>
      </c>
      <c r="D158" s="14" t="s">
        <v>156</v>
      </c>
      <c r="E158" s="12" t="s">
        <v>28</v>
      </c>
      <c r="F158" s="13" t="s">
        <v>29</v>
      </c>
      <c r="G158">
        <v>5</v>
      </c>
      <c r="H158" t="s">
        <v>30</v>
      </c>
      <c r="I158">
        <v>5</v>
      </c>
      <c r="J158" s="15"/>
      <c r="K158" s="16">
        <f>2580.45 - (2580.45 * $E$1)</f>
        <v>2580.4499999999998</v>
      </c>
      <c r="L158" s="16">
        <f>2115.12 - (2115.12 * $E$1)</f>
        <v>2115.12</v>
      </c>
      <c r="M158" s="1">
        <v>2580.4499999999998</v>
      </c>
      <c r="N158" s="1">
        <v>2115.12</v>
      </c>
      <c r="O158" s="1">
        <v>2193.38</v>
      </c>
      <c r="P158" s="1">
        <v>1797.85</v>
      </c>
      <c r="Q158">
        <v>0.32600000000000001</v>
      </c>
      <c r="R158">
        <v>2.856E-4</v>
      </c>
    </row>
    <row r="159" spans="1:18" ht="13.8" outlineLevel="2" x14ac:dyDescent="0.25">
      <c r="A159">
        <v>65248</v>
      </c>
      <c r="B159" t="s">
        <v>65</v>
      </c>
      <c r="C159" t="s">
        <v>185</v>
      </c>
      <c r="D159" s="14" t="s">
        <v>156</v>
      </c>
      <c r="E159" s="12" t="s">
        <v>28</v>
      </c>
      <c r="F159" s="13" t="s">
        <v>29</v>
      </c>
      <c r="G159">
        <v>5</v>
      </c>
      <c r="H159" t="s">
        <v>30</v>
      </c>
      <c r="I159">
        <v>5</v>
      </c>
      <c r="J159" s="15"/>
      <c r="K159" s="16">
        <f>2580.45 - (2580.45 * $E$1)</f>
        <v>2580.4499999999998</v>
      </c>
      <c r="L159" s="16">
        <f>2115.12 - (2115.12 * $E$1)</f>
        <v>2115.12</v>
      </c>
      <c r="M159" s="1">
        <v>2580.4499999999998</v>
      </c>
      <c r="N159" s="1">
        <v>2115.12</v>
      </c>
      <c r="O159" s="1">
        <v>2193.38</v>
      </c>
      <c r="P159" s="1">
        <v>1797.85</v>
      </c>
      <c r="Q159">
        <v>0.314</v>
      </c>
      <c r="R159">
        <v>2.856E-4</v>
      </c>
    </row>
    <row r="160" spans="1:18" ht="13.8" outlineLevel="2" x14ac:dyDescent="0.25">
      <c r="A160">
        <v>65249</v>
      </c>
      <c r="B160" t="s">
        <v>65</v>
      </c>
      <c r="C160" t="s">
        <v>186</v>
      </c>
      <c r="D160" s="14" t="s">
        <v>156</v>
      </c>
      <c r="E160" s="12" t="s">
        <v>28</v>
      </c>
      <c r="F160" s="13" t="s">
        <v>29</v>
      </c>
      <c r="G160">
        <v>5</v>
      </c>
      <c r="H160" t="s">
        <v>30</v>
      </c>
      <c r="I160">
        <v>5</v>
      </c>
      <c r="J160" s="15"/>
      <c r="K160" s="16">
        <f>5342.36 - (5342.36 * $E$1)</f>
        <v>5342.36</v>
      </c>
      <c r="L160" s="16">
        <f>4378.98 - (4378.98 * $E$1)</f>
        <v>4378.9799999999996</v>
      </c>
      <c r="M160" s="1">
        <v>5342.36</v>
      </c>
      <c r="N160" s="1">
        <v>4378.9799999999996</v>
      </c>
      <c r="O160" s="1">
        <v>4541</v>
      </c>
      <c r="P160" s="1">
        <v>3722.13</v>
      </c>
      <c r="Q160">
        <v>0.65400000000000003</v>
      </c>
      <c r="R160">
        <v>4.5600000000000003E-4</v>
      </c>
    </row>
    <row r="161" spans="1:18" ht="13.8" outlineLevel="2" x14ac:dyDescent="0.25">
      <c r="A161">
        <v>65250</v>
      </c>
      <c r="B161" t="s">
        <v>65</v>
      </c>
      <c r="C161" t="s">
        <v>187</v>
      </c>
      <c r="D161" s="14" t="s">
        <v>156</v>
      </c>
      <c r="E161" s="12" t="s">
        <v>28</v>
      </c>
      <c r="F161" s="13" t="s">
        <v>29</v>
      </c>
      <c r="G161">
        <v>1</v>
      </c>
      <c r="H161" t="s">
        <v>30</v>
      </c>
      <c r="I161">
        <v>1</v>
      </c>
      <c r="J161" s="15"/>
      <c r="K161" s="16">
        <f>6213.31 - (6213.31 * $E$1)</f>
        <v>6213.31</v>
      </c>
      <c r="L161" s="16">
        <f>5092.88 - (5092.88 * $E$1)</f>
        <v>5092.88</v>
      </c>
      <c r="M161" s="1">
        <v>6213.31</v>
      </c>
      <c r="N161" s="1">
        <v>5092.88</v>
      </c>
      <c r="O161" s="1">
        <v>5281.32</v>
      </c>
      <c r="P161" s="1">
        <v>4328.95</v>
      </c>
      <c r="Q161">
        <v>0.77</v>
      </c>
      <c r="R161">
        <v>6.7500000000000004E-4</v>
      </c>
    </row>
    <row r="162" spans="1:18" ht="13.8" outlineLevel="2" x14ac:dyDescent="0.25">
      <c r="A162">
        <v>65251</v>
      </c>
      <c r="B162" t="s">
        <v>65</v>
      </c>
      <c r="C162" t="s">
        <v>188</v>
      </c>
      <c r="D162" s="14" t="s">
        <v>156</v>
      </c>
      <c r="E162" s="12" t="s">
        <v>28</v>
      </c>
      <c r="F162" s="13" t="s">
        <v>29</v>
      </c>
      <c r="G162">
        <v>1</v>
      </c>
      <c r="H162" t="s">
        <v>30</v>
      </c>
      <c r="I162">
        <v>1</v>
      </c>
      <c r="J162" s="15"/>
      <c r="K162" s="16">
        <f>6363.69 - (6363.69 * $E$1)</f>
        <v>6363.69</v>
      </c>
      <c r="L162" s="16">
        <f>5216.14 - (5216.14 * $E$1)</f>
        <v>5216.1400000000003</v>
      </c>
      <c r="M162" s="1">
        <v>6363.69</v>
      </c>
      <c r="N162" s="1">
        <v>5216.1400000000003</v>
      </c>
      <c r="O162" s="1">
        <v>5409.14</v>
      </c>
      <c r="P162" s="1">
        <v>4433.72</v>
      </c>
      <c r="Q162">
        <v>0.77</v>
      </c>
      <c r="R162">
        <v>1.5299999999999999E-3</v>
      </c>
    </row>
    <row r="163" spans="1:18" ht="13.8" outlineLevel="2" x14ac:dyDescent="0.25">
      <c r="A163">
        <v>81320</v>
      </c>
      <c r="B163" t="s">
        <v>65</v>
      </c>
      <c r="C163" t="s">
        <v>189</v>
      </c>
      <c r="D163" s="14" t="s">
        <v>156</v>
      </c>
      <c r="E163" s="12" t="s">
        <v>28</v>
      </c>
      <c r="F163" s="13" t="s">
        <v>29</v>
      </c>
      <c r="G163">
        <v>1</v>
      </c>
      <c r="H163" t="s">
        <v>30</v>
      </c>
      <c r="I163">
        <v>1</v>
      </c>
      <c r="J163" s="15"/>
      <c r="K163" s="16">
        <f>12428.09 - (12428.09 * $E$1)</f>
        <v>12428.09</v>
      </c>
      <c r="L163" s="16">
        <f>10186.96 - (10186.96 * $E$1)</f>
        <v>10186.959999999999</v>
      </c>
      <c r="M163" s="1">
        <v>12428.09</v>
      </c>
      <c r="N163" s="1">
        <v>10186.959999999999</v>
      </c>
      <c r="O163" s="1">
        <v>10563.88</v>
      </c>
      <c r="P163" s="1">
        <v>8658.92</v>
      </c>
      <c r="Q163">
        <v>1.4</v>
      </c>
      <c r="R163">
        <v>2.5999999999999999E-3</v>
      </c>
    </row>
    <row r="164" spans="1:18" ht="13.8" outlineLevel="2" x14ac:dyDescent="0.25">
      <c r="A164">
        <v>81321</v>
      </c>
      <c r="B164" t="s">
        <v>65</v>
      </c>
      <c r="C164" t="s">
        <v>190</v>
      </c>
      <c r="D164" s="14" t="s">
        <v>156</v>
      </c>
      <c r="E164" s="12" t="s">
        <v>28</v>
      </c>
      <c r="F164" s="13" t="s">
        <v>29</v>
      </c>
      <c r="G164">
        <v>1</v>
      </c>
      <c r="H164" t="s">
        <v>30</v>
      </c>
      <c r="I164">
        <v>1</v>
      </c>
      <c r="J164" s="15"/>
      <c r="K164" s="16">
        <f>16147.72 - (16147.72 * $E$1)</f>
        <v>16147.72</v>
      </c>
      <c r="L164" s="16">
        <f>13235.84 - (13235.84 * $E$1)</f>
        <v>13235.84</v>
      </c>
      <c r="M164" s="1">
        <v>16147.72</v>
      </c>
      <c r="N164" s="1">
        <v>13235.84</v>
      </c>
      <c r="O164" s="1">
        <v>13725.57</v>
      </c>
      <c r="P164" s="1">
        <v>11250.46</v>
      </c>
      <c r="Q164">
        <v>1.9</v>
      </c>
      <c r="R164">
        <v>3.1199999999999999E-3</v>
      </c>
    </row>
    <row r="165" spans="1:18" ht="13.8" outlineLevel="2" x14ac:dyDescent="0.25">
      <c r="A165">
        <v>85734</v>
      </c>
      <c r="B165" t="s">
        <v>65</v>
      </c>
      <c r="C165" t="s">
        <v>191</v>
      </c>
      <c r="D165" s="14" t="s">
        <v>192</v>
      </c>
      <c r="E165" s="12" t="s">
        <v>28</v>
      </c>
      <c r="F165" s="13" t="s">
        <v>29</v>
      </c>
      <c r="G165">
        <v>25</v>
      </c>
      <c r="H165" t="s">
        <v>30</v>
      </c>
      <c r="I165">
        <v>25</v>
      </c>
      <c r="J165" s="15"/>
      <c r="K165" s="16">
        <f>115.52 - (115.52 * $E$1)</f>
        <v>115.52</v>
      </c>
      <c r="L165" s="16">
        <f>94.69 - (94.69 * $E$1)</f>
        <v>94.69</v>
      </c>
      <c r="M165" s="1">
        <v>115.52</v>
      </c>
      <c r="N165" s="1">
        <v>94.69</v>
      </c>
      <c r="O165" s="1">
        <v>98.19</v>
      </c>
      <c r="P165" s="1">
        <v>80.489999999999995</v>
      </c>
      <c r="Q165">
        <v>9.1800000000000007E-3</v>
      </c>
      <c r="R165">
        <v>1.2E-5</v>
      </c>
    </row>
    <row r="166" spans="1:18" ht="13.8" outlineLevel="2" x14ac:dyDescent="0.25">
      <c r="A166">
        <v>66692</v>
      </c>
      <c r="B166" t="s">
        <v>65</v>
      </c>
      <c r="C166" t="s">
        <v>193</v>
      </c>
      <c r="D166" s="14" t="s">
        <v>192</v>
      </c>
      <c r="E166" s="12" t="s">
        <v>28</v>
      </c>
      <c r="F166" s="13" t="s">
        <v>29</v>
      </c>
      <c r="G166">
        <v>25</v>
      </c>
      <c r="H166" t="s">
        <v>30</v>
      </c>
      <c r="I166">
        <v>25</v>
      </c>
      <c r="J166" s="15"/>
      <c r="K166" s="16">
        <f>225.58 - (225.58 * $E$1)</f>
        <v>225.58</v>
      </c>
      <c r="L166" s="16">
        <f>184.9 - (184.9 * $E$1)</f>
        <v>184.9</v>
      </c>
      <c r="M166" s="1">
        <v>225.58</v>
      </c>
      <c r="N166" s="1">
        <v>184.9</v>
      </c>
      <c r="O166" s="1">
        <v>191.74</v>
      </c>
      <c r="P166" s="1">
        <v>157.16999999999999</v>
      </c>
      <c r="Q166">
        <v>1.6400000000000001E-2</v>
      </c>
      <c r="R166">
        <v>1.4E-5</v>
      </c>
    </row>
    <row r="167" spans="1:18" ht="13.8" outlineLevel="2" x14ac:dyDescent="0.25">
      <c r="A167">
        <v>66693</v>
      </c>
      <c r="B167" t="s">
        <v>65</v>
      </c>
      <c r="C167" t="s">
        <v>194</v>
      </c>
      <c r="D167" s="14" t="s">
        <v>192</v>
      </c>
      <c r="E167" s="12" t="s">
        <v>28</v>
      </c>
      <c r="F167" s="13" t="s">
        <v>29</v>
      </c>
      <c r="G167">
        <v>25</v>
      </c>
      <c r="H167" t="s">
        <v>30</v>
      </c>
      <c r="I167">
        <v>25</v>
      </c>
      <c r="J167" s="15"/>
      <c r="K167" s="16">
        <f>323.09 - (323.09 * $E$1)</f>
        <v>323.08999999999997</v>
      </c>
      <c r="L167" s="16">
        <f>264.83 - (264.83 * $E$1)</f>
        <v>264.83</v>
      </c>
      <c r="M167" s="1">
        <v>323.08999999999997</v>
      </c>
      <c r="N167" s="1">
        <v>264.83</v>
      </c>
      <c r="O167" s="1">
        <v>274.63</v>
      </c>
      <c r="P167" s="1">
        <v>225.11</v>
      </c>
      <c r="Q167">
        <v>2.6800000000000001E-2</v>
      </c>
      <c r="R167">
        <v>1.8E-5</v>
      </c>
    </row>
    <row r="168" spans="1:18" ht="13.8" outlineLevel="2" x14ac:dyDescent="0.25">
      <c r="A168">
        <v>66694</v>
      </c>
      <c r="B168" t="s">
        <v>65</v>
      </c>
      <c r="C168" t="s">
        <v>195</v>
      </c>
      <c r="D168" s="14" t="s">
        <v>192</v>
      </c>
      <c r="E168" s="12" t="s">
        <v>28</v>
      </c>
      <c r="F168" s="13" t="s">
        <v>29</v>
      </c>
      <c r="G168">
        <v>25</v>
      </c>
      <c r="H168" t="s">
        <v>30</v>
      </c>
      <c r="I168">
        <v>25</v>
      </c>
      <c r="J168" s="15"/>
      <c r="K168" s="16">
        <f>476.54 - (476.54 * $E$1)</f>
        <v>476.54</v>
      </c>
      <c r="L168" s="16">
        <f>390.61 - (390.61 * $E$1)</f>
        <v>390.61</v>
      </c>
      <c r="M168" s="1">
        <v>476.54</v>
      </c>
      <c r="N168" s="1">
        <v>390.61</v>
      </c>
      <c r="O168" s="1">
        <v>405.06</v>
      </c>
      <c r="P168" s="1">
        <v>332.02</v>
      </c>
      <c r="Q168">
        <v>0.04</v>
      </c>
      <c r="R168">
        <v>2.552E-5</v>
      </c>
    </row>
    <row r="169" spans="1:18" ht="13.8" outlineLevel="2" x14ac:dyDescent="0.25">
      <c r="A169">
        <v>66695</v>
      </c>
      <c r="B169" t="s">
        <v>65</v>
      </c>
      <c r="C169" t="s">
        <v>196</v>
      </c>
      <c r="D169" s="14" t="s">
        <v>192</v>
      </c>
      <c r="E169" s="12" t="s">
        <v>28</v>
      </c>
      <c r="F169" s="13" t="s">
        <v>29</v>
      </c>
      <c r="G169">
        <v>25</v>
      </c>
      <c r="H169" t="s">
        <v>30</v>
      </c>
      <c r="I169">
        <v>25</v>
      </c>
      <c r="J169" s="15"/>
      <c r="K169" s="16">
        <f>476.54 - (476.54 * $E$1)</f>
        <v>476.54</v>
      </c>
      <c r="L169" s="16">
        <f>390.61 - (390.61 * $E$1)</f>
        <v>390.61</v>
      </c>
      <c r="M169" s="1">
        <v>476.54</v>
      </c>
      <c r="N169" s="1">
        <v>390.61</v>
      </c>
      <c r="O169" s="1">
        <v>405.06</v>
      </c>
      <c r="P169" s="1">
        <v>332.02</v>
      </c>
      <c r="Q169">
        <v>0.04</v>
      </c>
      <c r="R169">
        <v>2.1840000000000001E-5</v>
      </c>
    </row>
    <row r="170" spans="1:18" ht="13.8" outlineLevel="2" x14ac:dyDescent="0.25">
      <c r="A170">
        <v>101403</v>
      </c>
      <c r="B170" t="s">
        <v>25</v>
      </c>
      <c r="C170" t="s">
        <v>197</v>
      </c>
      <c r="D170" s="14" t="s">
        <v>192</v>
      </c>
      <c r="E170" s="12" t="s">
        <v>28</v>
      </c>
      <c r="F170" s="13" t="s">
        <v>29</v>
      </c>
      <c r="G170">
        <v>25</v>
      </c>
      <c r="H170" t="s">
        <v>30</v>
      </c>
      <c r="I170">
        <v>25</v>
      </c>
      <c r="J170" s="15"/>
      <c r="K170" s="16">
        <f>476.54 - (476.54 * $E$1)</f>
        <v>476.54</v>
      </c>
      <c r="L170" s="16">
        <f>390.61 - (390.61 * $E$1)</f>
        <v>390.61</v>
      </c>
      <c r="M170" s="1">
        <v>476.54</v>
      </c>
      <c r="N170" s="1">
        <v>390.61</v>
      </c>
      <c r="O170" s="1">
        <v>405.06</v>
      </c>
      <c r="P170" s="1">
        <v>332.02</v>
      </c>
      <c r="Q170">
        <v>3.8679999999999999E-2</v>
      </c>
      <c r="R170">
        <v>1.5999999999999999E-5</v>
      </c>
    </row>
    <row r="171" spans="1:18" ht="13.8" outlineLevel="2" x14ac:dyDescent="0.25">
      <c r="A171">
        <v>66696</v>
      </c>
      <c r="B171" t="s">
        <v>65</v>
      </c>
      <c r="C171" t="s">
        <v>198</v>
      </c>
      <c r="D171" s="14" t="s">
        <v>192</v>
      </c>
      <c r="E171" s="12" t="s">
        <v>28</v>
      </c>
      <c r="F171" s="13" t="s">
        <v>29</v>
      </c>
      <c r="G171">
        <v>10</v>
      </c>
      <c r="H171" t="s">
        <v>30</v>
      </c>
      <c r="I171">
        <v>10</v>
      </c>
      <c r="J171" s="15"/>
      <c r="K171" s="16">
        <f>582 - (582 * $E$1)</f>
        <v>582</v>
      </c>
      <c r="L171" s="16">
        <f>477.05 - (477.05 * $E$1)</f>
        <v>477.05</v>
      </c>
      <c r="M171" s="1">
        <v>582</v>
      </c>
      <c r="N171" s="1">
        <v>477.05</v>
      </c>
      <c r="O171" s="1">
        <v>494.7</v>
      </c>
      <c r="P171" s="1">
        <v>405.49</v>
      </c>
      <c r="Q171">
        <v>5.0999999999999997E-2</v>
      </c>
      <c r="R171">
        <v>3.0000000000000001E-5</v>
      </c>
    </row>
    <row r="172" spans="1:18" ht="13.8" outlineLevel="2" x14ac:dyDescent="0.25">
      <c r="A172">
        <v>92344</v>
      </c>
      <c r="B172" t="s">
        <v>25</v>
      </c>
      <c r="C172" t="s">
        <v>199</v>
      </c>
      <c r="D172" s="14" t="s">
        <v>192</v>
      </c>
      <c r="E172" s="12" t="s">
        <v>28</v>
      </c>
      <c r="F172" s="13" t="s">
        <v>29</v>
      </c>
      <c r="G172">
        <v>10</v>
      </c>
      <c r="H172" t="s">
        <v>30</v>
      </c>
      <c r="I172">
        <v>10</v>
      </c>
      <c r="J172" s="15"/>
      <c r="K172" s="16">
        <f>582 - (582 * $E$1)</f>
        <v>582</v>
      </c>
      <c r="L172" s="16">
        <f>477.05 - (477.05 * $E$1)</f>
        <v>477.05</v>
      </c>
      <c r="M172" s="1">
        <v>582</v>
      </c>
      <c r="N172" s="1">
        <v>477.05</v>
      </c>
      <c r="O172" s="1">
        <v>494.7</v>
      </c>
      <c r="P172" s="1">
        <v>405.49</v>
      </c>
      <c r="Q172">
        <v>4.8899999999999999E-2</v>
      </c>
      <c r="R172">
        <v>3.0000000000000001E-5</v>
      </c>
    </row>
    <row r="173" spans="1:18" ht="13.8" outlineLevel="2" x14ac:dyDescent="0.25">
      <c r="A173">
        <v>66697</v>
      </c>
      <c r="B173" t="s">
        <v>65</v>
      </c>
      <c r="C173" t="s">
        <v>200</v>
      </c>
      <c r="D173" s="14" t="s">
        <v>192</v>
      </c>
      <c r="E173" s="12" t="s">
        <v>28</v>
      </c>
      <c r="F173" s="13" t="s">
        <v>29</v>
      </c>
      <c r="G173">
        <v>10</v>
      </c>
      <c r="H173" t="s">
        <v>30</v>
      </c>
      <c r="I173">
        <v>10</v>
      </c>
      <c r="J173" s="15"/>
      <c r="K173" s="16">
        <f>669.27 - (669.27 * $E$1)</f>
        <v>669.27</v>
      </c>
      <c r="L173" s="16">
        <f>548.58 - (548.58 * $E$1)</f>
        <v>548.58000000000004</v>
      </c>
      <c r="M173" s="1">
        <v>669.27</v>
      </c>
      <c r="N173" s="1">
        <v>548.58000000000004</v>
      </c>
      <c r="O173" s="1">
        <v>568.88</v>
      </c>
      <c r="P173" s="1">
        <v>466.29</v>
      </c>
      <c r="Q173">
        <v>5.8000000000000003E-2</v>
      </c>
      <c r="R173">
        <v>4.1999999999999998E-5</v>
      </c>
    </row>
    <row r="174" spans="1:18" ht="13.8" outlineLevel="2" x14ac:dyDescent="0.25">
      <c r="A174">
        <v>66698</v>
      </c>
      <c r="B174" t="s">
        <v>65</v>
      </c>
      <c r="C174" t="s">
        <v>201</v>
      </c>
      <c r="D174" s="14" t="s">
        <v>192</v>
      </c>
      <c r="E174" s="12" t="s">
        <v>28</v>
      </c>
      <c r="F174" s="13" t="s">
        <v>29</v>
      </c>
      <c r="G174">
        <v>10</v>
      </c>
      <c r="H174" t="s">
        <v>30</v>
      </c>
      <c r="I174">
        <v>10</v>
      </c>
      <c r="J174" s="15"/>
      <c r="K174" s="16">
        <f>669.27 - (669.27 * $E$1)</f>
        <v>669.27</v>
      </c>
      <c r="L174" s="16">
        <f>548.58 - (548.58 * $E$1)</f>
        <v>548.58000000000004</v>
      </c>
      <c r="M174" s="1">
        <v>669.27</v>
      </c>
      <c r="N174" s="1">
        <v>548.58000000000004</v>
      </c>
      <c r="O174" s="1">
        <v>568.88</v>
      </c>
      <c r="P174" s="1">
        <v>466.29</v>
      </c>
      <c r="Q174">
        <v>5.8000000000000003E-2</v>
      </c>
      <c r="R174">
        <v>5.2500000000000002E-5</v>
      </c>
    </row>
    <row r="175" spans="1:18" ht="13.8" outlineLevel="2" x14ac:dyDescent="0.25">
      <c r="A175">
        <v>101404</v>
      </c>
      <c r="B175" t="s">
        <v>25</v>
      </c>
      <c r="C175" t="s">
        <v>202</v>
      </c>
      <c r="D175" s="14" t="s">
        <v>192</v>
      </c>
      <c r="E175" s="12" t="s">
        <v>28</v>
      </c>
      <c r="F175" s="13" t="s">
        <v>29</v>
      </c>
      <c r="G175">
        <v>10</v>
      </c>
      <c r="H175" t="s">
        <v>30</v>
      </c>
      <c r="I175">
        <v>10</v>
      </c>
      <c r="J175" s="15"/>
      <c r="K175" s="16">
        <f>669.27 - (669.27 * $E$1)</f>
        <v>669.27</v>
      </c>
      <c r="L175" s="16">
        <f>548.58 - (548.58 * $E$1)</f>
        <v>548.58000000000004</v>
      </c>
      <c r="M175" s="1">
        <v>669.27</v>
      </c>
      <c r="N175" s="1">
        <v>548.58000000000004</v>
      </c>
      <c r="O175" s="1">
        <v>568.88</v>
      </c>
      <c r="P175" s="1">
        <v>466.29</v>
      </c>
      <c r="Q175">
        <v>5.1499999999999997E-2</v>
      </c>
      <c r="R175">
        <v>3.0000000000000001E-5</v>
      </c>
    </row>
    <row r="176" spans="1:18" ht="13.8" outlineLevel="2" x14ac:dyDescent="0.25">
      <c r="A176">
        <v>66699</v>
      </c>
      <c r="B176" t="s">
        <v>65</v>
      </c>
      <c r="C176" t="s">
        <v>203</v>
      </c>
      <c r="D176" s="14" t="s">
        <v>192</v>
      </c>
      <c r="E176" s="12" t="s">
        <v>28</v>
      </c>
      <c r="F176" s="13" t="s">
        <v>29</v>
      </c>
      <c r="G176">
        <v>5</v>
      </c>
      <c r="H176" t="s">
        <v>30</v>
      </c>
      <c r="I176">
        <v>5</v>
      </c>
      <c r="J176" s="15"/>
      <c r="K176" s="16">
        <f>765.01 - (765.01 * $E$1)</f>
        <v>765.01</v>
      </c>
      <c r="L176" s="16">
        <f>627.06 - (627.06 * $E$1)</f>
        <v>627.05999999999995</v>
      </c>
      <c r="M176" s="1">
        <v>765.01</v>
      </c>
      <c r="N176" s="1">
        <v>627.05999999999995</v>
      </c>
      <c r="O176" s="1">
        <v>650.26</v>
      </c>
      <c r="P176" s="1">
        <v>533</v>
      </c>
      <c r="Q176">
        <v>6.8000000000000005E-2</v>
      </c>
      <c r="R176">
        <v>9.7999999999999997E-5</v>
      </c>
    </row>
    <row r="177" spans="1:18" ht="13.8" outlineLevel="2" x14ac:dyDescent="0.25">
      <c r="A177">
        <v>66700</v>
      </c>
      <c r="B177" t="s">
        <v>65</v>
      </c>
      <c r="C177" t="s">
        <v>204</v>
      </c>
      <c r="D177" s="14" t="s">
        <v>192</v>
      </c>
      <c r="E177" s="12" t="s">
        <v>28</v>
      </c>
      <c r="F177" s="13" t="s">
        <v>29</v>
      </c>
      <c r="G177">
        <v>5</v>
      </c>
      <c r="H177" t="s">
        <v>30</v>
      </c>
      <c r="I177">
        <v>5</v>
      </c>
      <c r="J177" s="15"/>
      <c r="K177" s="16">
        <f>765.01 - (765.01 * $E$1)</f>
        <v>765.01</v>
      </c>
      <c r="L177" s="16">
        <f>627.06 - (627.06 * $E$1)</f>
        <v>627.05999999999995</v>
      </c>
      <c r="M177" s="1">
        <v>765.01</v>
      </c>
      <c r="N177" s="1">
        <v>627.05999999999995</v>
      </c>
      <c r="O177" s="1">
        <v>650.26</v>
      </c>
      <c r="P177" s="1">
        <v>533</v>
      </c>
      <c r="Q177">
        <v>6.8000000000000005E-2</v>
      </c>
      <c r="R177">
        <v>4.8000000000000001E-5</v>
      </c>
    </row>
    <row r="178" spans="1:18" ht="13.8" outlineLevel="2" x14ac:dyDescent="0.25">
      <c r="A178">
        <v>66701</v>
      </c>
      <c r="B178" t="s">
        <v>65</v>
      </c>
      <c r="C178" t="s">
        <v>205</v>
      </c>
      <c r="D178" s="14" t="s">
        <v>192</v>
      </c>
      <c r="E178" s="12" t="s">
        <v>28</v>
      </c>
      <c r="F178" s="13" t="s">
        <v>29</v>
      </c>
      <c r="G178">
        <v>5</v>
      </c>
      <c r="H178" t="s">
        <v>30</v>
      </c>
      <c r="I178">
        <v>5</v>
      </c>
      <c r="J178" s="15"/>
      <c r="K178" s="16">
        <f>1147.74 - (1147.74 * $E$1)</f>
        <v>1147.74</v>
      </c>
      <c r="L178" s="16">
        <f>940.77 - (940.77 * $E$1)</f>
        <v>940.77</v>
      </c>
      <c r="M178" s="1">
        <v>1147.74</v>
      </c>
      <c r="N178" s="1">
        <v>940.77</v>
      </c>
      <c r="O178" s="1">
        <v>975.58</v>
      </c>
      <c r="P178" s="1">
        <v>799.65</v>
      </c>
      <c r="Q178">
        <v>9.8000000000000004E-2</v>
      </c>
      <c r="R178">
        <v>1.176E-4</v>
      </c>
    </row>
    <row r="179" spans="1:18" ht="13.8" outlineLevel="2" x14ac:dyDescent="0.25">
      <c r="A179">
        <v>101405</v>
      </c>
      <c r="B179" t="s">
        <v>25</v>
      </c>
      <c r="C179" t="s">
        <v>206</v>
      </c>
      <c r="D179" s="14" t="s">
        <v>192</v>
      </c>
      <c r="E179" s="12" t="s">
        <v>28</v>
      </c>
      <c r="F179" s="13" t="s">
        <v>29</v>
      </c>
      <c r="G179">
        <v>5</v>
      </c>
      <c r="H179" t="s">
        <v>30</v>
      </c>
      <c r="I179">
        <v>5</v>
      </c>
      <c r="J179" s="15"/>
      <c r="K179" s="16">
        <f>1147.74 - (1147.74 * $E$1)</f>
        <v>1147.74</v>
      </c>
      <c r="L179" s="16">
        <f>940.77 - (940.77 * $E$1)</f>
        <v>940.77</v>
      </c>
      <c r="M179" s="1">
        <v>1147.74</v>
      </c>
      <c r="N179" s="1">
        <v>940.77</v>
      </c>
      <c r="O179" s="1">
        <v>975.58</v>
      </c>
      <c r="P179" s="1">
        <v>799.65</v>
      </c>
      <c r="Q179">
        <v>9.8000000000000004E-2</v>
      </c>
      <c r="R179">
        <v>6.0000000000000002E-5</v>
      </c>
    </row>
    <row r="180" spans="1:18" ht="13.8" outlineLevel="2" x14ac:dyDescent="0.25">
      <c r="A180">
        <v>66702</v>
      </c>
      <c r="B180" t="s">
        <v>65</v>
      </c>
      <c r="C180" t="s">
        <v>207</v>
      </c>
      <c r="D180" s="14" t="s">
        <v>192</v>
      </c>
      <c r="E180" s="12" t="s">
        <v>28</v>
      </c>
      <c r="F180" s="13" t="s">
        <v>29</v>
      </c>
      <c r="G180">
        <v>5</v>
      </c>
      <c r="H180" t="s">
        <v>30</v>
      </c>
      <c r="I180">
        <v>5</v>
      </c>
      <c r="J180" s="15"/>
      <c r="K180" s="16">
        <f>1404.33 - (1404.33 * $E$1)</f>
        <v>1404.33</v>
      </c>
      <c r="L180" s="16">
        <f>1151.09 - (1151.09 * $E$1)</f>
        <v>1151.0899999999999</v>
      </c>
      <c r="M180" s="1">
        <v>1404.33</v>
      </c>
      <c r="N180" s="1">
        <v>1151.0899999999999</v>
      </c>
      <c r="O180" s="1">
        <v>1193.68</v>
      </c>
      <c r="P180" s="1">
        <v>978.43</v>
      </c>
      <c r="Q180">
        <v>0.122</v>
      </c>
      <c r="R180">
        <v>1.372E-4</v>
      </c>
    </row>
    <row r="181" spans="1:18" ht="13.8" outlineLevel="2" x14ac:dyDescent="0.25">
      <c r="A181">
        <v>101406</v>
      </c>
      <c r="B181" t="s">
        <v>25</v>
      </c>
      <c r="C181" t="s">
        <v>208</v>
      </c>
      <c r="D181" s="14" t="s">
        <v>192</v>
      </c>
      <c r="E181" s="12" t="s">
        <v>28</v>
      </c>
      <c r="F181" s="13" t="s">
        <v>29</v>
      </c>
      <c r="G181">
        <v>5</v>
      </c>
      <c r="H181" t="s">
        <v>30</v>
      </c>
      <c r="I181">
        <v>5</v>
      </c>
      <c r="J181" s="15"/>
      <c r="K181" s="16">
        <f>1404.33 - (1404.33 * $E$1)</f>
        <v>1404.33</v>
      </c>
      <c r="L181" s="16">
        <f>1151.09 - (1151.09 * $E$1)</f>
        <v>1151.0899999999999</v>
      </c>
      <c r="M181" s="1">
        <v>1404.33</v>
      </c>
      <c r="N181" s="1">
        <v>1151.0899999999999</v>
      </c>
      <c r="O181" s="1">
        <v>1193.68</v>
      </c>
      <c r="P181" s="1">
        <v>978.43</v>
      </c>
      <c r="Q181">
        <v>0.11840000000000001</v>
      </c>
      <c r="R181">
        <v>6.0000000000000002E-5</v>
      </c>
    </row>
    <row r="182" spans="1:18" ht="13.8" outlineLevel="2" x14ac:dyDescent="0.25">
      <c r="A182">
        <v>87468</v>
      </c>
      <c r="B182" t="s">
        <v>65</v>
      </c>
      <c r="C182" t="s">
        <v>209</v>
      </c>
      <c r="D182" s="14" t="s">
        <v>210</v>
      </c>
      <c r="E182" s="12" t="s">
        <v>28</v>
      </c>
      <c r="F182" s="13" t="s">
        <v>29</v>
      </c>
      <c r="G182">
        <v>100</v>
      </c>
      <c r="H182" t="s">
        <v>30</v>
      </c>
      <c r="I182">
        <v>100</v>
      </c>
      <c r="J182" s="15"/>
      <c r="K182" s="16">
        <f>9.6 - (9.6 * $E$1)</f>
        <v>9.6</v>
      </c>
      <c r="L182" s="16">
        <f>7.87 - (7.87 * $E$1)</f>
        <v>7.87</v>
      </c>
      <c r="M182" s="1">
        <v>9.6</v>
      </c>
      <c r="N182" s="1">
        <v>7.87</v>
      </c>
      <c r="O182" s="1">
        <v>8.16</v>
      </c>
      <c r="P182" s="1">
        <v>6.69</v>
      </c>
      <c r="Q182">
        <v>7.5000000000000002E-4</v>
      </c>
      <c r="R182">
        <v>9.7999999999999993E-7</v>
      </c>
    </row>
    <row r="183" spans="1:18" ht="13.8" outlineLevel="2" x14ac:dyDescent="0.25">
      <c r="A183">
        <v>87469</v>
      </c>
      <c r="B183" t="s">
        <v>65</v>
      </c>
      <c r="C183" t="s">
        <v>211</v>
      </c>
      <c r="D183" s="14" t="s">
        <v>210</v>
      </c>
      <c r="E183" s="12" t="s">
        <v>28</v>
      </c>
      <c r="F183" s="13" t="s">
        <v>29</v>
      </c>
      <c r="G183">
        <v>100</v>
      </c>
      <c r="H183" t="s">
        <v>30</v>
      </c>
      <c r="I183">
        <v>100</v>
      </c>
      <c r="J183" s="15"/>
      <c r="K183" s="16">
        <f>9.6 - (9.6 * $E$1)</f>
        <v>9.6</v>
      </c>
      <c r="L183" s="16">
        <f>7.87 - (7.87 * $E$1)</f>
        <v>7.87</v>
      </c>
      <c r="M183" s="1">
        <v>9.6</v>
      </c>
      <c r="N183" s="1">
        <v>7.87</v>
      </c>
      <c r="O183" s="1">
        <v>8.16</v>
      </c>
      <c r="P183" s="1">
        <v>6.69</v>
      </c>
      <c r="Q183">
        <v>7.3999999999999999E-4</v>
      </c>
      <c r="R183">
        <v>9.7999999999999993E-7</v>
      </c>
    </row>
    <row r="184" spans="1:18" ht="13.8" outlineLevel="2" x14ac:dyDescent="0.25">
      <c r="A184">
        <v>87470</v>
      </c>
      <c r="B184" t="s">
        <v>65</v>
      </c>
      <c r="C184" t="s">
        <v>212</v>
      </c>
      <c r="D184" s="14" t="s">
        <v>210</v>
      </c>
      <c r="E184" s="12" t="s">
        <v>28</v>
      </c>
      <c r="F184" s="13" t="s">
        <v>29</v>
      </c>
      <c r="G184">
        <v>100</v>
      </c>
      <c r="H184" t="s">
        <v>30</v>
      </c>
      <c r="I184">
        <v>100</v>
      </c>
      <c r="J184" s="15"/>
      <c r="K184" s="16">
        <f>10.77 - (10.77 * $E$1)</f>
        <v>10.77</v>
      </c>
      <c r="L184" s="16">
        <f>8.83 - (8.83 * $E$1)</f>
        <v>8.83</v>
      </c>
      <c r="M184" s="1">
        <v>10.77</v>
      </c>
      <c r="N184" s="1">
        <v>8.83</v>
      </c>
      <c r="O184" s="1">
        <v>9.16</v>
      </c>
      <c r="P184" s="1">
        <v>7.51</v>
      </c>
      <c r="Q184">
        <v>8.1999999999999998E-4</v>
      </c>
      <c r="R184">
        <v>9.7999999999999993E-7</v>
      </c>
    </row>
    <row r="185" spans="1:18" ht="13.8" outlineLevel="2" x14ac:dyDescent="0.25">
      <c r="A185">
        <v>87471</v>
      </c>
      <c r="B185" t="s">
        <v>65</v>
      </c>
      <c r="C185" t="s">
        <v>213</v>
      </c>
      <c r="D185" s="14" t="s">
        <v>210</v>
      </c>
      <c r="E185" s="12" t="s">
        <v>28</v>
      </c>
      <c r="F185" s="13" t="s">
        <v>29</v>
      </c>
      <c r="G185">
        <v>100</v>
      </c>
      <c r="H185" t="s">
        <v>30</v>
      </c>
      <c r="I185">
        <v>100</v>
      </c>
      <c r="J185" s="15"/>
      <c r="K185" s="16">
        <f>10.77 - (10.77 * $E$1)</f>
        <v>10.77</v>
      </c>
      <c r="L185" s="16">
        <f>8.83 - (8.83 * $E$1)</f>
        <v>8.83</v>
      </c>
      <c r="M185" s="1">
        <v>10.77</v>
      </c>
      <c r="N185" s="1">
        <v>8.83</v>
      </c>
      <c r="O185" s="1">
        <v>9.16</v>
      </c>
      <c r="P185" s="1">
        <v>7.51</v>
      </c>
      <c r="Q185">
        <v>9.1E-4</v>
      </c>
      <c r="R185">
        <v>9.7999999999999993E-7</v>
      </c>
    </row>
    <row r="186" spans="1:18" ht="13.8" outlineLevel="2" x14ac:dyDescent="0.25">
      <c r="A186">
        <v>87472</v>
      </c>
      <c r="B186" t="s">
        <v>65</v>
      </c>
      <c r="C186" t="s">
        <v>214</v>
      </c>
      <c r="D186" s="14" t="s">
        <v>210</v>
      </c>
      <c r="E186" s="12" t="s">
        <v>28</v>
      </c>
      <c r="F186" s="13" t="s">
        <v>29</v>
      </c>
      <c r="G186">
        <v>100</v>
      </c>
      <c r="H186" t="s">
        <v>30</v>
      </c>
      <c r="I186">
        <v>100</v>
      </c>
      <c r="J186" s="15"/>
      <c r="K186" s="16">
        <f>14.24 - (14.24 * $E$1)</f>
        <v>14.24</v>
      </c>
      <c r="L186" s="16">
        <f>11.67 - (11.67 * $E$1)</f>
        <v>11.67</v>
      </c>
      <c r="M186" s="1">
        <v>14.24</v>
      </c>
      <c r="N186" s="1">
        <v>11.67</v>
      </c>
      <c r="O186" s="1">
        <v>12.1</v>
      </c>
      <c r="P186" s="1">
        <v>9.92</v>
      </c>
      <c r="Q186">
        <v>1.1999999999999999E-3</v>
      </c>
      <c r="R186">
        <v>1.28E-6</v>
      </c>
    </row>
    <row r="187" spans="1:18" ht="13.8" outlineLevel="2" x14ac:dyDescent="0.25">
      <c r="A187">
        <v>87473</v>
      </c>
      <c r="B187" t="s">
        <v>65</v>
      </c>
      <c r="C187" t="s">
        <v>215</v>
      </c>
      <c r="D187" s="14" t="s">
        <v>210</v>
      </c>
      <c r="E187" s="12" t="s">
        <v>28</v>
      </c>
      <c r="F187" s="13" t="s">
        <v>29</v>
      </c>
      <c r="G187">
        <v>100</v>
      </c>
      <c r="H187" t="s">
        <v>30</v>
      </c>
      <c r="I187">
        <v>100</v>
      </c>
      <c r="J187" s="15"/>
      <c r="K187" s="16">
        <f>14.24 - (14.24 * $E$1)</f>
        <v>14.24</v>
      </c>
      <c r="L187" s="16">
        <f>11.67 - (11.67 * $E$1)</f>
        <v>11.67</v>
      </c>
      <c r="M187" s="1">
        <v>14.24</v>
      </c>
      <c r="N187" s="1">
        <v>11.67</v>
      </c>
      <c r="O187" s="1">
        <v>12.1</v>
      </c>
      <c r="P187" s="1">
        <v>9.92</v>
      </c>
      <c r="Q187">
        <v>1.24E-3</v>
      </c>
      <c r="R187">
        <v>1.28E-6</v>
      </c>
    </row>
    <row r="188" spans="1:18" ht="13.8" outlineLevel="2" x14ac:dyDescent="0.25">
      <c r="A188">
        <v>87474</v>
      </c>
      <c r="B188" t="s">
        <v>65</v>
      </c>
      <c r="C188" t="s">
        <v>216</v>
      </c>
      <c r="D188" s="14" t="s">
        <v>210</v>
      </c>
      <c r="E188" s="12" t="s">
        <v>28</v>
      </c>
      <c r="F188" s="13" t="s">
        <v>29</v>
      </c>
      <c r="G188">
        <v>100</v>
      </c>
      <c r="H188" t="s">
        <v>30</v>
      </c>
      <c r="I188">
        <v>100</v>
      </c>
      <c r="J188" s="15"/>
      <c r="K188" s="16">
        <f>16.35 - (16.35 * $E$1)</f>
        <v>16.350000000000001</v>
      </c>
      <c r="L188" s="16">
        <f>13.4 - (13.4 * $E$1)</f>
        <v>13.4</v>
      </c>
      <c r="M188" s="1">
        <v>16.350000000000001</v>
      </c>
      <c r="N188" s="1">
        <v>13.4</v>
      </c>
      <c r="O188" s="1">
        <v>13.9</v>
      </c>
      <c r="P188" s="1">
        <v>11.39</v>
      </c>
      <c r="Q188">
        <v>1.4599999999999999E-3</v>
      </c>
      <c r="R188">
        <v>1.4699999999999999E-6</v>
      </c>
    </row>
    <row r="189" spans="1:18" ht="13.8" outlineLevel="2" x14ac:dyDescent="0.25">
      <c r="A189">
        <v>87475</v>
      </c>
      <c r="B189" t="s">
        <v>65</v>
      </c>
      <c r="C189" t="s">
        <v>217</v>
      </c>
      <c r="D189" s="14" t="s">
        <v>210</v>
      </c>
      <c r="E189" s="12" t="s">
        <v>28</v>
      </c>
      <c r="F189" s="13" t="s">
        <v>29</v>
      </c>
      <c r="G189">
        <v>100</v>
      </c>
      <c r="H189" t="s">
        <v>30</v>
      </c>
      <c r="I189">
        <v>100</v>
      </c>
      <c r="J189" s="15"/>
      <c r="K189" s="16">
        <f>16.35 - (16.35 * $E$1)</f>
        <v>16.350000000000001</v>
      </c>
      <c r="L189" s="16">
        <f>13.4 - (13.4 * $E$1)</f>
        <v>13.4</v>
      </c>
      <c r="M189" s="1">
        <v>16.350000000000001</v>
      </c>
      <c r="N189" s="1">
        <v>13.4</v>
      </c>
      <c r="O189" s="1">
        <v>13.9</v>
      </c>
      <c r="P189" s="1">
        <v>11.39</v>
      </c>
      <c r="Q189">
        <v>1.5499999999999999E-3</v>
      </c>
      <c r="R189">
        <v>1.4699999999999999E-6</v>
      </c>
    </row>
    <row r="190" spans="1:18" ht="13.8" outlineLevel="2" x14ac:dyDescent="0.25">
      <c r="A190">
        <v>87476</v>
      </c>
      <c r="B190" t="s">
        <v>65</v>
      </c>
      <c r="C190" t="s">
        <v>218</v>
      </c>
      <c r="D190" s="14" t="s">
        <v>210</v>
      </c>
      <c r="E190" s="12" t="s">
        <v>28</v>
      </c>
      <c r="F190" s="13" t="s">
        <v>29</v>
      </c>
      <c r="G190">
        <v>100</v>
      </c>
      <c r="H190" t="s">
        <v>30</v>
      </c>
      <c r="I190">
        <v>100</v>
      </c>
      <c r="J190" s="15"/>
      <c r="K190" s="16">
        <f>24.94 - (24.94 * $E$1)</f>
        <v>24.94</v>
      </c>
      <c r="L190" s="16">
        <f>20.44 - (20.44 * $E$1)</f>
        <v>20.440000000000001</v>
      </c>
      <c r="M190" s="1">
        <v>24.94</v>
      </c>
      <c r="N190" s="1">
        <v>20.440000000000001</v>
      </c>
      <c r="O190" s="1">
        <v>21.2</v>
      </c>
      <c r="P190" s="1">
        <v>17.37</v>
      </c>
      <c r="Q190">
        <v>2.5100000000000001E-3</v>
      </c>
      <c r="R190">
        <v>1.9199999999999998E-6</v>
      </c>
    </row>
    <row r="191" spans="1:18" ht="13.8" outlineLevel="2" x14ac:dyDescent="0.25">
      <c r="A191">
        <v>87477</v>
      </c>
      <c r="B191" t="s">
        <v>65</v>
      </c>
      <c r="C191" t="s">
        <v>219</v>
      </c>
      <c r="D191" s="14" t="s">
        <v>210</v>
      </c>
      <c r="E191" s="12" t="s">
        <v>28</v>
      </c>
      <c r="F191" s="13" t="s">
        <v>29</v>
      </c>
      <c r="G191">
        <v>100</v>
      </c>
      <c r="H191" t="s">
        <v>30</v>
      </c>
      <c r="I191">
        <v>100</v>
      </c>
      <c r="J191" s="15"/>
      <c r="K191" s="16">
        <f>24.94 - (24.94 * $E$1)</f>
        <v>24.94</v>
      </c>
      <c r="L191" s="16">
        <f>20.44 - (20.44 * $E$1)</f>
        <v>20.440000000000001</v>
      </c>
      <c r="M191" s="1">
        <v>24.94</v>
      </c>
      <c r="N191" s="1">
        <v>20.440000000000001</v>
      </c>
      <c r="O191" s="1">
        <v>21.2</v>
      </c>
      <c r="P191" s="1">
        <v>17.37</v>
      </c>
      <c r="Q191">
        <v>2.7100000000000002E-3</v>
      </c>
      <c r="R191">
        <v>2.43E-6</v>
      </c>
    </row>
    <row r="192" spans="1:18" ht="13.8" outlineLevel="2" x14ac:dyDescent="0.25">
      <c r="A192">
        <v>87478</v>
      </c>
      <c r="B192" t="s">
        <v>65</v>
      </c>
      <c r="C192" t="s">
        <v>220</v>
      </c>
      <c r="D192" s="14" t="s">
        <v>210</v>
      </c>
      <c r="E192" s="12" t="s">
        <v>28</v>
      </c>
      <c r="F192" s="13" t="s">
        <v>29</v>
      </c>
      <c r="G192">
        <v>100</v>
      </c>
      <c r="H192" t="s">
        <v>30</v>
      </c>
      <c r="I192">
        <v>100</v>
      </c>
      <c r="J192" s="15"/>
      <c r="K192" s="16">
        <f>44.64 - (44.64 * $E$1)</f>
        <v>44.64</v>
      </c>
      <c r="L192" s="16">
        <f>36.59 - (36.59 * $E$1)</f>
        <v>36.590000000000003</v>
      </c>
      <c r="M192" s="1">
        <v>44.64</v>
      </c>
      <c r="N192" s="1">
        <v>36.590000000000003</v>
      </c>
      <c r="O192" s="1">
        <v>37.94</v>
      </c>
      <c r="P192" s="1">
        <v>31.1</v>
      </c>
      <c r="Q192">
        <v>5.0000000000000001E-3</v>
      </c>
      <c r="R192">
        <v>3.0000000000000001E-6</v>
      </c>
    </row>
    <row r="193" spans="1:18" ht="13.8" outlineLevel="2" x14ac:dyDescent="0.25">
      <c r="A193">
        <v>87479</v>
      </c>
      <c r="B193" t="s">
        <v>65</v>
      </c>
      <c r="C193" t="s">
        <v>221</v>
      </c>
      <c r="D193" s="14" t="s">
        <v>210</v>
      </c>
      <c r="E193" s="12" t="s">
        <v>28</v>
      </c>
      <c r="F193" s="13" t="s">
        <v>29</v>
      </c>
      <c r="G193">
        <v>100</v>
      </c>
      <c r="H193" t="s">
        <v>30</v>
      </c>
      <c r="I193">
        <v>100</v>
      </c>
      <c r="J193" s="15"/>
      <c r="K193" s="16">
        <f>44.64 - (44.64 * $E$1)</f>
        <v>44.64</v>
      </c>
      <c r="L193" s="16">
        <f>36.59 - (36.59 * $E$1)</f>
        <v>36.590000000000003</v>
      </c>
      <c r="M193" s="1">
        <v>44.64</v>
      </c>
      <c r="N193" s="1">
        <v>36.590000000000003</v>
      </c>
      <c r="O193" s="1">
        <v>37.94</v>
      </c>
      <c r="P193" s="1">
        <v>31.1</v>
      </c>
      <c r="Q193">
        <v>5.2900000000000004E-3</v>
      </c>
      <c r="R193">
        <v>3.9999999999999998E-6</v>
      </c>
    </row>
    <row r="194" spans="1:18" ht="13.8" outlineLevel="2" x14ac:dyDescent="0.25">
      <c r="A194">
        <v>87480</v>
      </c>
      <c r="B194" t="s">
        <v>65</v>
      </c>
      <c r="C194" t="s">
        <v>222</v>
      </c>
      <c r="D194" s="14" t="s">
        <v>210</v>
      </c>
      <c r="E194" s="12" t="s">
        <v>28</v>
      </c>
      <c r="F194" s="13" t="s">
        <v>29</v>
      </c>
      <c r="G194">
        <v>100</v>
      </c>
      <c r="H194" t="s">
        <v>30</v>
      </c>
      <c r="I194">
        <v>100</v>
      </c>
      <c r="J194" s="15"/>
      <c r="K194" s="16">
        <f>70.74 - (70.74 * $E$1)</f>
        <v>70.739999999999995</v>
      </c>
      <c r="L194" s="16">
        <f>57.98 - (57.98 * $E$1)</f>
        <v>57.98</v>
      </c>
      <c r="M194" s="1">
        <v>70.739999999999995</v>
      </c>
      <c r="N194" s="1">
        <v>57.98</v>
      </c>
      <c r="O194" s="1">
        <v>60.13</v>
      </c>
      <c r="P194" s="1">
        <v>49.28</v>
      </c>
      <c r="Q194">
        <v>7.7999999999999996E-3</v>
      </c>
      <c r="R194">
        <v>7.1999999999999997E-6</v>
      </c>
    </row>
    <row r="195" spans="1:18" ht="13.8" outlineLevel="2" x14ac:dyDescent="0.25">
      <c r="A195">
        <v>87481</v>
      </c>
      <c r="B195" t="s">
        <v>65</v>
      </c>
      <c r="C195" t="s">
        <v>223</v>
      </c>
      <c r="D195" s="14" t="s">
        <v>210</v>
      </c>
      <c r="E195" s="12" t="s">
        <v>28</v>
      </c>
      <c r="F195" s="13" t="s">
        <v>29</v>
      </c>
      <c r="G195">
        <v>100</v>
      </c>
      <c r="H195" t="s">
        <v>30</v>
      </c>
      <c r="I195">
        <v>100</v>
      </c>
      <c r="J195" s="15"/>
      <c r="K195" s="16">
        <f>70.74 - (70.74 * $E$1)</f>
        <v>70.739999999999995</v>
      </c>
      <c r="L195" s="16">
        <f>57.98 - (57.98 * $E$1)</f>
        <v>57.98</v>
      </c>
      <c r="M195" s="1">
        <v>70.739999999999995</v>
      </c>
      <c r="N195" s="1">
        <v>57.98</v>
      </c>
      <c r="O195" s="1">
        <v>60.13</v>
      </c>
      <c r="P195" s="1">
        <v>49.28</v>
      </c>
      <c r="Q195">
        <v>8.1200000000000005E-3</v>
      </c>
      <c r="R195">
        <v>7.9200000000000004E-6</v>
      </c>
    </row>
    <row r="196" spans="1:18" ht="13.8" outlineLevel="2" x14ac:dyDescent="0.25">
      <c r="A196">
        <v>87482</v>
      </c>
      <c r="B196" t="s">
        <v>65</v>
      </c>
      <c r="C196" t="s">
        <v>224</v>
      </c>
      <c r="D196" s="14" t="s">
        <v>210</v>
      </c>
      <c r="E196" s="12" t="s">
        <v>28</v>
      </c>
      <c r="F196" s="13" t="s">
        <v>29</v>
      </c>
      <c r="G196">
        <v>100</v>
      </c>
      <c r="H196" t="s">
        <v>30</v>
      </c>
      <c r="I196">
        <v>100</v>
      </c>
      <c r="J196" s="15"/>
      <c r="K196" s="16">
        <f>93.03 - (93.03 * $E$1)</f>
        <v>93.03</v>
      </c>
      <c r="L196" s="16">
        <f>76.25 - (76.25 * $E$1)</f>
        <v>76.25</v>
      </c>
      <c r="M196" s="1">
        <v>93.03</v>
      </c>
      <c r="N196" s="1">
        <v>76.25</v>
      </c>
      <c r="O196" s="1">
        <v>79.069999999999993</v>
      </c>
      <c r="P196" s="1">
        <v>64.81</v>
      </c>
      <c r="Q196">
        <v>1.11E-2</v>
      </c>
      <c r="R196">
        <v>9.3600000000000002E-6</v>
      </c>
    </row>
    <row r="197" spans="1:18" ht="13.8" outlineLevel="2" x14ac:dyDescent="0.25">
      <c r="A197">
        <v>87450</v>
      </c>
      <c r="B197" t="s">
        <v>65</v>
      </c>
      <c r="C197" t="s">
        <v>225</v>
      </c>
      <c r="D197" s="14" t="s">
        <v>210</v>
      </c>
      <c r="E197" s="12" t="s">
        <v>28</v>
      </c>
      <c r="F197" s="13" t="s">
        <v>29</v>
      </c>
      <c r="G197">
        <v>100</v>
      </c>
      <c r="H197" t="s">
        <v>30</v>
      </c>
      <c r="I197">
        <v>100</v>
      </c>
      <c r="J197" s="15"/>
      <c r="K197" s="16">
        <f>93.03 - (93.03 * $E$1)</f>
        <v>93.03</v>
      </c>
      <c r="L197" s="16">
        <f>76.25 - (76.25 * $E$1)</f>
        <v>76.25</v>
      </c>
      <c r="M197" s="1">
        <v>93.03</v>
      </c>
      <c r="N197" s="1">
        <v>76.25</v>
      </c>
      <c r="O197" s="1">
        <v>79.069999999999993</v>
      </c>
      <c r="P197" s="1">
        <v>64.81</v>
      </c>
      <c r="Q197">
        <v>1.1509999999999999E-2</v>
      </c>
      <c r="R197">
        <v>1.092E-5</v>
      </c>
    </row>
    <row r="198" spans="1:18" ht="13.8" outlineLevel="2" x14ac:dyDescent="0.25">
      <c r="A198">
        <v>87451</v>
      </c>
      <c r="B198" t="s">
        <v>65</v>
      </c>
      <c r="C198" t="s">
        <v>226</v>
      </c>
      <c r="D198" s="14" t="s">
        <v>210</v>
      </c>
      <c r="E198" s="12" t="s">
        <v>28</v>
      </c>
      <c r="F198" s="13" t="s">
        <v>29</v>
      </c>
      <c r="G198">
        <v>100</v>
      </c>
      <c r="H198" t="s">
        <v>30</v>
      </c>
      <c r="I198">
        <v>100</v>
      </c>
      <c r="J198" s="15"/>
      <c r="K198" s="16">
        <f>125.22 - (125.22 * $E$1)</f>
        <v>125.22</v>
      </c>
      <c r="L198" s="16">
        <f>102.64 - (102.64 * $E$1)</f>
        <v>102.64</v>
      </c>
      <c r="M198" s="1">
        <v>125.22</v>
      </c>
      <c r="N198" s="1">
        <v>102.64</v>
      </c>
      <c r="O198" s="1">
        <v>106.44</v>
      </c>
      <c r="P198" s="1">
        <v>87.24</v>
      </c>
      <c r="Q198">
        <v>1.677E-2</v>
      </c>
      <c r="R198">
        <v>1.1759999999999999E-5</v>
      </c>
    </row>
    <row r="199" spans="1:18" ht="13.8" outlineLevel="2" x14ac:dyDescent="0.25">
      <c r="A199">
        <v>87452</v>
      </c>
      <c r="B199" t="s">
        <v>65</v>
      </c>
      <c r="C199" t="s">
        <v>227</v>
      </c>
      <c r="D199" s="14" t="s">
        <v>210</v>
      </c>
      <c r="E199" s="12" t="s">
        <v>28</v>
      </c>
      <c r="F199" s="13" t="s">
        <v>29</v>
      </c>
      <c r="G199">
        <v>100</v>
      </c>
      <c r="H199" t="s">
        <v>30</v>
      </c>
      <c r="I199">
        <v>100</v>
      </c>
      <c r="J199" s="15"/>
      <c r="K199" s="16">
        <f>125.22 - (125.22 * $E$1)</f>
        <v>125.22</v>
      </c>
      <c r="L199" s="16">
        <f>102.64 - (102.64 * $E$1)</f>
        <v>102.64</v>
      </c>
      <c r="M199" s="1">
        <v>125.22</v>
      </c>
      <c r="N199" s="1">
        <v>102.64</v>
      </c>
      <c r="O199" s="1">
        <v>106.44</v>
      </c>
      <c r="P199" s="1">
        <v>87.24</v>
      </c>
      <c r="Q199">
        <v>1.7330000000000002E-2</v>
      </c>
      <c r="R199">
        <v>1.3519999999999999E-5</v>
      </c>
    </row>
    <row r="200" spans="1:18" ht="13.8" outlineLevel="2" x14ac:dyDescent="0.25">
      <c r="A200">
        <v>87454</v>
      </c>
      <c r="B200" t="s">
        <v>65</v>
      </c>
      <c r="C200" t="s">
        <v>228</v>
      </c>
      <c r="D200" s="14" t="s">
        <v>210</v>
      </c>
      <c r="E200" s="12" t="s">
        <v>28</v>
      </c>
      <c r="F200" s="13" t="s">
        <v>29</v>
      </c>
      <c r="G200">
        <v>50</v>
      </c>
      <c r="H200" t="s">
        <v>30</v>
      </c>
      <c r="I200">
        <v>50</v>
      </c>
      <c r="J200" s="15"/>
      <c r="K200" s="16">
        <f>175.99 - (175.99 * $E$1)</f>
        <v>175.99</v>
      </c>
      <c r="L200" s="16">
        <f>144.25 - (144.25 * $E$1)</f>
        <v>144.25</v>
      </c>
      <c r="M200" s="1">
        <v>175.99</v>
      </c>
      <c r="N200" s="1">
        <v>144.25</v>
      </c>
      <c r="O200" s="1">
        <v>149.59</v>
      </c>
      <c r="P200" s="1">
        <v>122.61</v>
      </c>
      <c r="Q200">
        <v>2.18E-2</v>
      </c>
      <c r="R200">
        <v>1.5840000000000001E-5</v>
      </c>
    </row>
    <row r="201" spans="1:18" ht="13.8" outlineLevel="2" x14ac:dyDescent="0.25">
      <c r="A201">
        <v>87455</v>
      </c>
      <c r="B201" t="s">
        <v>65</v>
      </c>
      <c r="C201" t="s">
        <v>229</v>
      </c>
      <c r="D201" s="14" t="s">
        <v>210</v>
      </c>
      <c r="E201" s="12" t="s">
        <v>28</v>
      </c>
      <c r="F201" s="13" t="s">
        <v>29</v>
      </c>
      <c r="G201">
        <v>25</v>
      </c>
      <c r="H201" t="s">
        <v>30</v>
      </c>
      <c r="I201">
        <v>25</v>
      </c>
      <c r="J201" s="15"/>
      <c r="K201" s="16">
        <f>295.26 - (295.26 * $E$1)</f>
        <v>295.26</v>
      </c>
      <c r="L201" s="16">
        <f>242.02 - (242.02 * $E$1)</f>
        <v>242.02</v>
      </c>
      <c r="M201" s="1">
        <v>295.26</v>
      </c>
      <c r="N201" s="1">
        <v>242.02</v>
      </c>
      <c r="O201" s="1">
        <v>250.97</v>
      </c>
      <c r="P201" s="1">
        <v>205.72</v>
      </c>
      <c r="Q201">
        <v>3.8159999999999999E-2</v>
      </c>
      <c r="R201">
        <v>2.8799999999999999E-5</v>
      </c>
    </row>
    <row r="202" spans="1:18" ht="13.8" outlineLevel="2" x14ac:dyDescent="0.25">
      <c r="A202">
        <v>87456</v>
      </c>
      <c r="B202" t="s">
        <v>65</v>
      </c>
      <c r="C202" t="s">
        <v>230</v>
      </c>
      <c r="D202" s="14" t="s">
        <v>210</v>
      </c>
      <c r="E202" s="12" t="s">
        <v>28</v>
      </c>
      <c r="F202" s="13" t="s">
        <v>29</v>
      </c>
      <c r="G202">
        <v>25</v>
      </c>
      <c r="H202" t="s">
        <v>30</v>
      </c>
      <c r="I202">
        <v>25</v>
      </c>
      <c r="J202" s="15"/>
      <c r="K202" s="16">
        <f>389.88 - (389.88 * $E$1)</f>
        <v>389.88</v>
      </c>
      <c r="L202" s="16">
        <f>319.57 - (319.57 * $E$1)</f>
        <v>319.57</v>
      </c>
      <c r="M202" s="1">
        <v>389.88</v>
      </c>
      <c r="N202" s="1">
        <v>319.57</v>
      </c>
      <c r="O202" s="1">
        <v>331.39</v>
      </c>
      <c r="P202" s="1">
        <v>271.63</v>
      </c>
      <c r="Q202">
        <v>5.2240000000000002E-2</v>
      </c>
      <c r="R202">
        <v>3.7440000000000001E-5</v>
      </c>
    </row>
    <row r="203" spans="1:18" ht="13.8" outlineLevel="2" x14ac:dyDescent="0.25">
      <c r="A203">
        <v>87457</v>
      </c>
      <c r="B203" t="s">
        <v>65</v>
      </c>
      <c r="C203" t="s">
        <v>231</v>
      </c>
      <c r="D203" s="14" t="s">
        <v>210</v>
      </c>
      <c r="E203" s="12" t="s">
        <v>28</v>
      </c>
      <c r="F203" s="13" t="s">
        <v>29</v>
      </c>
      <c r="G203">
        <v>25</v>
      </c>
      <c r="H203" t="s">
        <v>30</v>
      </c>
      <c r="I203">
        <v>25</v>
      </c>
      <c r="J203" s="15"/>
      <c r="K203" s="16">
        <f>512.69 - (512.69 * $E$1)</f>
        <v>512.69000000000005</v>
      </c>
      <c r="L203" s="16">
        <f>420.24 - (420.24 * $E$1)</f>
        <v>420.24</v>
      </c>
      <c r="M203" s="1">
        <v>512.69000000000005</v>
      </c>
      <c r="N203" s="1">
        <v>420.24</v>
      </c>
      <c r="O203" s="1">
        <v>435.79</v>
      </c>
      <c r="P203" s="1">
        <v>357.2</v>
      </c>
      <c r="Q203">
        <v>6.8879999999999997E-2</v>
      </c>
      <c r="R203">
        <v>5.4079999999999997E-5</v>
      </c>
    </row>
    <row r="204" spans="1:18" ht="13.8" outlineLevel="2" x14ac:dyDescent="0.25">
      <c r="A204">
        <v>87458</v>
      </c>
      <c r="B204" t="s">
        <v>65</v>
      </c>
      <c r="C204" t="s">
        <v>232</v>
      </c>
      <c r="D204" s="14" t="s">
        <v>210</v>
      </c>
      <c r="E204" s="12" t="s">
        <v>28</v>
      </c>
      <c r="F204" s="13" t="s">
        <v>29</v>
      </c>
      <c r="G204">
        <v>25</v>
      </c>
      <c r="H204" t="s">
        <v>30</v>
      </c>
      <c r="I204">
        <v>25</v>
      </c>
      <c r="J204" s="15"/>
      <c r="K204" s="16">
        <f>660.95 - (660.95 * $E$1)</f>
        <v>660.95</v>
      </c>
      <c r="L204" s="16">
        <f>541.76 - (541.76 * $E$1)</f>
        <v>541.76</v>
      </c>
      <c r="M204" s="1">
        <v>660.95</v>
      </c>
      <c r="N204" s="1">
        <v>541.76</v>
      </c>
      <c r="O204" s="1">
        <v>561.80999999999995</v>
      </c>
      <c r="P204" s="1">
        <v>460.5</v>
      </c>
      <c r="Q204">
        <v>8.7480000000000002E-2</v>
      </c>
      <c r="R204">
        <v>6.2719999999999996E-5</v>
      </c>
    </row>
    <row r="205" spans="1:18" ht="13.8" outlineLevel="2" x14ac:dyDescent="0.25">
      <c r="A205">
        <v>87459</v>
      </c>
      <c r="B205" t="s">
        <v>65</v>
      </c>
      <c r="C205" t="s">
        <v>233</v>
      </c>
      <c r="D205" s="14" t="s">
        <v>210</v>
      </c>
      <c r="E205" s="12" t="s">
        <v>28</v>
      </c>
      <c r="F205" s="13" t="s">
        <v>29</v>
      </c>
      <c r="G205">
        <v>10</v>
      </c>
      <c r="H205" t="s">
        <v>30</v>
      </c>
      <c r="I205">
        <v>10</v>
      </c>
      <c r="J205" s="15"/>
      <c r="K205" s="16">
        <f>841.5 - (841.5 * $E$1)</f>
        <v>841.5</v>
      </c>
      <c r="L205" s="16">
        <f>689.75 - (689.75 * $E$1)</f>
        <v>689.75</v>
      </c>
      <c r="M205" s="1">
        <v>841.5</v>
      </c>
      <c r="N205" s="1">
        <v>689.75</v>
      </c>
      <c r="O205" s="1">
        <v>715.27</v>
      </c>
      <c r="P205" s="1">
        <v>586.29</v>
      </c>
      <c r="Q205">
        <v>0.1138</v>
      </c>
      <c r="R205">
        <v>7.9200000000000001E-5</v>
      </c>
    </row>
    <row r="206" spans="1:18" ht="13.8" outlineLevel="2" x14ac:dyDescent="0.25">
      <c r="A206">
        <v>59134</v>
      </c>
      <c r="B206" t="s">
        <v>65</v>
      </c>
      <c r="C206" t="s">
        <v>234</v>
      </c>
      <c r="D206" s="14" t="s">
        <v>235</v>
      </c>
      <c r="E206" s="12" t="s">
        <v>28</v>
      </c>
      <c r="F206" s="13" t="s">
        <v>29</v>
      </c>
      <c r="G206">
        <v>100</v>
      </c>
      <c r="H206" t="s">
        <v>30</v>
      </c>
      <c r="I206">
        <v>100</v>
      </c>
      <c r="J206" s="15"/>
      <c r="K206" s="16">
        <f>7.43 - (7.43 * $E$1)</f>
        <v>7.43</v>
      </c>
      <c r="L206" s="16">
        <f>6.09 - (6.09 * $E$1)</f>
        <v>6.09</v>
      </c>
      <c r="M206" s="1">
        <v>7.43</v>
      </c>
      <c r="N206" s="1">
        <v>6.09</v>
      </c>
      <c r="O206" s="1">
        <v>6.32</v>
      </c>
      <c r="P206" s="1">
        <v>5.18</v>
      </c>
      <c r="Q206">
        <v>5.0000000000000001E-4</v>
      </c>
      <c r="R206">
        <v>1.04E-6</v>
      </c>
    </row>
    <row r="207" spans="1:18" ht="13.8" outlineLevel="2" x14ac:dyDescent="0.25">
      <c r="A207">
        <v>59135</v>
      </c>
      <c r="B207" t="s">
        <v>65</v>
      </c>
      <c r="C207" t="s">
        <v>236</v>
      </c>
      <c r="D207" s="14" t="s">
        <v>235</v>
      </c>
      <c r="E207" s="12" t="s">
        <v>28</v>
      </c>
      <c r="F207" s="13" t="s">
        <v>29</v>
      </c>
      <c r="G207">
        <v>100</v>
      </c>
      <c r="H207" t="s">
        <v>30</v>
      </c>
      <c r="I207">
        <v>100</v>
      </c>
      <c r="J207" s="15"/>
      <c r="K207" s="16">
        <f>7.43 - (7.43 * $E$1)</f>
        <v>7.43</v>
      </c>
      <c r="L207" s="16">
        <f>6.09 - (6.09 * $E$1)</f>
        <v>6.09</v>
      </c>
      <c r="M207" s="1">
        <v>7.43</v>
      </c>
      <c r="N207" s="1">
        <v>6.09</v>
      </c>
      <c r="O207" s="1">
        <v>6.32</v>
      </c>
      <c r="P207" s="1">
        <v>5.18</v>
      </c>
      <c r="Q207">
        <v>5.4000000000000001E-4</v>
      </c>
      <c r="R207">
        <v>1.1999999999999999E-6</v>
      </c>
    </row>
    <row r="208" spans="1:18" ht="13.8" outlineLevel="2" x14ac:dyDescent="0.25">
      <c r="A208">
        <v>48877</v>
      </c>
      <c r="B208" t="s">
        <v>65</v>
      </c>
      <c r="C208" t="s">
        <v>237</v>
      </c>
      <c r="D208" s="14" t="s">
        <v>235</v>
      </c>
      <c r="E208" s="12" t="s">
        <v>28</v>
      </c>
      <c r="F208" s="13" t="s">
        <v>29</v>
      </c>
      <c r="G208">
        <v>100</v>
      </c>
      <c r="H208" t="s">
        <v>30</v>
      </c>
      <c r="I208">
        <v>100</v>
      </c>
      <c r="J208" s="15"/>
      <c r="K208" s="16">
        <f>13.08 - (13.08 * $E$1)</f>
        <v>13.08</v>
      </c>
      <c r="L208" s="16">
        <f>10.72 - (10.72 * $E$1)</f>
        <v>10.72</v>
      </c>
      <c r="M208" s="1">
        <v>13.08</v>
      </c>
      <c r="N208" s="1">
        <v>10.72</v>
      </c>
      <c r="O208" s="1">
        <v>11.12</v>
      </c>
      <c r="P208" s="1">
        <v>9.11</v>
      </c>
      <c r="Q208">
        <v>5.5999999999999995E-4</v>
      </c>
      <c r="R208">
        <v>9.5999999999999991E-7</v>
      </c>
    </row>
    <row r="209" spans="1:18" ht="13.8" outlineLevel="2" x14ac:dyDescent="0.25">
      <c r="A209">
        <v>48878</v>
      </c>
      <c r="B209" t="s">
        <v>65</v>
      </c>
      <c r="C209" t="s">
        <v>238</v>
      </c>
      <c r="D209" s="14" t="s">
        <v>235</v>
      </c>
      <c r="E209" s="12" t="s">
        <v>28</v>
      </c>
      <c r="F209" s="13" t="s">
        <v>29</v>
      </c>
      <c r="G209">
        <v>100</v>
      </c>
      <c r="H209" t="s">
        <v>30</v>
      </c>
      <c r="I209">
        <v>100</v>
      </c>
      <c r="J209" s="15"/>
      <c r="K209" s="16">
        <f>13.08 - (13.08 * $E$1)</f>
        <v>13.08</v>
      </c>
      <c r="L209" s="16">
        <f>10.72 - (10.72 * $E$1)</f>
        <v>10.72</v>
      </c>
      <c r="M209" s="1">
        <v>13.08</v>
      </c>
      <c r="N209" s="1">
        <v>10.72</v>
      </c>
      <c r="O209" s="1">
        <v>11.12</v>
      </c>
      <c r="P209" s="1">
        <v>9.11</v>
      </c>
      <c r="Q209">
        <v>6.8000000000000005E-4</v>
      </c>
      <c r="R209">
        <v>1.1999999999999999E-6</v>
      </c>
    </row>
    <row r="210" spans="1:18" ht="13.8" outlineLevel="2" x14ac:dyDescent="0.25">
      <c r="A210">
        <v>66616</v>
      </c>
      <c r="B210" t="s">
        <v>65</v>
      </c>
      <c r="C210" t="s">
        <v>239</v>
      </c>
      <c r="D210" s="14" t="s">
        <v>235</v>
      </c>
      <c r="E210" s="12" t="s">
        <v>28</v>
      </c>
      <c r="F210" s="13" t="s">
        <v>29</v>
      </c>
      <c r="G210">
        <v>100</v>
      </c>
      <c r="H210" t="s">
        <v>30</v>
      </c>
      <c r="I210">
        <v>100</v>
      </c>
      <c r="J210" s="15"/>
      <c r="K210" s="16">
        <f>13.08 - (13.08 * $E$1)</f>
        <v>13.08</v>
      </c>
      <c r="L210" s="16">
        <f>10.72 - (10.72 * $E$1)</f>
        <v>10.72</v>
      </c>
      <c r="M210" s="1">
        <v>13.08</v>
      </c>
      <c r="N210" s="1">
        <v>10.72</v>
      </c>
      <c r="O210" s="1">
        <v>11.12</v>
      </c>
      <c r="P210" s="1">
        <v>9.11</v>
      </c>
      <c r="Q210">
        <v>1.08E-3</v>
      </c>
      <c r="R210">
        <v>1.1000000000000001E-6</v>
      </c>
    </row>
    <row r="211" spans="1:18" ht="13.8" outlineLevel="2" x14ac:dyDescent="0.25">
      <c r="A211">
        <v>48879</v>
      </c>
      <c r="B211" t="s">
        <v>65</v>
      </c>
      <c r="C211" t="s">
        <v>240</v>
      </c>
      <c r="D211" s="14" t="s">
        <v>235</v>
      </c>
      <c r="E211" s="12" t="s">
        <v>28</v>
      </c>
      <c r="F211" s="13" t="s">
        <v>29</v>
      </c>
      <c r="G211">
        <v>100</v>
      </c>
      <c r="H211" t="s">
        <v>30</v>
      </c>
      <c r="I211">
        <v>100</v>
      </c>
      <c r="J211" s="15"/>
      <c r="K211" s="16">
        <f>20.39 - (20.39 * $E$1)</f>
        <v>20.39</v>
      </c>
      <c r="L211" s="16">
        <f>16.71 - (16.71 * $E$1)</f>
        <v>16.71</v>
      </c>
      <c r="M211" s="1">
        <v>20.39</v>
      </c>
      <c r="N211" s="1">
        <v>16.71</v>
      </c>
      <c r="O211" s="1">
        <v>17.329999999999998</v>
      </c>
      <c r="P211" s="1">
        <v>14.2</v>
      </c>
      <c r="Q211">
        <v>1.1000000000000001E-3</v>
      </c>
      <c r="R211">
        <v>8.8000000000000004E-7</v>
      </c>
    </row>
    <row r="212" spans="1:18" ht="13.8" outlineLevel="2" x14ac:dyDescent="0.25">
      <c r="A212">
        <v>83597</v>
      </c>
      <c r="B212" t="s">
        <v>65</v>
      </c>
      <c r="C212" t="s">
        <v>241</v>
      </c>
      <c r="D212" s="14" t="s">
        <v>235</v>
      </c>
      <c r="E212" s="12" t="s">
        <v>28</v>
      </c>
      <c r="F212" s="13" t="s">
        <v>29</v>
      </c>
      <c r="G212">
        <v>100</v>
      </c>
      <c r="H212" t="s">
        <v>30</v>
      </c>
      <c r="I212">
        <v>100</v>
      </c>
      <c r="J212" s="15"/>
      <c r="K212" s="16">
        <f>20.39 - (20.39 * $E$1)</f>
        <v>20.39</v>
      </c>
      <c r="L212" s="16">
        <f>16.71 - (16.71 * $E$1)</f>
        <v>16.71</v>
      </c>
      <c r="M212" s="1">
        <v>20.39</v>
      </c>
      <c r="N212" s="1">
        <v>16.71</v>
      </c>
      <c r="O212" s="1">
        <v>17.329999999999998</v>
      </c>
      <c r="P212" s="1">
        <v>14.2</v>
      </c>
      <c r="Q212">
        <v>1.6000000000000001E-3</v>
      </c>
      <c r="R212">
        <v>1.26E-6</v>
      </c>
    </row>
    <row r="213" spans="1:18" ht="13.8" outlineLevel="2" x14ac:dyDescent="0.25">
      <c r="A213">
        <v>47862</v>
      </c>
      <c r="B213" t="s">
        <v>65</v>
      </c>
      <c r="C213" t="s">
        <v>242</v>
      </c>
      <c r="D213" s="14" t="s">
        <v>235</v>
      </c>
      <c r="E213" s="12" t="s">
        <v>28</v>
      </c>
      <c r="F213" s="13" t="s">
        <v>29</v>
      </c>
      <c r="G213">
        <v>100</v>
      </c>
      <c r="H213" t="s">
        <v>30</v>
      </c>
      <c r="I213">
        <v>100</v>
      </c>
      <c r="J213" s="15"/>
      <c r="K213" s="16">
        <f>28.8 - (28.8 * $E$1)</f>
        <v>28.8</v>
      </c>
      <c r="L213" s="16">
        <f>23.61 - (23.61 * $E$1)</f>
        <v>23.61</v>
      </c>
      <c r="M213" s="1">
        <v>28.8</v>
      </c>
      <c r="N213" s="1">
        <v>23.61</v>
      </c>
      <c r="O213" s="1">
        <v>24.48</v>
      </c>
      <c r="P213" s="1">
        <v>20.07</v>
      </c>
      <c r="Q213">
        <v>1.3799999999999999E-3</v>
      </c>
      <c r="R213">
        <v>1.1999999999999999E-6</v>
      </c>
    </row>
    <row r="214" spans="1:18" ht="13.8" outlineLevel="2" x14ac:dyDescent="0.25">
      <c r="A214">
        <v>48880</v>
      </c>
      <c r="B214" t="s">
        <v>65</v>
      </c>
      <c r="C214" t="s">
        <v>243</v>
      </c>
      <c r="D214" s="14" t="s">
        <v>235</v>
      </c>
      <c r="E214" s="12" t="s">
        <v>28</v>
      </c>
      <c r="F214" s="13" t="s">
        <v>29</v>
      </c>
      <c r="G214">
        <v>100</v>
      </c>
      <c r="H214" t="s">
        <v>30</v>
      </c>
      <c r="I214">
        <v>100</v>
      </c>
      <c r="J214" s="15"/>
      <c r="K214" s="16">
        <f>28.8 - (28.8 * $E$1)</f>
        <v>28.8</v>
      </c>
      <c r="L214" s="16">
        <f>23.61 - (23.61 * $E$1)</f>
        <v>23.61</v>
      </c>
      <c r="M214" s="1">
        <v>28.8</v>
      </c>
      <c r="N214" s="1">
        <v>23.61</v>
      </c>
      <c r="O214" s="1">
        <v>24.48</v>
      </c>
      <c r="P214" s="1">
        <v>20.07</v>
      </c>
      <c r="Q214">
        <v>1.66E-3</v>
      </c>
      <c r="R214">
        <v>1.9800000000000001E-6</v>
      </c>
    </row>
    <row r="215" spans="1:18" ht="13.8" outlineLevel="2" x14ac:dyDescent="0.25">
      <c r="A215">
        <v>66617</v>
      </c>
      <c r="B215" t="s">
        <v>65</v>
      </c>
      <c r="C215" t="s">
        <v>244</v>
      </c>
      <c r="D215" s="14" t="s">
        <v>235</v>
      </c>
      <c r="E215" s="12" t="s">
        <v>28</v>
      </c>
      <c r="F215" s="13" t="s">
        <v>29</v>
      </c>
      <c r="G215">
        <v>100</v>
      </c>
      <c r="H215" t="s">
        <v>30</v>
      </c>
      <c r="I215">
        <v>100</v>
      </c>
      <c r="J215" s="15"/>
      <c r="K215" s="16">
        <f>28.8 - (28.8 * $E$1)</f>
        <v>28.8</v>
      </c>
      <c r="L215" s="16">
        <f>23.61 - (23.61 * $E$1)</f>
        <v>23.61</v>
      </c>
      <c r="M215" s="1">
        <v>28.8</v>
      </c>
      <c r="N215" s="1">
        <v>23.61</v>
      </c>
      <c r="O215" s="1">
        <v>24.48</v>
      </c>
      <c r="P215" s="1">
        <v>20.07</v>
      </c>
      <c r="Q215">
        <v>2.0600000000000002E-3</v>
      </c>
      <c r="R215">
        <v>2.3800000000000001E-6</v>
      </c>
    </row>
    <row r="216" spans="1:18" ht="13.8" outlineLevel="2" x14ac:dyDescent="0.25">
      <c r="A216">
        <v>48881</v>
      </c>
      <c r="B216" t="s">
        <v>65</v>
      </c>
      <c r="C216" t="s">
        <v>245</v>
      </c>
      <c r="D216" s="14" t="s">
        <v>235</v>
      </c>
      <c r="E216" s="12" t="s">
        <v>28</v>
      </c>
      <c r="F216" s="13" t="s">
        <v>29</v>
      </c>
      <c r="G216">
        <v>100</v>
      </c>
      <c r="H216" t="s">
        <v>30</v>
      </c>
      <c r="I216">
        <v>100</v>
      </c>
      <c r="J216" s="15"/>
      <c r="K216" s="16">
        <f>44.54 - (44.54 * $E$1)</f>
        <v>44.54</v>
      </c>
      <c r="L216" s="16">
        <f>36.51 - (36.51 * $E$1)</f>
        <v>36.51</v>
      </c>
      <c r="M216" s="1">
        <v>44.54</v>
      </c>
      <c r="N216" s="1">
        <v>36.51</v>
      </c>
      <c r="O216" s="1">
        <v>37.86</v>
      </c>
      <c r="P216" s="1">
        <v>31.03</v>
      </c>
      <c r="Q216">
        <v>3.6600000000000001E-3</v>
      </c>
      <c r="R216">
        <v>2.6000000000000001E-6</v>
      </c>
    </row>
    <row r="217" spans="1:18" ht="13.8" outlineLevel="2" x14ac:dyDescent="0.25">
      <c r="A217">
        <v>48882</v>
      </c>
      <c r="B217" t="s">
        <v>65</v>
      </c>
      <c r="C217" t="s">
        <v>246</v>
      </c>
      <c r="D217" s="14" t="s">
        <v>235</v>
      </c>
      <c r="E217" s="12" t="s">
        <v>28</v>
      </c>
      <c r="F217" s="13" t="s">
        <v>29</v>
      </c>
      <c r="G217">
        <v>100</v>
      </c>
      <c r="H217" t="s">
        <v>30</v>
      </c>
      <c r="I217">
        <v>100</v>
      </c>
      <c r="J217" s="15"/>
      <c r="K217" s="16">
        <f>44.54 - (44.54 * $E$1)</f>
        <v>44.54</v>
      </c>
      <c r="L217" s="16">
        <f>36.51 - (36.51 * $E$1)</f>
        <v>36.51</v>
      </c>
      <c r="M217" s="1">
        <v>44.54</v>
      </c>
      <c r="N217" s="1">
        <v>36.51</v>
      </c>
      <c r="O217" s="1">
        <v>37.86</v>
      </c>
      <c r="P217" s="1">
        <v>31.03</v>
      </c>
      <c r="Q217">
        <v>3.3600000000000001E-3</v>
      </c>
      <c r="R217">
        <v>2.5000000000000002E-6</v>
      </c>
    </row>
    <row r="218" spans="1:18" ht="13.8" outlineLevel="2" x14ac:dyDescent="0.25">
      <c r="A218">
        <v>42414</v>
      </c>
      <c r="B218" t="s">
        <v>65</v>
      </c>
      <c r="C218" t="s">
        <v>247</v>
      </c>
      <c r="D218" s="14" t="s">
        <v>235</v>
      </c>
      <c r="E218" s="12" t="s">
        <v>28</v>
      </c>
      <c r="F218" s="13" t="s">
        <v>29</v>
      </c>
      <c r="G218">
        <v>100</v>
      </c>
      <c r="H218" t="s">
        <v>30</v>
      </c>
      <c r="I218">
        <v>100</v>
      </c>
      <c r="J218" s="15"/>
      <c r="K218" s="16">
        <f>73.99 - (73.99 * $E$1)</f>
        <v>73.989999999999995</v>
      </c>
      <c r="L218" s="16">
        <f>60.65 - (60.65 * $E$1)</f>
        <v>60.65</v>
      </c>
      <c r="M218" s="1">
        <v>73.989999999999995</v>
      </c>
      <c r="N218" s="1">
        <v>60.65</v>
      </c>
      <c r="O218" s="1">
        <v>62.89</v>
      </c>
      <c r="P218" s="1">
        <v>51.55</v>
      </c>
      <c r="Q218">
        <v>5.2199999999999998E-3</v>
      </c>
      <c r="R218">
        <v>4.5000000000000001E-6</v>
      </c>
    </row>
    <row r="219" spans="1:18" ht="13.8" outlineLevel="2" x14ac:dyDescent="0.25">
      <c r="A219">
        <v>48883</v>
      </c>
      <c r="B219" t="s">
        <v>65</v>
      </c>
      <c r="C219" t="s">
        <v>248</v>
      </c>
      <c r="D219" s="14" t="s">
        <v>235</v>
      </c>
      <c r="E219" s="12" t="s">
        <v>28</v>
      </c>
      <c r="F219" s="13" t="s">
        <v>29</v>
      </c>
      <c r="G219">
        <v>100</v>
      </c>
      <c r="H219" t="s">
        <v>30</v>
      </c>
      <c r="I219">
        <v>100</v>
      </c>
      <c r="J219" s="15"/>
      <c r="K219" s="16">
        <f>73.99 - (73.99 * $E$1)</f>
        <v>73.989999999999995</v>
      </c>
      <c r="L219" s="16">
        <f>60.65 - (60.65 * $E$1)</f>
        <v>60.65</v>
      </c>
      <c r="M219" s="1">
        <v>73.989999999999995</v>
      </c>
      <c r="N219" s="1">
        <v>60.65</v>
      </c>
      <c r="O219" s="1">
        <v>62.89</v>
      </c>
      <c r="P219" s="1">
        <v>51.55</v>
      </c>
      <c r="Q219">
        <v>5.9000000000000003E-4</v>
      </c>
      <c r="R219">
        <v>4.5000000000000001E-6</v>
      </c>
    </row>
    <row r="220" spans="1:18" ht="13.8" outlineLevel="2" x14ac:dyDescent="0.25">
      <c r="A220">
        <v>66618</v>
      </c>
      <c r="B220" t="s">
        <v>65</v>
      </c>
      <c r="C220" t="s">
        <v>249</v>
      </c>
      <c r="D220" s="14" t="s">
        <v>235</v>
      </c>
      <c r="E220" s="12" t="s">
        <v>28</v>
      </c>
      <c r="F220" s="13" t="s">
        <v>29</v>
      </c>
      <c r="G220">
        <v>100</v>
      </c>
      <c r="H220" t="s">
        <v>30</v>
      </c>
      <c r="I220">
        <v>100</v>
      </c>
      <c r="J220" s="15"/>
      <c r="K220" s="16">
        <f>73.99 - (73.99 * $E$1)</f>
        <v>73.989999999999995</v>
      </c>
      <c r="L220" s="16">
        <f>60.65 - (60.65 * $E$1)</f>
        <v>60.65</v>
      </c>
      <c r="M220" s="1">
        <v>73.989999999999995</v>
      </c>
      <c r="N220" s="1">
        <v>60.65</v>
      </c>
      <c r="O220" s="1">
        <v>62.89</v>
      </c>
      <c r="P220" s="1">
        <v>51.55</v>
      </c>
      <c r="Q220">
        <v>5.4999999999999997E-3</v>
      </c>
      <c r="R220">
        <v>3.9199999999999997E-6</v>
      </c>
    </row>
    <row r="221" spans="1:18" ht="13.8" outlineLevel="2" x14ac:dyDescent="0.25">
      <c r="A221">
        <v>48884</v>
      </c>
      <c r="B221" t="s">
        <v>65</v>
      </c>
      <c r="C221" t="s">
        <v>250</v>
      </c>
      <c r="D221" s="14" t="s">
        <v>235</v>
      </c>
      <c r="E221" s="12" t="s">
        <v>28</v>
      </c>
      <c r="F221" s="13" t="s">
        <v>29</v>
      </c>
      <c r="G221">
        <v>100</v>
      </c>
      <c r="H221" t="s">
        <v>30</v>
      </c>
      <c r="I221">
        <v>100</v>
      </c>
      <c r="J221" s="15"/>
      <c r="K221" s="16">
        <f>101.86 - (101.86 * $E$1)</f>
        <v>101.86</v>
      </c>
      <c r="L221" s="16">
        <f>83.49 - (83.49 * $E$1)</f>
        <v>83.49</v>
      </c>
      <c r="M221" s="1">
        <v>101.86</v>
      </c>
      <c r="N221" s="1">
        <v>83.49</v>
      </c>
      <c r="O221" s="1">
        <v>86.58</v>
      </c>
      <c r="P221" s="1">
        <v>70.97</v>
      </c>
      <c r="Q221">
        <v>8.5400000000000007E-3</v>
      </c>
      <c r="R221">
        <v>7.6499999999999996E-6</v>
      </c>
    </row>
    <row r="222" spans="1:18" ht="13.8" outlineLevel="2" x14ac:dyDescent="0.25">
      <c r="A222">
        <v>83598</v>
      </c>
      <c r="B222" t="s">
        <v>65</v>
      </c>
      <c r="C222" t="s">
        <v>251</v>
      </c>
      <c r="D222" s="14" t="s">
        <v>235</v>
      </c>
      <c r="E222" s="12" t="s">
        <v>28</v>
      </c>
      <c r="F222" s="13" t="s">
        <v>29</v>
      </c>
      <c r="G222">
        <v>100</v>
      </c>
      <c r="H222" t="s">
        <v>30</v>
      </c>
      <c r="I222">
        <v>100</v>
      </c>
      <c r="J222" s="15"/>
      <c r="K222" s="16">
        <f>101.86 - (101.86 * $E$1)</f>
        <v>101.86</v>
      </c>
      <c r="L222" s="16">
        <f>83.49 - (83.49 * $E$1)</f>
        <v>83.49</v>
      </c>
      <c r="M222" s="1">
        <v>101.86</v>
      </c>
      <c r="N222" s="1">
        <v>83.49</v>
      </c>
      <c r="O222" s="1">
        <v>86.58</v>
      </c>
      <c r="P222" s="1">
        <v>70.97</v>
      </c>
      <c r="Q222">
        <v>8.2000000000000007E-3</v>
      </c>
      <c r="R222">
        <v>5.4600000000000002E-6</v>
      </c>
    </row>
    <row r="223" spans="1:18" ht="13.8" outlineLevel="2" x14ac:dyDescent="0.25">
      <c r="A223">
        <v>42781</v>
      </c>
      <c r="B223" t="s">
        <v>65</v>
      </c>
      <c r="C223" t="s">
        <v>252</v>
      </c>
      <c r="D223" s="14" t="s">
        <v>235</v>
      </c>
      <c r="E223" s="12" t="s">
        <v>28</v>
      </c>
      <c r="F223" s="13" t="s">
        <v>29</v>
      </c>
      <c r="G223">
        <v>100</v>
      </c>
      <c r="H223" t="s">
        <v>30</v>
      </c>
      <c r="I223">
        <v>100</v>
      </c>
      <c r="J223" s="15"/>
      <c r="K223" s="16">
        <f>152.78 - (152.78 * $E$1)</f>
        <v>152.78</v>
      </c>
      <c r="L223" s="16">
        <f>125.23 - (125.23 * $E$1)</f>
        <v>125.23</v>
      </c>
      <c r="M223" s="1">
        <v>152.78</v>
      </c>
      <c r="N223" s="1">
        <v>125.23</v>
      </c>
      <c r="O223" s="1">
        <v>129.86000000000001</v>
      </c>
      <c r="P223" s="1">
        <v>106.45</v>
      </c>
      <c r="Q223">
        <v>1.4579999999999999E-2</v>
      </c>
      <c r="R223">
        <v>9.6900000000000004E-6</v>
      </c>
    </row>
    <row r="224" spans="1:18" ht="13.8" outlineLevel="2" x14ac:dyDescent="0.25">
      <c r="A224">
        <v>48885</v>
      </c>
      <c r="B224" t="s">
        <v>65</v>
      </c>
      <c r="C224" t="s">
        <v>253</v>
      </c>
      <c r="D224" s="14" t="s">
        <v>235</v>
      </c>
      <c r="E224" s="12" t="s">
        <v>28</v>
      </c>
      <c r="F224" s="13" t="s">
        <v>29</v>
      </c>
      <c r="G224">
        <v>100</v>
      </c>
      <c r="H224" t="s">
        <v>30</v>
      </c>
      <c r="I224">
        <v>100</v>
      </c>
      <c r="J224" s="15"/>
      <c r="K224" s="16">
        <f>152.78 - (152.78 * $E$1)</f>
        <v>152.78</v>
      </c>
      <c r="L224" s="16">
        <f>125.23 - (125.23 * $E$1)</f>
        <v>125.23</v>
      </c>
      <c r="M224" s="1">
        <v>152.78</v>
      </c>
      <c r="N224" s="1">
        <v>125.23</v>
      </c>
      <c r="O224" s="1">
        <v>129.86000000000001</v>
      </c>
      <c r="P224" s="1">
        <v>106.45</v>
      </c>
      <c r="Q224">
        <v>1.4019999999999999E-2</v>
      </c>
      <c r="R224">
        <v>9.4399999999999994E-6</v>
      </c>
    </row>
    <row r="225" spans="1:18" ht="13.8" outlineLevel="2" x14ac:dyDescent="0.25">
      <c r="A225">
        <v>41905</v>
      </c>
      <c r="B225" t="s">
        <v>65</v>
      </c>
      <c r="C225" t="s">
        <v>254</v>
      </c>
      <c r="D225" s="14" t="s">
        <v>235</v>
      </c>
      <c r="E225" s="12" t="s">
        <v>28</v>
      </c>
      <c r="F225" s="13" t="s">
        <v>29</v>
      </c>
      <c r="G225">
        <v>50</v>
      </c>
      <c r="H225" t="s">
        <v>30</v>
      </c>
      <c r="I225">
        <v>50</v>
      </c>
      <c r="J225" s="15"/>
      <c r="K225" s="16">
        <f>206.42 - (206.42 * $E$1)</f>
        <v>206.42</v>
      </c>
      <c r="L225" s="16">
        <f>169.2 - (169.2 * $E$1)</f>
        <v>169.2</v>
      </c>
      <c r="M225" s="1">
        <v>206.42</v>
      </c>
      <c r="N225" s="1">
        <v>169.2</v>
      </c>
      <c r="O225" s="1">
        <v>175.46</v>
      </c>
      <c r="P225" s="1">
        <v>143.82</v>
      </c>
      <c r="Q225">
        <v>1.976E-2</v>
      </c>
      <c r="R225">
        <v>1.486E-5</v>
      </c>
    </row>
    <row r="226" spans="1:18" ht="13.8" outlineLevel="2" x14ac:dyDescent="0.25">
      <c r="A226">
        <v>48886</v>
      </c>
      <c r="B226" t="s">
        <v>65</v>
      </c>
      <c r="C226" t="s">
        <v>255</v>
      </c>
      <c r="D226" s="14" t="s">
        <v>235</v>
      </c>
      <c r="E226" s="12" t="s">
        <v>28</v>
      </c>
      <c r="F226" s="13" t="s">
        <v>29</v>
      </c>
      <c r="G226">
        <v>50</v>
      </c>
      <c r="H226" t="s">
        <v>30</v>
      </c>
      <c r="I226">
        <v>50</v>
      </c>
      <c r="J226" s="15"/>
      <c r="K226" s="16">
        <f>206.42 - (206.42 * $E$1)</f>
        <v>206.42</v>
      </c>
      <c r="L226" s="16">
        <f>169.2 - (169.2 * $E$1)</f>
        <v>169.2</v>
      </c>
      <c r="M226" s="1">
        <v>206.42</v>
      </c>
      <c r="N226" s="1">
        <v>169.2</v>
      </c>
      <c r="O226" s="1">
        <v>175.46</v>
      </c>
      <c r="P226" s="1">
        <v>143.82</v>
      </c>
      <c r="Q226">
        <v>1.9120000000000002E-2</v>
      </c>
      <c r="R226">
        <v>1.5719999999999999E-5</v>
      </c>
    </row>
    <row r="227" spans="1:18" ht="13.8" outlineLevel="2" x14ac:dyDescent="0.25">
      <c r="A227">
        <v>40844</v>
      </c>
      <c r="B227" t="s">
        <v>65</v>
      </c>
      <c r="C227" t="s">
        <v>256</v>
      </c>
      <c r="D227" s="14" t="s">
        <v>235</v>
      </c>
      <c r="E227" s="12" t="s">
        <v>28</v>
      </c>
      <c r="F227" s="13" t="s">
        <v>29</v>
      </c>
      <c r="G227">
        <v>50</v>
      </c>
      <c r="H227" t="s">
        <v>30</v>
      </c>
      <c r="I227">
        <v>50</v>
      </c>
      <c r="J227" s="15"/>
      <c r="K227" s="16">
        <f>258.3 - (258.3 * $E$1)</f>
        <v>258.3</v>
      </c>
      <c r="L227" s="16">
        <f>211.72 - (211.72 * $E$1)</f>
        <v>211.72</v>
      </c>
      <c r="M227" s="1">
        <v>258.3</v>
      </c>
      <c r="N227" s="1">
        <v>211.72</v>
      </c>
      <c r="O227" s="1">
        <v>219.55</v>
      </c>
      <c r="P227" s="1">
        <v>179.96</v>
      </c>
      <c r="Q227">
        <v>2.4559999999999998E-2</v>
      </c>
      <c r="R227">
        <v>1.7819999999999999E-5</v>
      </c>
    </row>
    <row r="228" spans="1:18" ht="13.8" outlineLevel="2" x14ac:dyDescent="0.25">
      <c r="A228">
        <v>40845</v>
      </c>
      <c r="B228" t="s">
        <v>65</v>
      </c>
      <c r="C228" t="s">
        <v>257</v>
      </c>
      <c r="D228" s="14" t="s">
        <v>235</v>
      </c>
      <c r="E228" s="12" t="s">
        <v>28</v>
      </c>
      <c r="F228" s="13" t="s">
        <v>29</v>
      </c>
      <c r="G228">
        <v>50</v>
      </c>
      <c r="H228" t="s">
        <v>30</v>
      </c>
      <c r="I228">
        <v>50</v>
      </c>
      <c r="J228" s="15"/>
      <c r="K228" s="16">
        <f>349.81 - (349.81 * $E$1)</f>
        <v>349.81</v>
      </c>
      <c r="L228" s="16">
        <f>286.73 - (286.73 * $E$1)</f>
        <v>286.73</v>
      </c>
      <c r="M228" s="1">
        <v>349.81</v>
      </c>
      <c r="N228" s="1">
        <v>286.73</v>
      </c>
      <c r="O228" s="1">
        <v>297.33999999999997</v>
      </c>
      <c r="P228" s="1">
        <v>243.72</v>
      </c>
      <c r="Q228">
        <v>3.2680000000000001E-2</v>
      </c>
      <c r="R228">
        <v>1.9879999999999999E-5</v>
      </c>
    </row>
    <row r="229" spans="1:18" ht="13.8" outlineLevel="2" x14ac:dyDescent="0.25">
      <c r="A229">
        <v>40846</v>
      </c>
      <c r="B229" t="s">
        <v>65</v>
      </c>
      <c r="C229" t="s">
        <v>258</v>
      </c>
      <c r="D229" s="14" t="s">
        <v>235</v>
      </c>
      <c r="E229" s="12" t="s">
        <v>28</v>
      </c>
      <c r="F229" s="13" t="s">
        <v>29</v>
      </c>
      <c r="G229">
        <v>20</v>
      </c>
      <c r="H229" t="s">
        <v>30</v>
      </c>
      <c r="I229">
        <v>20</v>
      </c>
      <c r="J229" s="15"/>
      <c r="K229" s="16">
        <f>492.11 - (492.11 * $E$1)</f>
        <v>492.11</v>
      </c>
      <c r="L229" s="16">
        <f>403.37 - (403.37 * $E$1)</f>
        <v>403.37</v>
      </c>
      <c r="M229" s="1">
        <v>492.11</v>
      </c>
      <c r="N229" s="1">
        <v>403.37</v>
      </c>
      <c r="O229" s="1">
        <v>418.29</v>
      </c>
      <c r="P229" s="1">
        <v>342.86</v>
      </c>
      <c r="Q229">
        <v>4.36E-2</v>
      </c>
      <c r="R229">
        <v>4.0800000000000002E-5</v>
      </c>
    </row>
    <row r="230" spans="1:18" ht="13.8" outlineLevel="2" x14ac:dyDescent="0.25">
      <c r="A230">
        <v>40847</v>
      </c>
      <c r="B230" t="s">
        <v>65</v>
      </c>
      <c r="C230" t="s">
        <v>259</v>
      </c>
      <c r="D230" s="14" t="s">
        <v>235</v>
      </c>
      <c r="E230" s="12" t="s">
        <v>28</v>
      </c>
      <c r="F230" s="13" t="s">
        <v>29</v>
      </c>
      <c r="G230">
        <v>20</v>
      </c>
      <c r="H230" t="s">
        <v>30</v>
      </c>
      <c r="I230">
        <v>20</v>
      </c>
      <c r="J230" s="15"/>
      <c r="K230" s="16">
        <f>816.73 - (816.73 * $E$1)</f>
        <v>816.73</v>
      </c>
      <c r="L230" s="16">
        <f>669.45 - (669.45 * $E$1)</f>
        <v>669.45</v>
      </c>
      <c r="M230" s="1">
        <v>816.73</v>
      </c>
      <c r="N230" s="1">
        <v>669.45</v>
      </c>
      <c r="O230" s="1">
        <v>694.22</v>
      </c>
      <c r="P230" s="1">
        <v>569.03</v>
      </c>
      <c r="Q230">
        <v>8.2000000000000003E-2</v>
      </c>
      <c r="R230">
        <v>1.197E-4</v>
      </c>
    </row>
    <row r="231" spans="1:18" ht="13.8" outlineLevel="2" x14ac:dyDescent="0.25">
      <c r="A231">
        <v>40848</v>
      </c>
      <c r="B231" t="s">
        <v>65</v>
      </c>
      <c r="C231" t="s">
        <v>260</v>
      </c>
      <c r="D231" s="14" t="s">
        <v>235</v>
      </c>
      <c r="E231" s="12" t="s">
        <v>28</v>
      </c>
      <c r="F231" s="13" t="s">
        <v>29</v>
      </c>
      <c r="G231">
        <v>10</v>
      </c>
      <c r="H231" t="s">
        <v>30</v>
      </c>
      <c r="I231">
        <v>10</v>
      </c>
      <c r="J231" s="15"/>
      <c r="K231" s="16">
        <f>1009.07 - (1009.07 * $E$1)</f>
        <v>1009.07</v>
      </c>
      <c r="L231" s="16">
        <f>827.11 - (827.11 * $E$1)</f>
        <v>827.11</v>
      </c>
      <c r="M231" s="1">
        <v>1009.07</v>
      </c>
      <c r="N231" s="1">
        <v>827.11</v>
      </c>
      <c r="O231" s="1">
        <v>857.71</v>
      </c>
      <c r="P231" s="1">
        <v>703.04</v>
      </c>
      <c r="Q231">
        <v>0.1008</v>
      </c>
      <c r="R231">
        <v>1.071E-4</v>
      </c>
    </row>
    <row r="232" spans="1:18" ht="13.8" outlineLevel="2" x14ac:dyDescent="0.25">
      <c r="A232">
        <v>59120</v>
      </c>
      <c r="B232" t="s">
        <v>261</v>
      </c>
      <c r="C232" t="s">
        <v>262</v>
      </c>
      <c r="D232" s="14" t="s">
        <v>263</v>
      </c>
      <c r="E232" s="12" t="s">
        <v>28</v>
      </c>
      <c r="F232" s="13" t="s">
        <v>29</v>
      </c>
      <c r="G232">
        <v>100</v>
      </c>
      <c r="H232" t="s">
        <v>30</v>
      </c>
      <c r="I232">
        <v>100</v>
      </c>
      <c r="J232" s="15"/>
      <c r="K232" s="16">
        <f>10.2 - (10.2 * $E$1)</f>
        <v>10.199999999999999</v>
      </c>
      <c r="L232" s="16">
        <f>8.36 - (8.36 * $E$1)</f>
        <v>8.36</v>
      </c>
      <c r="M232" s="1">
        <v>10.199999999999999</v>
      </c>
      <c r="N232" s="1">
        <v>8.36</v>
      </c>
      <c r="O232" s="1">
        <v>8.67</v>
      </c>
      <c r="P232" s="1">
        <v>7.11</v>
      </c>
      <c r="Q232">
        <v>5.5999999999999995E-4</v>
      </c>
      <c r="R232">
        <v>7.9999999999999996E-7</v>
      </c>
    </row>
    <row r="233" spans="1:18" ht="13.8" outlineLevel="2" x14ac:dyDescent="0.25">
      <c r="A233">
        <v>59121</v>
      </c>
      <c r="B233" t="s">
        <v>261</v>
      </c>
      <c r="C233" t="s">
        <v>264</v>
      </c>
      <c r="D233" s="14" t="s">
        <v>263</v>
      </c>
      <c r="E233" s="12" t="s">
        <v>28</v>
      </c>
      <c r="F233" s="13" t="s">
        <v>29</v>
      </c>
      <c r="G233">
        <v>100</v>
      </c>
      <c r="H233" t="s">
        <v>30</v>
      </c>
      <c r="I233">
        <v>100</v>
      </c>
      <c r="J233" s="15"/>
      <c r="K233" s="16">
        <f>12.4 - (12.4 * $E$1)</f>
        <v>12.4</v>
      </c>
      <c r="L233" s="16">
        <f>10.16 - (10.16 * $E$1)</f>
        <v>10.16</v>
      </c>
      <c r="M233" s="1">
        <v>12.4</v>
      </c>
      <c r="N233" s="1">
        <v>10.16</v>
      </c>
      <c r="O233" s="1">
        <v>10.54</v>
      </c>
      <c r="P233" s="1">
        <v>8.64</v>
      </c>
      <c r="Q233">
        <v>6.9999999999999999E-4</v>
      </c>
      <c r="R233">
        <v>8.4E-7</v>
      </c>
    </row>
    <row r="234" spans="1:18" ht="13.8" outlineLevel="2" x14ac:dyDescent="0.25">
      <c r="A234">
        <v>50307</v>
      </c>
      <c r="B234" t="s">
        <v>261</v>
      </c>
      <c r="C234" t="s">
        <v>265</v>
      </c>
      <c r="D234" s="14" t="s">
        <v>263</v>
      </c>
      <c r="E234" s="12" t="s">
        <v>28</v>
      </c>
      <c r="F234" s="13" t="s">
        <v>29</v>
      </c>
      <c r="G234">
        <v>100</v>
      </c>
      <c r="H234" t="s">
        <v>30</v>
      </c>
      <c r="I234">
        <v>100</v>
      </c>
      <c r="J234" s="15"/>
      <c r="K234" s="16">
        <f>26.08 - (26.08 * $E$1)</f>
        <v>26.08</v>
      </c>
      <c r="L234" s="16">
        <f>21.38 - (21.38 * $E$1)</f>
        <v>21.38</v>
      </c>
      <c r="M234" s="1">
        <v>26.08</v>
      </c>
      <c r="N234" s="1">
        <v>21.38</v>
      </c>
      <c r="O234" s="1">
        <v>22.17</v>
      </c>
      <c r="P234" s="1">
        <v>18.170000000000002</v>
      </c>
      <c r="Q234">
        <v>1.4599999999999999E-3</v>
      </c>
      <c r="R234">
        <v>1.1999999999999999E-6</v>
      </c>
    </row>
    <row r="235" spans="1:18" ht="13.8" outlineLevel="2" x14ac:dyDescent="0.25">
      <c r="A235">
        <v>50308</v>
      </c>
      <c r="B235" t="s">
        <v>261</v>
      </c>
      <c r="C235" t="s">
        <v>266</v>
      </c>
      <c r="D235" s="14" t="s">
        <v>263</v>
      </c>
      <c r="E235" s="12" t="s">
        <v>28</v>
      </c>
      <c r="F235" s="13" t="s">
        <v>29</v>
      </c>
      <c r="G235">
        <v>100</v>
      </c>
      <c r="H235" t="s">
        <v>30</v>
      </c>
      <c r="I235">
        <v>100</v>
      </c>
      <c r="J235" s="15"/>
      <c r="K235" s="16">
        <f>48.46 - (48.46 * $E$1)</f>
        <v>48.46</v>
      </c>
      <c r="L235" s="16">
        <f>39.72 - (39.72 * $E$1)</f>
        <v>39.72</v>
      </c>
      <c r="M235" s="1">
        <v>48.46</v>
      </c>
      <c r="N235" s="1">
        <v>39.72</v>
      </c>
      <c r="O235" s="1">
        <v>41.19</v>
      </c>
      <c r="P235" s="1">
        <v>33.76</v>
      </c>
      <c r="Q235">
        <v>2.16E-3</v>
      </c>
      <c r="R235">
        <v>1.1999999999999999E-6</v>
      </c>
    </row>
    <row r="236" spans="1:18" ht="13.8" outlineLevel="2" x14ac:dyDescent="0.25">
      <c r="A236">
        <v>50309</v>
      </c>
      <c r="B236" t="s">
        <v>261</v>
      </c>
      <c r="C236" t="s">
        <v>267</v>
      </c>
      <c r="D236" s="14" t="s">
        <v>263</v>
      </c>
      <c r="E236" s="12" t="s">
        <v>28</v>
      </c>
      <c r="F236" s="13" t="s">
        <v>29</v>
      </c>
      <c r="G236">
        <v>100</v>
      </c>
      <c r="H236" t="s">
        <v>30</v>
      </c>
      <c r="I236">
        <v>100</v>
      </c>
      <c r="J236" s="15"/>
      <c r="K236" s="16">
        <f>60.9 - (60.9 * $E$1)</f>
        <v>60.9</v>
      </c>
      <c r="L236" s="16">
        <f>49.92 - (49.92 * $E$1)</f>
        <v>49.92</v>
      </c>
      <c r="M236" s="1">
        <v>60.9</v>
      </c>
      <c r="N236" s="1">
        <v>49.92</v>
      </c>
      <c r="O236" s="1">
        <v>51.77</v>
      </c>
      <c r="P236" s="1">
        <v>42.43</v>
      </c>
      <c r="Q236">
        <v>4.0000000000000001E-3</v>
      </c>
      <c r="R236">
        <v>2.3999999999999999E-6</v>
      </c>
    </row>
    <row r="237" spans="1:18" ht="13.8" outlineLevel="2" x14ac:dyDescent="0.25">
      <c r="A237">
        <v>50310</v>
      </c>
      <c r="B237" t="s">
        <v>261</v>
      </c>
      <c r="C237" t="s">
        <v>268</v>
      </c>
      <c r="D237" s="14" t="s">
        <v>263</v>
      </c>
      <c r="E237" s="12" t="s">
        <v>28</v>
      </c>
      <c r="F237" s="13" t="s">
        <v>29</v>
      </c>
      <c r="G237">
        <v>100</v>
      </c>
      <c r="H237" t="s">
        <v>30</v>
      </c>
      <c r="I237">
        <v>100</v>
      </c>
      <c r="J237" s="15"/>
      <c r="K237" s="16">
        <f>93.16 - (93.16 * $E$1)</f>
        <v>93.16</v>
      </c>
      <c r="L237" s="16">
        <f>76.36 - (76.36 * $E$1)</f>
        <v>76.36</v>
      </c>
      <c r="M237" s="1">
        <v>93.16</v>
      </c>
      <c r="N237" s="1">
        <v>76.36</v>
      </c>
      <c r="O237" s="1">
        <v>79.19</v>
      </c>
      <c r="P237" s="1">
        <v>64.91</v>
      </c>
      <c r="Q237">
        <v>6.3800000000000003E-3</v>
      </c>
      <c r="R237">
        <v>4.8999999999999997E-6</v>
      </c>
    </row>
    <row r="238" spans="1:18" ht="13.8" outlineLevel="2" x14ac:dyDescent="0.25">
      <c r="A238">
        <v>50311</v>
      </c>
      <c r="B238" t="s">
        <v>261</v>
      </c>
      <c r="C238" t="s">
        <v>269</v>
      </c>
      <c r="D238" s="14" t="s">
        <v>263</v>
      </c>
      <c r="E238" s="12" t="s">
        <v>28</v>
      </c>
      <c r="F238" s="13" t="s">
        <v>29</v>
      </c>
      <c r="G238">
        <v>100</v>
      </c>
      <c r="H238" t="s">
        <v>30</v>
      </c>
      <c r="I238">
        <v>100</v>
      </c>
      <c r="J238" s="15"/>
      <c r="K238" s="16">
        <f>160.23 - (160.23 * $E$1)</f>
        <v>160.22999999999999</v>
      </c>
      <c r="L238" s="16">
        <f>131.34 - (131.34 * $E$1)</f>
        <v>131.34</v>
      </c>
      <c r="M238" s="1">
        <v>160.22999999999999</v>
      </c>
      <c r="N238" s="1">
        <v>131.34</v>
      </c>
      <c r="O238" s="1">
        <v>136.19999999999999</v>
      </c>
      <c r="P238" s="1">
        <v>111.64</v>
      </c>
      <c r="Q238">
        <v>1.1299999999999999E-2</v>
      </c>
      <c r="R238">
        <v>6.1199999999999999E-6</v>
      </c>
    </row>
    <row r="239" spans="1:18" ht="13.8" outlineLevel="2" x14ac:dyDescent="0.25">
      <c r="A239">
        <v>50312</v>
      </c>
      <c r="B239" t="s">
        <v>261</v>
      </c>
      <c r="C239" t="s">
        <v>270</v>
      </c>
      <c r="D239" s="14" t="s">
        <v>263</v>
      </c>
      <c r="E239" s="12" t="s">
        <v>28</v>
      </c>
      <c r="F239" s="13" t="s">
        <v>29</v>
      </c>
      <c r="G239">
        <v>100</v>
      </c>
      <c r="H239" t="s">
        <v>30</v>
      </c>
      <c r="I239">
        <v>100</v>
      </c>
      <c r="J239" s="15"/>
      <c r="K239" s="16">
        <f>253.36 - (253.36 * $E$1)</f>
        <v>253.36</v>
      </c>
      <c r="L239" s="16">
        <f>207.67 - (207.67 * $E$1)</f>
        <v>207.67</v>
      </c>
      <c r="M239" s="1">
        <v>253.36</v>
      </c>
      <c r="N239" s="1">
        <v>207.67</v>
      </c>
      <c r="O239" s="1">
        <v>215.35</v>
      </c>
      <c r="P239" s="1">
        <v>176.52</v>
      </c>
      <c r="Q239">
        <v>1.1180000000000001E-2</v>
      </c>
      <c r="R239">
        <v>1.1199999999999999E-5</v>
      </c>
    </row>
    <row r="240" spans="1:18" ht="13.8" outlineLevel="2" x14ac:dyDescent="0.25">
      <c r="A240">
        <v>50313</v>
      </c>
      <c r="B240" t="s">
        <v>261</v>
      </c>
      <c r="C240" t="s">
        <v>271</v>
      </c>
      <c r="D240" s="14" t="s">
        <v>263</v>
      </c>
      <c r="E240" s="12" t="s">
        <v>28</v>
      </c>
      <c r="F240" s="13" t="s">
        <v>29</v>
      </c>
      <c r="G240">
        <v>50</v>
      </c>
      <c r="H240" t="s">
        <v>30</v>
      </c>
      <c r="I240">
        <v>50</v>
      </c>
      <c r="J240" s="15"/>
      <c r="K240" s="16">
        <f>404.3 - (404.3 * $E$1)</f>
        <v>404.3</v>
      </c>
      <c r="L240" s="16">
        <f>331.39 - (331.39 * $E$1)</f>
        <v>331.39</v>
      </c>
      <c r="M240" s="1">
        <v>404.3</v>
      </c>
      <c r="N240" s="1">
        <v>331.39</v>
      </c>
      <c r="O240" s="1">
        <v>343.65</v>
      </c>
      <c r="P240" s="1">
        <v>281.68</v>
      </c>
      <c r="Q240">
        <v>2.9080000000000002E-2</v>
      </c>
      <c r="R240">
        <v>1.7200000000000001E-5</v>
      </c>
    </row>
    <row r="241" spans="1:18" ht="13.8" outlineLevel="2" x14ac:dyDescent="0.25">
      <c r="A241">
        <v>50314</v>
      </c>
      <c r="B241" t="s">
        <v>261</v>
      </c>
      <c r="C241" t="s">
        <v>272</v>
      </c>
      <c r="D241" s="14" t="s">
        <v>263</v>
      </c>
      <c r="E241" s="12" t="s">
        <v>28</v>
      </c>
      <c r="F241" s="13" t="s">
        <v>29</v>
      </c>
      <c r="G241">
        <v>50</v>
      </c>
      <c r="H241" t="s">
        <v>30</v>
      </c>
      <c r="I241">
        <v>50</v>
      </c>
      <c r="J241" s="15"/>
      <c r="K241" s="16">
        <f>573.24 - (573.24 * $E$1)</f>
        <v>573.24</v>
      </c>
      <c r="L241" s="16">
        <f>469.87 - (469.87 * $E$1)</f>
        <v>469.87</v>
      </c>
      <c r="M241" s="1">
        <v>573.24</v>
      </c>
      <c r="N241" s="1">
        <v>469.87</v>
      </c>
      <c r="O241" s="1">
        <v>487.26</v>
      </c>
      <c r="P241" s="1">
        <v>399.39</v>
      </c>
      <c r="Q241">
        <v>4.1439999999999998E-2</v>
      </c>
      <c r="R241">
        <v>2.376E-5</v>
      </c>
    </row>
    <row r="242" spans="1:18" ht="13.8" outlineLevel="2" x14ac:dyDescent="0.25">
      <c r="A242">
        <v>92340</v>
      </c>
      <c r="B242" t="s">
        <v>273</v>
      </c>
      <c r="C242" t="s">
        <v>274</v>
      </c>
      <c r="D242" s="14" t="s">
        <v>263</v>
      </c>
      <c r="E242" s="12" t="s">
        <v>28</v>
      </c>
      <c r="F242" s="13" t="s">
        <v>29</v>
      </c>
      <c r="G242">
        <v>20</v>
      </c>
      <c r="H242" t="s">
        <v>30</v>
      </c>
      <c r="I242">
        <v>20</v>
      </c>
      <c r="J242" s="15"/>
      <c r="K242" s="16">
        <f>733.51 - (733.51 * $E$1)</f>
        <v>733.51</v>
      </c>
      <c r="L242" s="16">
        <f>601.24 - (601.24 * $E$1)</f>
        <v>601.24</v>
      </c>
      <c r="M242" s="1">
        <v>733.51</v>
      </c>
      <c r="N242" s="1">
        <v>601.24</v>
      </c>
      <c r="O242" s="1">
        <v>623.49</v>
      </c>
      <c r="P242" s="1">
        <v>511.05</v>
      </c>
      <c r="Q242">
        <v>5.45E-2</v>
      </c>
      <c r="R242">
        <v>3.3000000000000003E-5</v>
      </c>
    </row>
    <row r="243" spans="1:18" ht="13.8" outlineLevel="2" x14ac:dyDescent="0.25">
      <c r="A243">
        <v>92341</v>
      </c>
      <c r="B243" t="s">
        <v>273</v>
      </c>
      <c r="C243" t="s">
        <v>275</v>
      </c>
      <c r="D243" s="14" t="s">
        <v>263</v>
      </c>
      <c r="E243" s="12" t="s">
        <v>28</v>
      </c>
      <c r="F243" s="13" t="s">
        <v>29</v>
      </c>
      <c r="G243">
        <v>10</v>
      </c>
      <c r="H243" t="s">
        <v>30</v>
      </c>
      <c r="I243">
        <v>10</v>
      </c>
      <c r="J243" s="15"/>
      <c r="K243" s="16">
        <f>1017.07 - (1017.07 * $E$1)</f>
        <v>1017.07</v>
      </c>
      <c r="L243" s="16">
        <f>833.66 - (833.66 * $E$1)</f>
        <v>833.66</v>
      </c>
      <c r="M243" s="1">
        <v>1017.07</v>
      </c>
      <c r="N243" s="1">
        <v>833.66</v>
      </c>
      <c r="O243" s="1">
        <v>864.51</v>
      </c>
      <c r="P243" s="1">
        <v>708.61</v>
      </c>
      <c r="Q243">
        <v>7.5999999999999998E-2</v>
      </c>
      <c r="R243">
        <v>5.0000000000000002E-5</v>
      </c>
    </row>
    <row r="244" spans="1:18" ht="13.8" outlineLevel="2" x14ac:dyDescent="0.25">
      <c r="A244">
        <v>92342</v>
      </c>
      <c r="B244" t="s">
        <v>273</v>
      </c>
      <c r="C244" t="s">
        <v>276</v>
      </c>
      <c r="D244" s="14" t="s">
        <v>263</v>
      </c>
      <c r="E244" s="12" t="s">
        <v>28</v>
      </c>
      <c r="F244" s="13" t="s">
        <v>29</v>
      </c>
      <c r="G244">
        <v>10</v>
      </c>
      <c r="H244" t="s">
        <v>30</v>
      </c>
      <c r="I244">
        <v>10</v>
      </c>
      <c r="J244" s="15"/>
      <c r="K244" s="16">
        <f>1376.07 - (1376.07 * $E$1)</f>
        <v>1376.07</v>
      </c>
      <c r="L244" s="16">
        <f>1127.93 - (1127.93 * $E$1)</f>
        <v>1127.93</v>
      </c>
      <c r="M244" s="1">
        <v>1376.07</v>
      </c>
      <c r="N244" s="1">
        <v>1127.93</v>
      </c>
      <c r="O244" s="1">
        <v>1169.6600000000001</v>
      </c>
      <c r="P244" s="1">
        <v>958.74</v>
      </c>
      <c r="Q244">
        <v>0.111</v>
      </c>
      <c r="R244">
        <v>8.6399999999999999E-5</v>
      </c>
    </row>
    <row r="245" spans="1:18" ht="13.8" outlineLevel="2" x14ac:dyDescent="0.25">
      <c r="A245">
        <v>92343</v>
      </c>
      <c r="B245" t="s">
        <v>273</v>
      </c>
      <c r="C245" t="s">
        <v>277</v>
      </c>
      <c r="D245" s="14" t="s">
        <v>263</v>
      </c>
      <c r="E245" s="12" t="s">
        <v>28</v>
      </c>
      <c r="F245" s="13" t="s">
        <v>29</v>
      </c>
      <c r="G245">
        <v>5</v>
      </c>
      <c r="H245" t="s">
        <v>30</v>
      </c>
      <c r="I245">
        <v>5</v>
      </c>
      <c r="J245" s="15"/>
      <c r="K245" s="16">
        <f>2012.06 - (2012.06 * $E$1)</f>
        <v>2012.06</v>
      </c>
      <c r="L245" s="16">
        <f>1649.23 - (1649.23 * $E$1)</f>
        <v>1649.23</v>
      </c>
      <c r="M245" s="1">
        <v>2012.06</v>
      </c>
      <c r="N245" s="1">
        <v>1649.23</v>
      </c>
      <c r="O245" s="1">
        <v>1710.25</v>
      </c>
      <c r="P245" s="1">
        <v>1401.85</v>
      </c>
      <c r="Q245">
        <v>0.16600000000000001</v>
      </c>
      <c r="R245">
        <v>1.21E-4</v>
      </c>
    </row>
    <row r="246" spans="1:18" ht="13.8" outlineLevel="2" x14ac:dyDescent="0.25">
      <c r="A246">
        <v>87460</v>
      </c>
      <c r="B246" t="s">
        <v>261</v>
      </c>
      <c r="C246" t="s">
        <v>278</v>
      </c>
      <c r="D246" s="14" t="s">
        <v>279</v>
      </c>
      <c r="E246" s="12" t="s">
        <v>28</v>
      </c>
      <c r="F246" s="13" t="s">
        <v>29</v>
      </c>
      <c r="G246">
        <v>100</v>
      </c>
      <c r="H246" t="s">
        <v>30</v>
      </c>
      <c r="I246">
        <v>100</v>
      </c>
      <c r="J246" s="15"/>
      <c r="K246" s="16">
        <f>21.63 - (21.63 * $E$1)</f>
        <v>21.63</v>
      </c>
      <c r="L246" s="16">
        <f>17.73 - (17.73 * $E$1)</f>
        <v>17.73</v>
      </c>
      <c r="M246" s="1">
        <v>21.63</v>
      </c>
      <c r="N246" s="1">
        <v>17.73</v>
      </c>
      <c r="O246" s="1">
        <v>18.39</v>
      </c>
      <c r="P246" s="1">
        <v>15.07</v>
      </c>
      <c r="Q246">
        <v>1.4E-3</v>
      </c>
      <c r="R246">
        <v>1.28E-6</v>
      </c>
    </row>
    <row r="247" spans="1:18" ht="13.8" outlineLevel="2" x14ac:dyDescent="0.25">
      <c r="A247">
        <v>87461</v>
      </c>
      <c r="B247" t="s">
        <v>261</v>
      </c>
      <c r="C247" t="s">
        <v>280</v>
      </c>
      <c r="D247" s="14" t="s">
        <v>279</v>
      </c>
      <c r="E247" s="12" t="s">
        <v>28</v>
      </c>
      <c r="F247" s="13" t="s">
        <v>29</v>
      </c>
      <c r="G247">
        <v>100</v>
      </c>
      <c r="H247" t="s">
        <v>30</v>
      </c>
      <c r="I247">
        <v>100</v>
      </c>
      <c r="J247" s="15"/>
      <c r="K247" s="16">
        <f>30.44 - (30.44 * $E$1)</f>
        <v>30.44</v>
      </c>
      <c r="L247" s="16">
        <f>24.95 - (24.95 * $E$1)</f>
        <v>24.95</v>
      </c>
      <c r="M247" s="1">
        <v>30.44</v>
      </c>
      <c r="N247" s="1">
        <v>24.95</v>
      </c>
      <c r="O247" s="1">
        <v>25.87</v>
      </c>
      <c r="P247" s="1">
        <v>21.21</v>
      </c>
      <c r="Q247">
        <v>2.3E-3</v>
      </c>
      <c r="R247">
        <v>2.7E-6</v>
      </c>
    </row>
    <row r="248" spans="1:18" ht="13.8" outlineLevel="2" x14ac:dyDescent="0.25">
      <c r="A248">
        <v>87462</v>
      </c>
      <c r="B248" t="s">
        <v>261</v>
      </c>
      <c r="C248" t="s">
        <v>281</v>
      </c>
      <c r="D248" s="14" t="s">
        <v>279</v>
      </c>
      <c r="E248" s="12" t="s">
        <v>28</v>
      </c>
      <c r="F248" s="13" t="s">
        <v>29</v>
      </c>
      <c r="G248">
        <v>100</v>
      </c>
      <c r="H248" t="s">
        <v>30</v>
      </c>
      <c r="I248">
        <v>100</v>
      </c>
      <c r="J248" s="15"/>
      <c r="K248" s="16">
        <f>46.79 - (46.79 * $E$1)</f>
        <v>46.79</v>
      </c>
      <c r="L248" s="16">
        <f>38.35 - (38.35 * $E$1)</f>
        <v>38.35</v>
      </c>
      <c r="M248" s="1">
        <v>46.79</v>
      </c>
      <c r="N248" s="1">
        <v>38.35</v>
      </c>
      <c r="O248" s="1">
        <v>39.770000000000003</v>
      </c>
      <c r="P248" s="1">
        <v>32.6</v>
      </c>
      <c r="Q248">
        <v>3.8999999999999998E-3</v>
      </c>
      <c r="R248">
        <v>3.5999999999999998E-6</v>
      </c>
    </row>
    <row r="249" spans="1:18" ht="13.8" outlineLevel="2" x14ac:dyDescent="0.25">
      <c r="A249">
        <v>87463</v>
      </c>
      <c r="B249" t="s">
        <v>261</v>
      </c>
      <c r="C249" t="s">
        <v>282</v>
      </c>
      <c r="D249" s="14" t="s">
        <v>279</v>
      </c>
      <c r="E249" s="12" t="s">
        <v>28</v>
      </c>
      <c r="F249" s="13" t="s">
        <v>29</v>
      </c>
      <c r="G249">
        <v>100</v>
      </c>
      <c r="H249" t="s">
        <v>30</v>
      </c>
      <c r="I249">
        <v>100</v>
      </c>
      <c r="J249" s="15"/>
      <c r="K249" s="16">
        <f>69.13 - (69.13 * $E$1)</f>
        <v>69.13</v>
      </c>
      <c r="L249" s="16">
        <f>56.66 - (56.66 * $E$1)</f>
        <v>56.66</v>
      </c>
      <c r="M249" s="1">
        <v>69.13</v>
      </c>
      <c r="N249" s="1">
        <v>56.66</v>
      </c>
      <c r="O249" s="1">
        <v>58.76</v>
      </c>
      <c r="P249" s="1">
        <v>48.16</v>
      </c>
      <c r="Q249">
        <v>6.4000000000000003E-3</v>
      </c>
      <c r="R249">
        <v>3.9999999999999998E-6</v>
      </c>
    </row>
    <row r="250" spans="1:18" ht="13.8" outlineLevel="2" x14ac:dyDescent="0.25">
      <c r="A250">
        <v>87464</v>
      </c>
      <c r="B250" t="s">
        <v>261</v>
      </c>
      <c r="C250" t="s">
        <v>283</v>
      </c>
      <c r="D250" s="14" t="s">
        <v>279</v>
      </c>
      <c r="E250" s="12" t="s">
        <v>28</v>
      </c>
      <c r="F250" s="13" t="s">
        <v>29</v>
      </c>
      <c r="G250">
        <v>100</v>
      </c>
      <c r="H250" t="s">
        <v>30</v>
      </c>
      <c r="I250">
        <v>100</v>
      </c>
      <c r="J250" s="15"/>
      <c r="K250" s="16">
        <f>88.21 - (88.21 * $E$1)</f>
        <v>88.21</v>
      </c>
      <c r="L250" s="16">
        <f>72.3 - (72.3 * $E$1)</f>
        <v>72.3</v>
      </c>
      <c r="M250" s="1">
        <v>88.21</v>
      </c>
      <c r="N250" s="1">
        <v>72.3</v>
      </c>
      <c r="O250" s="1">
        <v>74.98</v>
      </c>
      <c r="P250" s="1">
        <v>61.46</v>
      </c>
      <c r="Q250">
        <v>8.8000000000000005E-3</v>
      </c>
      <c r="R250">
        <v>5.7599999999999999E-6</v>
      </c>
    </row>
    <row r="251" spans="1:18" ht="13.8" outlineLevel="2" x14ac:dyDescent="0.25">
      <c r="A251">
        <v>87465</v>
      </c>
      <c r="B251" t="s">
        <v>261</v>
      </c>
      <c r="C251" t="s">
        <v>284</v>
      </c>
      <c r="D251" s="14" t="s">
        <v>279</v>
      </c>
      <c r="E251" s="12" t="s">
        <v>28</v>
      </c>
      <c r="F251" s="13" t="s">
        <v>29</v>
      </c>
      <c r="G251">
        <v>100</v>
      </c>
      <c r="H251" t="s">
        <v>30</v>
      </c>
      <c r="I251">
        <v>100</v>
      </c>
      <c r="J251" s="15"/>
      <c r="K251" s="16">
        <f>132.07 - (132.07 * $E$1)</f>
        <v>132.07</v>
      </c>
      <c r="L251" s="16">
        <f>108.25 - (108.25 * $E$1)</f>
        <v>108.25</v>
      </c>
      <c r="M251" s="1">
        <v>132.07</v>
      </c>
      <c r="N251" s="1">
        <v>108.25</v>
      </c>
      <c r="O251" s="1">
        <v>112.26</v>
      </c>
      <c r="P251" s="1">
        <v>92.01</v>
      </c>
      <c r="Q251">
        <v>1.37E-2</v>
      </c>
      <c r="R251">
        <v>9.3600000000000002E-6</v>
      </c>
    </row>
    <row r="252" spans="1:18" ht="13.8" outlineLevel="2" x14ac:dyDescent="0.25">
      <c r="A252">
        <v>87466</v>
      </c>
      <c r="B252" t="s">
        <v>261</v>
      </c>
      <c r="C252" t="s">
        <v>285</v>
      </c>
      <c r="D252" s="14" t="s">
        <v>279</v>
      </c>
      <c r="E252" s="12" t="s">
        <v>28</v>
      </c>
      <c r="F252" s="13" t="s">
        <v>29</v>
      </c>
      <c r="G252">
        <v>50</v>
      </c>
      <c r="H252" t="s">
        <v>30</v>
      </c>
      <c r="I252">
        <v>50</v>
      </c>
      <c r="J252" s="15"/>
      <c r="K252" s="16">
        <f>151.35 - (151.35 * $E$1)</f>
        <v>151.35</v>
      </c>
      <c r="L252" s="16">
        <f>124.06 - (124.06 * $E$1)</f>
        <v>124.06</v>
      </c>
      <c r="M252" s="1">
        <v>151.35</v>
      </c>
      <c r="N252" s="1">
        <v>124.06</v>
      </c>
      <c r="O252" s="1">
        <v>128.65</v>
      </c>
      <c r="P252" s="1">
        <v>105.45</v>
      </c>
      <c r="Q252">
        <v>1.7399999999999999E-2</v>
      </c>
      <c r="R252">
        <v>1.5840000000000001E-5</v>
      </c>
    </row>
    <row r="253" spans="1:18" ht="13.8" outlineLevel="2" x14ac:dyDescent="0.25">
      <c r="A253">
        <v>87467</v>
      </c>
      <c r="B253" t="s">
        <v>261</v>
      </c>
      <c r="C253" t="s">
        <v>286</v>
      </c>
      <c r="D253" s="14" t="s">
        <v>279</v>
      </c>
      <c r="E253" s="12" t="s">
        <v>28</v>
      </c>
      <c r="F253" s="13" t="s">
        <v>29</v>
      </c>
      <c r="G253">
        <v>50</v>
      </c>
      <c r="H253" t="s">
        <v>30</v>
      </c>
      <c r="I253">
        <v>50</v>
      </c>
      <c r="J253" s="15"/>
      <c r="K253" s="16">
        <f>289.1 - (289.1 * $E$1)</f>
        <v>289.10000000000002</v>
      </c>
      <c r="L253" s="16">
        <f>236.97 - (236.97 * $E$1)</f>
        <v>236.97</v>
      </c>
      <c r="M253" s="1">
        <v>289.10000000000002</v>
      </c>
      <c r="N253" s="1">
        <v>236.97</v>
      </c>
      <c r="O253" s="1">
        <v>245.74</v>
      </c>
      <c r="P253" s="1">
        <v>201.42</v>
      </c>
      <c r="Q253">
        <v>3.3599999999999998E-2</v>
      </c>
      <c r="R253">
        <v>6.4800000000000003E-5</v>
      </c>
    </row>
    <row r="254" spans="1:18" ht="13.8" outlineLevel="2" x14ac:dyDescent="0.25">
      <c r="A254">
        <v>78053</v>
      </c>
      <c r="B254" t="s">
        <v>287</v>
      </c>
      <c r="C254" t="s">
        <v>288</v>
      </c>
      <c r="D254" s="14" t="s">
        <v>289</v>
      </c>
      <c r="E254" s="12" t="s">
        <v>28</v>
      </c>
      <c r="F254" s="13" t="s">
        <v>29</v>
      </c>
      <c r="G254">
        <v>100</v>
      </c>
      <c r="H254" t="s">
        <v>30</v>
      </c>
      <c r="I254">
        <v>100</v>
      </c>
      <c r="J254" s="15"/>
      <c r="K254" s="16">
        <f>56.25 - (56.25 * $E$1)</f>
        <v>56.25</v>
      </c>
      <c r="L254" s="16">
        <f>46.11 - (46.11 * $E$1)</f>
        <v>46.11</v>
      </c>
      <c r="M254" s="1">
        <v>56.25</v>
      </c>
      <c r="N254" s="1">
        <v>46.11</v>
      </c>
      <c r="O254" s="1">
        <v>47.82</v>
      </c>
      <c r="P254" s="1">
        <v>39.19</v>
      </c>
      <c r="Q254">
        <v>2.14E-3</v>
      </c>
      <c r="R254">
        <v>2.3999999999999999E-6</v>
      </c>
    </row>
    <row r="255" spans="1:18" ht="13.8" outlineLevel="2" x14ac:dyDescent="0.25">
      <c r="A255">
        <v>78054</v>
      </c>
      <c r="B255" t="s">
        <v>287</v>
      </c>
      <c r="C255" t="s">
        <v>290</v>
      </c>
      <c r="D255" s="14" t="s">
        <v>289</v>
      </c>
      <c r="E255" s="12" t="s">
        <v>28</v>
      </c>
      <c r="F255" s="13" t="s">
        <v>29</v>
      </c>
      <c r="G255">
        <v>100</v>
      </c>
      <c r="H255" t="s">
        <v>30</v>
      </c>
      <c r="I255">
        <v>100</v>
      </c>
      <c r="J255" s="15"/>
      <c r="K255" s="16">
        <f>56.25 - (56.25 * $E$1)</f>
        <v>56.25</v>
      </c>
      <c r="L255" s="16">
        <f>46.11 - (46.11 * $E$1)</f>
        <v>46.11</v>
      </c>
      <c r="M255" s="1">
        <v>56.25</v>
      </c>
      <c r="N255" s="1">
        <v>46.11</v>
      </c>
      <c r="O255" s="1">
        <v>47.82</v>
      </c>
      <c r="P255" s="1">
        <v>39.19</v>
      </c>
      <c r="Q255">
        <v>2.1800000000000001E-3</v>
      </c>
      <c r="R255">
        <v>2.4700000000000001E-6</v>
      </c>
    </row>
    <row r="256" spans="1:18" ht="13.8" outlineLevel="2" x14ac:dyDescent="0.25">
      <c r="A256">
        <v>70282</v>
      </c>
      <c r="B256" t="s">
        <v>287</v>
      </c>
      <c r="C256" t="s">
        <v>291</v>
      </c>
      <c r="D256" s="14" t="s">
        <v>289</v>
      </c>
      <c r="E256" s="12" t="s">
        <v>28</v>
      </c>
      <c r="F256" s="13" t="s">
        <v>29</v>
      </c>
      <c r="G256">
        <v>100</v>
      </c>
      <c r="H256" t="s">
        <v>30</v>
      </c>
      <c r="I256">
        <v>100</v>
      </c>
      <c r="J256" s="15"/>
      <c r="K256" s="16">
        <f>87.68 - (87.68 * $E$1)</f>
        <v>87.68</v>
      </c>
      <c r="L256" s="16">
        <f>71.87 - (71.87 * $E$1)</f>
        <v>71.87</v>
      </c>
      <c r="M256" s="1">
        <v>87.68</v>
      </c>
      <c r="N256" s="1">
        <v>71.87</v>
      </c>
      <c r="O256" s="1">
        <v>74.53</v>
      </c>
      <c r="P256" s="1">
        <v>61.09</v>
      </c>
      <c r="Q256">
        <v>3.5599999999999998E-3</v>
      </c>
      <c r="R256">
        <v>4.1999999999999996E-6</v>
      </c>
    </row>
    <row r="257" spans="1:18" ht="13.8" outlineLevel="2" x14ac:dyDescent="0.25">
      <c r="A257">
        <v>70283</v>
      </c>
      <c r="B257" t="s">
        <v>287</v>
      </c>
      <c r="C257" t="s">
        <v>292</v>
      </c>
      <c r="D257" s="14" t="s">
        <v>289</v>
      </c>
      <c r="E257" s="12" t="s">
        <v>28</v>
      </c>
      <c r="F257" s="13" t="s">
        <v>29</v>
      </c>
      <c r="G257">
        <v>100</v>
      </c>
      <c r="H257" t="s">
        <v>30</v>
      </c>
      <c r="I257">
        <v>100</v>
      </c>
      <c r="J257" s="15"/>
      <c r="K257" s="16">
        <f>87.68 - (87.68 * $E$1)</f>
        <v>87.68</v>
      </c>
      <c r="L257" s="16">
        <f>71.87 - (71.87 * $E$1)</f>
        <v>71.87</v>
      </c>
      <c r="M257" s="1">
        <v>87.68</v>
      </c>
      <c r="N257" s="1">
        <v>71.87</v>
      </c>
      <c r="O257" s="1">
        <v>74.53</v>
      </c>
      <c r="P257" s="1">
        <v>61.09</v>
      </c>
      <c r="Q257">
        <v>3.8600000000000001E-3</v>
      </c>
      <c r="R257">
        <v>3.9199999999999997E-6</v>
      </c>
    </row>
    <row r="258" spans="1:18" ht="13.8" outlineLevel="2" x14ac:dyDescent="0.25">
      <c r="A258">
        <v>70284</v>
      </c>
      <c r="B258" t="s">
        <v>287</v>
      </c>
      <c r="C258" t="s">
        <v>293</v>
      </c>
      <c r="D258" s="14" t="s">
        <v>289</v>
      </c>
      <c r="E258" s="12" t="s">
        <v>28</v>
      </c>
      <c r="F258" s="13" t="s">
        <v>29</v>
      </c>
      <c r="G258">
        <v>100</v>
      </c>
      <c r="H258" t="s">
        <v>30</v>
      </c>
      <c r="I258">
        <v>100</v>
      </c>
      <c r="J258" s="15"/>
      <c r="K258" s="16">
        <f>122.84 - (122.84 * $E$1)</f>
        <v>122.84</v>
      </c>
      <c r="L258" s="16">
        <f>100.69 - (100.69 * $E$1)</f>
        <v>100.69</v>
      </c>
      <c r="M258" s="1">
        <v>122.84</v>
      </c>
      <c r="N258" s="1">
        <v>100.69</v>
      </c>
      <c r="O258" s="1">
        <v>104.42</v>
      </c>
      <c r="P258" s="1">
        <v>85.59</v>
      </c>
      <c r="Q258">
        <v>6.5199999999999998E-3</v>
      </c>
      <c r="R258">
        <v>5.8799999999999996E-6</v>
      </c>
    </row>
    <row r="259" spans="1:18" ht="13.8" outlineLevel="2" x14ac:dyDescent="0.25">
      <c r="A259">
        <v>70285</v>
      </c>
      <c r="B259" t="s">
        <v>287</v>
      </c>
      <c r="C259" t="s">
        <v>294</v>
      </c>
      <c r="D259" s="14" t="s">
        <v>289</v>
      </c>
      <c r="E259" s="12" t="s">
        <v>28</v>
      </c>
      <c r="F259" s="13" t="s">
        <v>29</v>
      </c>
      <c r="G259">
        <v>100</v>
      </c>
      <c r="H259" t="s">
        <v>30</v>
      </c>
      <c r="I259">
        <v>100</v>
      </c>
      <c r="J259" s="15"/>
      <c r="K259" s="16">
        <f>122.84 - (122.84 * $E$1)</f>
        <v>122.84</v>
      </c>
      <c r="L259" s="16">
        <f>100.69 - (100.69 * $E$1)</f>
        <v>100.69</v>
      </c>
      <c r="M259" s="1">
        <v>122.84</v>
      </c>
      <c r="N259" s="1">
        <v>100.69</v>
      </c>
      <c r="O259" s="1">
        <v>104.42</v>
      </c>
      <c r="P259" s="1">
        <v>85.59</v>
      </c>
      <c r="Q259">
        <v>6.96E-3</v>
      </c>
      <c r="R259">
        <v>7.3599999999999998E-6</v>
      </c>
    </row>
    <row r="260" spans="1:18" ht="13.8" outlineLevel="2" x14ac:dyDescent="0.25">
      <c r="A260">
        <v>70286</v>
      </c>
      <c r="B260" t="s">
        <v>287</v>
      </c>
      <c r="C260" t="s">
        <v>295</v>
      </c>
      <c r="D260" s="14" t="s">
        <v>289</v>
      </c>
      <c r="E260" s="12" t="s">
        <v>28</v>
      </c>
      <c r="F260" s="13" t="s">
        <v>29</v>
      </c>
      <c r="G260">
        <v>100</v>
      </c>
      <c r="H260" t="s">
        <v>30</v>
      </c>
      <c r="I260">
        <v>100</v>
      </c>
      <c r="J260" s="15"/>
      <c r="K260" s="16">
        <f>173.33 - (173.33 * $E$1)</f>
        <v>173.33</v>
      </c>
      <c r="L260" s="16">
        <f>142.07 - (142.07 * $E$1)</f>
        <v>142.07</v>
      </c>
      <c r="M260" s="1">
        <v>173.33</v>
      </c>
      <c r="N260" s="1">
        <v>142.07</v>
      </c>
      <c r="O260" s="1">
        <v>147.33000000000001</v>
      </c>
      <c r="P260" s="1">
        <v>120.76</v>
      </c>
      <c r="Q260">
        <v>1.086E-2</v>
      </c>
      <c r="R260">
        <v>1.008E-5</v>
      </c>
    </row>
    <row r="261" spans="1:18" ht="13.8" outlineLevel="2" x14ac:dyDescent="0.25">
      <c r="A261">
        <v>70287</v>
      </c>
      <c r="B261" t="s">
        <v>287</v>
      </c>
      <c r="C261" t="s">
        <v>296</v>
      </c>
      <c r="D261" s="14" t="s">
        <v>289</v>
      </c>
      <c r="E261" s="12" t="s">
        <v>28</v>
      </c>
      <c r="F261" s="13" t="s">
        <v>29</v>
      </c>
      <c r="G261">
        <v>100</v>
      </c>
      <c r="H261" t="s">
        <v>30</v>
      </c>
      <c r="I261">
        <v>100</v>
      </c>
      <c r="J261" s="15"/>
      <c r="K261" s="16">
        <f>173.33 - (173.33 * $E$1)</f>
        <v>173.33</v>
      </c>
      <c r="L261" s="16">
        <f>142.07 - (142.07 * $E$1)</f>
        <v>142.07</v>
      </c>
      <c r="M261" s="1">
        <v>173.33</v>
      </c>
      <c r="N261" s="1">
        <v>142.07</v>
      </c>
      <c r="O261" s="1">
        <v>147.33000000000001</v>
      </c>
      <c r="P261" s="1">
        <v>120.76</v>
      </c>
      <c r="Q261">
        <v>1.1480000000000001E-2</v>
      </c>
      <c r="R261">
        <v>8.0600000000000008E-6</v>
      </c>
    </row>
    <row r="262" spans="1:18" ht="13.8" outlineLevel="2" x14ac:dyDescent="0.25">
      <c r="A262">
        <v>70288</v>
      </c>
      <c r="B262" t="s">
        <v>287</v>
      </c>
      <c r="C262" t="s">
        <v>297</v>
      </c>
      <c r="D262" s="14" t="s">
        <v>289</v>
      </c>
      <c r="E262" s="12" t="s">
        <v>28</v>
      </c>
      <c r="F262" s="13" t="s">
        <v>29</v>
      </c>
      <c r="G262">
        <v>100</v>
      </c>
      <c r="H262" t="s">
        <v>30</v>
      </c>
      <c r="I262">
        <v>100</v>
      </c>
      <c r="J262" s="15"/>
      <c r="K262" s="16">
        <f>218.65 - (218.65 * $E$1)</f>
        <v>218.65</v>
      </c>
      <c r="L262" s="16">
        <f>179.22 - (179.22 * $E$1)</f>
        <v>179.22</v>
      </c>
      <c r="M262" s="1">
        <v>218.65</v>
      </c>
      <c r="N262" s="1">
        <v>179.22</v>
      </c>
      <c r="O262" s="1">
        <v>185.85</v>
      </c>
      <c r="P262" s="1">
        <v>152.34</v>
      </c>
      <c r="Q262">
        <v>1.47E-2</v>
      </c>
      <c r="R262">
        <v>9.1200000000000008E-6</v>
      </c>
    </row>
    <row r="263" spans="1:18" ht="13.8" outlineLevel="2" x14ac:dyDescent="0.25">
      <c r="A263">
        <v>70289</v>
      </c>
      <c r="B263" t="s">
        <v>287</v>
      </c>
      <c r="C263" t="s">
        <v>298</v>
      </c>
      <c r="D263" s="14" t="s">
        <v>289</v>
      </c>
      <c r="E263" s="12" t="s">
        <v>28</v>
      </c>
      <c r="F263" s="13" t="s">
        <v>29</v>
      </c>
      <c r="G263">
        <v>100</v>
      </c>
      <c r="H263" t="s">
        <v>30</v>
      </c>
      <c r="I263">
        <v>100</v>
      </c>
      <c r="J263" s="15"/>
      <c r="K263" s="16">
        <f>218.65 - (218.65 * $E$1)</f>
        <v>218.65</v>
      </c>
      <c r="L263" s="16">
        <f>179.22 - (179.22 * $E$1)</f>
        <v>179.22</v>
      </c>
      <c r="M263" s="1">
        <v>218.65</v>
      </c>
      <c r="N263" s="1">
        <v>179.22</v>
      </c>
      <c r="O263" s="1">
        <v>185.85</v>
      </c>
      <c r="P263" s="1">
        <v>152.34</v>
      </c>
      <c r="Q263">
        <v>1.5939999999999999E-2</v>
      </c>
      <c r="R263">
        <v>1.2799999999999999E-5</v>
      </c>
    </row>
    <row r="264" spans="1:18" ht="13.8" outlineLevel="2" x14ac:dyDescent="0.25">
      <c r="A264">
        <v>70290</v>
      </c>
      <c r="B264" t="s">
        <v>287</v>
      </c>
      <c r="C264" t="s">
        <v>299</v>
      </c>
      <c r="D264" s="14" t="s">
        <v>289</v>
      </c>
      <c r="E264" s="12" t="s">
        <v>28</v>
      </c>
      <c r="F264" s="13" t="s">
        <v>29</v>
      </c>
      <c r="G264">
        <v>50</v>
      </c>
      <c r="H264" t="s">
        <v>30</v>
      </c>
      <c r="I264">
        <v>50</v>
      </c>
      <c r="J264" s="15"/>
      <c r="K264" s="16">
        <f>265.48 - (265.48 * $E$1)</f>
        <v>265.48</v>
      </c>
      <c r="L264" s="16">
        <f>217.61 - (217.61 * $E$1)</f>
        <v>217.61</v>
      </c>
      <c r="M264" s="1">
        <v>265.48</v>
      </c>
      <c r="N264" s="1">
        <v>217.61</v>
      </c>
      <c r="O264" s="1">
        <v>225.66</v>
      </c>
      <c r="P264" s="1">
        <v>184.97</v>
      </c>
      <c r="Q264">
        <v>1.9519999999999999E-2</v>
      </c>
      <c r="R264">
        <v>1.8E-5</v>
      </c>
    </row>
    <row r="265" spans="1:18" ht="13.8" outlineLevel="2" x14ac:dyDescent="0.25">
      <c r="A265">
        <v>70291</v>
      </c>
      <c r="B265" t="s">
        <v>287</v>
      </c>
      <c r="C265" t="s">
        <v>300</v>
      </c>
      <c r="D265" s="14" t="s">
        <v>289</v>
      </c>
      <c r="E265" s="12" t="s">
        <v>28</v>
      </c>
      <c r="F265" s="13" t="s">
        <v>29</v>
      </c>
      <c r="G265">
        <v>50</v>
      </c>
      <c r="H265" t="s">
        <v>30</v>
      </c>
      <c r="I265">
        <v>50</v>
      </c>
      <c r="J265" s="15"/>
      <c r="K265" s="16">
        <f>265.48 - (265.48 * $E$1)</f>
        <v>265.48</v>
      </c>
      <c r="L265" s="16">
        <f>217.61 - (217.61 * $E$1)</f>
        <v>217.61</v>
      </c>
      <c r="M265" s="1">
        <v>265.48</v>
      </c>
      <c r="N265" s="1">
        <v>217.61</v>
      </c>
      <c r="O265" s="1">
        <v>225.66</v>
      </c>
      <c r="P265" s="1">
        <v>184.97</v>
      </c>
      <c r="Q265">
        <v>2.0719999999999999E-2</v>
      </c>
      <c r="R265">
        <v>1.9959999999999999E-5</v>
      </c>
    </row>
    <row r="266" spans="1:18" ht="13.8" outlineLevel="2" x14ac:dyDescent="0.25">
      <c r="A266">
        <v>92336</v>
      </c>
      <c r="B266" t="s">
        <v>301</v>
      </c>
      <c r="C266" t="s">
        <v>302</v>
      </c>
      <c r="D266" s="14" t="s">
        <v>289</v>
      </c>
      <c r="E266" s="12" t="s">
        <v>28</v>
      </c>
      <c r="F266" s="13" t="s">
        <v>29</v>
      </c>
      <c r="G266">
        <v>50</v>
      </c>
      <c r="H266" t="s">
        <v>30</v>
      </c>
      <c r="I266">
        <v>50</v>
      </c>
      <c r="J266" s="15"/>
      <c r="K266" s="16">
        <f>344.35 - (344.35 * $E$1)</f>
        <v>344.35</v>
      </c>
      <c r="L266" s="16">
        <f>282.25 - (282.25 * $E$1)</f>
        <v>282.25</v>
      </c>
      <c r="M266" s="1">
        <v>344.35</v>
      </c>
      <c r="N266" s="1">
        <v>282.25</v>
      </c>
      <c r="O266" s="1">
        <v>292.69</v>
      </c>
      <c r="P266" s="1">
        <v>239.91</v>
      </c>
      <c r="Q266">
        <v>2.6859999999999998E-2</v>
      </c>
      <c r="R266">
        <v>1.872E-5</v>
      </c>
    </row>
    <row r="267" spans="1:18" ht="13.8" outlineLevel="2" x14ac:dyDescent="0.25">
      <c r="A267">
        <v>70292</v>
      </c>
      <c r="B267" t="s">
        <v>287</v>
      </c>
      <c r="C267" t="s">
        <v>303</v>
      </c>
      <c r="D267" s="14" t="s">
        <v>289</v>
      </c>
      <c r="E267" s="12" t="s">
        <v>28</v>
      </c>
      <c r="F267" s="13" t="s">
        <v>29</v>
      </c>
      <c r="G267">
        <v>50</v>
      </c>
      <c r="H267" t="s">
        <v>30</v>
      </c>
      <c r="I267">
        <v>50</v>
      </c>
      <c r="J267" s="15"/>
      <c r="K267" s="16">
        <f>344.35 - (344.35 * $E$1)</f>
        <v>344.35</v>
      </c>
      <c r="L267" s="16">
        <f>282.25 - (282.25 * $E$1)</f>
        <v>282.25</v>
      </c>
      <c r="M267" s="1">
        <v>344.35</v>
      </c>
      <c r="N267" s="1">
        <v>282.25</v>
      </c>
      <c r="O267" s="1">
        <v>292.69</v>
      </c>
      <c r="P267" s="1">
        <v>239.91</v>
      </c>
      <c r="Q267">
        <v>2.716E-2</v>
      </c>
      <c r="R267">
        <v>1.7859999999999998E-5</v>
      </c>
    </row>
    <row r="268" spans="1:18" ht="13.8" outlineLevel="2" x14ac:dyDescent="0.25">
      <c r="A268">
        <v>70293</v>
      </c>
      <c r="B268" t="s">
        <v>287</v>
      </c>
      <c r="C268" t="s">
        <v>304</v>
      </c>
      <c r="D268" s="14" t="s">
        <v>289</v>
      </c>
      <c r="E268" s="12" t="s">
        <v>28</v>
      </c>
      <c r="F268" s="13" t="s">
        <v>29</v>
      </c>
      <c r="G268">
        <v>50</v>
      </c>
      <c r="H268" t="s">
        <v>30</v>
      </c>
      <c r="I268">
        <v>50</v>
      </c>
      <c r="J268" s="15"/>
      <c r="K268" s="16">
        <f>344.35 - (344.35 * $E$1)</f>
        <v>344.35</v>
      </c>
      <c r="L268" s="16">
        <f>282.25 - (282.25 * $E$1)</f>
        <v>282.25</v>
      </c>
      <c r="M268" s="1">
        <v>344.35</v>
      </c>
      <c r="N268" s="1">
        <v>282.25</v>
      </c>
      <c r="O268" s="1">
        <v>292.69</v>
      </c>
      <c r="P268" s="1">
        <v>239.91</v>
      </c>
      <c r="Q268">
        <v>2.6919999999999999E-2</v>
      </c>
      <c r="R268">
        <v>1.9199999999999999E-5</v>
      </c>
    </row>
    <row r="269" spans="1:18" ht="13.8" outlineLevel="2" x14ac:dyDescent="0.25">
      <c r="A269">
        <v>70294</v>
      </c>
      <c r="B269" t="s">
        <v>287</v>
      </c>
      <c r="C269" t="s">
        <v>305</v>
      </c>
      <c r="D269" s="14" t="s">
        <v>289</v>
      </c>
      <c r="E269" s="12" t="s">
        <v>28</v>
      </c>
      <c r="F269" s="13" t="s">
        <v>29</v>
      </c>
      <c r="G269">
        <v>25</v>
      </c>
      <c r="H269" t="s">
        <v>30</v>
      </c>
      <c r="I269">
        <v>25</v>
      </c>
      <c r="J269" s="15"/>
      <c r="K269" s="16">
        <f>617.34 - (617.34 * $E$1)</f>
        <v>617.34</v>
      </c>
      <c r="L269" s="16">
        <f>506.02 - (506.02 * $E$1)</f>
        <v>506.02</v>
      </c>
      <c r="M269" s="1">
        <v>617.34</v>
      </c>
      <c r="N269" s="1">
        <v>506.02</v>
      </c>
      <c r="O269" s="1">
        <v>524.74</v>
      </c>
      <c r="P269" s="1">
        <v>430.12</v>
      </c>
      <c r="Q269">
        <v>4.9439999999999998E-2</v>
      </c>
      <c r="R269">
        <v>4.8959999999999999E-5</v>
      </c>
    </row>
    <row r="270" spans="1:18" ht="13.8" outlineLevel="2" x14ac:dyDescent="0.25">
      <c r="A270">
        <v>70295</v>
      </c>
      <c r="B270" t="s">
        <v>287</v>
      </c>
      <c r="C270" t="s">
        <v>306</v>
      </c>
      <c r="D270" s="14" t="s">
        <v>289</v>
      </c>
      <c r="E270" s="12" t="s">
        <v>28</v>
      </c>
      <c r="F270" s="13" t="s">
        <v>29</v>
      </c>
      <c r="G270">
        <v>25</v>
      </c>
      <c r="H270" t="s">
        <v>30</v>
      </c>
      <c r="I270">
        <v>25</v>
      </c>
      <c r="J270" s="15"/>
      <c r="K270" s="16">
        <f>617.34 - (617.34 * $E$1)</f>
        <v>617.34</v>
      </c>
      <c r="L270" s="16">
        <f>506.02 - (506.02 * $E$1)</f>
        <v>506.02</v>
      </c>
      <c r="M270" s="1">
        <v>617.34</v>
      </c>
      <c r="N270" s="1">
        <v>506.02</v>
      </c>
      <c r="O270" s="1">
        <v>524.74</v>
      </c>
      <c r="P270" s="1">
        <v>430.12</v>
      </c>
      <c r="Q270">
        <v>4.8719999999999999E-2</v>
      </c>
      <c r="R270">
        <v>3.536E-5</v>
      </c>
    </row>
    <row r="271" spans="1:18" ht="13.8" outlineLevel="2" x14ac:dyDescent="0.25">
      <c r="A271">
        <v>92337</v>
      </c>
      <c r="B271" t="s">
        <v>301</v>
      </c>
      <c r="C271" t="s">
        <v>307</v>
      </c>
      <c r="D271" s="14" t="s">
        <v>289</v>
      </c>
      <c r="E271" s="12" t="s">
        <v>28</v>
      </c>
      <c r="F271" s="13" t="s">
        <v>29</v>
      </c>
      <c r="G271">
        <v>10</v>
      </c>
      <c r="H271" t="s">
        <v>30</v>
      </c>
      <c r="I271">
        <v>10</v>
      </c>
      <c r="J271" s="15"/>
      <c r="K271" s="16">
        <f>834.09 - (834.09 * $E$1)</f>
        <v>834.09</v>
      </c>
      <c r="L271" s="16">
        <f>683.68 - (683.68 * $E$1)</f>
        <v>683.68</v>
      </c>
      <c r="M271" s="1">
        <v>834.09</v>
      </c>
      <c r="N271" s="1">
        <v>683.68</v>
      </c>
      <c r="O271" s="1">
        <v>708.98</v>
      </c>
      <c r="P271" s="1">
        <v>581.13</v>
      </c>
      <c r="Q271">
        <v>6.4299999999999996E-2</v>
      </c>
      <c r="R271">
        <v>4.8000000000000001E-5</v>
      </c>
    </row>
    <row r="272" spans="1:18" ht="13.8" outlineLevel="2" x14ac:dyDescent="0.25">
      <c r="A272">
        <v>70296</v>
      </c>
      <c r="B272" t="s">
        <v>287</v>
      </c>
      <c r="C272" t="s">
        <v>308</v>
      </c>
      <c r="D272" s="14" t="s">
        <v>289</v>
      </c>
      <c r="E272" s="12" t="s">
        <v>28</v>
      </c>
      <c r="F272" s="13" t="s">
        <v>29</v>
      </c>
      <c r="G272">
        <v>10</v>
      </c>
      <c r="H272" t="s">
        <v>30</v>
      </c>
      <c r="I272">
        <v>10</v>
      </c>
      <c r="J272" s="15"/>
      <c r="K272" s="16">
        <f>834.09 - (834.09 * $E$1)</f>
        <v>834.09</v>
      </c>
      <c r="L272" s="16">
        <f>683.68 - (683.68 * $E$1)</f>
        <v>683.68</v>
      </c>
      <c r="M272" s="1">
        <v>834.09</v>
      </c>
      <c r="N272" s="1">
        <v>683.68</v>
      </c>
      <c r="O272" s="1">
        <v>708.98</v>
      </c>
      <c r="P272" s="1">
        <v>581.13</v>
      </c>
      <c r="Q272">
        <v>6.6000000000000003E-2</v>
      </c>
      <c r="R272">
        <v>7.7999999999999999E-5</v>
      </c>
    </row>
    <row r="273" spans="1:18" ht="13.8" outlineLevel="2" x14ac:dyDescent="0.25">
      <c r="A273">
        <v>70297</v>
      </c>
      <c r="B273" t="s">
        <v>287</v>
      </c>
      <c r="C273" t="s">
        <v>309</v>
      </c>
      <c r="D273" s="14" t="s">
        <v>289</v>
      </c>
      <c r="E273" s="12" t="s">
        <v>28</v>
      </c>
      <c r="F273" s="13" t="s">
        <v>29</v>
      </c>
      <c r="G273">
        <v>10</v>
      </c>
      <c r="H273" t="s">
        <v>30</v>
      </c>
      <c r="I273">
        <v>10</v>
      </c>
      <c r="J273" s="15"/>
      <c r="K273" s="16">
        <f>1181.31 - (1181.31 * $E$1)</f>
        <v>1181.31</v>
      </c>
      <c r="L273" s="16">
        <f>968.29 - (968.29 * $E$1)</f>
        <v>968.29</v>
      </c>
      <c r="M273" s="1">
        <v>1181.31</v>
      </c>
      <c r="N273" s="1">
        <v>968.29</v>
      </c>
      <c r="O273" s="1">
        <v>1004.12</v>
      </c>
      <c r="P273" s="1">
        <v>823.05</v>
      </c>
      <c r="Q273">
        <v>7.7600000000000002E-2</v>
      </c>
      <c r="R273">
        <v>7.6100000000000007E-5</v>
      </c>
    </row>
    <row r="274" spans="1:18" ht="13.8" outlineLevel="2" x14ac:dyDescent="0.25">
      <c r="A274">
        <v>78051</v>
      </c>
      <c r="B274" t="s">
        <v>287</v>
      </c>
      <c r="C274" t="s">
        <v>310</v>
      </c>
      <c r="D274" s="14" t="s">
        <v>311</v>
      </c>
      <c r="E274" s="12" t="s">
        <v>28</v>
      </c>
      <c r="F274" s="13" t="s">
        <v>29</v>
      </c>
      <c r="G274">
        <v>100</v>
      </c>
      <c r="H274" t="s">
        <v>30</v>
      </c>
      <c r="I274">
        <v>100</v>
      </c>
      <c r="J274" s="15"/>
      <c r="K274" s="16">
        <f>59.02 - (59.02 * $E$1)</f>
        <v>59.02</v>
      </c>
      <c r="L274" s="16">
        <f>48.38 - (48.38 * $E$1)</f>
        <v>48.38</v>
      </c>
      <c r="M274" s="1">
        <v>59.02</v>
      </c>
      <c r="N274" s="1">
        <v>48.38</v>
      </c>
      <c r="O274" s="1">
        <v>50.17</v>
      </c>
      <c r="P274" s="1">
        <v>41.12</v>
      </c>
      <c r="Q274">
        <v>2.0200000000000001E-3</v>
      </c>
      <c r="R274">
        <v>2.2500000000000001E-6</v>
      </c>
    </row>
    <row r="275" spans="1:18" ht="13.8" outlineLevel="2" x14ac:dyDescent="0.25">
      <c r="A275">
        <v>78052</v>
      </c>
      <c r="B275" t="s">
        <v>287</v>
      </c>
      <c r="C275" t="s">
        <v>312</v>
      </c>
      <c r="D275" s="14" t="s">
        <v>311</v>
      </c>
      <c r="E275" s="12" t="s">
        <v>28</v>
      </c>
      <c r="F275" s="13" t="s">
        <v>29</v>
      </c>
      <c r="G275">
        <v>100</v>
      </c>
      <c r="H275" t="s">
        <v>30</v>
      </c>
      <c r="I275">
        <v>100</v>
      </c>
      <c r="J275" s="15"/>
      <c r="K275" s="16">
        <f>59.02 - (59.02 * $E$1)</f>
        <v>59.02</v>
      </c>
      <c r="L275" s="16">
        <f>48.38 - (48.38 * $E$1)</f>
        <v>48.38</v>
      </c>
      <c r="M275" s="1">
        <v>59.02</v>
      </c>
      <c r="N275" s="1">
        <v>48.38</v>
      </c>
      <c r="O275" s="1">
        <v>50.17</v>
      </c>
      <c r="P275" s="1">
        <v>41.12</v>
      </c>
      <c r="Q275">
        <v>2.0300000000000001E-3</v>
      </c>
      <c r="R275">
        <v>1.9999999999999999E-6</v>
      </c>
    </row>
    <row r="276" spans="1:18" ht="13.8" outlineLevel="2" x14ac:dyDescent="0.25">
      <c r="A276">
        <v>77794</v>
      </c>
      <c r="B276" t="s">
        <v>287</v>
      </c>
      <c r="C276" t="s">
        <v>313</v>
      </c>
      <c r="D276" s="14" t="s">
        <v>311</v>
      </c>
      <c r="E276" s="12" t="s">
        <v>28</v>
      </c>
      <c r="F276" s="13" t="s">
        <v>29</v>
      </c>
      <c r="G276">
        <v>100</v>
      </c>
      <c r="H276" t="s">
        <v>30</v>
      </c>
      <c r="I276">
        <v>100</v>
      </c>
      <c r="J276" s="15"/>
      <c r="K276" s="16">
        <f>92.07 - (92.07 * $E$1)</f>
        <v>92.07</v>
      </c>
      <c r="L276" s="16">
        <f>75.47 - (75.47 * $E$1)</f>
        <v>75.47</v>
      </c>
      <c r="M276" s="1">
        <v>92.07</v>
      </c>
      <c r="N276" s="1">
        <v>75.47</v>
      </c>
      <c r="O276" s="1">
        <v>78.260000000000005</v>
      </c>
      <c r="P276" s="1">
        <v>64.150000000000006</v>
      </c>
      <c r="Q276">
        <v>3.1800000000000001E-3</v>
      </c>
      <c r="R276">
        <v>2.48E-6</v>
      </c>
    </row>
    <row r="277" spans="1:18" ht="13.8" outlineLevel="2" x14ac:dyDescent="0.25">
      <c r="A277">
        <v>77795</v>
      </c>
      <c r="B277" t="s">
        <v>287</v>
      </c>
      <c r="C277" t="s">
        <v>314</v>
      </c>
      <c r="D277" s="14" t="s">
        <v>311</v>
      </c>
      <c r="E277" s="12" t="s">
        <v>28</v>
      </c>
      <c r="F277" s="13" t="s">
        <v>29</v>
      </c>
      <c r="G277">
        <v>100</v>
      </c>
      <c r="H277" t="s">
        <v>30</v>
      </c>
      <c r="I277">
        <v>100</v>
      </c>
      <c r="J277" s="15"/>
      <c r="K277" s="16">
        <f>92.07 - (92.07 * $E$1)</f>
        <v>92.07</v>
      </c>
      <c r="L277" s="16">
        <f>75.47 - (75.47 * $E$1)</f>
        <v>75.47</v>
      </c>
      <c r="M277" s="1">
        <v>92.07</v>
      </c>
      <c r="N277" s="1">
        <v>75.47</v>
      </c>
      <c r="O277" s="1">
        <v>78.260000000000005</v>
      </c>
      <c r="P277" s="1">
        <v>64.150000000000006</v>
      </c>
      <c r="Q277">
        <v>3.3800000000000002E-3</v>
      </c>
      <c r="R277">
        <v>3.5999999999999998E-6</v>
      </c>
    </row>
    <row r="278" spans="1:18" ht="13.8" outlineLevel="2" x14ac:dyDescent="0.25">
      <c r="A278">
        <v>77796</v>
      </c>
      <c r="B278" t="s">
        <v>287</v>
      </c>
      <c r="C278" t="s">
        <v>315</v>
      </c>
      <c r="D278" s="14" t="s">
        <v>311</v>
      </c>
      <c r="E278" s="12" t="s">
        <v>28</v>
      </c>
      <c r="F278" s="13" t="s">
        <v>29</v>
      </c>
      <c r="G278">
        <v>100</v>
      </c>
      <c r="H278" t="s">
        <v>30</v>
      </c>
      <c r="I278">
        <v>100</v>
      </c>
      <c r="J278" s="15"/>
      <c r="K278" s="16">
        <f>128.95 - (128.95 * $E$1)</f>
        <v>128.94999999999999</v>
      </c>
      <c r="L278" s="16">
        <f>105.7 - (105.7 * $E$1)</f>
        <v>105.7</v>
      </c>
      <c r="M278" s="1">
        <v>128.94999999999999</v>
      </c>
      <c r="N278" s="1">
        <v>105.7</v>
      </c>
      <c r="O278" s="1">
        <v>109.61</v>
      </c>
      <c r="P278" s="1">
        <v>89.85</v>
      </c>
      <c r="Q278">
        <v>5.8399999999999997E-3</v>
      </c>
      <c r="R278">
        <v>5.6300000000000003E-6</v>
      </c>
    </row>
    <row r="279" spans="1:18" ht="13.8" outlineLevel="2" x14ac:dyDescent="0.25">
      <c r="A279">
        <v>77797</v>
      </c>
      <c r="B279" t="s">
        <v>287</v>
      </c>
      <c r="C279" t="s">
        <v>316</v>
      </c>
      <c r="D279" s="14" t="s">
        <v>311</v>
      </c>
      <c r="E279" s="12" t="s">
        <v>28</v>
      </c>
      <c r="F279" s="13" t="s">
        <v>29</v>
      </c>
      <c r="G279">
        <v>100</v>
      </c>
      <c r="H279" t="s">
        <v>30</v>
      </c>
      <c r="I279">
        <v>100</v>
      </c>
      <c r="J279" s="15"/>
      <c r="K279" s="16">
        <f>128.95 - (128.95 * $E$1)</f>
        <v>128.94999999999999</v>
      </c>
      <c r="L279" s="16">
        <f>105.7 - (105.7 * $E$1)</f>
        <v>105.7</v>
      </c>
      <c r="M279" s="1">
        <v>128.94999999999999</v>
      </c>
      <c r="N279" s="1">
        <v>105.7</v>
      </c>
      <c r="O279" s="1">
        <v>109.61</v>
      </c>
      <c r="P279" s="1">
        <v>89.85</v>
      </c>
      <c r="Q279">
        <v>6.2199999999999998E-3</v>
      </c>
      <c r="R279">
        <v>4.7999999999999998E-6</v>
      </c>
    </row>
    <row r="280" spans="1:18" ht="13.8" outlineLevel="2" x14ac:dyDescent="0.25">
      <c r="A280">
        <v>77798</v>
      </c>
      <c r="B280" t="s">
        <v>287</v>
      </c>
      <c r="C280" t="s">
        <v>317</v>
      </c>
      <c r="D280" s="14" t="s">
        <v>311</v>
      </c>
      <c r="E280" s="12" t="s">
        <v>28</v>
      </c>
      <c r="F280" s="13" t="s">
        <v>29</v>
      </c>
      <c r="G280">
        <v>100</v>
      </c>
      <c r="H280" t="s">
        <v>30</v>
      </c>
      <c r="I280">
        <v>100</v>
      </c>
      <c r="J280" s="15"/>
      <c r="K280" s="16">
        <f>182.01 - (182.01 * $E$1)</f>
        <v>182.01</v>
      </c>
      <c r="L280" s="16">
        <f>149.19 - (149.19 * $E$1)</f>
        <v>149.19</v>
      </c>
      <c r="M280" s="1">
        <v>182.01</v>
      </c>
      <c r="N280" s="1">
        <v>149.19</v>
      </c>
      <c r="O280" s="1">
        <v>154.71</v>
      </c>
      <c r="P280" s="1">
        <v>126.81</v>
      </c>
      <c r="Q280">
        <v>9.8600000000000007E-3</v>
      </c>
      <c r="R280">
        <v>8.4999999999999999E-6</v>
      </c>
    </row>
    <row r="281" spans="1:18" ht="13.8" outlineLevel="2" x14ac:dyDescent="0.25">
      <c r="A281">
        <v>77799</v>
      </c>
      <c r="B281" t="s">
        <v>287</v>
      </c>
      <c r="C281" t="s">
        <v>318</v>
      </c>
      <c r="D281" s="14" t="s">
        <v>311</v>
      </c>
      <c r="E281" s="12" t="s">
        <v>28</v>
      </c>
      <c r="F281" s="13" t="s">
        <v>29</v>
      </c>
      <c r="G281">
        <v>100</v>
      </c>
      <c r="H281" t="s">
        <v>30</v>
      </c>
      <c r="I281">
        <v>100</v>
      </c>
      <c r="J281" s="15"/>
      <c r="K281" s="16">
        <f>182.01 - (182.01 * $E$1)</f>
        <v>182.01</v>
      </c>
      <c r="L281" s="16">
        <f>149.19 - (149.19 * $E$1)</f>
        <v>149.19</v>
      </c>
      <c r="M281" s="1">
        <v>182.01</v>
      </c>
      <c r="N281" s="1">
        <v>149.19</v>
      </c>
      <c r="O281" s="1">
        <v>154.71</v>
      </c>
      <c r="P281" s="1">
        <v>126.81</v>
      </c>
      <c r="Q281">
        <v>9.9799999999999993E-3</v>
      </c>
      <c r="R281">
        <v>5.8499999999999999E-6</v>
      </c>
    </row>
    <row r="282" spans="1:18" ht="13.8" outlineLevel="2" x14ac:dyDescent="0.25">
      <c r="A282">
        <v>77800</v>
      </c>
      <c r="B282" t="s">
        <v>287</v>
      </c>
      <c r="C282" t="s">
        <v>319</v>
      </c>
      <c r="D282" s="14" t="s">
        <v>311</v>
      </c>
      <c r="E282" s="12" t="s">
        <v>28</v>
      </c>
      <c r="F282" s="13" t="s">
        <v>29</v>
      </c>
      <c r="G282">
        <v>100</v>
      </c>
      <c r="H282" t="s">
        <v>30</v>
      </c>
      <c r="I282">
        <v>100</v>
      </c>
      <c r="J282" s="15"/>
      <c r="K282" s="16">
        <f>229.57 - (229.57 * $E$1)</f>
        <v>229.57</v>
      </c>
      <c r="L282" s="16">
        <f>188.17 - (188.17 * $E$1)</f>
        <v>188.17</v>
      </c>
      <c r="M282" s="1">
        <v>229.57</v>
      </c>
      <c r="N282" s="1">
        <v>188.17</v>
      </c>
      <c r="O282" s="1">
        <v>195.13</v>
      </c>
      <c r="P282" s="1">
        <v>159.94</v>
      </c>
      <c r="Q282">
        <v>1.38E-2</v>
      </c>
      <c r="R282">
        <v>9.1800000000000002E-6</v>
      </c>
    </row>
    <row r="283" spans="1:18" ht="13.8" outlineLevel="2" x14ac:dyDescent="0.25">
      <c r="A283">
        <v>77801</v>
      </c>
      <c r="B283" t="s">
        <v>287</v>
      </c>
      <c r="C283" t="s">
        <v>320</v>
      </c>
      <c r="D283" s="14" t="s">
        <v>311</v>
      </c>
      <c r="E283" s="12" t="s">
        <v>28</v>
      </c>
      <c r="F283" s="13" t="s">
        <v>29</v>
      </c>
      <c r="G283">
        <v>100</v>
      </c>
      <c r="H283" t="s">
        <v>30</v>
      </c>
      <c r="I283">
        <v>100</v>
      </c>
      <c r="J283" s="15"/>
      <c r="K283" s="16">
        <f>229.57 - (229.57 * $E$1)</f>
        <v>229.57</v>
      </c>
      <c r="L283" s="16">
        <f>188.17 - (188.17 * $E$1)</f>
        <v>188.17</v>
      </c>
      <c r="M283" s="1">
        <v>229.57</v>
      </c>
      <c r="N283" s="1">
        <v>188.17</v>
      </c>
      <c r="O283" s="1">
        <v>195.13</v>
      </c>
      <c r="P283" s="1">
        <v>159.94</v>
      </c>
      <c r="Q283">
        <v>1.456E-2</v>
      </c>
      <c r="R283">
        <v>8.6400000000000003E-6</v>
      </c>
    </row>
    <row r="284" spans="1:18" ht="13.8" outlineLevel="2" x14ac:dyDescent="0.25">
      <c r="A284">
        <v>77802</v>
      </c>
      <c r="B284" t="s">
        <v>287</v>
      </c>
      <c r="C284" t="s">
        <v>321</v>
      </c>
      <c r="D284" s="14" t="s">
        <v>311</v>
      </c>
      <c r="E284" s="12" t="s">
        <v>28</v>
      </c>
      <c r="F284" s="13" t="s">
        <v>29</v>
      </c>
      <c r="G284">
        <v>50</v>
      </c>
      <c r="H284" t="s">
        <v>30</v>
      </c>
      <c r="I284">
        <v>50</v>
      </c>
      <c r="J284" s="15"/>
      <c r="K284" s="16">
        <f>278.73 - (278.73 * $E$1)</f>
        <v>278.73</v>
      </c>
      <c r="L284" s="16">
        <f>228.47 - (228.47 * $E$1)</f>
        <v>228.47</v>
      </c>
      <c r="M284" s="1">
        <v>278.73</v>
      </c>
      <c r="N284" s="1">
        <v>228.47</v>
      </c>
      <c r="O284" s="1">
        <v>236.92</v>
      </c>
      <c r="P284" s="1">
        <v>194.2</v>
      </c>
      <c r="Q284">
        <v>3.492E-2</v>
      </c>
      <c r="R284">
        <v>1.5760000000000002E-5</v>
      </c>
    </row>
    <row r="285" spans="1:18" ht="13.8" outlineLevel="2" x14ac:dyDescent="0.25">
      <c r="A285">
        <v>77803</v>
      </c>
      <c r="B285" t="s">
        <v>287</v>
      </c>
      <c r="C285" t="s">
        <v>322</v>
      </c>
      <c r="D285" s="14" t="s">
        <v>311</v>
      </c>
      <c r="E285" s="12" t="s">
        <v>28</v>
      </c>
      <c r="F285" s="13" t="s">
        <v>29</v>
      </c>
      <c r="G285">
        <v>50</v>
      </c>
      <c r="H285" t="s">
        <v>30</v>
      </c>
      <c r="I285">
        <v>50</v>
      </c>
      <c r="J285" s="15"/>
      <c r="K285" s="16">
        <f>278.73 - (278.73 * $E$1)</f>
        <v>278.73</v>
      </c>
      <c r="L285" s="16">
        <f>228.47 - (228.47 * $E$1)</f>
        <v>228.47</v>
      </c>
      <c r="M285" s="1">
        <v>278.73</v>
      </c>
      <c r="N285" s="1">
        <v>228.47</v>
      </c>
      <c r="O285" s="1">
        <v>236.92</v>
      </c>
      <c r="P285" s="1">
        <v>194.2</v>
      </c>
      <c r="Q285">
        <v>1.7999999999999999E-2</v>
      </c>
      <c r="R285">
        <v>1.6200000000000001E-5</v>
      </c>
    </row>
    <row r="286" spans="1:18" ht="13.8" outlineLevel="2" x14ac:dyDescent="0.25">
      <c r="A286">
        <v>77804</v>
      </c>
      <c r="B286" t="s">
        <v>287</v>
      </c>
      <c r="C286" t="s">
        <v>323</v>
      </c>
      <c r="D286" s="14" t="s">
        <v>311</v>
      </c>
      <c r="E286" s="12" t="s">
        <v>28</v>
      </c>
      <c r="F286" s="13" t="s">
        <v>29</v>
      </c>
      <c r="G286">
        <v>50</v>
      </c>
      <c r="H286" t="s">
        <v>30</v>
      </c>
      <c r="I286">
        <v>50</v>
      </c>
      <c r="J286" s="15"/>
      <c r="K286" s="16">
        <f>361.58 - (361.58 * $E$1)</f>
        <v>361.58</v>
      </c>
      <c r="L286" s="16">
        <f>296.38 - (296.38 * $E$1)</f>
        <v>296.38</v>
      </c>
      <c r="M286" s="1">
        <v>361.58</v>
      </c>
      <c r="N286" s="1">
        <v>296.38</v>
      </c>
      <c r="O286" s="1">
        <v>307.35000000000002</v>
      </c>
      <c r="P286" s="1">
        <v>251.92</v>
      </c>
      <c r="Q286">
        <v>2.504E-2</v>
      </c>
      <c r="R286">
        <v>2.0400000000000001E-5</v>
      </c>
    </row>
    <row r="287" spans="1:18" ht="13.8" outlineLevel="2" x14ac:dyDescent="0.25">
      <c r="A287">
        <v>77805</v>
      </c>
      <c r="B287" t="s">
        <v>287</v>
      </c>
      <c r="C287" t="s">
        <v>324</v>
      </c>
      <c r="D287" s="14" t="s">
        <v>311</v>
      </c>
      <c r="E287" s="12" t="s">
        <v>28</v>
      </c>
      <c r="F287" s="13" t="s">
        <v>29</v>
      </c>
      <c r="G287">
        <v>50</v>
      </c>
      <c r="H287" t="s">
        <v>30</v>
      </c>
      <c r="I287">
        <v>50</v>
      </c>
      <c r="J287" s="15"/>
      <c r="K287" s="16">
        <f>361.58 - (361.58 * $E$1)</f>
        <v>361.58</v>
      </c>
      <c r="L287" s="16">
        <f>296.38 - (296.38 * $E$1)</f>
        <v>296.38</v>
      </c>
      <c r="M287" s="1">
        <v>361.58</v>
      </c>
      <c r="N287" s="1">
        <v>296.38</v>
      </c>
      <c r="O287" s="1">
        <v>307.35000000000002</v>
      </c>
      <c r="P287" s="1">
        <v>251.92</v>
      </c>
      <c r="Q287">
        <v>2.5520000000000001E-2</v>
      </c>
      <c r="R287">
        <v>2.16E-5</v>
      </c>
    </row>
    <row r="288" spans="1:18" ht="13.8" outlineLevel="2" x14ac:dyDescent="0.25">
      <c r="A288">
        <v>77806</v>
      </c>
      <c r="B288" t="s">
        <v>287</v>
      </c>
      <c r="C288" t="s">
        <v>325</v>
      </c>
      <c r="D288" s="14" t="s">
        <v>311</v>
      </c>
      <c r="E288" s="12" t="s">
        <v>28</v>
      </c>
      <c r="F288" s="13" t="s">
        <v>29</v>
      </c>
      <c r="G288">
        <v>25</v>
      </c>
      <c r="H288" t="s">
        <v>30</v>
      </c>
      <c r="I288">
        <v>25</v>
      </c>
      <c r="J288" s="15"/>
      <c r="K288" s="16">
        <f>648.23 - (648.23 * $E$1)</f>
        <v>648.23</v>
      </c>
      <c r="L288" s="16">
        <f>531.34 - (531.34 * $E$1)</f>
        <v>531.34</v>
      </c>
      <c r="M288" s="1">
        <v>648.23</v>
      </c>
      <c r="N288" s="1">
        <v>531.34</v>
      </c>
      <c r="O288" s="1">
        <v>551</v>
      </c>
      <c r="P288" s="1">
        <v>451.64</v>
      </c>
      <c r="Q288">
        <v>4.5600000000000002E-2</v>
      </c>
      <c r="R288">
        <v>3.9919999999999997E-5</v>
      </c>
    </row>
    <row r="289" spans="1:18" ht="13.8" outlineLevel="2" x14ac:dyDescent="0.25">
      <c r="A289">
        <v>77807</v>
      </c>
      <c r="B289" t="s">
        <v>287</v>
      </c>
      <c r="C289" t="s">
        <v>326</v>
      </c>
      <c r="D289" s="14" t="s">
        <v>311</v>
      </c>
      <c r="E289" s="12" t="s">
        <v>28</v>
      </c>
      <c r="F289" s="13" t="s">
        <v>29</v>
      </c>
      <c r="G289">
        <v>25</v>
      </c>
      <c r="H289" t="s">
        <v>30</v>
      </c>
      <c r="I289">
        <v>25</v>
      </c>
      <c r="J289" s="15"/>
      <c r="K289" s="16">
        <f>648.23 - (648.23 * $E$1)</f>
        <v>648.23</v>
      </c>
      <c r="L289" s="16">
        <f>531.34 - (531.34 * $E$1)</f>
        <v>531.34</v>
      </c>
      <c r="M289" s="1">
        <v>648.23</v>
      </c>
      <c r="N289" s="1">
        <v>531.34</v>
      </c>
      <c r="O289" s="1">
        <v>551</v>
      </c>
      <c r="P289" s="1">
        <v>451.64</v>
      </c>
      <c r="Q289">
        <v>4.648E-2</v>
      </c>
      <c r="R289">
        <v>4.9679999999999999E-5</v>
      </c>
    </row>
    <row r="290" spans="1:18" ht="13.8" outlineLevel="2" x14ac:dyDescent="0.25">
      <c r="A290">
        <v>77808</v>
      </c>
      <c r="B290" t="s">
        <v>287</v>
      </c>
      <c r="C290" t="s">
        <v>327</v>
      </c>
      <c r="D290" s="14" t="s">
        <v>311</v>
      </c>
      <c r="E290" s="12" t="s">
        <v>28</v>
      </c>
      <c r="F290" s="13" t="s">
        <v>29</v>
      </c>
      <c r="G290">
        <v>10</v>
      </c>
      <c r="H290" t="s">
        <v>30</v>
      </c>
      <c r="I290">
        <v>10</v>
      </c>
      <c r="J290" s="15"/>
      <c r="K290" s="16">
        <f>875.8 - (875.8 * $E$1)</f>
        <v>875.8</v>
      </c>
      <c r="L290" s="16">
        <f>717.87 - (717.87 * $E$1)</f>
        <v>717.87</v>
      </c>
      <c r="M290" s="1">
        <v>875.8</v>
      </c>
      <c r="N290" s="1">
        <v>717.87</v>
      </c>
      <c r="O290" s="1">
        <v>744.43</v>
      </c>
      <c r="P290" s="1">
        <v>610.19000000000005</v>
      </c>
      <c r="Q290">
        <v>5.9799999999999999E-2</v>
      </c>
      <c r="R290">
        <v>6.3E-5</v>
      </c>
    </row>
    <row r="291" spans="1:18" ht="13.8" outlineLevel="2" x14ac:dyDescent="0.25">
      <c r="A291">
        <v>77810</v>
      </c>
      <c r="B291" t="s">
        <v>287</v>
      </c>
      <c r="C291" t="s">
        <v>328</v>
      </c>
      <c r="D291" s="14" t="s">
        <v>311</v>
      </c>
      <c r="E291" s="12" t="s">
        <v>28</v>
      </c>
      <c r="F291" s="13" t="s">
        <v>29</v>
      </c>
      <c r="G291">
        <v>10</v>
      </c>
      <c r="H291" t="s">
        <v>30</v>
      </c>
      <c r="I291">
        <v>10</v>
      </c>
      <c r="J291" s="15"/>
      <c r="K291" s="16">
        <f>1240.36 - (1240.36 * $E$1)</f>
        <v>1240.3599999999999</v>
      </c>
      <c r="L291" s="16">
        <f>1016.69 - (1016.69 * $E$1)</f>
        <v>1016.69</v>
      </c>
      <c r="M291" s="1">
        <v>1240.3599999999999</v>
      </c>
      <c r="N291" s="1">
        <v>1016.69</v>
      </c>
      <c r="O291" s="1">
        <v>1054.31</v>
      </c>
      <c r="P291" s="1">
        <v>864.19</v>
      </c>
      <c r="Q291">
        <v>7.1599999999999997E-2</v>
      </c>
      <c r="R291">
        <v>6.0399999999999998E-5</v>
      </c>
    </row>
    <row r="292" spans="1:18" ht="13.8" outlineLevel="2" x14ac:dyDescent="0.25">
      <c r="A292">
        <v>46839</v>
      </c>
      <c r="B292" t="s">
        <v>329</v>
      </c>
      <c r="C292" t="s">
        <v>330</v>
      </c>
      <c r="D292" s="14" t="s">
        <v>331</v>
      </c>
      <c r="E292" s="12" t="s">
        <v>28</v>
      </c>
      <c r="F292" s="13" t="s">
        <v>29</v>
      </c>
      <c r="G292">
        <v>100</v>
      </c>
      <c r="H292" t="s">
        <v>30</v>
      </c>
      <c r="I292">
        <v>100</v>
      </c>
      <c r="J292" s="15"/>
      <c r="K292" s="16">
        <f>17.98 - (17.98 * $E$1)</f>
        <v>17.98</v>
      </c>
      <c r="L292" s="16">
        <f>14.74 - (14.74 * $E$1)</f>
        <v>14.74</v>
      </c>
      <c r="M292" s="1">
        <v>17.98</v>
      </c>
      <c r="N292" s="1">
        <v>14.74</v>
      </c>
      <c r="O292" s="1">
        <v>15.29</v>
      </c>
      <c r="P292" s="1">
        <v>12.53</v>
      </c>
      <c r="Q292">
        <v>1.9E-3</v>
      </c>
      <c r="R292">
        <v>2.3999999999999998E-7</v>
      </c>
    </row>
    <row r="293" spans="1:18" ht="13.8" outlineLevel="2" x14ac:dyDescent="0.25">
      <c r="A293">
        <v>46043</v>
      </c>
      <c r="B293" t="s">
        <v>329</v>
      </c>
      <c r="C293" t="s">
        <v>332</v>
      </c>
      <c r="D293" s="14" t="s">
        <v>331</v>
      </c>
      <c r="E293" s="12" t="s">
        <v>28</v>
      </c>
      <c r="F293" s="13" t="s">
        <v>29</v>
      </c>
      <c r="G293">
        <v>100</v>
      </c>
      <c r="H293" t="s">
        <v>30</v>
      </c>
      <c r="I293">
        <v>100</v>
      </c>
      <c r="J293" s="15"/>
      <c r="K293" s="16">
        <f>17.46 - (17.46 * $E$1)</f>
        <v>17.46</v>
      </c>
      <c r="L293" s="16">
        <f>14.31 - (14.31 * $E$1)</f>
        <v>14.31</v>
      </c>
      <c r="M293" s="1">
        <v>17.46</v>
      </c>
      <c r="N293" s="1">
        <v>14.31</v>
      </c>
      <c r="O293" s="1">
        <v>14.84</v>
      </c>
      <c r="P293" s="1">
        <v>12.16</v>
      </c>
      <c r="Q293">
        <v>1.6999999999999999E-3</v>
      </c>
      <c r="R293">
        <v>3.5999999999999999E-7</v>
      </c>
    </row>
    <row r="294" spans="1:18" ht="13.8" outlineLevel="2" x14ac:dyDescent="0.25">
      <c r="A294">
        <v>45286</v>
      </c>
      <c r="B294" t="s">
        <v>329</v>
      </c>
      <c r="C294" t="s">
        <v>333</v>
      </c>
      <c r="D294" s="14" t="s">
        <v>331</v>
      </c>
      <c r="E294" s="12" t="s">
        <v>28</v>
      </c>
      <c r="F294" s="13" t="s">
        <v>29</v>
      </c>
      <c r="G294">
        <v>100</v>
      </c>
      <c r="H294" t="s">
        <v>30</v>
      </c>
      <c r="I294">
        <v>100</v>
      </c>
      <c r="J294" s="15"/>
      <c r="K294" s="16">
        <f>26.45 - (26.45 * $E$1)</f>
        <v>26.45</v>
      </c>
      <c r="L294" s="16">
        <f>21.68 - (21.68 * $E$1)</f>
        <v>21.68</v>
      </c>
      <c r="M294" s="1">
        <v>26.45</v>
      </c>
      <c r="N294" s="1">
        <v>21.68</v>
      </c>
      <c r="O294" s="1">
        <v>22.48</v>
      </c>
      <c r="P294" s="1">
        <v>18.43</v>
      </c>
      <c r="Q294">
        <v>3.3999999999999998E-3</v>
      </c>
      <c r="R294">
        <v>2.3999999999999999E-6</v>
      </c>
    </row>
    <row r="295" spans="1:18" ht="13.8" outlineLevel="2" x14ac:dyDescent="0.25">
      <c r="A295">
        <v>41836</v>
      </c>
      <c r="B295" t="s">
        <v>329</v>
      </c>
      <c r="C295" t="s">
        <v>334</v>
      </c>
      <c r="D295" s="14" t="s">
        <v>331</v>
      </c>
      <c r="E295" s="12" t="s">
        <v>28</v>
      </c>
      <c r="F295" s="13" t="s">
        <v>29</v>
      </c>
      <c r="G295">
        <v>100</v>
      </c>
      <c r="H295" t="s">
        <v>30</v>
      </c>
      <c r="I295">
        <v>100</v>
      </c>
      <c r="J295" s="15"/>
      <c r="K295" s="16">
        <f>52.09 - (52.09 * $E$1)</f>
        <v>52.09</v>
      </c>
      <c r="L295" s="16">
        <f>42.7 - (42.7 * $E$1)</f>
        <v>42.7</v>
      </c>
      <c r="M295" s="1">
        <v>52.09</v>
      </c>
      <c r="N295" s="1">
        <v>42.7</v>
      </c>
      <c r="O295" s="1">
        <v>44.28</v>
      </c>
      <c r="P295" s="1">
        <v>36.299999999999997</v>
      </c>
      <c r="Q295">
        <v>7.1000000000000004E-3</v>
      </c>
      <c r="R295">
        <v>5.8799999999999996E-6</v>
      </c>
    </row>
    <row r="296" spans="1:18" ht="13.8" outlineLevel="2" x14ac:dyDescent="0.25">
      <c r="A296">
        <v>41632</v>
      </c>
      <c r="B296" t="s">
        <v>329</v>
      </c>
      <c r="C296" t="s">
        <v>335</v>
      </c>
      <c r="D296" s="14" t="s">
        <v>331</v>
      </c>
      <c r="E296" s="12" t="s">
        <v>28</v>
      </c>
      <c r="F296" s="13" t="s">
        <v>29</v>
      </c>
      <c r="G296">
        <v>100</v>
      </c>
      <c r="H296" t="s">
        <v>30</v>
      </c>
      <c r="I296">
        <v>100</v>
      </c>
      <c r="J296" s="15"/>
      <c r="K296" s="16">
        <f>60 - (60 * $E$1)</f>
        <v>60</v>
      </c>
      <c r="L296" s="16">
        <f>49.18 - (49.18 * $E$1)</f>
        <v>49.18</v>
      </c>
      <c r="M296" s="1">
        <v>60</v>
      </c>
      <c r="N296" s="1">
        <v>49.18</v>
      </c>
      <c r="O296" s="1">
        <v>51</v>
      </c>
      <c r="P296" s="1">
        <v>41.8</v>
      </c>
      <c r="Q296">
        <v>8.2000000000000007E-3</v>
      </c>
      <c r="R296">
        <v>5.0699999999999997E-6</v>
      </c>
    </row>
    <row r="297" spans="1:18" ht="13.8" outlineLevel="2" x14ac:dyDescent="0.25">
      <c r="A297">
        <v>41834</v>
      </c>
      <c r="B297" t="s">
        <v>329</v>
      </c>
      <c r="C297" t="s">
        <v>336</v>
      </c>
      <c r="D297" s="14" t="s">
        <v>331</v>
      </c>
      <c r="E297" s="12" t="s">
        <v>28</v>
      </c>
      <c r="F297" s="13" t="s">
        <v>29</v>
      </c>
      <c r="G297">
        <v>100</v>
      </c>
      <c r="H297" t="s">
        <v>30</v>
      </c>
      <c r="I297">
        <v>100</v>
      </c>
      <c r="J297" s="15"/>
      <c r="K297" s="16">
        <f>85.75 - (85.75 * $E$1)</f>
        <v>85.75</v>
      </c>
      <c r="L297" s="16">
        <f>70.29 - (70.29 * $E$1)</f>
        <v>70.290000000000006</v>
      </c>
      <c r="M297" s="1">
        <v>85.75</v>
      </c>
      <c r="N297" s="1">
        <v>70.290000000000006</v>
      </c>
      <c r="O297" s="1">
        <v>72.89</v>
      </c>
      <c r="P297" s="1">
        <v>59.75</v>
      </c>
      <c r="Q297">
        <v>1.15E-2</v>
      </c>
      <c r="R297">
        <v>8.8599999999999999E-6</v>
      </c>
    </row>
    <row r="298" spans="1:18" ht="13.8" outlineLevel="2" x14ac:dyDescent="0.25">
      <c r="A298">
        <v>86989</v>
      </c>
      <c r="B298" t="s">
        <v>329</v>
      </c>
      <c r="C298" t="s">
        <v>337</v>
      </c>
      <c r="D298" s="14" t="s">
        <v>331</v>
      </c>
      <c r="E298" s="12" t="s">
        <v>28</v>
      </c>
      <c r="F298" s="13" t="s">
        <v>29</v>
      </c>
      <c r="G298">
        <v>100</v>
      </c>
      <c r="H298" t="s">
        <v>30</v>
      </c>
      <c r="I298">
        <v>100</v>
      </c>
      <c r="J298" s="15"/>
      <c r="K298" s="16">
        <f>100.17 - (100.17 * $E$1)</f>
        <v>100.17</v>
      </c>
      <c r="L298" s="16">
        <f>82.11 - (82.11 * $E$1)</f>
        <v>82.11</v>
      </c>
      <c r="M298" s="1">
        <v>100.17</v>
      </c>
      <c r="N298" s="1">
        <v>82.11</v>
      </c>
      <c r="O298" s="1">
        <v>85.15</v>
      </c>
      <c r="P298" s="1">
        <v>69.790000000000006</v>
      </c>
      <c r="Q298">
        <v>1.388E-2</v>
      </c>
      <c r="R298">
        <v>8.8599999999999999E-6</v>
      </c>
    </row>
    <row r="299" spans="1:18" ht="13.8" outlineLevel="2" x14ac:dyDescent="0.25">
      <c r="A299">
        <v>41833</v>
      </c>
      <c r="B299" t="s">
        <v>329</v>
      </c>
      <c r="C299" t="s">
        <v>338</v>
      </c>
      <c r="D299" s="14" t="s">
        <v>331</v>
      </c>
      <c r="E299" s="12" t="s">
        <v>28</v>
      </c>
      <c r="F299" s="13" t="s">
        <v>29</v>
      </c>
      <c r="G299">
        <v>100</v>
      </c>
      <c r="H299" t="s">
        <v>30</v>
      </c>
      <c r="I299">
        <v>100</v>
      </c>
      <c r="J299" s="15"/>
      <c r="K299" s="16">
        <f>135.09 - (135.09 * $E$1)</f>
        <v>135.09</v>
      </c>
      <c r="L299" s="16">
        <f>110.73 - (110.73 * $E$1)</f>
        <v>110.73</v>
      </c>
      <c r="M299" s="1">
        <v>135.09</v>
      </c>
      <c r="N299" s="1">
        <v>110.73</v>
      </c>
      <c r="O299" s="1">
        <v>114.83</v>
      </c>
      <c r="P299" s="1">
        <v>94.12</v>
      </c>
      <c r="Q299">
        <v>1.8700000000000001E-2</v>
      </c>
      <c r="R299">
        <v>1.5119999999999999E-5</v>
      </c>
    </row>
    <row r="300" spans="1:18" ht="13.8" outlineLevel="2" x14ac:dyDescent="0.25">
      <c r="A300">
        <v>41634</v>
      </c>
      <c r="B300" t="s">
        <v>329</v>
      </c>
      <c r="C300" t="s">
        <v>339</v>
      </c>
      <c r="D300" s="14" t="s">
        <v>331</v>
      </c>
      <c r="E300" s="12" t="s">
        <v>28</v>
      </c>
      <c r="F300" s="13" t="s">
        <v>29</v>
      </c>
      <c r="G300">
        <v>100</v>
      </c>
      <c r="H300" t="s">
        <v>30</v>
      </c>
      <c r="I300">
        <v>100</v>
      </c>
      <c r="J300" s="15"/>
      <c r="K300" s="16">
        <f>163.72 - (163.72 * $E$1)</f>
        <v>163.72</v>
      </c>
      <c r="L300" s="16">
        <f>134.2 - (134.2 * $E$1)</f>
        <v>134.19999999999999</v>
      </c>
      <c r="M300" s="1">
        <v>163.72</v>
      </c>
      <c r="N300" s="1">
        <v>134.19999999999999</v>
      </c>
      <c r="O300" s="1">
        <v>139.16999999999999</v>
      </c>
      <c r="P300" s="1">
        <v>114.07</v>
      </c>
      <c r="Q300">
        <v>2.3E-2</v>
      </c>
      <c r="R300">
        <v>2.0400000000000001E-5</v>
      </c>
    </row>
    <row r="301" spans="1:18" ht="13.8" outlineLevel="2" x14ac:dyDescent="0.25">
      <c r="A301">
        <v>41635</v>
      </c>
      <c r="B301" t="s">
        <v>329</v>
      </c>
      <c r="C301" t="s">
        <v>340</v>
      </c>
      <c r="D301" s="14" t="s">
        <v>331</v>
      </c>
      <c r="E301" s="12" t="s">
        <v>28</v>
      </c>
      <c r="F301" s="13" t="s">
        <v>29</v>
      </c>
      <c r="G301">
        <v>50</v>
      </c>
      <c r="H301" t="s">
        <v>30</v>
      </c>
      <c r="I301">
        <v>50</v>
      </c>
      <c r="J301" s="15"/>
      <c r="K301" s="16">
        <f>201.75 - (201.75 * $E$1)</f>
        <v>201.75</v>
      </c>
      <c r="L301" s="16">
        <f>165.37 - (165.37 * $E$1)</f>
        <v>165.37</v>
      </c>
      <c r="M301" s="1">
        <v>201.75</v>
      </c>
      <c r="N301" s="1">
        <v>165.37</v>
      </c>
      <c r="O301" s="1">
        <v>171.49</v>
      </c>
      <c r="P301" s="1">
        <v>140.56</v>
      </c>
      <c r="Q301">
        <v>2.98E-2</v>
      </c>
      <c r="R301">
        <v>2.1840000000000001E-5</v>
      </c>
    </row>
    <row r="302" spans="1:18" ht="13.8" outlineLevel="2" x14ac:dyDescent="0.25">
      <c r="A302">
        <v>41636</v>
      </c>
      <c r="B302" t="s">
        <v>329</v>
      </c>
      <c r="C302" t="s">
        <v>341</v>
      </c>
      <c r="D302" s="14" t="s">
        <v>331</v>
      </c>
      <c r="E302" s="12" t="s">
        <v>28</v>
      </c>
      <c r="F302" s="13" t="s">
        <v>29</v>
      </c>
      <c r="G302">
        <v>25</v>
      </c>
      <c r="H302" t="s">
        <v>30</v>
      </c>
      <c r="I302">
        <v>25</v>
      </c>
      <c r="J302" s="15"/>
      <c r="K302" s="16">
        <f>350.08 - (350.08 * $E$1)</f>
        <v>350.08</v>
      </c>
      <c r="L302" s="16">
        <f>286.95 - (286.95 * $E$1)</f>
        <v>286.95</v>
      </c>
      <c r="M302" s="1">
        <v>350.08</v>
      </c>
      <c r="N302" s="1">
        <v>286.95</v>
      </c>
      <c r="O302" s="1">
        <v>297.57</v>
      </c>
      <c r="P302" s="1">
        <v>243.91</v>
      </c>
      <c r="Q302">
        <v>5.7599999999999998E-2</v>
      </c>
      <c r="R302">
        <v>4.7039999999999997E-5</v>
      </c>
    </row>
    <row r="303" spans="1:18" ht="13.8" outlineLevel="2" x14ac:dyDescent="0.25">
      <c r="A303">
        <v>41637</v>
      </c>
      <c r="B303" t="s">
        <v>329</v>
      </c>
      <c r="C303" t="s">
        <v>342</v>
      </c>
      <c r="D303" s="14" t="s">
        <v>331</v>
      </c>
      <c r="E303" s="12" t="s">
        <v>28</v>
      </c>
      <c r="F303" s="13" t="s">
        <v>29</v>
      </c>
      <c r="G303">
        <v>25</v>
      </c>
      <c r="H303" t="s">
        <v>30</v>
      </c>
      <c r="I303">
        <v>25</v>
      </c>
      <c r="J303" s="15"/>
      <c r="K303" s="16">
        <f>502.95 - (502.95 * $E$1)</f>
        <v>502.95</v>
      </c>
      <c r="L303" s="16">
        <f>412.25 - (412.25 * $E$1)</f>
        <v>412.25</v>
      </c>
      <c r="M303" s="1">
        <v>502.95</v>
      </c>
      <c r="N303" s="1">
        <v>412.25</v>
      </c>
      <c r="O303" s="1">
        <v>427.5</v>
      </c>
      <c r="P303" s="1">
        <v>350.41</v>
      </c>
      <c r="Q303">
        <v>7.9200000000000007E-2</v>
      </c>
      <c r="R303">
        <v>7.0560000000000002E-5</v>
      </c>
    </row>
    <row r="304" spans="1:18" ht="13.8" outlineLevel="2" x14ac:dyDescent="0.25">
      <c r="A304">
        <v>41638</v>
      </c>
      <c r="B304" t="s">
        <v>329</v>
      </c>
      <c r="C304" t="s">
        <v>343</v>
      </c>
      <c r="D304" s="14" t="s">
        <v>331</v>
      </c>
      <c r="E304" s="12" t="s">
        <v>28</v>
      </c>
      <c r="F304" s="13" t="s">
        <v>29</v>
      </c>
      <c r="G304">
        <v>25</v>
      </c>
      <c r="H304" t="s">
        <v>30</v>
      </c>
      <c r="I304">
        <v>25</v>
      </c>
      <c r="J304" s="15"/>
      <c r="K304" s="16">
        <f>663.46 - (663.46 * $E$1)</f>
        <v>663.46</v>
      </c>
      <c r="L304" s="16">
        <f>543.82 - (543.82 * $E$1)</f>
        <v>543.82000000000005</v>
      </c>
      <c r="M304" s="1">
        <v>663.46</v>
      </c>
      <c r="N304" s="1">
        <v>543.82000000000005</v>
      </c>
      <c r="O304" s="1">
        <v>563.94000000000005</v>
      </c>
      <c r="P304" s="1">
        <v>462.25</v>
      </c>
      <c r="Q304">
        <v>0.108</v>
      </c>
      <c r="R304">
        <v>5.2800000000000003E-5</v>
      </c>
    </row>
    <row r="305" spans="1:18" ht="13.8" outlineLevel="2" x14ac:dyDescent="0.25">
      <c r="A305">
        <v>41639</v>
      </c>
      <c r="B305" t="s">
        <v>329</v>
      </c>
      <c r="C305" t="s">
        <v>344</v>
      </c>
      <c r="D305" s="14" t="s">
        <v>331</v>
      </c>
      <c r="E305" s="12" t="s">
        <v>28</v>
      </c>
      <c r="F305" s="13" t="s">
        <v>29</v>
      </c>
      <c r="G305">
        <v>25</v>
      </c>
      <c r="H305" t="s">
        <v>30</v>
      </c>
      <c r="I305">
        <v>25</v>
      </c>
      <c r="J305" s="15"/>
      <c r="K305" s="16">
        <f>788.93 - (788.93 * $E$1)</f>
        <v>788.93</v>
      </c>
      <c r="L305" s="16">
        <f>646.66 - (646.66 * $E$1)</f>
        <v>646.66</v>
      </c>
      <c r="M305" s="1">
        <v>788.93</v>
      </c>
      <c r="N305" s="1">
        <v>646.66</v>
      </c>
      <c r="O305" s="1">
        <v>670.59</v>
      </c>
      <c r="P305" s="1">
        <v>549.66</v>
      </c>
      <c r="Q305">
        <v>0.11840000000000001</v>
      </c>
      <c r="R305">
        <v>8.064E-5</v>
      </c>
    </row>
    <row r="306" spans="1:18" ht="13.8" outlineLevel="2" x14ac:dyDescent="0.25">
      <c r="A306">
        <v>41640</v>
      </c>
      <c r="B306" t="s">
        <v>329</v>
      </c>
      <c r="C306" t="s">
        <v>345</v>
      </c>
      <c r="D306" s="14" t="s">
        <v>331</v>
      </c>
      <c r="E306" s="12" t="s">
        <v>28</v>
      </c>
      <c r="F306" s="13" t="s">
        <v>29</v>
      </c>
      <c r="G306">
        <v>10</v>
      </c>
      <c r="H306" t="s">
        <v>30</v>
      </c>
      <c r="I306">
        <v>10</v>
      </c>
      <c r="J306" s="15"/>
      <c r="K306" s="16">
        <f>1258.47 - (1258.47 * $E$1)</f>
        <v>1258.47</v>
      </c>
      <c r="L306" s="16">
        <f>1031.53 - (1031.53 * $E$1)</f>
        <v>1031.53</v>
      </c>
      <c r="M306" s="1">
        <v>1258.47</v>
      </c>
      <c r="N306" s="1">
        <v>1031.53</v>
      </c>
      <c r="O306" s="1">
        <v>1069.7</v>
      </c>
      <c r="P306" s="1">
        <v>876.8</v>
      </c>
      <c r="Q306">
        <v>0.20799999999999999</v>
      </c>
      <c r="R306">
        <v>7.5900000000000002E-5</v>
      </c>
    </row>
    <row r="307" spans="1:18" ht="13.8" outlineLevel="2" x14ac:dyDescent="0.25">
      <c r="A307">
        <v>62001</v>
      </c>
      <c r="B307" t="s">
        <v>329</v>
      </c>
      <c r="C307" t="s">
        <v>346</v>
      </c>
      <c r="D307" s="14" t="s">
        <v>347</v>
      </c>
      <c r="E307" s="12" t="s">
        <v>28</v>
      </c>
      <c r="F307" s="13" t="s">
        <v>29</v>
      </c>
      <c r="G307">
        <v>100</v>
      </c>
      <c r="H307" t="s">
        <v>30</v>
      </c>
      <c r="I307">
        <v>100</v>
      </c>
      <c r="J307" s="15"/>
      <c r="K307" s="16">
        <f>19.92 - (19.92 * $E$1)</f>
        <v>19.920000000000002</v>
      </c>
      <c r="L307" s="16">
        <f>16.33 - (16.33 * $E$1)</f>
        <v>16.329999999999998</v>
      </c>
      <c r="M307" s="1">
        <v>19.920000000000002</v>
      </c>
      <c r="N307" s="1">
        <v>16.329999999999998</v>
      </c>
      <c r="O307" s="1">
        <v>16.93</v>
      </c>
      <c r="P307" s="1">
        <v>13.88</v>
      </c>
      <c r="Q307">
        <v>8.0000000000000004E-4</v>
      </c>
      <c r="R307">
        <v>1.5E-6</v>
      </c>
    </row>
    <row r="308" spans="1:18" ht="13.8" outlineLevel="2" x14ac:dyDescent="0.25">
      <c r="A308">
        <v>41163</v>
      </c>
      <c r="B308" t="s">
        <v>329</v>
      </c>
      <c r="C308" t="s">
        <v>348</v>
      </c>
      <c r="D308" s="14" t="s">
        <v>347</v>
      </c>
      <c r="E308" s="12" t="s">
        <v>28</v>
      </c>
      <c r="F308" s="13" t="s">
        <v>29</v>
      </c>
      <c r="G308">
        <v>100</v>
      </c>
      <c r="H308" t="s">
        <v>30</v>
      </c>
      <c r="I308">
        <v>100</v>
      </c>
      <c r="J308" s="15"/>
      <c r="K308" s="16">
        <f>19.92 - (19.92 * $E$1)</f>
        <v>19.920000000000002</v>
      </c>
      <c r="L308" s="16">
        <f>16.33 - (16.33 * $E$1)</f>
        <v>16.329999999999998</v>
      </c>
      <c r="M308" s="1">
        <v>19.920000000000002</v>
      </c>
      <c r="N308" s="1">
        <v>16.329999999999998</v>
      </c>
      <c r="O308" s="1">
        <v>16.93</v>
      </c>
      <c r="P308" s="1">
        <v>13.88</v>
      </c>
      <c r="Q308">
        <v>1.9400000000000001E-3</v>
      </c>
      <c r="R308">
        <v>2.3999999999999998E-7</v>
      </c>
    </row>
    <row r="309" spans="1:18" ht="13.8" outlineLevel="2" x14ac:dyDescent="0.25">
      <c r="A309">
        <v>41164</v>
      </c>
      <c r="B309" t="s">
        <v>329</v>
      </c>
      <c r="C309" t="s">
        <v>349</v>
      </c>
      <c r="D309" s="14" t="s">
        <v>347</v>
      </c>
      <c r="E309" s="12" t="s">
        <v>28</v>
      </c>
      <c r="F309" s="13" t="s">
        <v>29</v>
      </c>
      <c r="G309">
        <v>100</v>
      </c>
      <c r="H309" t="s">
        <v>30</v>
      </c>
      <c r="I309">
        <v>100</v>
      </c>
      <c r="J309" s="15"/>
      <c r="K309" s="16">
        <f>19.39 - (19.39 * $E$1)</f>
        <v>19.39</v>
      </c>
      <c r="L309" s="16">
        <f>15.89 - (15.89 * $E$1)</f>
        <v>15.89</v>
      </c>
      <c r="M309" s="1">
        <v>19.39</v>
      </c>
      <c r="N309" s="1">
        <v>15.89</v>
      </c>
      <c r="O309" s="1">
        <v>16.48</v>
      </c>
      <c r="P309" s="1">
        <v>13.51</v>
      </c>
      <c r="Q309">
        <v>1.6800000000000001E-3</v>
      </c>
      <c r="R309">
        <v>3.5999999999999999E-7</v>
      </c>
    </row>
    <row r="310" spans="1:18" ht="13.8" outlineLevel="2" x14ac:dyDescent="0.25">
      <c r="A310">
        <v>41301</v>
      </c>
      <c r="B310" t="s">
        <v>329</v>
      </c>
      <c r="C310" t="s">
        <v>350</v>
      </c>
      <c r="D310" s="14" t="s">
        <v>347</v>
      </c>
      <c r="E310" s="12" t="s">
        <v>28</v>
      </c>
      <c r="F310" s="13" t="s">
        <v>29</v>
      </c>
      <c r="G310">
        <v>100</v>
      </c>
      <c r="H310" t="s">
        <v>30</v>
      </c>
      <c r="I310">
        <v>100</v>
      </c>
      <c r="J310" s="15"/>
      <c r="K310" s="16">
        <f>29.29 - (29.29 * $E$1)</f>
        <v>29.29</v>
      </c>
      <c r="L310" s="16">
        <f>24.01 - (24.01 * $E$1)</f>
        <v>24.01</v>
      </c>
      <c r="M310" s="1">
        <v>29.29</v>
      </c>
      <c r="N310" s="1">
        <v>24.01</v>
      </c>
      <c r="O310" s="1">
        <v>24.9</v>
      </c>
      <c r="P310" s="1">
        <v>20.41</v>
      </c>
      <c r="Q310">
        <v>3.3999999999999998E-3</v>
      </c>
      <c r="R310">
        <v>2.3999999999999999E-6</v>
      </c>
    </row>
    <row r="311" spans="1:18" ht="13.8" outlineLevel="2" x14ac:dyDescent="0.25">
      <c r="A311">
        <v>41302</v>
      </c>
      <c r="B311" t="s">
        <v>329</v>
      </c>
      <c r="C311" t="s">
        <v>351</v>
      </c>
      <c r="D311" s="14" t="s">
        <v>347</v>
      </c>
      <c r="E311" s="12" t="s">
        <v>28</v>
      </c>
      <c r="F311" s="13" t="s">
        <v>29</v>
      </c>
      <c r="G311">
        <v>100</v>
      </c>
      <c r="H311" t="s">
        <v>30</v>
      </c>
      <c r="I311">
        <v>100</v>
      </c>
      <c r="J311" s="15"/>
      <c r="K311" s="16">
        <f>57.82 - (57.82 * $E$1)</f>
        <v>57.82</v>
      </c>
      <c r="L311" s="16">
        <f>47.39 - (47.39 * $E$1)</f>
        <v>47.39</v>
      </c>
      <c r="M311" s="1">
        <v>57.82</v>
      </c>
      <c r="N311" s="1">
        <v>47.39</v>
      </c>
      <c r="O311" s="1">
        <v>49.14</v>
      </c>
      <c r="P311" s="1">
        <v>40.28</v>
      </c>
      <c r="Q311">
        <v>6.4000000000000003E-3</v>
      </c>
      <c r="R311">
        <v>5.8799999999999996E-6</v>
      </c>
    </row>
    <row r="312" spans="1:18" ht="13.8" outlineLevel="2" x14ac:dyDescent="0.25">
      <c r="A312">
        <v>41303</v>
      </c>
      <c r="B312" t="s">
        <v>329</v>
      </c>
      <c r="C312" t="s">
        <v>352</v>
      </c>
      <c r="D312" s="14" t="s">
        <v>347</v>
      </c>
      <c r="E312" s="12" t="s">
        <v>28</v>
      </c>
      <c r="F312" s="13" t="s">
        <v>29</v>
      </c>
      <c r="G312">
        <v>100</v>
      </c>
      <c r="H312" t="s">
        <v>30</v>
      </c>
      <c r="I312">
        <v>100</v>
      </c>
      <c r="J312" s="15"/>
      <c r="K312" s="16">
        <f>66.58 - (66.58 * $E$1)</f>
        <v>66.58</v>
      </c>
      <c r="L312" s="16">
        <f>54.57 - (54.57 * $E$1)</f>
        <v>54.57</v>
      </c>
      <c r="M312" s="1">
        <v>66.58</v>
      </c>
      <c r="N312" s="1">
        <v>54.57</v>
      </c>
      <c r="O312" s="1">
        <v>56.59</v>
      </c>
      <c r="P312" s="1">
        <v>46.38</v>
      </c>
      <c r="Q312">
        <v>8.2000000000000007E-3</v>
      </c>
      <c r="R312">
        <v>5.0699999999999997E-6</v>
      </c>
    </row>
    <row r="313" spans="1:18" ht="13.8" outlineLevel="2" x14ac:dyDescent="0.25">
      <c r="A313">
        <v>86988</v>
      </c>
      <c r="B313" t="s">
        <v>329</v>
      </c>
      <c r="C313" t="s">
        <v>353</v>
      </c>
      <c r="D313" s="14" t="s">
        <v>347</v>
      </c>
      <c r="E313" s="12" t="s">
        <v>28</v>
      </c>
      <c r="F313" s="13" t="s">
        <v>29</v>
      </c>
      <c r="G313">
        <v>100</v>
      </c>
      <c r="H313" t="s">
        <v>30</v>
      </c>
      <c r="I313">
        <v>100</v>
      </c>
      <c r="J313" s="15"/>
      <c r="K313" s="16">
        <f>95.14 - (95.14 * $E$1)</f>
        <v>95.14</v>
      </c>
      <c r="L313" s="16">
        <f>77.98 - (77.98 * $E$1)</f>
        <v>77.98</v>
      </c>
      <c r="M313" s="1">
        <v>95.14</v>
      </c>
      <c r="N313" s="1">
        <v>77.98</v>
      </c>
      <c r="O313" s="1">
        <v>80.87</v>
      </c>
      <c r="P313" s="1">
        <v>66.28</v>
      </c>
      <c r="Q313">
        <v>1.15E-2</v>
      </c>
      <c r="R313">
        <v>8.8599999999999999E-6</v>
      </c>
    </row>
    <row r="314" spans="1:18" ht="13.8" outlineLevel="2" x14ac:dyDescent="0.25">
      <c r="A314">
        <v>41304</v>
      </c>
      <c r="B314" t="s">
        <v>329</v>
      </c>
      <c r="C314" t="s">
        <v>354</v>
      </c>
      <c r="D314" s="14" t="s">
        <v>347</v>
      </c>
      <c r="E314" s="12" t="s">
        <v>28</v>
      </c>
      <c r="F314" s="13" t="s">
        <v>29</v>
      </c>
      <c r="G314">
        <v>100</v>
      </c>
      <c r="H314" t="s">
        <v>30</v>
      </c>
      <c r="I314">
        <v>100</v>
      </c>
      <c r="J314" s="15"/>
      <c r="K314" s="16">
        <f>111.15 - (111.15 * $E$1)</f>
        <v>111.15</v>
      </c>
      <c r="L314" s="16">
        <f>91.11 - (91.11 * $E$1)</f>
        <v>91.11</v>
      </c>
      <c r="M314" s="1">
        <v>111.15</v>
      </c>
      <c r="N314" s="1">
        <v>91.11</v>
      </c>
      <c r="O314" s="1">
        <v>94.48</v>
      </c>
      <c r="P314" s="1">
        <v>77.44</v>
      </c>
      <c r="Q314">
        <v>1.4E-2</v>
      </c>
      <c r="R314">
        <v>1.08E-5</v>
      </c>
    </row>
    <row r="315" spans="1:18" ht="13.8" outlineLevel="2" x14ac:dyDescent="0.25">
      <c r="A315">
        <v>41175</v>
      </c>
      <c r="B315" t="s">
        <v>329</v>
      </c>
      <c r="C315" t="s">
        <v>355</v>
      </c>
      <c r="D315" s="14" t="s">
        <v>347</v>
      </c>
      <c r="E315" s="12" t="s">
        <v>28</v>
      </c>
      <c r="F315" s="13" t="s">
        <v>29</v>
      </c>
      <c r="G315">
        <v>100</v>
      </c>
      <c r="H315" t="s">
        <v>30</v>
      </c>
      <c r="I315">
        <v>100</v>
      </c>
      <c r="J315" s="15"/>
      <c r="K315" s="16">
        <f>149.86 - (149.86 * $E$1)</f>
        <v>149.86000000000001</v>
      </c>
      <c r="L315" s="16">
        <f>122.84 - (122.84 * $E$1)</f>
        <v>122.84</v>
      </c>
      <c r="M315" s="1">
        <v>149.86000000000001</v>
      </c>
      <c r="N315" s="1">
        <v>122.84</v>
      </c>
      <c r="O315" s="1">
        <v>127.39</v>
      </c>
      <c r="P315" s="1">
        <v>104.41</v>
      </c>
      <c r="Q315">
        <v>1.8700000000000001E-2</v>
      </c>
      <c r="R315">
        <v>1.5119999999999999E-5</v>
      </c>
    </row>
    <row r="316" spans="1:18" ht="13.8" outlineLevel="2" x14ac:dyDescent="0.25">
      <c r="A316">
        <v>92332</v>
      </c>
      <c r="B316" t="s">
        <v>356</v>
      </c>
      <c r="C316" t="s">
        <v>357</v>
      </c>
      <c r="D316" s="14" t="s">
        <v>347</v>
      </c>
      <c r="E316" s="12" t="s">
        <v>28</v>
      </c>
      <c r="F316" s="13" t="s">
        <v>29</v>
      </c>
      <c r="G316">
        <v>100</v>
      </c>
      <c r="H316" t="s">
        <v>30</v>
      </c>
      <c r="I316">
        <v>100</v>
      </c>
      <c r="J316" s="15"/>
      <c r="K316" s="16">
        <f>169.67 - (169.67 * $E$1)</f>
        <v>169.67</v>
      </c>
      <c r="L316" s="16">
        <f>139.07 - (139.07 * $E$1)</f>
        <v>139.07</v>
      </c>
      <c r="M316" s="1">
        <v>169.67</v>
      </c>
      <c r="N316" s="1">
        <v>139.07</v>
      </c>
      <c r="O316" s="1">
        <v>144.22</v>
      </c>
      <c r="P316" s="1">
        <v>118.21</v>
      </c>
      <c r="Q316">
        <v>2.0999999999999999E-3</v>
      </c>
      <c r="R316">
        <v>1.26E-5</v>
      </c>
    </row>
    <row r="317" spans="1:18" ht="13.8" outlineLevel="2" x14ac:dyDescent="0.25">
      <c r="A317">
        <v>41305</v>
      </c>
      <c r="B317" t="s">
        <v>329</v>
      </c>
      <c r="C317" t="s">
        <v>358</v>
      </c>
      <c r="D317" s="14" t="s">
        <v>347</v>
      </c>
      <c r="E317" s="12" t="s">
        <v>28</v>
      </c>
      <c r="F317" s="13" t="s">
        <v>29</v>
      </c>
      <c r="G317">
        <v>100</v>
      </c>
      <c r="H317" t="s">
        <v>30</v>
      </c>
      <c r="I317">
        <v>100</v>
      </c>
      <c r="J317" s="15"/>
      <c r="K317" s="16">
        <f>181.68 - (181.68 * $E$1)</f>
        <v>181.68</v>
      </c>
      <c r="L317" s="16">
        <f>148.92 - (148.92 * $E$1)</f>
        <v>148.91999999999999</v>
      </c>
      <c r="M317" s="1">
        <v>181.68</v>
      </c>
      <c r="N317" s="1">
        <v>148.91999999999999</v>
      </c>
      <c r="O317" s="1">
        <v>154.43</v>
      </c>
      <c r="P317" s="1">
        <v>126.58</v>
      </c>
      <c r="Q317">
        <v>2.3E-2</v>
      </c>
      <c r="R317">
        <v>2.0400000000000001E-5</v>
      </c>
    </row>
    <row r="318" spans="1:18" ht="13.8" outlineLevel="2" x14ac:dyDescent="0.25">
      <c r="A318">
        <v>41306</v>
      </c>
      <c r="B318" t="s">
        <v>329</v>
      </c>
      <c r="C318" t="s">
        <v>359</v>
      </c>
      <c r="D318" s="14" t="s">
        <v>347</v>
      </c>
      <c r="E318" s="12" t="s">
        <v>28</v>
      </c>
      <c r="F318" s="13" t="s">
        <v>29</v>
      </c>
      <c r="G318">
        <v>50</v>
      </c>
      <c r="H318" t="s">
        <v>30</v>
      </c>
      <c r="I318">
        <v>50</v>
      </c>
      <c r="J318" s="15"/>
      <c r="K318" s="16">
        <f>224 - (224 * $E$1)</f>
        <v>224</v>
      </c>
      <c r="L318" s="16">
        <f>183.61 - (183.61 * $E$1)</f>
        <v>183.61</v>
      </c>
      <c r="M318" s="1">
        <v>224</v>
      </c>
      <c r="N318" s="1">
        <v>183.61</v>
      </c>
      <c r="O318" s="1">
        <v>190.4</v>
      </c>
      <c r="P318" s="1">
        <v>156.07</v>
      </c>
      <c r="Q318">
        <v>2.98E-2</v>
      </c>
      <c r="R318">
        <v>2.1840000000000001E-5</v>
      </c>
    </row>
    <row r="319" spans="1:18" ht="13.8" outlineLevel="2" x14ac:dyDescent="0.25">
      <c r="A319">
        <v>41176</v>
      </c>
      <c r="B319" t="s">
        <v>329</v>
      </c>
      <c r="C319" t="s">
        <v>360</v>
      </c>
      <c r="D319" s="14" t="s">
        <v>347</v>
      </c>
      <c r="E319" s="12" t="s">
        <v>28</v>
      </c>
      <c r="F319" s="13" t="s">
        <v>29</v>
      </c>
      <c r="G319">
        <v>25</v>
      </c>
      <c r="H319" t="s">
        <v>30</v>
      </c>
      <c r="I319">
        <v>25</v>
      </c>
      <c r="J319" s="15"/>
      <c r="K319" s="16">
        <f>389.09 - (389.09 * $E$1)</f>
        <v>389.09</v>
      </c>
      <c r="L319" s="16">
        <f>318.93 - (318.93 * $E$1)</f>
        <v>318.93</v>
      </c>
      <c r="M319" s="1">
        <v>389.09</v>
      </c>
      <c r="N319" s="1">
        <v>318.93</v>
      </c>
      <c r="O319" s="1">
        <v>330.73</v>
      </c>
      <c r="P319" s="1">
        <v>271.08999999999997</v>
      </c>
      <c r="Q319">
        <v>5.7599999999999998E-2</v>
      </c>
      <c r="R319">
        <v>4.7039999999999997E-5</v>
      </c>
    </row>
    <row r="320" spans="1:18" ht="13.8" outlineLevel="2" x14ac:dyDescent="0.25">
      <c r="A320">
        <v>41177</v>
      </c>
      <c r="B320" t="s">
        <v>329</v>
      </c>
      <c r="C320" t="s">
        <v>361</v>
      </c>
      <c r="D320" s="14" t="s">
        <v>347</v>
      </c>
      <c r="E320" s="12" t="s">
        <v>28</v>
      </c>
      <c r="F320" s="13" t="s">
        <v>29</v>
      </c>
      <c r="G320">
        <v>25</v>
      </c>
      <c r="H320" t="s">
        <v>30</v>
      </c>
      <c r="I320">
        <v>25</v>
      </c>
      <c r="J320" s="15"/>
      <c r="K320" s="16">
        <f>559.02 - (559.02 * $E$1)</f>
        <v>559.02</v>
      </c>
      <c r="L320" s="16">
        <f>458.21 - (458.21 * $E$1)</f>
        <v>458.21</v>
      </c>
      <c r="M320" s="1">
        <v>559.02</v>
      </c>
      <c r="N320" s="1">
        <v>458.21</v>
      </c>
      <c r="O320" s="1">
        <v>475.16</v>
      </c>
      <c r="P320" s="1">
        <v>389.48</v>
      </c>
      <c r="Q320">
        <v>7.9200000000000007E-2</v>
      </c>
      <c r="R320">
        <v>7.0560000000000002E-5</v>
      </c>
    </row>
    <row r="321" spans="1:18" ht="13.8" outlineLevel="2" x14ac:dyDescent="0.25">
      <c r="A321">
        <v>41178</v>
      </c>
      <c r="B321" t="s">
        <v>329</v>
      </c>
      <c r="C321" t="s">
        <v>362</v>
      </c>
      <c r="D321" s="14" t="s">
        <v>347</v>
      </c>
      <c r="E321" s="12" t="s">
        <v>28</v>
      </c>
      <c r="F321" s="13" t="s">
        <v>29</v>
      </c>
      <c r="G321">
        <v>25</v>
      </c>
      <c r="H321" t="s">
        <v>30</v>
      </c>
      <c r="I321">
        <v>25</v>
      </c>
      <c r="J321" s="15"/>
      <c r="K321" s="16">
        <f>737.6 - (737.6 * $E$1)</f>
        <v>737.6</v>
      </c>
      <c r="L321" s="16">
        <f>604.59 - (604.59 * $E$1)</f>
        <v>604.59</v>
      </c>
      <c r="M321" s="1">
        <v>737.6</v>
      </c>
      <c r="N321" s="1">
        <v>604.59</v>
      </c>
      <c r="O321" s="1">
        <v>626.96</v>
      </c>
      <c r="P321" s="1">
        <v>513.9</v>
      </c>
      <c r="Q321">
        <v>0.108</v>
      </c>
      <c r="R321">
        <v>5.2800000000000003E-5</v>
      </c>
    </row>
    <row r="322" spans="1:18" ht="13.8" outlineLevel="2" x14ac:dyDescent="0.25">
      <c r="A322">
        <v>41179</v>
      </c>
      <c r="B322" t="s">
        <v>329</v>
      </c>
      <c r="C322" t="s">
        <v>363</v>
      </c>
      <c r="D322" s="14" t="s">
        <v>347</v>
      </c>
      <c r="E322" s="12" t="s">
        <v>28</v>
      </c>
      <c r="F322" s="13" t="s">
        <v>29</v>
      </c>
      <c r="G322">
        <v>25</v>
      </c>
      <c r="H322" t="s">
        <v>30</v>
      </c>
      <c r="I322">
        <v>25</v>
      </c>
      <c r="J322" s="15"/>
      <c r="K322" s="16">
        <f>876.27 - (876.27 * $E$1)</f>
        <v>876.27</v>
      </c>
      <c r="L322" s="16">
        <f>718.25 - (718.25 * $E$1)</f>
        <v>718.25</v>
      </c>
      <c r="M322" s="1">
        <v>876.27</v>
      </c>
      <c r="N322" s="1">
        <v>718.25</v>
      </c>
      <c r="O322" s="1">
        <v>744.83</v>
      </c>
      <c r="P322" s="1">
        <v>610.51</v>
      </c>
      <c r="Q322">
        <v>0.11840000000000001</v>
      </c>
      <c r="R322">
        <v>8.064E-5</v>
      </c>
    </row>
    <row r="323" spans="1:18" ht="13.8" outlineLevel="2" x14ac:dyDescent="0.25">
      <c r="A323">
        <v>41180</v>
      </c>
      <c r="B323" t="s">
        <v>329</v>
      </c>
      <c r="C323" t="s">
        <v>364</v>
      </c>
      <c r="D323" s="14" t="s">
        <v>347</v>
      </c>
      <c r="E323" s="12" t="s">
        <v>28</v>
      </c>
      <c r="F323" s="13" t="s">
        <v>29</v>
      </c>
      <c r="G323">
        <v>10</v>
      </c>
      <c r="H323" t="s">
        <v>30</v>
      </c>
      <c r="I323">
        <v>10</v>
      </c>
      <c r="J323" s="15"/>
      <c r="K323" s="16">
        <f>1399.18 - (1399.18 * $E$1)</f>
        <v>1399.18</v>
      </c>
      <c r="L323" s="16">
        <f>1146.87 - (1146.87 * $E$1)</f>
        <v>1146.8699999999999</v>
      </c>
      <c r="M323" s="1">
        <v>1399.18</v>
      </c>
      <c r="N323" s="1">
        <v>1146.8699999999999</v>
      </c>
      <c r="O323" s="1">
        <v>1189.3</v>
      </c>
      <c r="P323" s="1">
        <v>974.84</v>
      </c>
      <c r="Q323">
        <v>0.20799999999999999</v>
      </c>
      <c r="R323">
        <v>7.5900000000000002E-5</v>
      </c>
    </row>
    <row r="324" spans="1:18" ht="13.8" outlineLevel="2" x14ac:dyDescent="0.25">
      <c r="A324">
        <v>65252</v>
      </c>
      <c r="B324" t="s">
        <v>329</v>
      </c>
      <c r="C324" t="s">
        <v>365</v>
      </c>
      <c r="D324" s="14" t="s">
        <v>366</v>
      </c>
      <c r="E324" s="12" t="s">
        <v>28</v>
      </c>
      <c r="F324" s="13" t="s">
        <v>29</v>
      </c>
      <c r="G324">
        <v>100</v>
      </c>
      <c r="H324" t="s">
        <v>30</v>
      </c>
      <c r="I324">
        <v>100</v>
      </c>
      <c r="J324" s="15"/>
      <c r="K324" s="16">
        <f>32.72 - (32.72 * $E$1)</f>
        <v>32.72</v>
      </c>
      <c r="L324" s="16">
        <f>26.82 - (26.82 * $E$1)</f>
        <v>26.82</v>
      </c>
      <c r="M324" s="1">
        <v>32.72</v>
      </c>
      <c r="N324" s="1">
        <v>26.82</v>
      </c>
      <c r="O324" s="1">
        <v>27.81</v>
      </c>
      <c r="P324" s="1">
        <v>22.8</v>
      </c>
      <c r="Q324">
        <v>2.8600000000000001E-3</v>
      </c>
      <c r="R324">
        <v>3.0000000000000001E-6</v>
      </c>
    </row>
    <row r="325" spans="1:18" ht="13.8" outlineLevel="2" x14ac:dyDescent="0.25">
      <c r="A325">
        <v>65253</v>
      </c>
      <c r="B325" t="s">
        <v>329</v>
      </c>
      <c r="C325" t="s">
        <v>367</v>
      </c>
      <c r="D325" s="14" t="s">
        <v>366</v>
      </c>
      <c r="E325" s="12" t="s">
        <v>28</v>
      </c>
      <c r="F325" s="13" t="s">
        <v>29</v>
      </c>
      <c r="G325">
        <v>100</v>
      </c>
      <c r="H325" t="s">
        <v>30</v>
      </c>
      <c r="I325">
        <v>100</v>
      </c>
      <c r="J325" s="15"/>
      <c r="K325" s="16">
        <f>35.29 - (35.29 * $E$1)</f>
        <v>35.29</v>
      </c>
      <c r="L325" s="16">
        <f>28.93 - (28.93 * $E$1)</f>
        <v>28.93</v>
      </c>
      <c r="M325" s="1">
        <v>35.29</v>
      </c>
      <c r="N325" s="1">
        <v>28.93</v>
      </c>
      <c r="O325" s="1">
        <v>30</v>
      </c>
      <c r="P325" s="1">
        <v>24.59</v>
      </c>
      <c r="Q325">
        <v>3.3E-3</v>
      </c>
      <c r="R325">
        <v>3.0000000000000001E-6</v>
      </c>
    </row>
    <row r="326" spans="1:18" ht="13.8" outlineLevel="2" x14ac:dyDescent="0.25">
      <c r="A326">
        <v>65254</v>
      </c>
      <c r="B326" t="s">
        <v>329</v>
      </c>
      <c r="C326" t="s">
        <v>368</v>
      </c>
      <c r="D326" s="14" t="s">
        <v>366</v>
      </c>
      <c r="E326" s="12" t="s">
        <v>28</v>
      </c>
      <c r="F326" s="13" t="s">
        <v>29</v>
      </c>
      <c r="G326">
        <v>100</v>
      </c>
      <c r="H326" t="s">
        <v>30</v>
      </c>
      <c r="I326">
        <v>100</v>
      </c>
      <c r="J326" s="15"/>
      <c r="K326" s="16">
        <f>129.12 - (129.12 * $E$1)</f>
        <v>129.12</v>
      </c>
      <c r="L326" s="16">
        <f>105.84 - (105.84 * $E$1)</f>
        <v>105.84</v>
      </c>
      <c r="M326" s="1">
        <v>129.12</v>
      </c>
      <c r="N326" s="1">
        <v>105.84</v>
      </c>
      <c r="O326" s="1">
        <v>109.76</v>
      </c>
      <c r="P326" s="1">
        <v>89.96</v>
      </c>
      <c r="Q326">
        <v>1.32E-2</v>
      </c>
      <c r="R326">
        <v>8.3999999999999992E-6</v>
      </c>
    </row>
    <row r="327" spans="1:18" ht="13.8" outlineLevel="2" x14ac:dyDescent="0.25">
      <c r="A327">
        <v>65255</v>
      </c>
      <c r="B327" t="s">
        <v>329</v>
      </c>
      <c r="C327" t="s">
        <v>369</v>
      </c>
      <c r="D327" s="14" t="s">
        <v>366</v>
      </c>
      <c r="E327" s="12" t="s">
        <v>28</v>
      </c>
      <c r="F327" s="13" t="s">
        <v>29</v>
      </c>
      <c r="G327">
        <v>100</v>
      </c>
      <c r="H327" t="s">
        <v>30</v>
      </c>
      <c r="I327">
        <v>100</v>
      </c>
      <c r="J327" s="15"/>
      <c r="K327" s="16">
        <f>155.25 - (155.25 * $E$1)</f>
        <v>155.25</v>
      </c>
      <c r="L327" s="16">
        <f>127.25 - (127.25 * $E$1)</f>
        <v>127.25</v>
      </c>
      <c r="M327" s="1">
        <v>155.25</v>
      </c>
      <c r="N327" s="1">
        <v>127.25</v>
      </c>
      <c r="O327" s="1">
        <v>131.96</v>
      </c>
      <c r="P327" s="1">
        <v>108.16</v>
      </c>
      <c r="Q327">
        <v>1.6879999999999999E-2</v>
      </c>
      <c r="R327">
        <v>9.1800000000000002E-6</v>
      </c>
    </row>
    <row r="328" spans="1:18" ht="13.8" outlineLevel="2" x14ac:dyDescent="0.25">
      <c r="A328">
        <v>65256</v>
      </c>
      <c r="B328" t="s">
        <v>329</v>
      </c>
      <c r="C328" t="s">
        <v>370</v>
      </c>
      <c r="D328" s="14" t="s">
        <v>366</v>
      </c>
      <c r="E328" s="12" t="s">
        <v>28</v>
      </c>
      <c r="F328" s="13" t="s">
        <v>29</v>
      </c>
      <c r="G328">
        <v>50</v>
      </c>
      <c r="H328" t="s">
        <v>30</v>
      </c>
      <c r="I328">
        <v>50</v>
      </c>
      <c r="J328" s="15"/>
      <c r="K328" s="16">
        <f>255.66 - (255.66 * $E$1)</f>
        <v>255.66</v>
      </c>
      <c r="L328" s="16">
        <f>209.56 - (209.56 * $E$1)</f>
        <v>209.56</v>
      </c>
      <c r="M328" s="1">
        <v>255.66</v>
      </c>
      <c r="N328" s="1">
        <v>209.56</v>
      </c>
      <c r="O328" s="1">
        <v>217.31</v>
      </c>
      <c r="P328" s="1">
        <v>178.13</v>
      </c>
      <c r="Q328">
        <v>2.8719999999999999E-2</v>
      </c>
      <c r="R328">
        <v>1.7280000000000001E-5</v>
      </c>
    </row>
    <row r="329" spans="1:18" ht="13.8" outlineLevel="2" x14ac:dyDescent="0.25">
      <c r="A329">
        <v>65257</v>
      </c>
      <c r="B329" t="s">
        <v>329</v>
      </c>
      <c r="C329" t="s">
        <v>371</v>
      </c>
      <c r="D329" s="14" t="s">
        <v>366</v>
      </c>
      <c r="E329" s="12" t="s">
        <v>28</v>
      </c>
      <c r="F329" s="13" t="s">
        <v>29</v>
      </c>
      <c r="G329">
        <v>50</v>
      </c>
      <c r="H329" t="s">
        <v>30</v>
      </c>
      <c r="I329">
        <v>50</v>
      </c>
      <c r="J329" s="15"/>
      <c r="K329" s="16">
        <f>364.01 - (364.01 * $E$1)</f>
        <v>364.01</v>
      </c>
      <c r="L329" s="16">
        <f>298.37 - (298.37 * $E$1)</f>
        <v>298.37</v>
      </c>
      <c r="M329" s="1">
        <v>364.01</v>
      </c>
      <c r="N329" s="1">
        <v>298.37</v>
      </c>
      <c r="O329" s="1">
        <v>309.41000000000003</v>
      </c>
      <c r="P329" s="1">
        <v>253.61</v>
      </c>
      <c r="Q329">
        <v>4.0960000000000003E-2</v>
      </c>
      <c r="R329">
        <v>2.4479999999999999E-5</v>
      </c>
    </row>
    <row r="330" spans="1:18" ht="13.8" outlineLevel="2" x14ac:dyDescent="0.25">
      <c r="A330">
        <v>65258</v>
      </c>
      <c r="B330" t="s">
        <v>329</v>
      </c>
      <c r="C330" t="s">
        <v>372</v>
      </c>
      <c r="D330" s="14" t="s">
        <v>366</v>
      </c>
      <c r="E330" s="12" t="s">
        <v>28</v>
      </c>
      <c r="F330" s="13" t="s">
        <v>29</v>
      </c>
      <c r="G330">
        <v>50</v>
      </c>
      <c r="H330" t="s">
        <v>30</v>
      </c>
      <c r="I330">
        <v>50</v>
      </c>
      <c r="J330" s="15"/>
      <c r="K330" s="16">
        <f>446.02 - (446.02 * $E$1)</f>
        <v>446.02</v>
      </c>
      <c r="L330" s="16">
        <f>365.59 - (365.59 * $E$1)</f>
        <v>365.59</v>
      </c>
      <c r="M330" s="1">
        <v>446.02</v>
      </c>
      <c r="N330" s="1">
        <v>365.59</v>
      </c>
      <c r="O330" s="1">
        <v>379.12</v>
      </c>
      <c r="P330" s="1">
        <v>310.75</v>
      </c>
      <c r="Q330">
        <v>5.0520000000000002E-2</v>
      </c>
      <c r="R330">
        <v>2.5000000000000001E-5</v>
      </c>
    </row>
    <row r="331" spans="1:18" ht="13.8" outlineLevel="2" x14ac:dyDescent="0.25">
      <c r="A331">
        <v>65259</v>
      </c>
      <c r="B331" t="s">
        <v>329</v>
      </c>
      <c r="C331" t="s">
        <v>373</v>
      </c>
      <c r="D331" s="14" t="s">
        <v>366</v>
      </c>
      <c r="E331" s="12" t="s">
        <v>28</v>
      </c>
      <c r="F331" s="13" t="s">
        <v>29</v>
      </c>
      <c r="G331">
        <v>10</v>
      </c>
      <c r="H331" t="s">
        <v>30</v>
      </c>
      <c r="I331">
        <v>10</v>
      </c>
      <c r="J331" s="15"/>
      <c r="K331" s="16">
        <f>728.36 - (728.36 * $E$1)</f>
        <v>728.36</v>
      </c>
      <c r="L331" s="16">
        <f>597.02 - (597.02 * $E$1)</f>
        <v>597.02</v>
      </c>
      <c r="M331" s="1">
        <v>728.36</v>
      </c>
      <c r="N331" s="1">
        <v>597.02</v>
      </c>
      <c r="O331" s="1">
        <v>619.11</v>
      </c>
      <c r="P331" s="1">
        <v>507.47</v>
      </c>
      <c r="Q331">
        <v>8.3599999999999994E-2</v>
      </c>
      <c r="R331">
        <v>6.86E-5</v>
      </c>
    </row>
    <row r="332" spans="1:18" ht="13.8" outlineLevel="2" x14ac:dyDescent="0.25">
      <c r="A332">
        <v>65260</v>
      </c>
      <c r="B332" t="s">
        <v>329</v>
      </c>
      <c r="C332" t="s">
        <v>374</v>
      </c>
      <c r="D332" s="14" t="s">
        <v>366</v>
      </c>
      <c r="E332" s="12" t="s">
        <v>28</v>
      </c>
      <c r="F332" s="13" t="s">
        <v>29</v>
      </c>
      <c r="G332">
        <v>10</v>
      </c>
      <c r="H332" t="s">
        <v>30</v>
      </c>
      <c r="I332">
        <v>10</v>
      </c>
      <c r="J332" s="15"/>
      <c r="K332" s="16">
        <f>797.75 - (797.75 * $E$1)</f>
        <v>797.75</v>
      </c>
      <c r="L332" s="16">
        <f>653.89 - (653.89 * $E$1)</f>
        <v>653.89</v>
      </c>
      <c r="M332" s="1">
        <v>797.75</v>
      </c>
      <c r="N332" s="1">
        <v>653.89</v>
      </c>
      <c r="O332" s="1">
        <v>678.08</v>
      </c>
      <c r="P332" s="1">
        <v>555.80999999999995</v>
      </c>
      <c r="Q332">
        <v>9.1999999999999998E-2</v>
      </c>
      <c r="R332">
        <v>6.0000000000000002E-5</v>
      </c>
    </row>
    <row r="333" spans="1:18" ht="13.8" outlineLevel="2" x14ac:dyDescent="0.25">
      <c r="A333">
        <v>65261</v>
      </c>
      <c r="B333" t="s">
        <v>329</v>
      </c>
      <c r="C333" t="s">
        <v>375</v>
      </c>
      <c r="D333" s="14" t="s">
        <v>366</v>
      </c>
      <c r="E333" s="12" t="s">
        <v>28</v>
      </c>
      <c r="F333" s="13" t="s">
        <v>29</v>
      </c>
      <c r="G333">
        <v>10</v>
      </c>
      <c r="H333" t="s">
        <v>30</v>
      </c>
      <c r="I333">
        <v>10</v>
      </c>
      <c r="J333" s="15"/>
      <c r="K333" s="16">
        <f>1192.31 - (1192.31 * $E$1)</f>
        <v>1192.31</v>
      </c>
      <c r="L333" s="16">
        <f>977.3 - (977.3 * $E$1)</f>
        <v>977.3</v>
      </c>
      <c r="M333" s="1">
        <v>1192.31</v>
      </c>
      <c r="N333" s="1">
        <v>977.3</v>
      </c>
      <c r="O333" s="1">
        <v>1013.46</v>
      </c>
      <c r="P333" s="1">
        <v>830.71</v>
      </c>
      <c r="Q333">
        <v>0.13700000000000001</v>
      </c>
      <c r="R333">
        <v>7.0199999999999999E-5</v>
      </c>
    </row>
    <row r="334" spans="1:18" ht="13.8" outlineLevel="2" x14ac:dyDescent="0.25">
      <c r="A334">
        <v>65262</v>
      </c>
      <c r="B334" t="s">
        <v>329</v>
      </c>
      <c r="C334" t="s">
        <v>376</v>
      </c>
      <c r="D334" s="14" t="s">
        <v>366</v>
      </c>
      <c r="E334" s="12" t="s">
        <v>28</v>
      </c>
      <c r="F334" s="13" t="s">
        <v>29</v>
      </c>
      <c r="G334">
        <v>10</v>
      </c>
      <c r="H334" t="s">
        <v>30</v>
      </c>
      <c r="I334">
        <v>10</v>
      </c>
      <c r="J334" s="15"/>
      <c r="K334" s="16">
        <f>1376.53 - (1376.53 * $E$1)</f>
        <v>1376.53</v>
      </c>
      <c r="L334" s="16">
        <f>1128.3 - (1128.3 * $E$1)</f>
        <v>1128.3</v>
      </c>
      <c r="M334" s="1">
        <v>1376.53</v>
      </c>
      <c r="N334" s="1">
        <v>1128.3</v>
      </c>
      <c r="O334" s="1">
        <v>1170.05</v>
      </c>
      <c r="P334" s="1">
        <v>959.06</v>
      </c>
      <c r="Q334">
        <v>0.15740000000000001</v>
      </c>
      <c r="R334">
        <v>8.5099999999999995E-5</v>
      </c>
    </row>
    <row r="335" spans="1:18" ht="13.8" outlineLevel="2" x14ac:dyDescent="0.25">
      <c r="A335">
        <v>65263</v>
      </c>
      <c r="B335" t="s">
        <v>329</v>
      </c>
      <c r="C335" t="s">
        <v>377</v>
      </c>
      <c r="D335" s="14" t="s">
        <v>366</v>
      </c>
      <c r="E335" s="12" t="s">
        <v>28</v>
      </c>
      <c r="F335" s="13" t="s">
        <v>29</v>
      </c>
      <c r="G335">
        <v>5</v>
      </c>
      <c r="H335" t="s">
        <v>30</v>
      </c>
      <c r="I335">
        <v>5</v>
      </c>
      <c r="J335" s="15"/>
      <c r="K335" s="16">
        <f>1917.82 - (1917.82 * $E$1)</f>
        <v>1917.82</v>
      </c>
      <c r="L335" s="16">
        <f>1571.98 - (1571.98 * $E$1)</f>
        <v>1571.98</v>
      </c>
      <c r="M335" s="1">
        <v>1917.82</v>
      </c>
      <c r="N335" s="1">
        <v>1571.98</v>
      </c>
      <c r="O335" s="1">
        <v>1630.14</v>
      </c>
      <c r="P335" s="1">
        <v>1336.18</v>
      </c>
      <c r="Q335">
        <v>0.22639999999999999</v>
      </c>
      <c r="R335">
        <v>9.7600000000000001E-5</v>
      </c>
    </row>
    <row r="336" spans="1:18" ht="13.8" outlineLevel="2" x14ac:dyDescent="0.25">
      <c r="A336">
        <v>65264</v>
      </c>
      <c r="B336" t="s">
        <v>329</v>
      </c>
      <c r="C336" t="s">
        <v>378</v>
      </c>
      <c r="D336" s="14" t="s">
        <v>366</v>
      </c>
      <c r="E336" s="12" t="s">
        <v>28</v>
      </c>
      <c r="F336" s="13" t="s">
        <v>29</v>
      </c>
      <c r="G336">
        <v>5</v>
      </c>
      <c r="H336" t="s">
        <v>30</v>
      </c>
      <c r="I336">
        <v>5</v>
      </c>
      <c r="J336" s="15"/>
      <c r="K336" s="16">
        <f>2359.61 - (2359.61 * $E$1)</f>
        <v>2359.61</v>
      </c>
      <c r="L336" s="16">
        <f>1934.11 - (1934.11 * $E$1)</f>
        <v>1934.11</v>
      </c>
      <c r="M336" s="1">
        <v>2359.61</v>
      </c>
      <c r="N336" s="1">
        <v>1934.11</v>
      </c>
      <c r="O336" s="1">
        <v>2005.67</v>
      </c>
      <c r="P336" s="1">
        <v>1643.99</v>
      </c>
      <c r="Q336">
        <v>0.2828</v>
      </c>
      <c r="R336">
        <v>1.3100000000000001E-4</v>
      </c>
    </row>
    <row r="337" spans="1:18" ht="13.8" outlineLevel="2" x14ac:dyDescent="0.25">
      <c r="A337">
        <v>65265</v>
      </c>
      <c r="B337" t="s">
        <v>329</v>
      </c>
      <c r="C337" t="s">
        <v>379</v>
      </c>
      <c r="D337" s="14" t="s">
        <v>366</v>
      </c>
      <c r="E337" s="12" t="s">
        <v>28</v>
      </c>
      <c r="F337" s="13" t="s">
        <v>29</v>
      </c>
      <c r="G337">
        <v>5</v>
      </c>
      <c r="H337" t="s">
        <v>30</v>
      </c>
      <c r="I337">
        <v>5</v>
      </c>
      <c r="J337" s="15"/>
      <c r="K337" s="16">
        <f>6031.91 - (6031.91 * $E$1)</f>
        <v>6031.91</v>
      </c>
      <c r="L337" s="16">
        <f>4944.19 - (4944.19 * $E$1)</f>
        <v>4944.1899999999996</v>
      </c>
      <c r="M337" s="1">
        <v>6031.91</v>
      </c>
      <c r="N337" s="1">
        <v>4944.1899999999996</v>
      </c>
      <c r="O337" s="1">
        <v>5127.13</v>
      </c>
      <c r="P337" s="1">
        <v>4202.5600000000004</v>
      </c>
      <c r="Q337">
        <v>0.74439999999999995</v>
      </c>
      <c r="R337">
        <v>3.6279999999999998E-4</v>
      </c>
    </row>
    <row r="338" spans="1:18" ht="13.8" outlineLevel="2" x14ac:dyDescent="0.25">
      <c r="A338">
        <v>65266</v>
      </c>
      <c r="B338" t="s">
        <v>329</v>
      </c>
      <c r="C338" t="s">
        <v>380</v>
      </c>
      <c r="D338" s="14" t="s">
        <v>366</v>
      </c>
      <c r="E338" s="12" t="s">
        <v>28</v>
      </c>
      <c r="F338" s="13" t="s">
        <v>29</v>
      </c>
      <c r="G338">
        <v>1</v>
      </c>
      <c r="H338" t="s">
        <v>30</v>
      </c>
      <c r="I338">
        <v>1</v>
      </c>
      <c r="J338" s="15"/>
      <c r="K338" s="16">
        <f>7044.18 - (7044.18 * $E$1)</f>
        <v>7044.18</v>
      </c>
      <c r="L338" s="16">
        <f>5773.92 - (5773.92 * $E$1)</f>
        <v>5773.92</v>
      </c>
      <c r="M338" s="1">
        <v>7044.18</v>
      </c>
      <c r="N338" s="1">
        <v>5773.92</v>
      </c>
      <c r="O338" s="1">
        <v>5987.56</v>
      </c>
      <c r="P338" s="1">
        <v>4907.83</v>
      </c>
      <c r="Q338">
        <v>0.86</v>
      </c>
      <c r="R338">
        <v>4.1300000000000001E-4</v>
      </c>
    </row>
    <row r="339" spans="1:18" ht="13.8" outlineLevel="2" x14ac:dyDescent="0.25">
      <c r="A339">
        <v>65267</v>
      </c>
      <c r="B339" t="s">
        <v>329</v>
      </c>
      <c r="C339" t="s">
        <v>381</v>
      </c>
      <c r="D339" s="14" t="s">
        <v>366</v>
      </c>
      <c r="E339" s="12" t="s">
        <v>28</v>
      </c>
      <c r="F339" s="13" t="s">
        <v>29</v>
      </c>
      <c r="G339">
        <v>1</v>
      </c>
      <c r="H339" t="s">
        <v>30</v>
      </c>
      <c r="I339">
        <v>1</v>
      </c>
      <c r="J339" s="15"/>
      <c r="K339" s="16">
        <f>6746.69 - (6746.69 * $E$1)</f>
        <v>6746.69</v>
      </c>
      <c r="L339" s="16">
        <f>5530.07 - (5530.07 * $E$1)</f>
        <v>5530.07</v>
      </c>
      <c r="M339" s="1">
        <v>6746.69</v>
      </c>
      <c r="N339" s="1">
        <v>5530.07</v>
      </c>
      <c r="O339" s="1">
        <v>5734.68</v>
      </c>
      <c r="P339" s="1">
        <v>4700.5600000000004</v>
      </c>
      <c r="Q339">
        <v>0.82399999999999995</v>
      </c>
      <c r="R339">
        <v>4.1300000000000001E-4</v>
      </c>
    </row>
    <row r="340" spans="1:18" ht="13.8" outlineLevel="2" x14ac:dyDescent="0.25">
      <c r="A340">
        <v>81535</v>
      </c>
      <c r="B340" t="s">
        <v>329</v>
      </c>
      <c r="C340" t="s">
        <v>382</v>
      </c>
      <c r="D340" s="14" t="s">
        <v>366</v>
      </c>
      <c r="E340" s="12" t="s">
        <v>28</v>
      </c>
      <c r="F340" s="13" t="s">
        <v>29</v>
      </c>
      <c r="G340">
        <v>1</v>
      </c>
      <c r="H340" t="s">
        <v>30</v>
      </c>
      <c r="I340">
        <v>1</v>
      </c>
      <c r="J340" s="15"/>
      <c r="K340" s="16">
        <f>13568.95 - (13568.95 * $E$1)</f>
        <v>13568.95</v>
      </c>
      <c r="L340" s="16">
        <f>11122.09 - (11122.09 * $E$1)</f>
        <v>11122.09</v>
      </c>
      <c r="M340" s="1">
        <v>13568.95</v>
      </c>
      <c r="N340" s="1">
        <v>11122.09</v>
      </c>
      <c r="O340" s="1">
        <v>11533.61</v>
      </c>
      <c r="P340" s="1">
        <v>9453.7800000000007</v>
      </c>
      <c r="Q340">
        <v>1.6</v>
      </c>
      <c r="R340">
        <v>2.3749999999999999E-3</v>
      </c>
    </row>
    <row r="341" spans="1:18" ht="13.8" outlineLevel="2" x14ac:dyDescent="0.25">
      <c r="A341">
        <v>81537</v>
      </c>
      <c r="B341" t="s">
        <v>329</v>
      </c>
      <c r="C341" t="s">
        <v>383</v>
      </c>
      <c r="D341" s="14" t="s">
        <v>366</v>
      </c>
      <c r="E341" s="12" t="s">
        <v>28</v>
      </c>
      <c r="F341" s="13" t="s">
        <v>29</v>
      </c>
      <c r="G341">
        <v>1</v>
      </c>
      <c r="H341" t="s">
        <v>30</v>
      </c>
      <c r="I341">
        <v>1</v>
      </c>
      <c r="J341" s="15"/>
      <c r="K341" s="16">
        <f>17480.09 - (17480.09 * $E$1)</f>
        <v>17480.09</v>
      </c>
      <c r="L341" s="16">
        <f>14327.94 - (14327.94 * $E$1)</f>
        <v>14327.94</v>
      </c>
      <c r="M341" s="1">
        <v>17480.09</v>
      </c>
      <c r="N341" s="1">
        <v>14327.94</v>
      </c>
      <c r="O341" s="1">
        <v>14858.07</v>
      </c>
      <c r="P341" s="1">
        <v>12178.75</v>
      </c>
      <c r="Q341">
        <v>2</v>
      </c>
      <c r="R341">
        <v>2.8500000000000001E-3</v>
      </c>
    </row>
    <row r="342" spans="1:18" ht="13.8" outlineLevel="2" x14ac:dyDescent="0.25">
      <c r="A342">
        <v>92333</v>
      </c>
      <c r="B342" t="s">
        <v>356</v>
      </c>
      <c r="C342" t="s">
        <v>384</v>
      </c>
      <c r="D342" s="14" t="s">
        <v>385</v>
      </c>
      <c r="E342" s="12" t="s">
        <v>28</v>
      </c>
      <c r="F342" s="13" t="s">
        <v>29</v>
      </c>
      <c r="G342">
        <v>100</v>
      </c>
      <c r="H342" t="s">
        <v>30</v>
      </c>
      <c r="I342">
        <v>500</v>
      </c>
      <c r="J342" s="15"/>
      <c r="K342" s="16">
        <f>10.77 - (10.77 * $E$1)</f>
        <v>10.77</v>
      </c>
      <c r="L342" s="16">
        <f>8.83 - (8.83 * $E$1)</f>
        <v>8.83</v>
      </c>
      <c r="M342" s="1">
        <v>10.77</v>
      </c>
      <c r="N342" s="1">
        <v>8.83</v>
      </c>
      <c r="O342" s="1">
        <v>9.16</v>
      </c>
      <c r="P342" s="1">
        <v>7.51</v>
      </c>
      <c r="Q342">
        <v>4.6000000000000001E-4</v>
      </c>
      <c r="R342">
        <v>9.9999999999999995E-7</v>
      </c>
    </row>
    <row r="343" spans="1:18" ht="13.8" outlineLevel="2" x14ac:dyDescent="0.25">
      <c r="A343">
        <v>67292</v>
      </c>
      <c r="B343" t="s">
        <v>329</v>
      </c>
      <c r="C343" t="s">
        <v>386</v>
      </c>
      <c r="D343" s="14" t="s">
        <v>385</v>
      </c>
      <c r="E343" s="12" t="s">
        <v>28</v>
      </c>
      <c r="F343" s="13" t="s">
        <v>29</v>
      </c>
      <c r="G343">
        <v>100</v>
      </c>
      <c r="H343" t="s">
        <v>30</v>
      </c>
      <c r="I343">
        <v>500</v>
      </c>
      <c r="J343" s="15"/>
      <c r="K343" s="16">
        <f>16.91 - (16.91 * $E$1)</f>
        <v>16.91</v>
      </c>
      <c r="L343" s="16">
        <f>13.86 - (13.86 * $E$1)</f>
        <v>13.86</v>
      </c>
      <c r="M343" s="1">
        <v>16.91</v>
      </c>
      <c r="N343" s="1">
        <v>13.86</v>
      </c>
      <c r="O343" s="1">
        <v>14.37</v>
      </c>
      <c r="P343" s="1">
        <v>11.78</v>
      </c>
      <c r="Q343">
        <v>1E-3</v>
      </c>
      <c r="R343">
        <v>1.44E-6</v>
      </c>
    </row>
    <row r="344" spans="1:18" ht="13.8" outlineLevel="2" x14ac:dyDescent="0.25">
      <c r="A344">
        <v>67293</v>
      </c>
      <c r="B344" t="s">
        <v>329</v>
      </c>
      <c r="C344" t="s">
        <v>387</v>
      </c>
      <c r="D344" s="14" t="s">
        <v>385</v>
      </c>
      <c r="E344" s="12" t="s">
        <v>28</v>
      </c>
      <c r="F344" s="13" t="s">
        <v>29</v>
      </c>
      <c r="G344">
        <v>100</v>
      </c>
      <c r="H344" t="s">
        <v>30</v>
      </c>
      <c r="I344">
        <v>500</v>
      </c>
      <c r="J344" s="15"/>
      <c r="K344" s="16">
        <f>25.14 - (25.14 * $E$1)</f>
        <v>25.14</v>
      </c>
      <c r="L344" s="16">
        <f>20.61 - (20.61 * $E$1)</f>
        <v>20.61</v>
      </c>
      <c r="M344" s="1">
        <v>25.14</v>
      </c>
      <c r="N344" s="1">
        <v>20.61</v>
      </c>
      <c r="O344" s="1">
        <v>21.37</v>
      </c>
      <c r="P344" s="1">
        <v>17.52</v>
      </c>
      <c r="Q344">
        <v>1.48E-3</v>
      </c>
      <c r="R344">
        <v>1.88E-6</v>
      </c>
    </row>
    <row r="345" spans="1:18" ht="13.8" outlineLevel="2" x14ac:dyDescent="0.25">
      <c r="A345">
        <v>67294</v>
      </c>
      <c r="B345" t="s">
        <v>329</v>
      </c>
      <c r="C345" t="s">
        <v>388</v>
      </c>
      <c r="D345" s="14" t="s">
        <v>385</v>
      </c>
      <c r="E345" s="12" t="s">
        <v>28</v>
      </c>
      <c r="F345" s="13" t="s">
        <v>29</v>
      </c>
      <c r="G345">
        <v>100</v>
      </c>
      <c r="H345" t="s">
        <v>30</v>
      </c>
      <c r="I345">
        <v>500</v>
      </c>
      <c r="J345" s="15"/>
      <c r="K345" s="16">
        <f>39.97 - (39.97 * $E$1)</f>
        <v>39.97</v>
      </c>
      <c r="L345" s="16">
        <f>32.76 - (32.76 * $E$1)</f>
        <v>32.76</v>
      </c>
      <c r="M345" s="1">
        <v>39.97</v>
      </c>
      <c r="N345" s="1">
        <v>32.76</v>
      </c>
      <c r="O345" s="1">
        <v>33.97</v>
      </c>
      <c r="P345" s="1">
        <v>27.85</v>
      </c>
      <c r="Q345">
        <v>2.5600000000000002E-3</v>
      </c>
      <c r="R345">
        <v>2.3999999999999999E-6</v>
      </c>
    </row>
    <row r="346" spans="1:18" ht="13.8" outlineLevel="2" x14ac:dyDescent="0.25">
      <c r="A346">
        <v>67295</v>
      </c>
      <c r="B346" t="s">
        <v>329</v>
      </c>
      <c r="C346" t="s">
        <v>389</v>
      </c>
      <c r="D346" s="14" t="s">
        <v>385</v>
      </c>
      <c r="E346" s="12" t="s">
        <v>28</v>
      </c>
      <c r="F346" s="13" t="s">
        <v>29</v>
      </c>
      <c r="G346">
        <v>100</v>
      </c>
      <c r="H346" t="s">
        <v>30</v>
      </c>
      <c r="I346">
        <v>500</v>
      </c>
      <c r="J346" s="15"/>
      <c r="K346" s="16">
        <f>58.63 - (58.63 * $E$1)</f>
        <v>58.63</v>
      </c>
      <c r="L346" s="16">
        <f>48.06 - (48.06 * $E$1)</f>
        <v>48.06</v>
      </c>
      <c r="M346" s="1">
        <v>58.63</v>
      </c>
      <c r="N346" s="1">
        <v>48.06</v>
      </c>
      <c r="O346" s="1">
        <v>49.84</v>
      </c>
      <c r="P346" s="1">
        <v>40.85</v>
      </c>
      <c r="Q346">
        <v>3.8400000000000001E-3</v>
      </c>
      <c r="R346">
        <v>3.0000000000000001E-6</v>
      </c>
    </row>
    <row r="347" spans="1:18" ht="13.8" outlineLevel="2" x14ac:dyDescent="0.25">
      <c r="A347">
        <v>68090</v>
      </c>
      <c r="B347" t="s">
        <v>329</v>
      </c>
      <c r="C347" t="s">
        <v>390</v>
      </c>
      <c r="D347" s="14" t="s">
        <v>391</v>
      </c>
      <c r="E347" s="12" t="s">
        <v>28</v>
      </c>
      <c r="F347" s="13" t="s">
        <v>29</v>
      </c>
      <c r="G347">
        <v>100</v>
      </c>
      <c r="H347" t="s">
        <v>30</v>
      </c>
      <c r="I347">
        <v>100</v>
      </c>
      <c r="J347" s="15"/>
      <c r="K347" s="16">
        <f>9.59 - (9.59 * $E$1)</f>
        <v>9.59</v>
      </c>
      <c r="L347" s="16">
        <f>7.86 - (7.86 * $E$1)</f>
        <v>7.86</v>
      </c>
      <c r="M347" s="1">
        <v>9.59</v>
      </c>
      <c r="N347" s="1">
        <v>7.86</v>
      </c>
      <c r="O347" s="1">
        <v>8.15</v>
      </c>
      <c r="P347" s="1">
        <v>6.68</v>
      </c>
      <c r="Q347">
        <v>8.4000000000000003E-4</v>
      </c>
      <c r="R347">
        <v>1.1999999999999999E-6</v>
      </c>
    </row>
    <row r="348" spans="1:18" ht="13.8" outlineLevel="2" x14ac:dyDescent="0.25">
      <c r="A348">
        <v>68091</v>
      </c>
      <c r="B348" t="s">
        <v>329</v>
      </c>
      <c r="C348" t="s">
        <v>392</v>
      </c>
      <c r="D348" s="14" t="s">
        <v>391</v>
      </c>
      <c r="E348" s="12" t="s">
        <v>28</v>
      </c>
      <c r="F348" s="13" t="s">
        <v>29</v>
      </c>
      <c r="G348">
        <v>100</v>
      </c>
      <c r="H348" t="s">
        <v>30</v>
      </c>
      <c r="I348">
        <v>100</v>
      </c>
      <c r="J348" s="15"/>
      <c r="K348" s="16">
        <f>11.15 - (11.15 * $E$1)</f>
        <v>11.15</v>
      </c>
      <c r="L348" s="16">
        <f>9.14 - (9.14 * $E$1)</f>
        <v>9.14</v>
      </c>
      <c r="M348" s="1">
        <v>11.15</v>
      </c>
      <c r="N348" s="1">
        <v>9.14</v>
      </c>
      <c r="O348" s="1">
        <v>9.48</v>
      </c>
      <c r="P348" s="1">
        <v>7.77</v>
      </c>
      <c r="Q348">
        <v>1.0200000000000001E-3</v>
      </c>
      <c r="R348">
        <v>9.9000000000000005E-7</v>
      </c>
    </row>
    <row r="349" spans="1:18" ht="13.8" outlineLevel="2" x14ac:dyDescent="0.25">
      <c r="A349">
        <v>68413</v>
      </c>
      <c r="B349" t="s">
        <v>329</v>
      </c>
      <c r="C349" t="s">
        <v>393</v>
      </c>
      <c r="D349" s="14" t="s">
        <v>391</v>
      </c>
      <c r="E349" s="12" t="s">
        <v>28</v>
      </c>
      <c r="F349" s="13" t="s">
        <v>29</v>
      </c>
      <c r="G349">
        <v>100</v>
      </c>
      <c r="H349" t="s">
        <v>30</v>
      </c>
      <c r="I349">
        <v>100</v>
      </c>
      <c r="J349" s="15"/>
      <c r="K349" s="16">
        <f>19.06 - (19.06 * $E$1)</f>
        <v>19.059999999999999</v>
      </c>
      <c r="L349" s="16">
        <f>15.62 - (15.62 * $E$1)</f>
        <v>15.62</v>
      </c>
      <c r="M349" s="1">
        <v>19.059999999999999</v>
      </c>
      <c r="N349" s="1">
        <v>15.62</v>
      </c>
      <c r="O349" s="1">
        <v>16.2</v>
      </c>
      <c r="P349" s="1">
        <v>13.28</v>
      </c>
      <c r="Q349">
        <v>1.7799999999999999E-3</v>
      </c>
      <c r="R349">
        <v>1.3200000000000001E-6</v>
      </c>
    </row>
    <row r="350" spans="1:18" ht="13.8" outlineLevel="2" x14ac:dyDescent="0.25">
      <c r="A350">
        <v>68414</v>
      </c>
      <c r="B350" t="s">
        <v>329</v>
      </c>
      <c r="C350" t="s">
        <v>394</v>
      </c>
      <c r="D350" s="14" t="s">
        <v>391</v>
      </c>
      <c r="E350" s="12" t="s">
        <v>28</v>
      </c>
      <c r="F350" s="13" t="s">
        <v>29</v>
      </c>
      <c r="G350">
        <v>100</v>
      </c>
      <c r="H350" t="s">
        <v>30</v>
      </c>
      <c r="I350">
        <v>100</v>
      </c>
      <c r="J350" s="15"/>
      <c r="K350" s="16">
        <f>38.41 - (38.41 * $E$1)</f>
        <v>38.409999999999997</v>
      </c>
      <c r="L350" s="16">
        <f>31.48 - (31.48 * $E$1)</f>
        <v>31.48</v>
      </c>
      <c r="M350" s="1">
        <v>38.409999999999997</v>
      </c>
      <c r="N350" s="1">
        <v>31.48</v>
      </c>
      <c r="O350" s="1">
        <v>32.64</v>
      </c>
      <c r="P350" s="1">
        <v>26.76</v>
      </c>
      <c r="Q350">
        <v>3.8600000000000001E-3</v>
      </c>
      <c r="R350">
        <v>3.1200000000000002E-6</v>
      </c>
    </row>
    <row r="351" spans="1:18" ht="13.8" outlineLevel="2" x14ac:dyDescent="0.25">
      <c r="A351">
        <v>59113</v>
      </c>
      <c r="B351" t="s">
        <v>329</v>
      </c>
      <c r="C351" t="s">
        <v>395</v>
      </c>
      <c r="D351" s="14" t="s">
        <v>391</v>
      </c>
      <c r="E351" s="12" t="s">
        <v>28</v>
      </c>
      <c r="F351" s="13" t="s">
        <v>29</v>
      </c>
      <c r="G351">
        <v>100</v>
      </c>
      <c r="H351" t="s">
        <v>30</v>
      </c>
      <c r="I351">
        <v>100</v>
      </c>
      <c r="J351" s="15"/>
      <c r="K351" s="16">
        <f>55.38 - (55.38 * $E$1)</f>
        <v>55.38</v>
      </c>
      <c r="L351" s="16">
        <f>45.39 - (45.39 * $E$1)</f>
        <v>45.39</v>
      </c>
      <c r="M351" s="1">
        <v>55.38</v>
      </c>
      <c r="N351" s="1">
        <v>45.39</v>
      </c>
      <c r="O351" s="1">
        <v>47.07</v>
      </c>
      <c r="P351" s="1">
        <v>38.58</v>
      </c>
      <c r="Q351">
        <v>7.6499999999999997E-3</v>
      </c>
      <c r="R351">
        <v>5.04E-6</v>
      </c>
    </row>
    <row r="352" spans="1:18" ht="13.8" outlineLevel="2" x14ac:dyDescent="0.25">
      <c r="A352">
        <v>59114</v>
      </c>
      <c r="B352" t="s">
        <v>329</v>
      </c>
      <c r="C352" t="s">
        <v>396</v>
      </c>
      <c r="D352" s="14" t="s">
        <v>391</v>
      </c>
      <c r="E352" s="12" t="s">
        <v>28</v>
      </c>
      <c r="F352" s="13" t="s">
        <v>29</v>
      </c>
      <c r="G352">
        <v>100</v>
      </c>
      <c r="H352" t="s">
        <v>30</v>
      </c>
      <c r="I352">
        <v>100</v>
      </c>
      <c r="J352" s="15"/>
      <c r="K352" s="16">
        <f>91.44 - (91.44 * $E$1)</f>
        <v>91.44</v>
      </c>
      <c r="L352" s="16">
        <f>74.95 - (74.95 * $E$1)</f>
        <v>74.95</v>
      </c>
      <c r="M352" s="1">
        <v>91.44</v>
      </c>
      <c r="N352" s="1">
        <v>74.95</v>
      </c>
      <c r="O352" s="1">
        <v>77.72</v>
      </c>
      <c r="P352" s="1">
        <v>63.71</v>
      </c>
      <c r="Q352">
        <v>1.2699999999999999E-2</v>
      </c>
      <c r="R352">
        <v>6.2400000000000004E-6</v>
      </c>
    </row>
    <row r="353" spans="1:18" ht="13.8" outlineLevel="2" x14ac:dyDescent="0.25">
      <c r="A353">
        <v>88075</v>
      </c>
      <c r="B353" t="s">
        <v>329</v>
      </c>
      <c r="C353" t="s">
        <v>397</v>
      </c>
      <c r="D353" s="14" t="s">
        <v>398</v>
      </c>
      <c r="E353" s="12" t="s">
        <v>28</v>
      </c>
      <c r="F353" s="13" t="s">
        <v>29</v>
      </c>
      <c r="G353">
        <v>100</v>
      </c>
      <c r="H353" t="s">
        <v>30</v>
      </c>
      <c r="I353">
        <v>100</v>
      </c>
      <c r="J353" s="15"/>
      <c r="K353" s="16">
        <f>7.91 - (7.91 * $E$1)</f>
        <v>7.91</v>
      </c>
      <c r="L353" s="16">
        <f>6.48 - (6.48 * $E$1)</f>
        <v>6.48</v>
      </c>
      <c r="M353" s="1">
        <v>7.91</v>
      </c>
      <c r="N353" s="1">
        <v>6.48</v>
      </c>
      <c r="O353" s="1">
        <v>6.72</v>
      </c>
      <c r="P353" s="1">
        <v>5.51</v>
      </c>
      <c r="Q353">
        <v>5.4199999999999995E-4</v>
      </c>
      <c r="R353">
        <v>4.4999999999999998E-7</v>
      </c>
    </row>
    <row r="354" spans="1:18" ht="13.8" outlineLevel="2" x14ac:dyDescent="0.25">
      <c r="A354">
        <v>88077</v>
      </c>
      <c r="B354" t="s">
        <v>329</v>
      </c>
      <c r="C354" t="s">
        <v>399</v>
      </c>
      <c r="D354" s="14" t="s">
        <v>398</v>
      </c>
      <c r="E354" s="12" t="s">
        <v>28</v>
      </c>
      <c r="F354" s="13" t="s">
        <v>29</v>
      </c>
      <c r="G354">
        <v>100</v>
      </c>
      <c r="H354" t="s">
        <v>30</v>
      </c>
      <c r="I354">
        <v>100</v>
      </c>
      <c r="J354" s="15"/>
      <c r="K354" s="16">
        <f>11.2 - (11.2 * $E$1)</f>
        <v>11.2</v>
      </c>
      <c r="L354" s="16">
        <f>9.18 - (9.18 * $E$1)</f>
        <v>9.18</v>
      </c>
      <c r="M354" s="1">
        <v>11.2</v>
      </c>
      <c r="N354" s="1">
        <v>9.18</v>
      </c>
      <c r="O354" s="1">
        <v>9.52</v>
      </c>
      <c r="P354" s="1">
        <v>7.8</v>
      </c>
      <c r="Q354">
        <v>6.7732999999999997E-4</v>
      </c>
      <c r="R354">
        <v>8.9999999999999996E-7</v>
      </c>
    </row>
    <row r="355" spans="1:18" ht="13.8" outlineLevel="2" x14ac:dyDescent="0.25">
      <c r="A355">
        <v>88078</v>
      </c>
      <c r="B355" t="s">
        <v>329</v>
      </c>
      <c r="C355" t="s">
        <v>400</v>
      </c>
      <c r="D355" s="14" t="s">
        <v>398</v>
      </c>
      <c r="E355" s="12" t="s">
        <v>28</v>
      </c>
      <c r="F355" s="13" t="s">
        <v>29</v>
      </c>
      <c r="G355">
        <v>100</v>
      </c>
      <c r="H355" t="s">
        <v>30</v>
      </c>
      <c r="I355">
        <v>100</v>
      </c>
      <c r="J355" s="15"/>
      <c r="K355" s="16">
        <f>12.19 - (12.19 * $E$1)</f>
        <v>12.19</v>
      </c>
      <c r="L355" s="16">
        <f>9.99 - (9.99 * $E$1)</f>
        <v>9.99</v>
      </c>
      <c r="M355" s="1">
        <v>12.19</v>
      </c>
      <c r="N355" s="1">
        <v>9.99</v>
      </c>
      <c r="O355" s="1">
        <v>10.36</v>
      </c>
      <c r="P355" s="1">
        <v>8.49</v>
      </c>
      <c r="Q355">
        <v>1.0266699999999999E-3</v>
      </c>
      <c r="R355">
        <v>8.9999999999999996E-7</v>
      </c>
    </row>
    <row r="356" spans="1:18" ht="13.8" outlineLevel="2" x14ac:dyDescent="0.25">
      <c r="A356">
        <v>88079</v>
      </c>
      <c r="B356" t="s">
        <v>329</v>
      </c>
      <c r="C356" t="s">
        <v>401</v>
      </c>
      <c r="D356" s="14" t="s">
        <v>398</v>
      </c>
      <c r="E356" s="12" t="s">
        <v>28</v>
      </c>
      <c r="F356" s="13" t="s">
        <v>29</v>
      </c>
      <c r="G356">
        <v>100</v>
      </c>
      <c r="H356" t="s">
        <v>30</v>
      </c>
      <c r="I356">
        <v>100</v>
      </c>
      <c r="J356" s="15"/>
      <c r="K356" s="16">
        <f>17.09 - (17.09 * $E$1)</f>
        <v>17.09</v>
      </c>
      <c r="L356" s="16">
        <f>14.01 - (14.01 * $E$1)</f>
        <v>14.01</v>
      </c>
      <c r="M356" s="1">
        <v>17.09</v>
      </c>
      <c r="N356" s="1">
        <v>14.01</v>
      </c>
      <c r="O356" s="1">
        <v>14.53</v>
      </c>
      <c r="P356" s="1">
        <v>11.91</v>
      </c>
      <c r="Q356">
        <v>1.1657099999999999E-3</v>
      </c>
      <c r="R356">
        <v>1.9599999999999999E-6</v>
      </c>
    </row>
    <row r="357" spans="1:18" ht="13.8" outlineLevel="2" x14ac:dyDescent="0.25">
      <c r="A357">
        <v>88080</v>
      </c>
      <c r="B357" t="s">
        <v>329</v>
      </c>
      <c r="C357" t="s">
        <v>402</v>
      </c>
      <c r="D357" s="14" t="s">
        <v>398</v>
      </c>
      <c r="E357" s="12" t="s">
        <v>28</v>
      </c>
      <c r="F357" s="13" t="s">
        <v>29</v>
      </c>
      <c r="G357">
        <v>100</v>
      </c>
      <c r="H357" t="s">
        <v>30</v>
      </c>
      <c r="I357">
        <v>100</v>
      </c>
      <c r="J357" s="15"/>
      <c r="K357" s="16">
        <f>28.44 - (28.44 * $E$1)</f>
        <v>28.44</v>
      </c>
      <c r="L357" s="16">
        <f>23.31 - (23.31 * $E$1)</f>
        <v>23.31</v>
      </c>
      <c r="M357" s="1">
        <v>28.44</v>
      </c>
      <c r="N357" s="1">
        <v>23.31</v>
      </c>
      <c r="O357" s="1">
        <v>24.17</v>
      </c>
      <c r="P357" s="1">
        <v>19.809999999999999</v>
      </c>
      <c r="Q357">
        <v>2.21091E-3</v>
      </c>
      <c r="R357">
        <v>2.4499999999999998E-6</v>
      </c>
    </row>
    <row r="358" spans="1:18" ht="13.8" outlineLevel="2" x14ac:dyDescent="0.25">
      <c r="A358">
        <v>88081</v>
      </c>
      <c r="B358" t="s">
        <v>329</v>
      </c>
      <c r="C358" t="s">
        <v>403</v>
      </c>
      <c r="D358" s="14" t="s">
        <v>398</v>
      </c>
      <c r="E358" s="12" t="s">
        <v>28</v>
      </c>
      <c r="F358" s="13" t="s">
        <v>29</v>
      </c>
      <c r="G358">
        <v>100</v>
      </c>
      <c r="H358" t="s">
        <v>30</v>
      </c>
      <c r="I358">
        <v>100</v>
      </c>
      <c r="J358" s="15"/>
      <c r="K358" s="16">
        <f>46.35 - (46.35 * $E$1)</f>
        <v>46.35</v>
      </c>
      <c r="L358" s="16">
        <f>37.99 - (37.99 * $E$1)</f>
        <v>37.99</v>
      </c>
      <c r="M358" s="1">
        <v>46.35</v>
      </c>
      <c r="N358" s="1">
        <v>37.99</v>
      </c>
      <c r="O358" s="1">
        <v>39.4</v>
      </c>
      <c r="P358" s="1">
        <v>32.29</v>
      </c>
      <c r="Q358">
        <v>3.8342900000000002E-3</v>
      </c>
      <c r="R358">
        <v>3.5200000000000002E-6</v>
      </c>
    </row>
    <row r="359" spans="1:18" ht="13.8" outlineLevel="2" x14ac:dyDescent="0.25">
      <c r="A359">
        <v>88082</v>
      </c>
      <c r="B359" t="s">
        <v>329</v>
      </c>
      <c r="C359" t="s">
        <v>404</v>
      </c>
      <c r="D359" s="14" t="s">
        <v>398</v>
      </c>
      <c r="E359" s="12" t="s">
        <v>28</v>
      </c>
      <c r="F359" s="13" t="s">
        <v>29</v>
      </c>
      <c r="G359">
        <v>100</v>
      </c>
      <c r="H359" t="s">
        <v>30</v>
      </c>
      <c r="I359">
        <v>100</v>
      </c>
      <c r="J359" s="15"/>
      <c r="K359" s="16">
        <f>75.01 - (75.01 * $E$1)</f>
        <v>75.010000000000005</v>
      </c>
      <c r="L359" s="16">
        <f>61.48 - (61.48 * $E$1)</f>
        <v>61.48</v>
      </c>
      <c r="M359" s="1">
        <v>75.010000000000005</v>
      </c>
      <c r="N359" s="1">
        <v>61.48</v>
      </c>
      <c r="O359" s="1">
        <v>63.75</v>
      </c>
      <c r="P359" s="1">
        <v>52.26</v>
      </c>
      <c r="Q359">
        <v>6.5166699999999996E-3</v>
      </c>
      <c r="R359">
        <v>4.3200000000000001E-6</v>
      </c>
    </row>
    <row r="360" spans="1:18" ht="13.8" outlineLevel="2" x14ac:dyDescent="0.25">
      <c r="A360">
        <v>88083</v>
      </c>
      <c r="B360" t="s">
        <v>329</v>
      </c>
      <c r="C360" t="s">
        <v>405</v>
      </c>
      <c r="D360" s="14" t="s">
        <v>398</v>
      </c>
      <c r="E360" s="12" t="s">
        <v>28</v>
      </c>
      <c r="F360" s="13" t="s">
        <v>29</v>
      </c>
      <c r="G360">
        <v>100</v>
      </c>
      <c r="H360" t="s">
        <v>30</v>
      </c>
      <c r="I360">
        <v>100</v>
      </c>
      <c r="J360" s="15"/>
      <c r="K360" s="16">
        <f>93.68 - (93.68 * $E$1)</f>
        <v>93.68</v>
      </c>
      <c r="L360" s="16">
        <f>76.79 - (76.79 * $E$1)</f>
        <v>76.790000000000006</v>
      </c>
      <c r="M360" s="1">
        <v>93.68</v>
      </c>
      <c r="N360" s="1">
        <v>76.790000000000006</v>
      </c>
      <c r="O360" s="1">
        <v>79.63</v>
      </c>
      <c r="P360" s="1">
        <v>65.27</v>
      </c>
      <c r="Q360">
        <v>8.2666700000000003E-3</v>
      </c>
      <c r="R360">
        <v>4.3200000000000001E-6</v>
      </c>
    </row>
    <row r="361" spans="1:18" ht="13.8" outlineLevel="2" x14ac:dyDescent="0.25">
      <c r="A361">
        <v>88084</v>
      </c>
      <c r="B361" t="s">
        <v>329</v>
      </c>
      <c r="C361" t="s">
        <v>406</v>
      </c>
      <c r="D361" s="14" t="s">
        <v>398</v>
      </c>
      <c r="E361" s="12" t="s">
        <v>28</v>
      </c>
      <c r="F361" s="13" t="s">
        <v>29</v>
      </c>
      <c r="G361">
        <v>100</v>
      </c>
      <c r="H361" t="s">
        <v>30</v>
      </c>
      <c r="I361">
        <v>100</v>
      </c>
      <c r="J361" s="15"/>
      <c r="K361" s="16">
        <f>184.1 - (184.1 * $E$1)</f>
        <v>184.1</v>
      </c>
      <c r="L361" s="16">
        <f>150.9 - (150.9 * $E$1)</f>
        <v>150.9</v>
      </c>
      <c r="M361" s="1">
        <v>184.1</v>
      </c>
      <c r="N361" s="1">
        <v>150.9</v>
      </c>
      <c r="O361" s="1">
        <v>156.47999999999999</v>
      </c>
      <c r="P361" s="1">
        <v>128.27000000000001</v>
      </c>
      <c r="Q361">
        <v>1.6049999999999998E-2</v>
      </c>
      <c r="R361">
        <v>1.3720000000000001E-5</v>
      </c>
    </row>
    <row r="362" spans="1:18" ht="13.8" outlineLevel="2" x14ac:dyDescent="0.25">
      <c r="A362">
        <v>88085</v>
      </c>
      <c r="B362" t="s">
        <v>329</v>
      </c>
      <c r="C362" t="s">
        <v>407</v>
      </c>
      <c r="D362" s="14" t="s">
        <v>398</v>
      </c>
      <c r="E362" s="12" t="s">
        <v>28</v>
      </c>
      <c r="F362" s="13" t="s">
        <v>29</v>
      </c>
      <c r="G362">
        <v>50</v>
      </c>
      <c r="H362" t="s">
        <v>30</v>
      </c>
      <c r="I362">
        <v>50</v>
      </c>
      <c r="J362" s="15"/>
      <c r="K362" s="16">
        <f>251.86 - (251.86 * $E$1)</f>
        <v>251.86</v>
      </c>
      <c r="L362" s="16">
        <f>206.44 - (206.44 * $E$1)</f>
        <v>206.44</v>
      </c>
      <c r="M362" s="1">
        <v>251.86</v>
      </c>
      <c r="N362" s="1">
        <v>206.44</v>
      </c>
      <c r="O362" s="1">
        <v>214.08</v>
      </c>
      <c r="P362" s="1">
        <v>175.47</v>
      </c>
      <c r="Q362">
        <v>2.154286E-2</v>
      </c>
      <c r="R362">
        <v>1.872E-5</v>
      </c>
    </row>
    <row r="363" spans="1:18" ht="13.8" outlineLevel="2" x14ac:dyDescent="0.25">
      <c r="A363">
        <v>88086</v>
      </c>
      <c r="B363" t="s">
        <v>329</v>
      </c>
      <c r="C363" t="s">
        <v>408</v>
      </c>
      <c r="D363" s="14" t="s">
        <v>398</v>
      </c>
      <c r="E363" s="12" t="s">
        <v>28</v>
      </c>
      <c r="F363" s="13" t="s">
        <v>29</v>
      </c>
      <c r="G363">
        <v>25</v>
      </c>
      <c r="H363" t="s">
        <v>30</v>
      </c>
      <c r="I363">
        <v>25</v>
      </c>
      <c r="J363" s="15"/>
      <c r="K363" s="16">
        <f>412.67 - (412.67 * $E$1)</f>
        <v>412.67</v>
      </c>
      <c r="L363" s="16">
        <f>338.25 - (338.25 * $E$1)</f>
        <v>338.25</v>
      </c>
      <c r="M363" s="1">
        <v>412.67</v>
      </c>
      <c r="N363" s="1">
        <v>338.25</v>
      </c>
      <c r="O363" s="1">
        <v>350.77</v>
      </c>
      <c r="P363" s="1">
        <v>287.51</v>
      </c>
      <c r="Q363">
        <v>3.8199999999999998E-2</v>
      </c>
      <c r="R363">
        <v>4.3959999999999999E-5</v>
      </c>
    </row>
    <row r="364" spans="1:18" ht="13.8" outlineLevel="2" x14ac:dyDescent="0.25">
      <c r="A364">
        <v>88087</v>
      </c>
      <c r="B364" t="s">
        <v>329</v>
      </c>
      <c r="C364" t="s">
        <v>409</v>
      </c>
      <c r="D364" s="14" t="s">
        <v>398</v>
      </c>
      <c r="E364" s="12" t="s">
        <v>28</v>
      </c>
      <c r="F364" s="13" t="s">
        <v>29</v>
      </c>
      <c r="G364">
        <v>25</v>
      </c>
      <c r="H364" t="s">
        <v>30</v>
      </c>
      <c r="I364">
        <v>25</v>
      </c>
      <c r="J364" s="15"/>
      <c r="K364" s="16">
        <f>514.03 - (514.03 * $E$1)</f>
        <v>514.03</v>
      </c>
      <c r="L364" s="16">
        <f>421.34 - (421.34 * $E$1)</f>
        <v>421.34</v>
      </c>
      <c r="M364" s="1">
        <v>514.03</v>
      </c>
      <c r="N364" s="1">
        <v>421.34</v>
      </c>
      <c r="O364" s="1">
        <v>436.93</v>
      </c>
      <c r="P364" s="1">
        <v>358.14</v>
      </c>
      <c r="Q364">
        <v>4.8500000000000001E-2</v>
      </c>
      <c r="R364">
        <v>4.3959999999999999E-5</v>
      </c>
    </row>
    <row r="365" spans="1:18" ht="13.8" outlineLevel="2" x14ac:dyDescent="0.25">
      <c r="A365">
        <v>88088</v>
      </c>
      <c r="B365" t="s">
        <v>329</v>
      </c>
      <c r="C365" t="s">
        <v>410</v>
      </c>
      <c r="D365" s="14" t="s">
        <v>398</v>
      </c>
      <c r="E365" s="12" t="s">
        <v>28</v>
      </c>
      <c r="F365" s="13" t="s">
        <v>29</v>
      </c>
      <c r="G365">
        <v>25</v>
      </c>
      <c r="H365" t="s">
        <v>30</v>
      </c>
      <c r="I365">
        <v>25</v>
      </c>
      <c r="J365" s="15"/>
      <c r="K365" s="16">
        <f>723.36 - (723.36 * $E$1)</f>
        <v>723.36</v>
      </c>
      <c r="L365" s="16">
        <f>592.92 - (592.92 * $E$1)</f>
        <v>592.91999999999996</v>
      </c>
      <c r="M365" s="1">
        <v>723.36</v>
      </c>
      <c r="N365" s="1">
        <v>592.91999999999996</v>
      </c>
      <c r="O365" s="1">
        <v>614.86</v>
      </c>
      <c r="P365" s="1">
        <v>503.98</v>
      </c>
      <c r="Q365">
        <v>6.8400000000000002E-2</v>
      </c>
      <c r="R365">
        <v>6.7520000000000004E-5</v>
      </c>
    </row>
    <row r="366" spans="1:18" ht="13.8" outlineLevel="2" x14ac:dyDescent="0.25">
      <c r="A366">
        <v>88089</v>
      </c>
      <c r="B366" t="s">
        <v>329</v>
      </c>
      <c r="C366" t="s">
        <v>411</v>
      </c>
      <c r="D366" s="14" t="s">
        <v>398</v>
      </c>
      <c r="E366" s="12" t="s">
        <v>28</v>
      </c>
      <c r="F366" s="13" t="s">
        <v>29</v>
      </c>
      <c r="G366">
        <v>25</v>
      </c>
      <c r="H366" t="s">
        <v>30</v>
      </c>
      <c r="I366">
        <v>25</v>
      </c>
      <c r="J366" s="15"/>
      <c r="K366" s="16">
        <f>965.42 - (965.42 * $E$1)</f>
        <v>965.42</v>
      </c>
      <c r="L366" s="16">
        <f>791.33 - (791.33 * $E$1)</f>
        <v>791.33</v>
      </c>
      <c r="M366" s="1">
        <v>965.42</v>
      </c>
      <c r="N366" s="1">
        <v>791.33</v>
      </c>
      <c r="O366" s="1">
        <v>820.61</v>
      </c>
      <c r="P366" s="1">
        <v>672.63</v>
      </c>
      <c r="Q366">
        <v>9.2999999999999999E-2</v>
      </c>
      <c r="R366">
        <v>6.7520000000000004E-5</v>
      </c>
    </row>
    <row r="367" spans="1:18" ht="13.8" outlineLevel="2" x14ac:dyDescent="0.25">
      <c r="A367">
        <v>88090</v>
      </c>
      <c r="B367" t="s">
        <v>329</v>
      </c>
      <c r="C367" t="s">
        <v>412</v>
      </c>
      <c r="D367" s="14" t="s">
        <v>398</v>
      </c>
      <c r="E367" s="12" t="s">
        <v>28</v>
      </c>
      <c r="F367" s="13" t="s">
        <v>29</v>
      </c>
      <c r="G367">
        <v>10</v>
      </c>
      <c r="H367" t="s">
        <v>30</v>
      </c>
      <c r="I367">
        <v>10</v>
      </c>
      <c r="J367" s="15"/>
      <c r="K367" s="16">
        <f>1080.77 - (1080.77 * $E$1)</f>
        <v>1080.77</v>
      </c>
      <c r="L367" s="16">
        <f>885.88 - (885.88 * $E$1)</f>
        <v>885.88</v>
      </c>
      <c r="M367" s="1">
        <v>1080.77</v>
      </c>
      <c r="N367" s="1">
        <v>885.88</v>
      </c>
      <c r="O367" s="1">
        <v>918.66</v>
      </c>
      <c r="P367" s="1">
        <v>753</v>
      </c>
      <c r="Q367">
        <v>0.1036667</v>
      </c>
      <c r="R367">
        <v>8.7499999999999999E-5</v>
      </c>
    </row>
    <row r="368" spans="1:18" ht="13.8" outlineLevel="2" x14ac:dyDescent="0.25">
      <c r="A368">
        <v>68039</v>
      </c>
      <c r="B368" t="s">
        <v>413</v>
      </c>
      <c r="C368" t="s">
        <v>414</v>
      </c>
      <c r="D368" s="14" t="s">
        <v>415</v>
      </c>
      <c r="E368" s="12" t="s">
        <v>28</v>
      </c>
      <c r="F368" s="13" t="s">
        <v>29</v>
      </c>
      <c r="G368">
        <v>1</v>
      </c>
      <c r="H368" t="s">
        <v>30</v>
      </c>
      <c r="I368">
        <v>1</v>
      </c>
      <c r="J368" s="15"/>
      <c r="K368" s="16">
        <f>709.13 - (709.13 * $E$1)</f>
        <v>709.13</v>
      </c>
      <c r="L368" s="16">
        <f>581.25 - (581.25 * $E$1)</f>
        <v>581.25</v>
      </c>
      <c r="M368" s="1">
        <v>709.13</v>
      </c>
      <c r="N368" s="1">
        <v>581.25</v>
      </c>
      <c r="O368" s="1">
        <v>602.76</v>
      </c>
      <c r="P368" s="1">
        <v>494.06</v>
      </c>
      <c r="Q368">
        <v>0.05</v>
      </c>
      <c r="R368">
        <v>2.6999999999999999E-5</v>
      </c>
    </row>
    <row r="369" spans="1:18" ht="13.8" outlineLevel="2" x14ac:dyDescent="0.25">
      <c r="A369">
        <v>68040</v>
      </c>
      <c r="B369" t="s">
        <v>413</v>
      </c>
      <c r="C369" t="s">
        <v>416</v>
      </c>
      <c r="D369" s="14" t="s">
        <v>415</v>
      </c>
      <c r="E369" s="12" t="s">
        <v>28</v>
      </c>
      <c r="F369" s="13" t="s">
        <v>29</v>
      </c>
      <c r="G369">
        <v>1</v>
      </c>
      <c r="H369" t="s">
        <v>30</v>
      </c>
      <c r="I369">
        <v>1</v>
      </c>
      <c r="J369" s="15"/>
      <c r="K369" s="16">
        <f>1529.25 - (1529.25 * $E$1)</f>
        <v>1529.25</v>
      </c>
      <c r="L369" s="16">
        <f>1253.48 - (1253.48 * $E$1)</f>
        <v>1253.48</v>
      </c>
      <c r="M369" s="1">
        <v>1529.25</v>
      </c>
      <c r="N369" s="1">
        <v>1253.48</v>
      </c>
      <c r="O369" s="1">
        <v>1299.8599999999999</v>
      </c>
      <c r="P369" s="1">
        <v>1065.46</v>
      </c>
      <c r="Q369">
        <v>0.14000000000000001</v>
      </c>
      <c r="R369">
        <v>8.0000000000000007E-5</v>
      </c>
    </row>
    <row r="370" spans="1:18" ht="13.8" outlineLevel="2" x14ac:dyDescent="0.25">
      <c r="A370">
        <v>102574</v>
      </c>
      <c r="B370" t="s">
        <v>413</v>
      </c>
      <c r="C370" t="s">
        <v>417</v>
      </c>
      <c r="D370" s="14" t="s">
        <v>415</v>
      </c>
      <c r="E370" s="12" t="s">
        <v>28</v>
      </c>
      <c r="F370" s="13" t="s">
        <v>29</v>
      </c>
      <c r="G370">
        <v>1</v>
      </c>
      <c r="H370" t="s">
        <v>30</v>
      </c>
      <c r="I370">
        <v>1</v>
      </c>
      <c r="J370" s="15"/>
      <c r="K370" s="16">
        <f>4435.8 - (4435.8 * $E$1)</f>
        <v>4435.8</v>
      </c>
      <c r="L370" s="16">
        <f>3635.9 - (3635.9 * $E$1)</f>
        <v>3635.9</v>
      </c>
      <c r="M370" s="1">
        <v>4435.8</v>
      </c>
      <c r="N370" s="1">
        <v>3635.9</v>
      </c>
      <c r="O370" s="1">
        <v>3770.43</v>
      </c>
      <c r="P370" s="1">
        <v>3090.52</v>
      </c>
      <c r="Q370">
        <v>0.47</v>
      </c>
      <c r="R370">
        <v>2.52E-4</v>
      </c>
    </row>
    <row r="371" spans="1:18" ht="13.8" outlineLevel="2" x14ac:dyDescent="0.25">
      <c r="A371">
        <v>78768</v>
      </c>
      <c r="B371" t="s">
        <v>65</v>
      </c>
      <c r="C371" t="s">
        <v>418</v>
      </c>
      <c r="D371" s="14" t="s">
        <v>419</v>
      </c>
      <c r="E371" s="12" t="s">
        <v>28</v>
      </c>
      <c r="F371" s="13" t="s">
        <v>29</v>
      </c>
      <c r="G371">
        <v>1</v>
      </c>
      <c r="H371" t="s">
        <v>420</v>
      </c>
      <c r="I371">
        <v>1</v>
      </c>
      <c r="J371" s="15"/>
      <c r="K371" s="16">
        <f>413.67 - (413.67 * $E$1)</f>
        <v>413.67</v>
      </c>
      <c r="L371" s="16">
        <f>339.07 - (339.07 * $E$1)</f>
        <v>339.07</v>
      </c>
      <c r="M371" s="1">
        <v>413.67</v>
      </c>
      <c r="N371" s="1">
        <v>339.07</v>
      </c>
      <c r="O371" s="1">
        <v>351.62</v>
      </c>
      <c r="P371" s="1">
        <v>288.20999999999998</v>
      </c>
      <c r="Q371">
        <v>1.7000000000000001E-2</v>
      </c>
      <c r="R371">
        <v>2.5000000000000001E-5</v>
      </c>
    </row>
    <row r="372" spans="1:18" ht="13.8" outlineLevel="2" x14ac:dyDescent="0.25">
      <c r="A372">
        <v>78769</v>
      </c>
      <c r="B372" t="s">
        <v>65</v>
      </c>
      <c r="C372" t="s">
        <v>421</v>
      </c>
      <c r="D372" s="14" t="s">
        <v>419</v>
      </c>
      <c r="E372" s="12" t="s">
        <v>28</v>
      </c>
      <c r="F372" s="13" t="s">
        <v>29</v>
      </c>
      <c r="G372">
        <v>1</v>
      </c>
      <c r="H372" t="s">
        <v>420</v>
      </c>
      <c r="I372">
        <v>1</v>
      </c>
      <c r="J372" s="15"/>
      <c r="K372" s="16">
        <f>467.06 - (467.06 * $E$1)</f>
        <v>467.06</v>
      </c>
      <c r="L372" s="16">
        <f>382.84 - (382.84 * $E$1)</f>
        <v>382.84</v>
      </c>
      <c r="M372" s="1">
        <v>467.06</v>
      </c>
      <c r="N372" s="1">
        <v>382.84</v>
      </c>
      <c r="O372" s="1">
        <v>397.01</v>
      </c>
      <c r="P372" s="1">
        <v>325.41000000000003</v>
      </c>
      <c r="Q372">
        <v>2.3E-2</v>
      </c>
      <c r="R372">
        <v>2.5000000000000001E-5</v>
      </c>
    </row>
    <row r="373" spans="1:18" ht="13.8" outlineLevel="2" x14ac:dyDescent="0.25">
      <c r="A373">
        <v>78770</v>
      </c>
      <c r="B373" t="s">
        <v>65</v>
      </c>
      <c r="C373" t="s">
        <v>422</v>
      </c>
      <c r="D373" s="14" t="s">
        <v>419</v>
      </c>
      <c r="E373" s="12" t="s">
        <v>28</v>
      </c>
      <c r="F373" s="13" t="s">
        <v>29</v>
      </c>
      <c r="G373">
        <v>1</v>
      </c>
      <c r="H373" t="s">
        <v>420</v>
      </c>
      <c r="I373">
        <v>1</v>
      </c>
      <c r="J373" s="15"/>
      <c r="K373" s="16">
        <f>520.32 - (520.32 * $E$1)</f>
        <v>520.32000000000005</v>
      </c>
      <c r="L373" s="16">
        <f>426.49 - (426.49 * $E$1)</f>
        <v>426.49</v>
      </c>
      <c r="M373" s="1">
        <v>520.32000000000005</v>
      </c>
      <c r="N373" s="1">
        <v>426.49</v>
      </c>
      <c r="O373" s="1">
        <v>442.27</v>
      </c>
      <c r="P373" s="1">
        <v>362.52</v>
      </c>
      <c r="Q373">
        <v>2.7E-2</v>
      </c>
      <c r="R373">
        <v>5.0000000000000002E-5</v>
      </c>
    </row>
    <row r="374" spans="1:18" ht="13.8" outlineLevel="2" x14ac:dyDescent="0.25">
      <c r="A374">
        <v>78771</v>
      </c>
      <c r="B374" t="s">
        <v>65</v>
      </c>
      <c r="C374" t="s">
        <v>423</v>
      </c>
      <c r="D374" s="14" t="s">
        <v>419</v>
      </c>
      <c r="E374" s="12" t="s">
        <v>28</v>
      </c>
      <c r="F374" s="13" t="s">
        <v>29</v>
      </c>
      <c r="G374">
        <v>1</v>
      </c>
      <c r="H374" t="s">
        <v>420</v>
      </c>
      <c r="I374">
        <v>1</v>
      </c>
      <c r="J374" s="15"/>
      <c r="K374" s="16">
        <f>575.77 - (575.77 * $E$1)</f>
        <v>575.77</v>
      </c>
      <c r="L374" s="16">
        <f>471.94 - (471.94 * $E$1)</f>
        <v>471.94</v>
      </c>
      <c r="M374" s="1">
        <v>575.77</v>
      </c>
      <c r="N374" s="1">
        <v>471.94</v>
      </c>
      <c r="O374" s="1">
        <v>489.4</v>
      </c>
      <c r="P374" s="1">
        <v>401.15</v>
      </c>
      <c r="Q374">
        <v>0.04</v>
      </c>
      <c r="R374">
        <v>1.2999999999999999E-4</v>
      </c>
    </row>
    <row r="375" spans="1:18" ht="13.8" outlineLevel="2" x14ac:dyDescent="0.25">
      <c r="A375">
        <v>78772</v>
      </c>
      <c r="B375" t="s">
        <v>65</v>
      </c>
      <c r="C375" t="s">
        <v>424</v>
      </c>
      <c r="D375" s="14" t="s">
        <v>419</v>
      </c>
      <c r="E375" s="12" t="s">
        <v>28</v>
      </c>
      <c r="F375" s="13" t="s">
        <v>29</v>
      </c>
      <c r="G375">
        <v>1</v>
      </c>
      <c r="H375" t="s">
        <v>420</v>
      </c>
      <c r="I375">
        <v>1</v>
      </c>
      <c r="J375" s="15"/>
      <c r="K375" s="16">
        <f>588.44 - (588.44 * $E$1)</f>
        <v>588.44000000000005</v>
      </c>
      <c r="L375" s="16">
        <f>482.33 - (482.33 * $E$1)</f>
        <v>482.33</v>
      </c>
      <c r="M375" s="1">
        <v>588.44000000000005</v>
      </c>
      <c r="N375" s="1">
        <v>482.33</v>
      </c>
      <c r="O375" s="1">
        <v>500.18</v>
      </c>
      <c r="P375" s="1">
        <v>409.98</v>
      </c>
      <c r="Q375">
        <v>0.03</v>
      </c>
      <c r="R375">
        <v>2.5999999999999998E-4</v>
      </c>
    </row>
    <row r="376" spans="1:18" ht="13.8" outlineLevel="2" x14ac:dyDescent="0.25">
      <c r="A376">
        <v>78773</v>
      </c>
      <c r="B376" t="s">
        <v>65</v>
      </c>
      <c r="C376" t="s">
        <v>425</v>
      </c>
      <c r="D376" s="14" t="s">
        <v>419</v>
      </c>
      <c r="E376" s="12" t="s">
        <v>28</v>
      </c>
      <c r="F376" s="13" t="s">
        <v>29</v>
      </c>
      <c r="G376">
        <v>1</v>
      </c>
      <c r="H376" t="s">
        <v>420</v>
      </c>
      <c r="I376">
        <v>1</v>
      </c>
      <c r="J376" s="15"/>
      <c r="K376" s="16">
        <f>627.48 - (627.48 * $E$1)</f>
        <v>627.48</v>
      </c>
      <c r="L376" s="16">
        <f>514.33 - (514.33 * $E$1)</f>
        <v>514.33000000000004</v>
      </c>
      <c r="M376" s="1">
        <v>627.48</v>
      </c>
      <c r="N376" s="1">
        <v>514.33000000000004</v>
      </c>
      <c r="O376" s="1">
        <v>533.36</v>
      </c>
      <c r="P376" s="1">
        <v>437.18</v>
      </c>
      <c r="Q376">
        <v>0.06</v>
      </c>
      <c r="R376">
        <v>2.5999999999999998E-4</v>
      </c>
    </row>
    <row r="377" spans="1:18" ht="13.8" outlineLevel="2" x14ac:dyDescent="0.25">
      <c r="A377">
        <v>78774</v>
      </c>
      <c r="B377" t="s">
        <v>65</v>
      </c>
      <c r="C377" t="s">
        <v>426</v>
      </c>
      <c r="D377" s="14" t="s">
        <v>419</v>
      </c>
      <c r="E377" s="12" t="s">
        <v>28</v>
      </c>
      <c r="F377" s="13" t="s">
        <v>29</v>
      </c>
      <c r="G377">
        <v>1</v>
      </c>
      <c r="H377" t="s">
        <v>420</v>
      </c>
      <c r="I377">
        <v>1</v>
      </c>
      <c r="J377" s="15"/>
      <c r="K377" s="16">
        <f>500.25 - (500.25 * $E$1)</f>
        <v>500.25</v>
      </c>
      <c r="L377" s="16">
        <f>410.04 - (410.04 * $E$1)</f>
        <v>410.04</v>
      </c>
      <c r="M377" s="1">
        <v>500.25</v>
      </c>
      <c r="N377" s="1">
        <v>410.04</v>
      </c>
      <c r="O377" s="1">
        <v>425.21</v>
      </c>
      <c r="P377" s="1">
        <v>348.53</v>
      </c>
      <c r="Q377">
        <v>0.06</v>
      </c>
      <c r="R377">
        <v>1.2999999999999999E-4</v>
      </c>
    </row>
    <row r="378" spans="1:18" ht="13.8" outlineLevel="2" x14ac:dyDescent="0.25">
      <c r="A378">
        <v>78775</v>
      </c>
      <c r="B378" t="s">
        <v>329</v>
      </c>
      <c r="C378" t="s">
        <v>427</v>
      </c>
      <c r="D378" s="14" t="s">
        <v>428</v>
      </c>
      <c r="E378" s="12" t="s">
        <v>28</v>
      </c>
      <c r="F378" s="13" t="s">
        <v>29</v>
      </c>
      <c r="G378">
        <v>1</v>
      </c>
      <c r="H378" t="s">
        <v>420</v>
      </c>
      <c r="I378">
        <v>1</v>
      </c>
      <c r="J378" s="15"/>
      <c r="K378" s="16">
        <f>284.3 - (284.3 * $E$1)</f>
        <v>284.3</v>
      </c>
      <c r="L378" s="16">
        <f>233.03 - (233.03 * $E$1)</f>
        <v>233.03</v>
      </c>
      <c r="M378" s="1">
        <v>284.3</v>
      </c>
      <c r="N378" s="1">
        <v>233.03</v>
      </c>
      <c r="O378" s="1">
        <v>241.65</v>
      </c>
      <c r="P378" s="1">
        <v>198.08</v>
      </c>
      <c r="Q378">
        <v>0.03</v>
      </c>
      <c r="R378">
        <v>2.5999999999999998E-4</v>
      </c>
    </row>
    <row r="379" spans="1:18" ht="13.8" outlineLevel="2" x14ac:dyDescent="0.25">
      <c r="A379">
        <v>78777</v>
      </c>
      <c r="B379" t="s">
        <v>329</v>
      </c>
      <c r="C379" t="s">
        <v>429</v>
      </c>
      <c r="D379" s="14" t="s">
        <v>428</v>
      </c>
      <c r="E379" s="12" t="s">
        <v>28</v>
      </c>
      <c r="F379" s="13" t="s">
        <v>29</v>
      </c>
      <c r="G379">
        <v>1</v>
      </c>
      <c r="H379" t="s">
        <v>420</v>
      </c>
      <c r="I379">
        <v>1</v>
      </c>
      <c r="J379" s="15"/>
      <c r="K379" s="16">
        <f>319.4 - (319.4 * $E$1)</f>
        <v>319.39999999999998</v>
      </c>
      <c r="L379" s="16">
        <f>261.8 - (261.8 * $E$1)</f>
        <v>261.8</v>
      </c>
      <c r="M379" s="1">
        <v>319.39999999999998</v>
      </c>
      <c r="N379" s="1">
        <v>261.8</v>
      </c>
      <c r="O379" s="1">
        <v>271.49</v>
      </c>
      <c r="P379" s="1">
        <v>222.53</v>
      </c>
      <c r="Q379">
        <v>0.02</v>
      </c>
      <c r="R379">
        <v>6.4999999999999994E-5</v>
      </c>
    </row>
    <row r="380" spans="1:18" ht="13.8" outlineLevel="2" x14ac:dyDescent="0.25">
      <c r="A380">
        <v>78778</v>
      </c>
      <c r="B380" t="s">
        <v>329</v>
      </c>
      <c r="C380" t="s">
        <v>430</v>
      </c>
      <c r="D380" s="14" t="s">
        <v>428</v>
      </c>
      <c r="E380" s="12" t="s">
        <v>28</v>
      </c>
      <c r="F380" s="13" t="s">
        <v>29</v>
      </c>
      <c r="G380">
        <v>1</v>
      </c>
      <c r="H380" t="s">
        <v>420</v>
      </c>
      <c r="I380">
        <v>1</v>
      </c>
      <c r="J380" s="15"/>
      <c r="K380" s="16">
        <f>427.71 - (427.71 * $E$1)</f>
        <v>427.71</v>
      </c>
      <c r="L380" s="16">
        <f>350.58 - (350.58 * $E$1)</f>
        <v>350.58</v>
      </c>
      <c r="M380" s="1">
        <v>427.71</v>
      </c>
      <c r="N380" s="1">
        <v>350.58</v>
      </c>
      <c r="O380" s="1">
        <v>363.55</v>
      </c>
      <c r="P380" s="1">
        <v>297.99</v>
      </c>
      <c r="Q380">
        <v>0.05</v>
      </c>
      <c r="R380">
        <v>1.2999999999999999E-4</v>
      </c>
    </row>
    <row r="381" spans="1:18" ht="13.8" outlineLevel="2" x14ac:dyDescent="0.25">
      <c r="A381">
        <v>78779</v>
      </c>
      <c r="B381" t="s">
        <v>329</v>
      </c>
      <c r="C381" t="s">
        <v>431</v>
      </c>
      <c r="D381" s="14" t="s">
        <v>428</v>
      </c>
      <c r="E381" s="12" t="s">
        <v>28</v>
      </c>
      <c r="F381" s="13" t="s">
        <v>29</v>
      </c>
      <c r="G381">
        <v>1</v>
      </c>
      <c r="H381" t="s">
        <v>420</v>
      </c>
      <c r="I381">
        <v>1</v>
      </c>
      <c r="J381" s="15"/>
      <c r="K381" s="16">
        <f>912.33 - (912.33 * $E$1)</f>
        <v>912.33</v>
      </c>
      <c r="L381" s="16">
        <f>747.81 - (747.81 * $E$1)</f>
        <v>747.81</v>
      </c>
      <c r="M381" s="1">
        <v>912.33</v>
      </c>
      <c r="N381" s="1">
        <v>747.81</v>
      </c>
      <c r="O381" s="1">
        <v>775.48</v>
      </c>
      <c r="P381" s="1">
        <v>635.64</v>
      </c>
      <c r="Q381">
        <v>0.08</v>
      </c>
      <c r="R381">
        <v>9.1000000000000003E-5</v>
      </c>
    </row>
    <row r="382" spans="1:18" ht="13.8" outlineLevel="2" x14ac:dyDescent="0.25">
      <c r="A382">
        <v>78781</v>
      </c>
      <c r="B382" t="s">
        <v>329</v>
      </c>
      <c r="C382" t="s">
        <v>432</v>
      </c>
      <c r="D382" s="14" t="s">
        <v>428</v>
      </c>
      <c r="E382" s="12" t="s">
        <v>28</v>
      </c>
      <c r="F382" s="13" t="s">
        <v>29</v>
      </c>
      <c r="G382">
        <v>1</v>
      </c>
      <c r="H382" t="s">
        <v>420</v>
      </c>
      <c r="I382">
        <v>1</v>
      </c>
      <c r="J382" s="15"/>
      <c r="K382" s="16">
        <f>503.64 - (503.64 * $E$1)</f>
        <v>503.64</v>
      </c>
      <c r="L382" s="16">
        <f>412.82 - (412.82 * $E$1)</f>
        <v>412.82</v>
      </c>
      <c r="M382" s="1">
        <v>503.64</v>
      </c>
      <c r="N382" s="1">
        <v>412.82</v>
      </c>
      <c r="O382" s="1">
        <v>428.09</v>
      </c>
      <c r="P382" s="1">
        <v>350.9</v>
      </c>
      <c r="Q382">
        <v>0.05</v>
      </c>
      <c r="R382">
        <v>2.5599999999999999E-4</v>
      </c>
    </row>
    <row r="383" spans="1:18" ht="13.8" outlineLevel="2" x14ac:dyDescent="0.25">
      <c r="A383">
        <v>86557</v>
      </c>
      <c r="B383" t="s">
        <v>329</v>
      </c>
      <c r="C383" t="s">
        <v>433</v>
      </c>
      <c r="D383" s="14" t="s">
        <v>434</v>
      </c>
      <c r="E383" s="12" t="s">
        <v>28</v>
      </c>
      <c r="F383" s="13" t="s">
        <v>29</v>
      </c>
      <c r="G383">
        <v>1</v>
      </c>
      <c r="H383" t="s">
        <v>420</v>
      </c>
      <c r="I383">
        <v>1</v>
      </c>
      <c r="J383" s="15"/>
      <c r="K383" s="16">
        <f>641.07 - (641.07 * $E$1)</f>
        <v>641.07000000000005</v>
      </c>
      <c r="L383" s="16">
        <f>525.47 - (525.47 * $E$1)</f>
        <v>525.47</v>
      </c>
      <c r="M383" s="1">
        <v>641.07000000000005</v>
      </c>
      <c r="N383" s="1">
        <v>525.47</v>
      </c>
      <c r="O383" s="1">
        <v>544.91</v>
      </c>
      <c r="P383" s="1">
        <v>446.65</v>
      </c>
      <c r="Q383">
        <v>0.02</v>
      </c>
      <c r="R383">
        <v>6.4999999999999994E-5</v>
      </c>
    </row>
    <row r="384" spans="1:18" ht="13.8" outlineLevel="2" x14ac:dyDescent="0.25">
      <c r="A384">
        <v>86558</v>
      </c>
      <c r="B384" t="s">
        <v>329</v>
      </c>
      <c r="C384" t="s">
        <v>435</v>
      </c>
      <c r="D384" s="14" t="s">
        <v>434</v>
      </c>
      <c r="E384" s="12" t="s">
        <v>28</v>
      </c>
      <c r="F384" s="13" t="s">
        <v>29</v>
      </c>
      <c r="G384">
        <v>1</v>
      </c>
      <c r="H384" t="s">
        <v>420</v>
      </c>
      <c r="I384">
        <v>1</v>
      </c>
      <c r="J384" s="15"/>
      <c r="K384" s="16">
        <f>865.22 - (865.22 * $E$1)</f>
        <v>865.22</v>
      </c>
      <c r="L384" s="16">
        <f>709.2 - (709.2 * $E$1)</f>
        <v>709.2</v>
      </c>
      <c r="M384" s="1">
        <v>865.22</v>
      </c>
      <c r="N384" s="1">
        <v>709.2</v>
      </c>
      <c r="O384" s="1">
        <v>735.44</v>
      </c>
      <c r="P384" s="1">
        <v>602.82000000000005</v>
      </c>
      <c r="Q384">
        <v>0.05</v>
      </c>
      <c r="R384">
        <v>9.1000000000000003E-5</v>
      </c>
    </row>
    <row r="385" spans="1:18" ht="13.8" outlineLevel="2" x14ac:dyDescent="0.25">
      <c r="A385">
        <v>86559</v>
      </c>
      <c r="B385" t="s">
        <v>329</v>
      </c>
      <c r="C385" t="s">
        <v>436</v>
      </c>
      <c r="D385" s="14" t="s">
        <v>434</v>
      </c>
      <c r="E385" s="12" t="s">
        <v>28</v>
      </c>
      <c r="F385" s="13" t="s">
        <v>29</v>
      </c>
      <c r="G385">
        <v>1</v>
      </c>
      <c r="H385" t="s">
        <v>420</v>
      </c>
      <c r="I385">
        <v>1</v>
      </c>
      <c r="J385" s="15"/>
      <c r="K385" s="16">
        <f>890.4 - (890.4 * $E$1)</f>
        <v>890.4</v>
      </c>
      <c r="L385" s="16">
        <f>729.84 - (729.84 * $E$1)</f>
        <v>729.84</v>
      </c>
      <c r="M385" s="1">
        <v>890.4</v>
      </c>
      <c r="N385" s="1">
        <v>729.84</v>
      </c>
      <c r="O385" s="1">
        <v>756.84</v>
      </c>
      <c r="P385" s="1">
        <v>620.36</v>
      </c>
      <c r="Q385">
        <v>0.06</v>
      </c>
      <c r="R385">
        <v>9.1000000000000003E-5</v>
      </c>
    </row>
    <row r="386" spans="1:18" ht="13.8" outlineLevel="2" x14ac:dyDescent="0.25">
      <c r="A386">
        <v>86560</v>
      </c>
      <c r="B386" t="s">
        <v>329</v>
      </c>
      <c r="C386" t="s">
        <v>437</v>
      </c>
      <c r="D386" s="14" t="s">
        <v>434</v>
      </c>
      <c r="E386" s="12" t="s">
        <v>28</v>
      </c>
      <c r="F386" s="13" t="s">
        <v>29</v>
      </c>
      <c r="G386">
        <v>1</v>
      </c>
      <c r="H386" t="s">
        <v>420</v>
      </c>
      <c r="I386">
        <v>1</v>
      </c>
      <c r="J386" s="15"/>
      <c r="K386" s="16">
        <f>955.17 - (955.17 * $E$1)</f>
        <v>955.17</v>
      </c>
      <c r="L386" s="16">
        <f>782.93 - (782.93 * $E$1)</f>
        <v>782.93</v>
      </c>
      <c r="M386" s="1">
        <v>955.17</v>
      </c>
      <c r="N386" s="1">
        <v>782.93</v>
      </c>
      <c r="O386" s="1">
        <v>811.9</v>
      </c>
      <c r="P386" s="1">
        <v>665.49</v>
      </c>
      <c r="Q386">
        <v>6.9000000000000006E-2</v>
      </c>
      <c r="R386">
        <v>2.5599999999999999E-4</v>
      </c>
    </row>
    <row r="387" spans="1:18" ht="16.5" customHeight="1" outlineLevel="1" x14ac:dyDescent="0.35">
      <c r="A387" s="9"/>
      <c r="B387" s="10" t="s">
        <v>438</v>
      </c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</row>
    <row r="388" spans="1:18" ht="13.8" outlineLevel="2" x14ac:dyDescent="0.25">
      <c r="A388">
        <v>58776</v>
      </c>
      <c r="B388" t="s">
        <v>65</v>
      </c>
      <c r="C388" t="s">
        <v>439</v>
      </c>
      <c r="D388" s="14" t="s">
        <v>440</v>
      </c>
      <c r="E388" s="12" t="s">
        <v>28</v>
      </c>
      <c r="F388" s="13" t="s">
        <v>29</v>
      </c>
      <c r="G388">
        <v>100</v>
      </c>
      <c r="H388" t="s">
        <v>30</v>
      </c>
      <c r="I388">
        <v>100</v>
      </c>
      <c r="J388" s="15"/>
      <c r="K388" s="16">
        <f>25.17 - (25.17 * $E$1)</f>
        <v>25.17</v>
      </c>
      <c r="L388" s="16">
        <f>20.63 - (20.63 * $E$1)</f>
        <v>20.63</v>
      </c>
      <c r="M388" s="1">
        <v>25.17</v>
      </c>
      <c r="N388" s="1">
        <v>20.63</v>
      </c>
      <c r="O388" s="1">
        <v>21.39</v>
      </c>
      <c r="P388" s="1">
        <v>17.54</v>
      </c>
      <c r="Q388">
        <v>5.0000000000000001E-3</v>
      </c>
      <c r="R388">
        <v>3.7500000000000001E-6</v>
      </c>
    </row>
    <row r="389" spans="1:18" ht="13.8" outlineLevel="2" x14ac:dyDescent="0.25">
      <c r="A389">
        <v>44844</v>
      </c>
      <c r="B389" t="s">
        <v>65</v>
      </c>
      <c r="C389" t="s">
        <v>441</v>
      </c>
      <c r="D389" s="14" t="s">
        <v>440</v>
      </c>
      <c r="E389" s="12" t="s">
        <v>28</v>
      </c>
      <c r="F389" s="13" t="s">
        <v>29</v>
      </c>
      <c r="G389">
        <v>100</v>
      </c>
      <c r="H389" t="s">
        <v>30</v>
      </c>
      <c r="I389">
        <v>100</v>
      </c>
      <c r="J389" s="15"/>
      <c r="K389" s="16">
        <f>36.2 - (36.2 * $E$1)</f>
        <v>36.200000000000003</v>
      </c>
      <c r="L389" s="16">
        <f>29.67 - (29.67 * $E$1)</f>
        <v>29.67</v>
      </c>
      <c r="M389" s="1">
        <v>36.200000000000003</v>
      </c>
      <c r="N389" s="1">
        <v>29.67</v>
      </c>
      <c r="O389" s="1">
        <v>30.77</v>
      </c>
      <c r="P389" s="1">
        <v>25.22</v>
      </c>
      <c r="Q389">
        <v>7.3000000000000001E-3</v>
      </c>
      <c r="R389">
        <v>1.6249999999999999E-5</v>
      </c>
    </row>
    <row r="390" spans="1:18" ht="13.8" outlineLevel="2" x14ac:dyDescent="0.25">
      <c r="A390">
        <v>44845</v>
      </c>
      <c r="B390" t="s">
        <v>65</v>
      </c>
      <c r="C390" t="s">
        <v>442</v>
      </c>
      <c r="D390" s="14" t="s">
        <v>440</v>
      </c>
      <c r="E390" s="12" t="s">
        <v>28</v>
      </c>
      <c r="F390" s="13" t="s">
        <v>29</v>
      </c>
      <c r="G390">
        <v>100</v>
      </c>
      <c r="H390" t="s">
        <v>30</v>
      </c>
      <c r="I390">
        <v>100</v>
      </c>
      <c r="J390" s="15"/>
      <c r="K390" s="16">
        <f>42.25 - (42.25 * $E$1)</f>
        <v>42.25</v>
      </c>
      <c r="L390" s="16">
        <f>34.63 - (34.63 * $E$1)</f>
        <v>34.630000000000003</v>
      </c>
      <c r="M390" s="1">
        <v>42.25</v>
      </c>
      <c r="N390" s="1">
        <v>34.630000000000003</v>
      </c>
      <c r="O390" s="1">
        <v>35.909999999999997</v>
      </c>
      <c r="P390" s="1">
        <v>29.44</v>
      </c>
      <c r="Q390">
        <v>9.7999999999999997E-3</v>
      </c>
      <c r="R390">
        <v>1.8700000000000001E-5</v>
      </c>
    </row>
    <row r="391" spans="1:18" ht="13.8" outlineLevel="2" x14ac:dyDescent="0.25">
      <c r="A391">
        <v>42453</v>
      </c>
      <c r="B391" t="s">
        <v>65</v>
      </c>
      <c r="C391" t="s">
        <v>443</v>
      </c>
      <c r="D391" s="14" t="s">
        <v>440</v>
      </c>
      <c r="E391" s="12" t="s">
        <v>28</v>
      </c>
      <c r="F391" s="13" t="s">
        <v>29</v>
      </c>
      <c r="G391">
        <v>100</v>
      </c>
      <c r="H391" t="s">
        <v>30</v>
      </c>
      <c r="I391">
        <v>100</v>
      </c>
      <c r="J391" s="15"/>
      <c r="K391" s="16">
        <f>53.84 - (53.84 * $E$1)</f>
        <v>53.84</v>
      </c>
      <c r="L391" s="16">
        <f>44.13 - (44.13 * $E$1)</f>
        <v>44.13</v>
      </c>
      <c r="M391" s="1">
        <v>53.84</v>
      </c>
      <c r="N391" s="1">
        <v>44.13</v>
      </c>
      <c r="O391" s="1">
        <v>45.76</v>
      </c>
      <c r="P391" s="1">
        <v>37.51</v>
      </c>
      <c r="Q391">
        <v>1.54E-2</v>
      </c>
      <c r="R391">
        <v>2.4000000000000001E-5</v>
      </c>
    </row>
    <row r="392" spans="1:18" ht="13.8" outlineLevel="2" x14ac:dyDescent="0.25">
      <c r="A392">
        <v>41500</v>
      </c>
      <c r="B392" t="s">
        <v>65</v>
      </c>
      <c r="C392" t="s">
        <v>444</v>
      </c>
      <c r="D392" s="14" t="s">
        <v>440</v>
      </c>
      <c r="E392" s="12" t="s">
        <v>28</v>
      </c>
      <c r="F392" s="13" t="s">
        <v>29</v>
      </c>
      <c r="G392">
        <v>100</v>
      </c>
      <c r="H392" t="s">
        <v>30</v>
      </c>
      <c r="I392">
        <v>100</v>
      </c>
      <c r="J392" s="15"/>
      <c r="K392" s="16">
        <f>66.44 - (66.44 * $E$1)</f>
        <v>66.44</v>
      </c>
      <c r="L392" s="16">
        <f>54.46 - (54.46 * $E$1)</f>
        <v>54.46</v>
      </c>
      <c r="M392" s="1">
        <v>66.44</v>
      </c>
      <c r="N392" s="1">
        <v>54.46</v>
      </c>
      <c r="O392" s="1">
        <v>56.48</v>
      </c>
      <c r="P392" s="1">
        <v>46.29</v>
      </c>
      <c r="Q392">
        <v>2.1000000000000001E-2</v>
      </c>
      <c r="R392">
        <v>3.8720000000000002E-5</v>
      </c>
    </row>
    <row r="393" spans="1:18" ht="13.8" outlineLevel="2" x14ac:dyDescent="0.25">
      <c r="A393">
        <v>44639</v>
      </c>
      <c r="B393" t="s">
        <v>65</v>
      </c>
      <c r="C393" t="s">
        <v>445</v>
      </c>
      <c r="D393" s="14" t="s">
        <v>440</v>
      </c>
      <c r="E393" s="12" t="s">
        <v>28</v>
      </c>
      <c r="F393" s="13" t="s">
        <v>29</v>
      </c>
      <c r="G393">
        <v>50</v>
      </c>
      <c r="H393" t="s">
        <v>30</v>
      </c>
      <c r="I393">
        <v>50</v>
      </c>
      <c r="J393" s="15"/>
      <c r="K393" s="16">
        <f>80.84 - (80.84 * $E$1)</f>
        <v>80.84</v>
      </c>
      <c r="L393" s="16">
        <f>66.26 - (66.26 * $E$1)</f>
        <v>66.260000000000005</v>
      </c>
      <c r="M393" s="1">
        <v>80.84</v>
      </c>
      <c r="N393" s="1">
        <v>66.260000000000005</v>
      </c>
      <c r="O393" s="1">
        <v>68.709999999999994</v>
      </c>
      <c r="P393" s="1">
        <v>56.32</v>
      </c>
      <c r="Q393">
        <v>2.7400000000000001E-2</v>
      </c>
      <c r="R393">
        <v>4.6E-5</v>
      </c>
    </row>
    <row r="394" spans="1:18" ht="13.8" outlineLevel="2" x14ac:dyDescent="0.25">
      <c r="A394">
        <v>44564</v>
      </c>
      <c r="B394" t="s">
        <v>65</v>
      </c>
      <c r="C394" t="s">
        <v>446</v>
      </c>
      <c r="D394" s="14" t="s">
        <v>440</v>
      </c>
      <c r="E394" s="12" t="s">
        <v>28</v>
      </c>
      <c r="F394" s="13" t="s">
        <v>29</v>
      </c>
      <c r="G394">
        <v>50</v>
      </c>
      <c r="H394" t="s">
        <v>30</v>
      </c>
      <c r="I394">
        <v>50</v>
      </c>
      <c r="J394" s="15"/>
      <c r="K394" s="16">
        <f>91.37 - (91.37 * $E$1)</f>
        <v>91.37</v>
      </c>
      <c r="L394" s="16">
        <f>74.89 - (74.89 * $E$1)</f>
        <v>74.89</v>
      </c>
      <c r="M394" s="1">
        <v>91.37</v>
      </c>
      <c r="N394" s="1">
        <v>74.89</v>
      </c>
      <c r="O394" s="1">
        <v>77.66</v>
      </c>
      <c r="P394" s="1">
        <v>63.66</v>
      </c>
      <c r="Q394">
        <v>3.5000000000000003E-2</v>
      </c>
      <c r="R394">
        <v>7.0840000000000006E-5</v>
      </c>
    </row>
    <row r="395" spans="1:18" ht="13.8" outlineLevel="2" x14ac:dyDescent="0.25">
      <c r="A395">
        <v>41425</v>
      </c>
      <c r="B395" t="s">
        <v>65</v>
      </c>
      <c r="C395" t="s">
        <v>447</v>
      </c>
      <c r="D395" s="14" t="s">
        <v>440</v>
      </c>
      <c r="E395" s="12" t="s">
        <v>28</v>
      </c>
      <c r="F395" s="13" t="s">
        <v>29</v>
      </c>
      <c r="G395">
        <v>25</v>
      </c>
      <c r="H395" t="s">
        <v>30</v>
      </c>
      <c r="I395">
        <v>25</v>
      </c>
      <c r="J395" s="15"/>
      <c r="K395" s="16">
        <f>126.58 - (126.58 * $E$1)</f>
        <v>126.58</v>
      </c>
      <c r="L395" s="16">
        <f>103.75 - (103.75 * $E$1)</f>
        <v>103.75</v>
      </c>
      <c r="M395" s="1">
        <v>126.58</v>
      </c>
      <c r="N395" s="1">
        <v>103.75</v>
      </c>
      <c r="O395" s="1">
        <v>107.59</v>
      </c>
      <c r="P395" s="1">
        <v>88.19</v>
      </c>
      <c r="Q395">
        <v>4.7199999999999999E-2</v>
      </c>
      <c r="R395">
        <v>8.7999999999999998E-5</v>
      </c>
    </row>
    <row r="396" spans="1:18" ht="13.8" outlineLevel="2" x14ac:dyDescent="0.25">
      <c r="A396">
        <v>41428</v>
      </c>
      <c r="B396" t="s">
        <v>65</v>
      </c>
      <c r="C396" t="s">
        <v>448</v>
      </c>
      <c r="D396" s="14" t="s">
        <v>440</v>
      </c>
      <c r="E396" s="12" t="s">
        <v>28</v>
      </c>
      <c r="F396" s="13" t="s">
        <v>29</v>
      </c>
      <c r="G396">
        <v>25</v>
      </c>
      <c r="H396" t="s">
        <v>30</v>
      </c>
      <c r="I396">
        <v>25</v>
      </c>
      <c r="J396" s="15"/>
      <c r="K396" s="16">
        <f>169.78 - (169.78 * $E$1)</f>
        <v>169.78</v>
      </c>
      <c r="L396" s="16">
        <f>139.16 - (139.16 * $E$1)</f>
        <v>139.16</v>
      </c>
      <c r="M396" s="1">
        <v>169.78</v>
      </c>
      <c r="N396" s="1">
        <v>139.16</v>
      </c>
      <c r="O396" s="1">
        <v>144.31</v>
      </c>
      <c r="P396" s="1">
        <v>118.29</v>
      </c>
      <c r="Q396">
        <v>5.8799999999999998E-2</v>
      </c>
      <c r="R396">
        <v>6.4399999999999993E-5</v>
      </c>
    </row>
    <row r="397" spans="1:18" ht="13.8" outlineLevel="2" x14ac:dyDescent="0.25">
      <c r="A397">
        <v>41432</v>
      </c>
      <c r="B397" t="s">
        <v>65</v>
      </c>
      <c r="C397" t="s">
        <v>449</v>
      </c>
      <c r="D397" s="14" t="s">
        <v>440</v>
      </c>
      <c r="E397" s="12" t="s">
        <v>28</v>
      </c>
      <c r="F397" s="13" t="s">
        <v>29</v>
      </c>
      <c r="G397">
        <v>25</v>
      </c>
      <c r="H397" t="s">
        <v>30</v>
      </c>
      <c r="I397">
        <v>25</v>
      </c>
      <c r="J397" s="15"/>
      <c r="K397" s="16">
        <f>188.71 - (188.71 * $E$1)</f>
        <v>188.71</v>
      </c>
      <c r="L397" s="16">
        <f>154.68 - (154.68 * $E$1)</f>
        <v>154.68</v>
      </c>
      <c r="M397" s="1">
        <v>188.71</v>
      </c>
      <c r="N397" s="1">
        <v>154.68</v>
      </c>
      <c r="O397" s="1">
        <v>160.4</v>
      </c>
      <c r="P397" s="1">
        <v>131.47999999999999</v>
      </c>
      <c r="Q397">
        <v>6.2799999999999995E-2</v>
      </c>
      <c r="R397">
        <v>8.5680000000000006E-5</v>
      </c>
    </row>
    <row r="398" spans="1:18" ht="13.8" outlineLevel="2" x14ac:dyDescent="0.25">
      <c r="A398">
        <v>41496</v>
      </c>
      <c r="B398" t="s">
        <v>65</v>
      </c>
      <c r="C398" t="s">
        <v>450</v>
      </c>
      <c r="D398" s="14" t="s">
        <v>440</v>
      </c>
      <c r="E398" s="12" t="s">
        <v>28</v>
      </c>
      <c r="F398" s="13" t="s">
        <v>29</v>
      </c>
      <c r="G398">
        <v>10</v>
      </c>
      <c r="H398" t="s">
        <v>30</v>
      </c>
      <c r="I398">
        <v>10</v>
      </c>
      <c r="J398" s="15"/>
      <c r="K398" s="16">
        <f>231.32 - (231.32 * $E$1)</f>
        <v>231.32</v>
      </c>
      <c r="L398" s="16">
        <f>189.61 - (189.61 * $E$1)</f>
        <v>189.61</v>
      </c>
      <c r="M398" s="1">
        <v>231.32</v>
      </c>
      <c r="N398" s="1">
        <v>189.61</v>
      </c>
      <c r="O398" s="1">
        <v>196.63</v>
      </c>
      <c r="P398" s="1">
        <v>161.16999999999999</v>
      </c>
      <c r="Q398">
        <v>8.5999999999999993E-2</v>
      </c>
      <c r="R398">
        <v>1.2999999999999999E-4</v>
      </c>
    </row>
    <row r="399" spans="1:18" ht="13.8" outlineLevel="2" x14ac:dyDescent="0.25">
      <c r="A399">
        <v>58777</v>
      </c>
      <c r="B399" t="s">
        <v>65</v>
      </c>
      <c r="C399" t="s">
        <v>451</v>
      </c>
      <c r="D399" s="14" t="s">
        <v>440</v>
      </c>
      <c r="E399" s="12" t="s">
        <v>28</v>
      </c>
      <c r="F399" s="13" t="s">
        <v>29</v>
      </c>
      <c r="G399">
        <v>10</v>
      </c>
      <c r="H399" t="s">
        <v>30</v>
      </c>
      <c r="I399">
        <v>10</v>
      </c>
      <c r="J399" s="15"/>
      <c r="K399" s="16">
        <f>334.06 - (334.06 * $E$1)</f>
        <v>334.06</v>
      </c>
      <c r="L399" s="16">
        <f>273.82 - (273.82 * $E$1)</f>
        <v>273.82</v>
      </c>
      <c r="M399" s="1">
        <v>334.06</v>
      </c>
      <c r="N399" s="1">
        <v>273.82</v>
      </c>
      <c r="O399" s="1">
        <v>283.95</v>
      </c>
      <c r="P399" s="1">
        <v>232.75</v>
      </c>
      <c r="Q399">
        <v>0.126</v>
      </c>
      <c r="R399">
        <v>1.7249999999999999E-4</v>
      </c>
    </row>
    <row r="400" spans="1:18" ht="13.8" outlineLevel="2" x14ac:dyDescent="0.25">
      <c r="A400">
        <v>58778</v>
      </c>
      <c r="B400" t="s">
        <v>329</v>
      </c>
      <c r="C400" t="s">
        <v>452</v>
      </c>
      <c r="D400" s="14" t="s">
        <v>453</v>
      </c>
      <c r="E400" s="12" t="s">
        <v>28</v>
      </c>
      <c r="F400" s="13" t="s">
        <v>29</v>
      </c>
      <c r="G400">
        <v>100</v>
      </c>
      <c r="H400" t="s">
        <v>30</v>
      </c>
      <c r="I400">
        <v>100</v>
      </c>
      <c r="J400" s="15"/>
      <c r="K400" s="16">
        <f>24.86 - (24.86 * $E$1)</f>
        <v>24.86</v>
      </c>
      <c r="L400" s="16">
        <f>20.38 - (20.38 * $E$1)</f>
        <v>20.38</v>
      </c>
      <c r="M400" s="1">
        <v>24.86</v>
      </c>
      <c r="N400" s="1">
        <v>20.38</v>
      </c>
      <c r="O400" s="1">
        <v>21.13</v>
      </c>
      <c r="P400" s="1">
        <v>17.32</v>
      </c>
      <c r="Q400">
        <v>6.0000000000000001E-3</v>
      </c>
      <c r="R400">
        <v>3.7500000000000001E-6</v>
      </c>
    </row>
    <row r="401" spans="1:18" ht="13.8" outlineLevel="2" x14ac:dyDescent="0.25">
      <c r="A401">
        <v>41449</v>
      </c>
      <c r="B401" t="s">
        <v>329</v>
      </c>
      <c r="C401" t="s">
        <v>454</v>
      </c>
      <c r="D401" s="14" t="s">
        <v>453</v>
      </c>
      <c r="E401" s="12" t="s">
        <v>28</v>
      </c>
      <c r="F401" s="13" t="s">
        <v>29</v>
      </c>
      <c r="G401">
        <v>100</v>
      </c>
      <c r="H401" t="s">
        <v>30</v>
      </c>
      <c r="I401">
        <v>100</v>
      </c>
      <c r="J401" s="15"/>
      <c r="K401" s="16">
        <f>33.01 - (33.01 * $E$1)</f>
        <v>33.01</v>
      </c>
      <c r="L401" s="16">
        <f>27.06 - (27.06 * $E$1)</f>
        <v>27.06</v>
      </c>
      <c r="M401" s="1">
        <v>33.01</v>
      </c>
      <c r="N401" s="1">
        <v>27.06</v>
      </c>
      <c r="O401" s="1">
        <v>28.06</v>
      </c>
      <c r="P401" s="1">
        <v>23</v>
      </c>
      <c r="Q401">
        <v>8.0000000000000002E-3</v>
      </c>
      <c r="R401">
        <v>1.1399999999999999E-5</v>
      </c>
    </row>
    <row r="402" spans="1:18" ht="13.8" outlineLevel="2" x14ac:dyDescent="0.25">
      <c r="A402">
        <v>41450</v>
      </c>
      <c r="B402" t="s">
        <v>329</v>
      </c>
      <c r="C402" t="s">
        <v>455</v>
      </c>
      <c r="D402" s="14" t="s">
        <v>453</v>
      </c>
      <c r="E402" s="12" t="s">
        <v>28</v>
      </c>
      <c r="F402" s="13" t="s">
        <v>29</v>
      </c>
      <c r="G402">
        <v>100</v>
      </c>
      <c r="H402" t="s">
        <v>30</v>
      </c>
      <c r="I402">
        <v>100</v>
      </c>
      <c r="J402" s="15"/>
      <c r="K402" s="16">
        <f>40.5 - (40.5 * $E$1)</f>
        <v>40.5</v>
      </c>
      <c r="L402" s="16">
        <f>33.2 - (33.2 * $E$1)</f>
        <v>33.200000000000003</v>
      </c>
      <c r="M402" s="1">
        <v>40.5</v>
      </c>
      <c r="N402" s="1">
        <v>33.200000000000003</v>
      </c>
      <c r="O402" s="1">
        <v>34.43</v>
      </c>
      <c r="P402" s="1">
        <v>28.22</v>
      </c>
      <c r="Q402">
        <v>1.11E-2</v>
      </c>
      <c r="R402">
        <v>7.5000000000000002E-6</v>
      </c>
    </row>
    <row r="403" spans="1:18" ht="13.8" outlineLevel="2" x14ac:dyDescent="0.25">
      <c r="A403">
        <v>41451</v>
      </c>
      <c r="B403" t="s">
        <v>329</v>
      </c>
      <c r="C403" t="s">
        <v>456</v>
      </c>
      <c r="D403" s="14" t="s">
        <v>453</v>
      </c>
      <c r="E403" s="12" t="s">
        <v>28</v>
      </c>
      <c r="F403" s="13" t="s">
        <v>29</v>
      </c>
      <c r="G403">
        <v>100</v>
      </c>
      <c r="H403" t="s">
        <v>30</v>
      </c>
      <c r="I403">
        <v>100</v>
      </c>
      <c r="J403" s="15"/>
      <c r="K403" s="16">
        <f>52.16 - (52.16 * $E$1)</f>
        <v>52.16</v>
      </c>
      <c r="L403" s="16">
        <f>42.75 - (42.75 * $E$1)</f>
        <v>42.75</v>
      </c>
      <c r="M403" s="1">
        <v>52.16</v>
      </c>
      <c r="N403" s="1">
        <v>42.75</v>
      </c>
      <c r="O403" s="1">
        <v>44.33</v>
      </c>
      <c r="P403" s="1">
        <v>36.340000000000003</v>
      </c>
      <c r="Q403">
        <v>1.7999999999999999E-2</v>
      </c>
      <c r="R403">
        <v>2.3099999999999999E-5</v>
      </c>
    </row>
    <row r="404" spans="1:18" ht="13.8" outlineLevel="2" x14ac:dyDescent="0.25">
      <c r="A404">
        <v>41452</v>
      </c>
      <c r="B404" t="s">
        <v>329</v>
      </c>
      <c r="C404" t="s">
        <v>457</v>
      </c>
      <c r="D404" s="14" t="s">
        <v>453</v>
      </c>
      <c r="E404" s="12" t="s">
        <v>28</v>
      </c>
      <c r="F404" s="13" t="s">
        <v>29</v>
      </c>
      <c r="G404">
        <v>100</v>
      </c>
      <c r="H404" t="s">
        <v>30</v>
      </c>
      <c r="I404">
        <v>100</v>
      </c>
      <c r="J404" s="15"/>
      <c r="K404" s="16">
        <f>62.71 - (62.71 * $E$1)</f>
        <v>62.71</v>
      </c>
      <c r="L404" s="16">
        <f>51.4 - (51.4 * $E$1)</f>
        <v>51.4</v>
      </c>
      <c r="M404" s="1">
        <v>62.71</v>
      </c>
      <c r="N404" s="1">
        <v>51.4</v>
      </c>
      <c r="O404" s="1">
        <v>53.3</v>
      </c>
      <c r="P404" s="1">
        <v>43.69</v>
      </c>
      <c r="Q404">
        <v>2.1000000000000001E-2</v>
      </c>
      <c r="R404">
        <v>3.3599999999999997E-5</v>
      </c>
    </row>
    <row r="405" spans="1:18" ht="13.8" outlineLevel="2" x14ac:dyDescent="0.25">
      <c r="A405">
        <v>41453</v>
      </c>
      <c r="B405" t="s">
        <v>329</v>
      </c>
      <c r="C405" t="s">
        <v>458</v>
      </c>
      <c r="D405" s="14" t="s">
        <v>453</v>
      </c>
      <c r="E405" s="12" t="s">
        <v>28</v>
      </c>
      <c r="F405" s="13" t="s">
        <v>29</v>
      </c>
      <c r="G405">
        <v>50</v>
      </c>
      <c r="H405" t="s">
        <v>30</v>
      </c>
      <c r="I405">
        <v>50</v>
      </c>
      <c r="J405" s="15"/>
      <c r="K405" s="16">
        <f>73.36 - (73.36 * $E$1)</f>
        <v>73.36</v>
      </c>
      <c r="L405" s="16">
        <f>60.13 - (60.13 * $E$1)</f>
        <v>60.13</v>
      </c>
      <c r="M405" s="1">
        <v>73.36</v>
      </c>
      <c r="N405" s="1">
        <v>60.13</v>
      </c>
      <c r="O405" s="1">
        <v>62.35</v>
      </c>
      <c r="P405" s="1">
        <v>51.11</v>
      </c>
      <c r="Q405">
        <v>2.7400000000000001E-2</v>
      </c>
      <c r="R405">
        <v>5.2800000000000003E-5</v>
      </c>
    </row>
    <row r="406" spans="1:18" ht="13.8" outlineLevel="2" x14ac:dyDescent="0.25">
      <c r="A406">
        <v>41454</v>
      </c>
      <c r="B406" t="s">
        <v>329</v>
      </c>
      <c r="C406" t="s">
        <v>459</v>
      </c>
      <c r="D406" s="14" t="s">
        <v>453</v>
      </c>
      <c r="E406" s="12" t="s">
        <v>28</v>
      </c>
      <c r="F406" s="13" t="s">
        <v>29</v>
      </c>
      <c r="G406">
        <v>50</v>
      </c>
      <c r="H406" t="s">
        <v>30</v>
      </c>
      <c r="I406">
        <v>50</v>
      </c>
      <c r="J406" s="15"/>
      <c r="K406" s="16">
        <f>86.25 - (86.25 * $E$1)</f>
        <v>86.25</v>
      </c>
      <c r="L406" s="16">
        <f>70.7 - (70.7 * $E$1)</f>
        <v>70.7</v>
      </c>
      <c r="M406" s="1">
        <v>86.25</v>
      </c>
      <c r="N406" s="1">
        <v>70.7</v>
      </c>
      <c r="O406" s="1">
        <v>73.319999999999993</v>
      </c>
      <c r="P406" s="1">
        <v>60.1</v>
      </c>
      <c r="Q406">
        <v>3.4599999999999999E-2</v>
      </c>
      <c r="R406">
        <v>6.512E-5</v>
      </c>
    </row>
    <row r="407" spans="1:18" ht="13.8" outlineLevel="2" x14ac:dyDescent="0.25">
      <c r="A407">
        <v>41455</v>
      </c>
      <c r="B407" t="s">
        <v>329</v>
      </c>
      <c r="C407" t="s">
        <v>460</v>
      </c>
      <c r="D407" s="14" t="s">
        <v>453</v>
      </c>
      <c r="E407" s="12" t="s">
        <v>28</v>
      </c>
      <c r="F407" s="13" t="s">
        <v>29</v>
      </c>
      <c r="G407">
        <v>25</v>
      </c>
      <c r="H407" t="s">
        <v>30</v>
      </c>
      <c r="I407">
        <v>25</v>
      </c>
      <c r="J407" s="15"/>
      <c r="K407" s="16">
        <f>130.04 - (130.04 * $E$1)</f>
        <v>130.04</v>
      </c>
      <c r="L407" s="16">
        <f>106.59 - (106.59 * $E$1)</f>
        <v>106.59</v>
      </c>
      <c r="M407" s="1">
        <v>130.04</v>
      </c>
      <c r="N407" s="1">
        <v>106.59</v>
      </c>
      <c r="O407" s="1">
        <v>110.53</v>
      </c>
      <c r="P407" s="1">
        <v>90.6</v>
      </c>
      <c r="Q407">
        <v>5.5199999999999999E-2</v>
      </c>
      <c r="R407">
        <v>1.0119999999999999E-4</v>
      </c>
    </row>
    <row r="408" spans="1:18" ht="13.8" outlineLevel="2" x14ac:dyDescent="0.25">
      <c r="A408">
        <v>41457</v>
      </c>
      <c r="B408" t="s">
        <v>329</v>
      </c>
      <c r="C408" t="s">
        <v>461</v>
      </c>
      <c r="D408" s="14" t="s">
        <v>453</v>
      </c>
      <c r="E408" s="12" t="s">
        <v>28</v>
      </c>
      <c r="F408" s="13" t="s">
        <v>29</v>
      </c>
      <c r="G408">
        <v>25</v>
      </c>
      <c r="H408" t="s">
        <v>30</v>
      </c>
      <c r="I408">
        <v>25</v>
      </c>
      <c r="J408" s="15"/>
      <c r="K408" s="16">
        <f>138.37 - (138.37 * $E$1)</f>
        <v>138.37</v>
      </c>
      <c r="L408" s="16">
        <f>113.42 - (113.42 * $E$1)</f>
        <v>113.42</v>
      </c>
      <c r="M408" s="1">
        <v>138.37</v>
      </c>
      <c r="N408" s="1">
        <v>113.42</v>
      </c>
      <c r="O408" s="1">
        <v>117.62</v>
      </c>
      <c r="P408" s="1">
        <v>96.41</v>
      </c>
      <c r="Q408">
        <v>5.5599999999999997E-2</v>
      </c>
      <c r="R408">
        <v>3.0000000000000001E-5</v>
      </c>
    </row>
    <row r="409" spans="1:18" ht="13.8" outlineLevel="2" x14ac:dyDescent="0.25">
      <c r="A409">
        <v>41459</v>
      </c>
      <c r="B409" t="s">
        <v>329</v>
      </c>
      <c r="C409" t="s">
        <v>462</v>
      </c>
      <c r="D409" s="14" t="s">
        <v>453</v>
      </c>
      <c r="E409" s="12" t="s">
        <v>28</v>
      </c>
      <c r="F409" s="13" t="s">
        <v>29</v>
      </c>
      <c r="G409">
        <v>25</v>
      </c>
      <c r="H409" t="s">
        <v>30</v>
      </c>
      <c r="I409">
        <v>25</v>
      </c>
      <c r="J409" s="15"/>
      <c r="K409" s="16">
        <f>149.25 - (149.25 * $E$1)</f>
        <v>149.25</v>
      </c>
      <c r="L409" s="16">
        <f>122.34 - (122.34 * $E$1)</f>
        <v>122.34</v>
      </c>
      <c r="M409" s="1">
        <v>149.25</v>
      </c>
      <c r="N409" s="1">
        <v>122.34</v>
      </c>
      <c r="O409" s="1">
        <v>126.87</v>
      </c>
      <c r="P409" s="1">
        <v>103.99</v>
      </c>
      <c r="Q409">
        <v>6.1199999999999997E-2</v>
      </c>
      <c r="R409">
        <v>3.0000000000000001E-5</v>
      </c>
    </row>
    <row r="410" spans="1:18" ht="13.8" outlineLevel="2" x14ac:dyDescent="0.25">
      <c r="A410">
        <v>41460</v>
      </c>
      <c r="B410" t="s">
        <v>329</v>
      </c>
      <c r="C410" t="s">
        <v>463</v>
      </c>
      <c r="D410" s="14" t="s">
        <v>453</v>
      </c>
      <c r="E410" s="12" t="s">
        <v>28</v>
      </c>
      <c r="F410" s="13" t="s">
        <v>29</v>
      </c>
      <c r="G410">
        <v>10</v>
      </c>
      <c r="H410" t="s">
        <v>30</v>
      </c>
      <c r="I410">
        <v>10</v>
      </c>
      <c r="J410" s="15"/>
      <c r="K410" s="16">
        <f>196.32 - (196.32 * $E$1)</f>
        <v>196.32</v>
      </c>
      <c r="L410" s="16">
        <f>160.92 - (160.92 * $E$1)</f>
        <v>160.91999999999999</v>
      </c>
      <c r="M410" s="1">
        <v>196.32</v>
      </c>
      <c r="N410" s="1">
        <v>160.91999999999999</v>
      </c>
      <c r="O410" s="1">
        <v>166.87</v>
      </c>
      <c r="P410" s="1">
        <v>136.78</v>
      </c>
      <c r="Q410">
        <v>8.4000000000000005E-2</v>
      </c>
      <c r="R410">
        <v>9.6600000000000003E-5</v>
      </c>
    </row>
    <row r="411" spans="1:18" ht="13.8" outlineLevel="2" x14ac:dyDescent="0.25">
      <c r="A411">
        <v>58779</v>
      </c>
      <c r="B411" t="s">
        <v>329</v>
      </c>
      <c r="C411" t="s">
        <v>464</v>
      </c>
      <c r="D411" s="14" t="s">
        <v>453</v>
      </c>
      <c r="E411" s="12" t="s">
        <v>28</v>
      </c>
      <c r="F411" s="13" t="s">
        <v>29</v>
      </c>
      <c r="G411">
        <v>10</v>
      </c>
      <c r="H411" t="s">
        <v>30</v>
      </c>
      <c r="I411">
        <v>10</v>
      </c>
      <c r="J411" s="15"/>
      <c r="K411" s="16">
        <f>315.7 - (315.7 * $E$1)</f>
        <v>315.7</v>
      </c>
      <c r="L411" s="16">
        <f>258.77 - (258.77 * $E$1)</f>
        <v>258.77</v>
      </c>
      <c r="M411" s="1">
        <v>315.7</v>
      </c>
      <c r="N411" s="1">
        <v>258.77</v>
      </c>
      <c r="O411" s="1">
        <v>268.33999999999997</v>
      </c>
      <c r="P411" s="1">
        <v>219.95</v>
      </c>
      <c r="Q411">
        <v>0.13200000000000001</v>
      </c>
      <c r="R411">
        <v>1.8479999999999999E-4</v>
      </c>
    </row>
    <row r="412" spans="1:18" ht="13.8" outlineLevel="2" x14ac:dyDescent="0.25">
      <c r="A412">
        <v>60056</v>
      </c>
      <c r="B412" t="s">
        <v>465</v>
      </c>
      <c r="C412" t="s">
        <v>466</v>
      </c>
      <c r="D412" s="14" t="s">
        <v>467</v>
      </c>
      <c r="E412" s="12" t="s">
        <v>28</v>
      </c>
      <c r="F412" s="13" t="s">
        <v>29</v>
      </c>
      <c r="G412">
        <v>100</v>
      </c>
      <c r="H412" t="s">
        <v>30</v>
      </c>
      <c r="I412">
        <v>100</v>
      </c>
      <c r="J412" s="15"/>
      <c r="K412" s="16">
        <f>130.56 - (130.56 * $E$1)</f>
        <v>130.56</v>
      </c>
      <c r="L412" s="16">
        <f>107.02 - (107.02 * $E$1)</f>
        <v>107.02</v>
      </c>
      <c r="M412" s="1">
        <v>130.56</v>
      </c>
      <c r="N412" s="1">
        <v>107.02</v>
      </c>
      <c r="O412" s="1">
        <v>110.98</v>
      </c>
      <c r="P412" s="1">
        <v>90.97</v>
      </c>
      <c r="Q412">
        <v>9.5999999999999992E-3</v>
      </c>
      <c r="R412">
        <v>7.5000000000000002E-6</v>
      </c>
    </row>
    <row r="413" spans="1:18" ht="13.8" outlineLevel="2" x14ac:dyDescent="0.25">
      <c r="A413">
        <v>60057</v>
      </c>
      <c r="B413" t="s">
        <v>465</v>
      </c>
      <c r="C413" t="s">
        <v>468</v>
      </c>
      <c r="D413" s="14" t="s">
        <v>467</v>
      </c>
      <c r="E413" s="12" t="s">
        <v>28</v>
      </c>
      <c r="F413" s="13" t="s">
        <v>29</v>
      </c>
      <c r="G413">
        <v>100</v>
      </c>
      <c r="H413" t="s">
        <v>30</v>
      </c>
      <c r="I413">
        <v>100</v>
      </c>
      <c r="J413" s="15"/>
      <c r="K413" s="16">
        <f>177.53 - (177.53 * $E$1)</f>
        <v>177.53</v>
      </c>
      <c r="L413" s="16">
        <f>145.52 - (145.52 * $E$1)</f>
        <v>145.52000000000001</v>
      </c>
      <c r="M413" s="1">
        <v>177.53</v>
      </c>
      <c r="N413" s="1">
        <v>145.52000000000001</v>
      </c>
      <c r="O413" s="1">
        <v>150.9</v>
      </c>
      <c r="P413" s="1">
        <v>123.69</v>
      </c>
      <c r="Q413">
        <v>1.18E-2</v>
      </c>
      <c r="R413">
        <v>7.5000000000000002E-6</v>
      </c>
    </row>
    <row r="414" spans="1:18" ht="13.8" outlineLevel="2" x14ac:dyDescent="0.25">
      <c r="A414">
        <v>60058</v>
      </c>
      <c r="B414" t="s">
        <v>465</v>
      </c>
      <c r="C414" t="s">
        <v>469</v>
      </c>
      <c r="D414" s="14" t="s">
        <v>467</v>
      </c>
      <c r="E414" s="12" t="s">
        <v>28</v>
      </c>
      <c r="F414" s="13" t="s">
        <v>29</v>
      </c>
      <c r="G414">
        <v>100</v>
      </c>
      <c r="H414" t="s">
        <v>30</v>
      </c>
      <c r="I414">
        <v>100</v>
      </c>
      <c r="J414" s="15"/>
      <c r="K414" s="16">
        <f>187.36 - (187.36 * $E$1)</f>
        <v>187.36</v>
      </c>
      <c r="L414" s="16">
        <f>153.57 - (153.57 * $E$1)</f>
        <v>153.57</v>
      </c>
      <c r="M414" s="1">
        <v>187.36</v>
      </c>
      <c r="N414" s="1">
        <v>153.57</v>
      </c>
      <c r="O414" s="1">
        <v>159.25</v>
      </c>
      <c r="P414" s="1">
        <v>130.53</v>
      </c>
      <c r="Q414">
        <v>1.4800000000000001E-2</v>
      </c>
      <c r="R414">
        <v>7.5000000000000002E-6</v>
      </c>
    </row>
    <row r="415" spans="1:18" ht="13.8" outlineLevel="2" x14ac:dyDescent="0.25">
      <c r="A415">
        <v>60059</v>
      </c>
      <c r="B415" t="s">
        <v>465</v>
      </c>
      <c r="C415" t="s">
        <v>470</v>
      </c>
      <c r="D415" s="14" t="s">
        <v>467</v>
      </c>
      <c r="E415" s="12" t="s">
        <v>28</v>
      </c>
      <c r="F415" s="13" t="s">
        <v>29</v>
      </c>
      <c r="G415">
        <v>100</v>
      </c>
      <c r="H415" t="s">
        <v>30</v>
      </c>
      <c r="I415">
        <v>100</v>
      </c>
      <c r="J415" s="15"/>
      <c r="K415" s="16">
        <f>210.63 - (210.63 * $E$1)</f>
        <v>210.63</v>
      </c>
      <c r="L415" s="16">
        <f>172.65 - (172.65 * $E$1)</f>
        <v>172.65</v>
      </c>
      <c r="M415" s="1">
        <v>210.63</v>
      </c>
      <c r="N415" s="1">
        <v>172.65</v>
      </c>
      <c r="O415" s="1">
        <v>179.04</v>
      </c>
      <c r="P415" s="1">
        <v>146.75</v>
      </c>
      <c r="Q415">
        <v>2.1999999999999999E-2</v>
      </c>
      <c r="R415">
        <v>7.5000000000000002E-6</v>
      </c>
    </row>
    <row r="416" spans="1:18" ht="13.8" outlineLevel="2" x14ac:dyDescent="0.25">
      <c r="A416">
        <v>60060</v>
      </c>
      <c r="B416" t="s">
        <v>465</v>
      </c>
      <c r="C416" t="s">
        <v>471</v>
      </c>
      <c r="D416" s="14" t="s">
        <v>467</v>
      </c>
      <c r="E416" s="12" t="s">
        <v>28</v>
      </c>
      <c r="F416" s="13" t="s">
        <v>29</v>
      </c>
      <c r="G416">
        <v>100</v>
      </c>
      <c r="H416" t="s">
        <v>30</v>
      </c>
      <c r="I416">
        <v>100</v>
      </c>
      <c r="J416" s="15"/>
      <c r="K416" s="16">
        <f>235.05 - (235.05 * $E$1)</f>
        <v>235.05</v>
      </c>
      <c r="L416" s="16">
        <f>192.66 - (192.66 * $E$1)</f>
        <v>192.66</v>
      </c>
      <c r="M416" s="1">
        <v>235.05</v>
      </c>
      <c r="N416" s="1">
        <v>192.66</v>
      </c>
      <c r="O416" s="1">
        <v>199.79</v>
      </c>
      <c r="P416" s="1">
        <v>163.76</v>
      </c>
      <c r="Q416">
        <v>2.9000000000000001E-2</v>
      </c>
      <c r="R416">
        <v>7.5000000000000002E-6</v>
      </c>
    </row>
    <row r="417" spans="1:18" ht="13.8" outlineLevel="2" x14ac:dyDescent="0.25">
      <c r="A417">
        <v>60061</v>
      </c>
      <c r="B417" t="s">
        <v>465</v>
      </c>
      <c r="C417" t="s">
        <v>472</v>
      </c>
      <c r="D417" s="14" t="s">
        <v>467</v>
      </c>
      <c r="E417" s="12" t="s">
        <v>28</v>
      </c>
      <c r="F417" s="13" t="s">
        <v>29</v>
      </c>
      <c r="G417">
        <v>50</v>
      </c>
      <c r="H417" t="s">
        <v>30</v>
      </c>
      <c r="I417">
        <v>50</v>
      </c>
      <c r="J417" s="15"/>
      <c r="K417" s="16">
        <f>244.5 - (244.5 * $E$1)</f>
        <v>244.5</v>
      </c>
      <c r="L417" s="16">
        <f>200.41 - (200.41 * $E$1)</f>
        <v>200.41</v>
      </c>
      <c r="M417" s="1">
        <v>244.5</v>
      </c>
      <c r="N417" s="1">
        <v>200.41</v>
      </c>
      <c r="O417" s="1">
        <v>207.83</v>
      </c>
      <c r="P417" s="1">
        <v>170.35</v>
      </c>
      <c r="Q417">
        <v>3.56E-2</v>
      </c>
      <c r="R417">
        <v>1.5E-5</v>
      </c>
    </row>
    <row r="418" spans="1:18" ht="13.8" outlineLevel="2" x14ac:dyDescent="0.25">
      <c r="A418">
        <v>60062</v>
      </c>
      <c r="B418" t="s">
        <v>465</v>
      </c>
      <c r="C418" t="s">
        <v>473</v>
      </c>
      <c r="D418" s="14" t="s">
        <v>467</v>
      </c>
      <c r="E418" s="12" t="s">
        <v>28</v>
      </c>
      <c r="F418" s="13" t="s">
        <v>29</v>
      </c>
      <c r="G418">
        <v>50</v>
      </c>
      <c r="H418" t="s">
        <v>30</v>
      </c>
      <c r="I418">
        <v>50</v>
      </c>
      <c r="J418" s="15"/>
      <c r="K418" s="16">
        <f>277.49 - (277.49 * $E$1)</f>
        <v>277.49</v>
      </c>
      <c r="L418" s="16">
        <f>227.45 - (227.45 * $E$1)</f>
        <v>227.45</v>
      </c>
      <c r="M418" s="1">
        <v>277.49</v>
      </c>
      <c r="N418" s="1">
        <v>227.45</v>
      </c>
      <c r="O418" s="1">
        <v>235.87</v>
      </c>
      <c r="P418" s="1">
        <v>193.33</v>
      </c>
      <c r="Q418">
        <v>4.36E-2</v>
      </c>
      <c r="R418">
        <v>1.5E-5</v>
      </c>
    </row>
    <row r="419" spans="1:18" ht="13.8" outlineLevel="2" x14ac:dyDescent="0.25">
      <c r="A419">
        <v>60063</v>
      </c>
      <c r="B419" t="s">
        <v>465</v>
      </c>
      <c r="C419" t="s">
        <v>474</v>
      </c>
      <c r="D419" s="14" t="s">
        <v>467</v>
      </c>
      <c r="E419" s="12" t="s">
        <v>28</v>
      </c>
      <c r="F419" s="13" t="s">
        <v>29</v>
      </c>
      <c r="G419">
        <v>25</v>
      </c>
      <c r="H419" t="s">
        <v>30</v>
      </c>
      <c r="I419">
        <v>25</v>
      </c>
      <c r="J419" s="15"/>
      <c r="K419" s="16">
        <f>330.27 - (330.27 * $E$1)</f>
        <v>330.27</v>
      </c>
      <c r="L419" s="16">
        <f>270.71 - (270.71 * $E$1)</f>
        <v>270.70999999999998</v>
      </c>
      <c r="M419" s="1">
        <v>330.27</v>
      </c>
      <c r="N419" s="1">
        <v>270.70999999999998</v>
      </c>
      <c r="O419" s="1">
        <v>280.73</v>
      </c>
      <c r="P419" s="1">
        <v>230.1</v>
      </c>
      <c r="Q419">
        <v>6.0400000000000002E-2</v>
      </c>
      <c r="R419">
        <v>3.0000000000000001E-5</v>
      </c>
    </row>
    <row r="420" spans="1:18" ht="13.8" outlineLevel="2" x14ac:dyDescent="0.25">
      <c r="A420">
        <v>60064</v>
      </c>
      <c r="B420" t="s">
        <v>465</v>
      </c>
      <c r="C420" t="s">
        <v>475</v>
      </c>
      <c r="D420" s="14" t="s">
        <v>467</v>
      </c>
      <c r="E420" s="12" t="s">
        <v>28</v>
      </c>
      <c r="F420" s="13" t="s">
        <v>29</v>
      </c>
      <c r="G420">
        <v>25</v>
      </c>
      <c r="H420" t="s">
        <v>30</v>
      </c>
      <c r="I420">
        <v>25</v>
      </c>
      <c r="J420" s="15"/>
      <c r="K420" s="16">
        <f>387.26 - (387.26 * $E$1)</f>
        <v>387.26</v>
      </c>
      <c r="L420" s="16">
        <f>317.43 - (317.43 * $E$1)</f>
        <v>317.43</v>
      </c>
      <c r="M420" s="1">
        <v>387.26</v>
      </c>
      <c r="N420" s="1">
        <v>317.43</v>
      </c>
      <c r="O420" s="1">
        <v>329.17</v>
      </c>
      <c r="P420" s="1">
        <v>269.82</v>
      </c>
      <c r="Q420">
        <v>7.3599999999999999E-2</v>
      </c>
      <c r="R420">
        <v>3.0000000000000001E-5</v>
      </c>
    </row>
    <row r="421" spans="1:18" ht="13.8" outlineLevel="2" x14ac:dyDescent="0.25">
      <c r="A421">
        <v>60065</v>
      </c>
      <c r="B421" t="s">
        <v>465</v>
      </c>
      <c r="C421" t="s">
        <v>476</v>
      </c>
      <c r="D421" s="14" t="s">
        <v>467</v>
      </c>
      <c r="E421" s="12" t="s">
        <v>28</v>
      </c>
      <c r="F421" s="13" t="s">
        <v>29</v>
      </c>
      <c r="G421">
        <v>25</v>
      </c>
      <c r="H421" t="s">
        <v>30</v>
      </c>
      <c r="I421">
        <v>25</v>
      </c>
      <c r="J421" s="15"/>
      <c r="K421" s="16">
        <f>517.82 - (517.82 * $E$1)</f>
        <v>517.82000000000005</v>
      </c>
      <c r="L421" s="16">
        <f>424.44 - (424.44 * $E$1)</f>
        <v>424.44</v>
      </c>
      <c r="M421" s="1">
        <v>517.82000000000005</v>
      </c>
      <c r="N421" s="1">
        <v>424.44</v>
      </c>
      <c r="O421" s="1">
        <v>440.14</v>
      </c>
      <c r="P421" s="1">
        <v>360.77</v>
      </c>
      <c r="Q421">
        <v>9.4399999999999998E-2</v>
      </c>
      <c r="R421">
        <v>3.0000000000000001E-5</v>
      </c>
    </row>
    <row r="422" spans="1:18" ht="13.8" outlineLevel="2" x14ac:dyDescent="0.25">
      <c r="A422">
        <v>60066</v>
      </c>
      <c r="B422" t="s">
        <v>465</v>
      </c>
      <c r="C422" t="s">
        <v>477</v>
      </c>
      <c r="D422" s="14" t="s">
        <v>467</v>
      </c>
      <c r="E422" s="12" t="s">
        <v>28</v>
      </c>
      <c r="F422" s="13" t="s">
        <v>29</v>
      </c>
      <c r="G422">
        <v>10</v>
      </c>
      <c r="H422" t="s">
        <v>30</v>
      </c>
      <c r="I422">
        <v>10</v>
      </c>
      <c r="J422" s="15"/>
      <c r="K422" s="16">
        <f>605.21 - (605.21 * $E$1)</f>
        <v>605.21</v>
      </c>
      <c r="L422" s="16">
        <f>496.07 - (496.07 * $E$1)</f>
        <v>496.07</v>
      </c>
      <c r="M422" s="1">
        <v>605.21</v>
      </c>
      <c r="N422" s="1">
        <v>496.07</v>
      </c>
      <c r="O422" s="1">
        <v>514.41999999999996</v>
      </c>
      <c r="P422" s="1">
        <v>421.66</v>
      </c>
      <c r="Q422">
        <v>0.13</v>
      </c>
      <c r="R422">
        <v>7.4999999999999993E-5</v>
      </c>
    </row>
    <row r="423" spans="1:18" ht="13.8" outlineLevel="2" x14ac:dyDescent="0.25">
      <c r="A423">
        <v>60067</v>
      </c>
      <c r="B423" t="s">
        <v>465</v>
      </c>
      <c r="C423" t="s">
        <v>478</v>
      </c>
      <c r="D423" s="14" t="s">
        <v>467</v>
      </c>
      <c r="E423" s="12" t="s">
        <v>28</v>
      </c>
      <c r="F423" s="13" t="s">
        <v>29</v>
      </c>
      <c r="G423">
        <v>10</v>
      </c>
      <c r="H423" t="s">
        <v>30</v>
      </c>
      <c r="I423">
        <v>10</v>
      </c>
      <c r="J423" s="15"/>
      <c r="K423" s="16">
        <f>747.65 - (747.65 * $E$1)</f>
        <v>747.65</v>
      </c>
      <c r="L423" s="16">
        <f>612.83 - (612.83 * $E$1)</f>
        <v>612.83000000000004</v>
      </c>
      <c r="M423" s="1">
        <v>747.65</v>
      </c>
      <c r="N423" s="1">
        <v>612.83000000000004</v>
      </c>
      <c r="O423" s="1">
        <v>635.5</v>
      </c>
      <c r="P423" s="1">
        <v>520.91</v>
      </c>
      <c r="Q423">
        <v>0.18</v>
      </c>
      <c r="R423">
        <v>7.4999999999999993E-5</v>
      </c>
    </row>
    <row r="424" spans="1:18" ht="13.8" outlineLevel="2" x14ac:dyDescent="0.25">
      <c r="A424">
        <v>90831</v>
      </c>
      <c r="B424" t="s">
        <v>479</v>
      </c>
      <c r="C424" t="s">
        <v>480</v>
      </c>
      <c r="D424" s="14" t="s">
        <v>481</v>
      </c>
      <c r="E424" s="12" t="s">
        <v>28</v>
      </c>
      <c r="F424" s="13" t="s">
        <v>29</v>
      </c>
      <c r="G424">
        <v>20</v>
      </c>
      <c r="H424" t="s">
        <v>30</v>
      </c>
      <c r="I424">
        <v>20</v>
      </c>
      <c r="J424" s="15"/>
      <c r="K424" s="16">
        <f>206.16 - (206.16 * $E$1)</f>
        <v>206.16</v>
      </c>
      <c r="L424" s="16">
        <f>168.98 - (168.98 * $E$1)</f>
        <v>168.98</v>
      </c>
      <c r="M424" s="1">
        <v>206.16</v>
      </c>
      <c r="N424" s="1">
        <v>168.98</v>
      </c>
      <c r="O424" s="1">
        <v>175.23</v>
      </c>
      <c r="P424" s="1">
        <v>143.63</v>
      </c>
      <c r="Q424">
        <v>1.7916649999999999E-2</v>
      </c>
      <c r="R424">
        <v>1.2E-5</v>
      </c>
    </row>
    <row r="425" spans="1:18" ht="13.8" outlineLevel="2" x14ac:dyDescent="0.25">
      <c r="A425">
        <v>50553</v>
      </c>
      <c r="B425" t="s">
        <v>482</v>
      </c>
      <c r="C425" t="s">
        <v>483</v>
      </c>
      <c r="D425" s="14" t="s">
        <v>481</v>
      </c>
      <c r="E425" s="12" t="s">
        <v>28</v>
      </c>
      <c r="F425" s="13" t="s">
        <v>29</v>
      </c>
      <c r="G425">
        <v>20</v>
      </c>
      <c r="H425" t="s">
        <v>30</v>
      </c>
      <c r="I425">
        <v>20</v>
      </c>
      <c r="J425" s="15"/>
      <c r="K425" s="16">
        <f>206.22 - (206.22 * $E$1)</f>
        <v>206.22</v>
      </c>
      <c r="L425" s="16">
        <f>169.03 - (169.03 * $E$1)</f>
        <v>169.03</v>
      </c>
      <c r="M425" s="1">
        <v>206.22</v>
      </c>
      <c r="N425" s="1">
        <v>169.03</v>
      </c>
      <c r="O425" s="1">
        <v>175.28</v>
      </c>
      <c r="P425" s="1">
        <v>143.68</v>
      </c>
      <c r="Q425">
        <v>1.77E-2</v>
      </c>
      <c r="R425">
        <v>9.5999999999999996E-6</v>
      </c>
    </row>
    <row r="426" spans="1:18" ht="13.8" outlineLevel="2" x14ac:dyDescent="0.25">
      <c r="A426">
        <v>90832</v>
      </c>
      <c r="B426" t="s">
        <v>479</v>
      </c>
      <c r="C426" t="s">
        <v>484</v>
      </c>
      <c r="D426" s="14" t="s">
        <v>481</v>
      </c>
      <c r="E426" s="12" t="s">
        <v>28</v>
      </c>
      <c r="F426" s="13" t="s">
        <v>29</v>
      </c>
      <c r="G426">
        <v>20</v>
      </c>
      <c r="H426" t="s">
        <v>30</v>
      </c>
      <c r="I426">
        <v>20</v>
      </c>
      <c r="J426" s="15"/>
      <c r="K426" s="16">
        <f>206.16 - (206.16 * $E$1)</f>
        <v>206.16</v>
      </c>
      <c r="L426" s="16">
        <f>168.98 - (168.98 * $E$1)</f>
        <v>168.98</v>
      </c>
      <c r="M426" s="1">
        <v>206.16</v>
      </c>
      <c r="N426" s="1">
        <v>168.98</v>
      </c>
      <c r="O426" s="1">
        <v>175.23</v>
      </c>
      <c r="P426" s="1">
        <v>143.63</v>
      </c>
      <c r="Q426">
        <v>1.7916649999999999E-2</v>
      </c>
      <c r="R426">
        <v>1.8E-5</v>
      </c>
    </row>
    <row r="427" spans="1:18" ht="13.8" outlineLevel="2" x14ac:dyDescent="0.25">
      <c r="A427">
        <v>90833</v>
      </c>
      <c r="B427" t="s">
        <v>479</v>
      </c>
      <c r="C427" t="s">
        <v>485</v>
      </c>
      <c r="D427" s="14" t="s">
        <v>481</v>
      </c>
      <c r="E427" s="12" t="s">
        <v>28</v>
      </c>
      <c r="F427" s="13" t="s">
        <v>29</v>
      </c>
      <c r="G427">
        <v>20</v>
      </c>
      <c r="H427" t="s">
        <v>30</v>
      </c>
      <c r="I427">
        <v>20</v>
      </c>
      <c r="J427" s="15"/>
      <c r="K427" s="16">
        <f>265.84 - (265.84 * $E$1)</f>
        <v>265.83999999999997</v>
      </c>
      <c r="L427" s="16">
        <f>217.9 - (217.9 * $E$1)</f>
        <v>217.9</v>
      </c>
      <c r="M427" s="1">
        <v>265.83999999999997</v>
      </c>
      <c r="N427" s="1">
        <v>217.9</v>
      </c>
      <c r="O427" s="1">
        <v>225.96</v>
      </c>
      <c r="P427" s="1">
        <v>185.22</v>
      </c>
      <c r="Q427">
        <v>2.32143E-2</v>
      </c>
      <c r="R427">
        <v>1.8E-5</v>
      </c>
    </row>
    <row r="428" spans="1:18" ht="13.8" outlineLevel="2" x14ac:dyDescent="0.25">
      <c r="A428">
        <v>50554</v>
      </c>
      <c r="B428" t="s">
        <v>482</v>
      </c>
      <c r="C428" t="s">
        <v>486</v>
      </c>
      <c r="D428" s="14" t="s">
        <v>481</v>
      </c>
      <c r="E428" s="12" t="s">
        <v>28</v>
      </c>
      <c r="F428" s="13" t="s">
        <v>29</v>
      </c>
      <c r="G428">
        <v>20</v>
      </c>
      <c r="H428" t="s">
        <v>30</v>
      </c>
      <c r="I428">
        <v>20</v>
      </c>
      <c r="J428" s="15"/>
      <c r="K428" s="16">
        <f>266.81 - (266.81 * $E$1)</f>
        <v>266.81</v>
      </c>
      <c r="L428" s="16">
        <f>218.7 - (218.7 * $E$1)</f>
        <v>218.7</v>
      </c>
      <c r="M428" s="1">
        <v>266.81</v>
      </c>
      <c r="N428" s="1">
        <v>218.7</v>
      </c>
      <c r="O428" s="1">
        <v>226.79</v>
      </c>
      <c r="P428" s="1">
        <v>185.9</v>
      </c>
      <c r="Q428">
        <v>2.5499999999999998E-2</v>
      </c>
      <c r="R428">
        <v>1.47E-5</v>
      </c>
    </row>
    <row r="429" spans="1:18" ht="13.8" outlineLevel="2" x14ac:dyDescent="0.25">
      <c r="A429">
        <v>90834</v>
      </c>
      <c r="B429" t="s">
        <v>479</v>
      </c>
      <c r="C429" t="s">
        <v>487</v>
      </c>
      <c r="D429" s="14" t="s">
        <v>481</v>
      </c>
      <c r="E429" s="12" t="s">
        <v>28</v>
      </c>
      <c r="F429" s="13" t="s">
        <v>29</v>
      </c>
      <c r="G429">
        <v>20</v>
      </c>
      <c r="H429" t="s">
        <v>30</v>
      </c>
      <c r="I429">
        <v>20</v>
      </c>
      <c r="J429" s="15"/>
      <c r="K429" s="16">
        <f>336.12 - (336.12 * $E$1)</f>
        <v>336.12</v>
      </c>
      <c r="L429" s="16">
        <f>275.51 - (275.51 * $E$1)</f>
        <v>275.51</v>
      </c>
      <c r="M429" s="1">
        <v>336.12</v>
      </c>
      <c r="N429" s="1">
        <v>275.51</v>
      </c>
      <c r="O429" s="1">
        <v>285.7</v>
      </c>
      <c r="P429" s="1">
        <v>234.18</v>
      </c>
      <c r="Q429">
        <v>2.79762E-2</v>
      </c>
      <c r="R429">
        <v>1.8E-5</v>
      </c>
    </row>
    <row r="430" spans="1:18" ht="13.8" outlineLevel="2" x14ac:dyDescent="0.25">
      <c r="A430">
        <v>90836</v>
      </c>
      <c r="B430" t="s">
        <v>479</v>
      </c>
      <c r="C430" t="s">
        <v>488</v>
      </c>
      <c r="D430" s="14" t="s">
        <v>481</v>
      </c>
      <c r="E430" s="12" t="s">
        <v>28</v>
      </c>
      <c r="F430" s="13" t="s">
        <v>29</v>
      </c>
      <c r="G430">
        <v>20</v>
      </c>
      <c r="H430" t="s">
        <v>30</v>
      </c>
      <c r="I430">
        <v>20</v>
      </c>
      <c r="J430" s="15"/>
      <c r="K430" s="16">
        <f>325.76 - (325.76 * $E$1)</f>
        <v>325.76</v>
      </c>
      <c r="L430" s="16">
        <f>267.02 - (267.02 * $E$1)</f>
        <v>267.02</v>
      </c>
      <c r="M430" s="1">
        <v>325.76</v>
      </c>
      <c r="N430" s="1">
        <v>267.02</v>
      </c>
      <c r="O430" s="1">
        <v>276.89999999999998</v>
      </c>
      <c r="P430" s="1">
        <v>226.97</v>
      </c>
      <c r="Q430">
        <v>2.9861100000000002E-2</v>
      </c>
      <c r="R430">
        <v>3.6000000000000001E-5</v>
      </c>
    </row>
    <row r="431" spans="1:18" ht="13.8" outlineLevel="2" x14ac:dyDescent="0.25">
      <c r="A431">
        <v>50555</v>
      </c>
      <c r="B431" t="s">
        <v>482</v>
      </c>
      <c r="C431" t="s">
        <v>489</v>
      </c>
      <c r="D431" s="14" t="s">
        <v>481</v>
      </c>
      <c r="E431" s="12" t="s">
        <v>28</v>
      </c>
      <c r="F431" s="13" t="s">
        <v>29</v>
      </c>
      <c r="G431">
        <v>20</v>
      </c>
      <c r="H431" t="s">
        <v>30</v>
      </c>
      <c r="I431">
        <v>20</v>
      </c>
      <c r="J431" s="15"/>
      <c r="K431" s="16">
        <f>358.3 - (358.3 * $E$1)</f>
        <v>358.3</v>
      </c>
      <c r="L431" s="16">
        <f>293.69 - (293.69 * $E$1)</f>
        <v>293.69</v>
      </c>
      <c r="M431" s="1">
        <v>358.3</v>
      </c>
      <c r="N431" s="1">
        <v>293.69</v>
      </c>
      <c r="O431" s="1">
        <v>304.56</v>
      </c>
      <c r="P431" s="1">
        <v>249.64</v>
      </c>
      <c r="Q431">
        <v>3.2500000000000001E-2</v>
      </c>
      <c r="R431">
        <v>1.8899999999999999E-5</v>
      </c>
    </row>
    <row r="432" spans="1:18" ht="13.8" outlineLevel="2" x14ac:dyDescent="0.25">
      <c r="A432">
        <v>90837</v>
      </c>
      <c r="B432" t="s">
        <v>479</v>
      </c>
      <c r="C432" t="s">
        <v>490</v>
      </c>
      <c r="D432" s="14" t="s">
        <v>481</v>
      </c>
      <c r="E432" s="12" t="s">
        <v>28</v>
      </c>
      <c r="F432" s="13" t="s">
        <v>29</v>
      </c>
      <c r="G432">
        <v>20</v>
      </c>
      <c r="H432" t="s">
        <v>30</v>
      </c>
      <c r="I432">
        <v>20</v>
      </c>
      <c r="J432" s="15"/>
      <c r="K432" s="16">
        <f>433.82 - (433.82 * $E$1)</f>
        <v>433.82</v>
      </c>
      <c r="L432" s="16">
        <f>355.59 - (355.59 * $E$1)</f>
        <v>355.59</v>
      </c>
      <c r="M432" s="1">
        <v>433.82</v>
      </c>
      <c r="N432" s="1">
        <v>355.59</v>
      </c>
      <c r="O432" s="1">
        <v>368.75</v>
      </c>
      <c r="P432" s="1">
        <v>302.25</v>
      </c>
      <c r="Q432">
        <v>3.6805549999999999E-2</v>
      </c>
      <c r="R432">
        <v>3.6000000000000001E-5</v>
      </c>
    </row>
    <row r="433" spans="1:18" ht="13.8" outlineLevel="2" x14ac:dyDescent="0.25">
      <c r="A433">
        <v>90839</v>
      </c>
      <c r="B433" t="s">
        <v>479</v>
      </c>
      <c r="C433" t="s">
        <v>491</v>
      </c>
      <c r="D433" s="14" t="s">
        <v>481</v>
      </c>
      <c r="E433" s="12" t="s">
        <v>28</v>
      </c>
      <c r="F433" s="13" t="s">
        <v>29</v>
      </c>
      <c r="G433">
        <v>10</v>
      </c>
      <c r="H433" t="s">
        <v>30</v>
      </c>
      <c r="I433">
        <v>10</v>
      </c>
      <c r="J433" s="15"/>
      <c r="K433" s="16">
        <f>412.57 - (412.57 * $E$1)</f>
        <v>412.57</v>
      </c>
      <c r="L433" s="16">
        <f>338.17 - (338.17 * $E$1)</f>
        <v>338.17</v>
      </c>
      <c r="M433" s="1">
        <v>412.57</v>
      </c>
      <c r="N433" s="1">
        <v>338.17</v>
      </c>
      <c r="O433" s="1">
        <v>350.68</v>
      </c>
      <c r="P433" s="1">
        <v>287.44</v>
      </c>
      <c r="Q433">
        <v>3.7499999999999999E-2</v>
      </c>
      <c r="R433">
        <v>4.0000000000000003E-5</v>
      </c>
    </row>
    <row r="434" spans="1:18" ht="13.8" outlineLevel="2" x14ac:dyDescent="0.25">
      <c r="A434">
        <v>50556</v>
      </c>
      <c r="B434" t="s">
        <v>482</v>
      </c>
      <c r="C434" t="s">
        <v>492</v>
      </c>
      <c r="D434" s="14" t="s">
        <v>481</v>
      </c>
      <c r="E434" s="12" t="s">
        <v>28</v>
      </c>
      <c r="F434" s="13" t="s">
        <v>29</v>
      </c>
      <c r="G434">
        <v>10</v>
      </c>
      <c r="H434" t="s">
        <v>30</v>
      </c>
      <c r="I434">
        <v>10</v>
      </c>
      <c r="J434" s="15"/>
      <c r="K434" s="16">
        <f>462.27 - (462.27 * $E$1)</f>
        <v>462.27</v>
      </c>
      <c r="L434" s="16">
        <f>378.91 - (378.91 * $E$1)</f>
        <v>378.91</v>
      </c>
      <c r="M434" s="1">
        <v>462.27</v>
      </c>
      <c r="N434" s="1">
        <v>378.91</v>
      </c>
      <c r="O434" s="1">
        <v>392.93</v>
      </c>
      <c r="P434" s="1">
        <v>322.07</v>
      </c>
      <c r="Q434">
        <v>4.7600000000000003E-2</v>
      </c>
      <c r="R434">
        <v>3.2400000000000001E-5</v>
      </c>
    </row>
    <row r="435" spans="1:18" ht="13.8" outlineLevel="2" x14ac:dyDescent="0.25">
      <c r="A435">
        <v>90840</v>
      </c>
      <c r="B435" t="s">
        <v>479</v>
      </c>
      <c r="C435" t="s">
        <v>493</v>
      </c>
      <c r="D435" s="14" t="s">
        <v>481</v>
      </c>
      <c r="E435" s="12" t="s">
        <v>28</v>
      </c>
      <c r="F435" s="13" t="s">
        <v>29</v>
      </c>
      <c r="G435">
        <v>10</v>
      </c>
      <c r="H435" t="s">
        <v>30</v>
      </c>
      <c r="I435">
        <v>10</v>
      </c>
      <c r="J435" s="15"/>
      <c r="K435" s="16">
        <f>564.14 - (564.14 * $E$1)</f>
        <v>564.14</v>
      </c>
      <c r="L435" s="16">
        <f>462.41 - (462.41 * $E$1)</f>
        <v>462.41</v>
      </c>
      <c r="M435" s="1">
        <v>564.14</v>
      </c>
      <c r="N435" s="1">
        <v>462.41</v>
      </c>
      <c r="O435" s="1">
        <v>479.52</v>
      </c>
      <c r="P435" s="1">
        <v>393.05</v>
      </c>
      <c r="Q435">
        <v>4.9166700000000001E-2</v>
      </c>
      <c r="R435">
        <v>4.0000000000000003E-5</v>
      </c>
    </row>
    <row r="436" spans="1:18" ht="13.8" outlineLevel="2" x14ac:dyDescent="0.25">
      <c r="A436">
        <v>90842</v>
      </c>
      <c r="B436" t="s">
        <v>479</v>
      </c>
      <c r="C436" t="s">
        <v>494</v>
      </c>
      <c r="D436" s="14" t="s">
        <v>481</v>
      </c>
      <c r="E436" s="12" t="s">
        <v>28</v>
      </c>
      <c r="F436" s="13" t="s">
        <v>29</v>
      </c>
      <c r="G436">
        <v>10</v>
      </c>
      <c r="H436" t="s">
        <v>30</v>
      </c>
      <c r="I436">
        <v>10</v>
      </c>
      <c r="J436" s="15"/>
      <c r="K436" s="16">
        <f>500.9 - (500.9 * $E$1)</f>
        <v>500.9</v>
      </c>
      <c r="L436" s="16">
        <f>410.57 - (410.57 * $E$1)</f>
        <v>410.57</v>
      </c>
      <c r="M436" s="1">
        <v>500.9</v>
      </c>
      <c r="N436" s="1">
        <v>410.57</v>
      </c>
      <c r="O436" s="1">
        <v>425.76</v>
      </c>
      <c r="P436" s="1">
        <v>348.98</v>
      </c>
      <c r="Q436">
        <v>5.4166699999999998E-2</v>
      </c>
      <c r="R436">
        <v>4.3999999999999999E-5</v>
      </c>
    </row>
    <row r="437" spans="1:18" ht="13.8" outlineLevel="2" x14ac:dyDescent="0.25">
      <c r="A437">
        <v>50557</v>
      </c>
      <c r="B437" t="s">
        <v>482</v>
      </c>
      <c r="C437" t="s">
        <v>495</v>
      </c>
      <c r="D437" s="14" t="s">
        <v>481</v>
      </c>
      <c r="E437" s="12" t="s">
        <v>28</v>
      </c>
      <c r="F437" s="13" t="s">
        <v>29</v>
      </c>
      <c r="G437">
        <v>10</v>
      </c>
      <c r="H437" t="s">
        <v>30</v>
      </c>
      <c r="I437">
        <v>10</v>
      </c>
      <c r="J437" s="15"/>
      <c r="K437" s="16">
        <f>577.95 - (577.95 * $E$1)</f>
        <v>577.95000000000005</v>
      </c>
      <c r="L437" s="16">
        <f>473.73 - (473.73 * $E$1)</f>
        <v>473.73</v>
      </c>
      <c r="M437" s="1">
        <v>577.95000000000005</v>
      </c>
      <c r="N437" s="1">
        <v>473.73</v>
      </c>
      <c r="O437" s="1">
        <v>491.26</v>
      </c>
      <c r="P437" s="1">
        <v>402.67</v>
      </c>
      <c r="Q437">
        <v>7.1199999999999999E-2</v>
      </c>
      <c r="R437">
        <v>5.5999999999999999E-5</v>
      </c>
    </row>
    <row r="438" spans="1:18" ht="13.8" outlineLevel="2" x14ac:dyDescent="0.25">
      <c r="A438">
        <v>90843</v>
      </c>
      <c r="B438" t="s">
        <v>479</v>
      </c>
      <c r="C438" t="s">
        <v>496</v>
      </c>
      <c r="D438" s="14" t="s">
        <v>481</v>
      </c>
      <c r="E438" s="12" t="s">
        <v>28</v>
      </c>
      <c r="F438" s="13" t="s">
        <v>29</v>
      </c>
      <c r="G438">
        <v>10</v>
      </c>
      <c r="H438" t="s">
        <v>30</v>
      </c>
      <c r="I438">
        <v>10</v>
      </c>
      <c r="J438" s="15"/>
      <c r="K438" s="16">
        <f>737.93 - (737.93 * $E$1)</f>
        <v>737.93</v>
      </c>
      <c r="L438" s="16">
        <f>604.86 - (604.86 * $E$1)</f>
        <v>604.86</v>
      </c>
      <c r="M438" s="1">
        <v>737.93</v>
      </c>
      <c r="N438" s="1">
        <v>604.86</v>
      </c>
      <c r="O438" s="1">
        <v>627.24</v>
      </c>
      <c r="P438" s="1">
        <v>514.13</v>
      </c>
      <c r="Q438">
        <v>6.5277799999999997E-2</v>
      </c>
      <c r="R438">
        <v>4.3999999999999999E-5</v>
      </c>
    </row>
    <row r="439" spans="1:18" ht="13.8" outlineLevel="2" x14ac:dyDescent="0.25">
      <c r="A439">
        <v>90844</v>
      </c>
      <c r="B439" t="s">
        <v>479</v>
      </c>
      <c r="C439" t="s">
        <v>497</v>
      </c>
      <c r="D439" s="14" t="s">
        <v>481</v>
      </c>
      <c r="E439" s="12" t="s">
        <v>28</v>
      </c>
      <c r="F439" s="13" t="s">
        <v>29</v>
      </c>
      <c r="G439">
        <v>10</v>
      </c>
      <c r="H439" t="s">
        <v>30</v>
      </c>
      <c r="I439">
        <v>10</v>
      </c>
      <c r="J439" s="15"/>
      <c r="K439" s="16">
        <f>653.43 - (653.43 * $E$1)</f>
        <v>653.42999999999995</v>
      </c>
      <c r="L439" s="16">
        <f>535.6 - (535.6 * $E$1)</f>
        <v>535.6</v>
      </c>
      <c r="M439" s="1">
        <v>653.42999999999995</v>
      </c>
      <c r="N439" s="1">
        <v>535.6</v>
      </c>
      <c r="O439" s="1">
        <v>555.41999999999996</v>
      </c>
      <c r="P439" s="1">
        <v>455.26</v>
      </c>
      <c r="Q439">
        <v>7.16667E-2</v>
      </c>
      <c r="R439">
        <v>6.8800000000000005E-5</v>
      </c>
    </row>
    <row r="440" spans="1:18" ht="13.8" outlineLevel="2" x14ac:dyDescent="0.25">
      <c r="A440">
        <v>50558</v>
      </c>
      <c r="B440" t="s">
        <v>482</v>
      </c>
      <c r="C440" t="s">
        <v>498</v>
      </c>
      <c r="D440" s="14" t="s">
        <v>481</v>
      </c>
      <c r="E440" s="12" t="s">
        <v>28</v>
      </c>
      <c r="F440" s="13" t="s">
        <v>29</v>
      </c>
      <c r="G440">
        <v>10</v>
      </c>
      <c r="H440" t="s">
        <v>30</v>
      </c>
      <c r="I440">
        <v>10</v>
      </c>
      <c r="J440" s="15"/>
      <c r="K440" s="16">
        <f>751.3 - (751.3 * $E$1)</f>
        <v>751.3</v>
      </c>
      <c r="L440" s="16">
        <f>615.82 - (615.82 * $E$1)</f>
        <v>615.82000000000005</v>
      </c>
      <c r="M440" s="1">
        <v>751.3</v>
      </c>
      <c r="N440" s="1">
        <v>615.82000000000005</v>
      </c>
      <c r="O440" s="1">
        <v>638.61</v>
      </c>
      <c r="P440" s="1">
        <v>523.45000000000005</v>
      </c>
      <c r="Q440">
        <v>0.09</v>
      </c>
      <c r="R440">
        <v>5.94E-5</v>
      </c>
    </row>
    <row r="441" spans="1:18" ht="13.8" outlineLevel="2" x14ac:dyDescent="0.25">
      <c r="A441">
        <v>90846</v>
      </c>
      <c r="B441" t="s">
        <v>479</v>
      </c>
      <c r="C441" t="s">
        <v>499</v>
      </c>
      <c r="D441" s="14" t="s">
        <v>481</v>
      </c>
      <c r="E441" s="12" t="s">
        <v>28</v>
      </c>
      <c r="F441" s="13" t="s">
        <v>29</v>
      </c>
      <c r="G441">
        <v>10</v>
      </c>
      <c r="H441" t="s">
        <v>30</v>
      </c>
      <c r="I441">
        <v>10</v>
      </c>
      <c r="J441" s="15"/>
      <c r="K441" s="16">
        <f>924 - (924 * $E$1)</f>
        <v>924</v>
      </c>
      <c r="L441" s="16">
        <f>757.38 - (757.38 * $E$1)</f>
        <v>757.38</v>
      </c>
      <c r="M441" s="1">
        <v>924</v>
      </c>
      <c r="N441" s="1">
        <v>757.38</v>
      </c>
      <c r="O441" s="1">
        <v>785.4</v>
      </c>
      <c r="P441" s="1">
        <v>643.77</v>
      </c>
      <c r="Q441">
        <v>9.1666700000000004E-2</v>
      </c>
      <c r="R441">
        <v>6.8800000000000005E-5</v>
      </c>
    </row>
    <row r="442" spans="1:18" ht="13.8" outlineLevel="2" x14ac:dyDescent="0.25">
      <c r="A442">
        <v>90848</v>
      </c>
      <c r="B442" t="s">
        <v>479</v>
      </c>
      <c r="C442" t="s">
        <v>500</v>
      </c>
      <c r="D442" s="14" t="s">
        <v>481</v>
      </c>
      <c r="E442" s="12" t="s">
        <v>28</v>
      </c>
      <c r="F442" s="13" t="s">
        <v>29</v>
      </c>
      <c r="G442">
        <v>10</v>
      </c>
      <c r="H442" t="s">
        <v>30</v>
      </c>
      <c r="I442">
        <v>10</v>
      </c>
      <c r="J442" s="15"/>
      <c r="K442" s="16">
        <f>849.32 - (849.32 * $E$1)</f>
        <v>849.32</v>
      </c>
      <c r="L442" s="16">
        <f>696.16 - (696.16 * $E$1)</f>
        <v>696.16</v>
      </c>
      <c r="M442" s="1">
        <v>849.32</v>
      </c>
      <c r="N442" s="1">
        <v>696.16</v>
      </c>
      <c r="O442" s="1">
        <v>721.92</v>
      </c>
      <c r="P442" s="1">
        <v>591.74</v>
      </c>
      <c r="Q442">
        <v>9.1666700000000004E-2</v>
      </c>
      <c r="R442">
        <v>7.4999999999999993E-5</v>
      </c>
    </row>
    <row r="443" spans="1:18" ht="13.8" outlineLevel="2" x14ac:dyDescent="0.25">
      <c r="A443">
        <v>50559</v>
      </c>
      <c r="B443" t="s">
        <v>482</v>
      </c>
      <c r="C443" t="s">
        <v>501</v>
      </c>
      <c r="D443" s="14" t="s">
        <v>481</v>
      </c>
      <c r="E443" s="12" t="s">
        <v>28</v>
      </c>
      <c r="F443" s="13" t="s">
        <v>29</v>
      </c>
      <c r="G443">
        <v>10</v>
      </c>
      <c r="H443" t="s">
        <v>30</v>
      </c>
      <c r="I443">
        <v>10</v>
      </c>
      <c r="J443" s="15"/>
      <c r="K443" s="16">
        <f>958.92 - (958.92 * $E$1)</f>
        <v>958.92</v>
      </c>
      <c r="L443" s="16">
        <f>786 - (786 * $E$1)</f>
        <v>786</v>
      </c>
      <c r="M443" s="1">
        <v>958.92</v>
      </c>
      <c r="N443" s="1">
        <v>786</v>
      </c>
      <c r="O443" s="1">
        <v>815.08</v>
      </c>
      <c r="P443" s="1">
        <v>668.1</v>
      </c>
      <c r="Q443">
        <v>0.109</v>
      </c>
      <c r="R443">
        <v>6.6099999999999994E-5</v>
      </c>
    </row>
    <row r="444" spans="1:18" ht="13.8" outlineLevel="2" x14ac:dyDescent="0.25">
      <c r="A444">
        <v>90849</v>
      </c>
      <c r="B444" t="s">
        <v>479</v>
      </c>
      <c r="C444" t="s">
        <v>502</v>
      </c>
      <c r="D444" s="14" t="s">
        <v>481</v>
      </c>
      <c r="E444" s="12" t="s">
        <v>28</v>
      </c>
      <c r="G444">
        <v>10</v>
      </c>
      <c r="H444" t="s">
        <v>30</v>
      </c>
      <c r="I444">
        <v>10</v>
      </c>
      <c r="J444" s="15"/>
      <c r="K444" s="16">
        <f>1141.65 - (1141.65 * $E$1)</f>
        <v>1141.6500000000001</v>
      </c>
      <c r="L444" s="16">
        <f>935.78 - (935.78 * $E$1)</f>
        <v>935.78</v>
      </c>
      <c r="M444" s="1">
        <v>1141.6500000000001</v>
      </c>
      <c r="N444" s="1">
        <v>935.78</v>
      </c>
      <c r="O444" s="1">
        <v>970.4</v>
      </c>
      <c r="P444" s="1">
        <v>795.41</v>
      </c>
      <c r="Q444">
        <v>0.1138889</v>
      </c>
      <c r="R444">
        <v>7.4999999999999993E-5</v>
      </c>
    </row>
    <row r="445" spans="1:18" ht="13.8" outlineLevel="2" x14ac:dyDescent="0.25">
      <c r="A445">
        <v>90850</v>
      </c>
      <c r="B445" t="s">
        <v>479</v>
      </c>
      <c r="C445" t="s">
        <v>503</v>
      </c>
      <c r="D445" s="14" t="s">
        <v>481</v>
      </c>
      <c r="E445" s="12" t="s">
        <v>28</v>
      </c>
      <c r="F445" s="13" t="s">
        <v>29</v>
      </c>
      <c r="G445">
        <v>10</v>
      </c>
      <c r="H445" t="s">
        <v>30</v>
      </c>
      <c r="I445">
        <v>10</v>
      </c>
      <c r="J445" s="15"/>
      <c r="K445" s="16">
        <f>1046.26 - (1046.26 * $E$1)</f>
        <v>1046.26</v>
      </c>
      <c r="L445" s="16">
        <f>857.59 - (857.59 * $E$1)</f>
        <v>857.59</v>
      </c>
      <c r="M445" s="1">
        <v>1046.26</v>
      </c>
      <c r="N445" s="1">
        <v>857.59</v>
      </c>
      <c r="O445" s="1">
        <v>889.32</v>
      </c>
      <c r="P445" s="1">
        <v>728.95</v>
      </c>
      <c r="Q445">
        <v>0.11944440000000001</v>
      </c>
      <c r="R445">
        <v>1.08E-4</v>
      </c>
    </row>
    <row r="446" spans="1:18" ht="13.8" outlineLevel="2" x14ac:dyDescent="0.25">
      <c r="A446">
        <v>50560</v>
      </c>
      <c r="B446" t="s">
        <v>482</v>
      </c>
      <c r="C446" t="s">
        <v>504</v>
      </c>
      <c r="D446" s="14" t="s">
        <v>481</v>
      </c>
      <c r="E446" s="12" t="s">
        <v>28</v>
      </c>
      <c r="F446" s="13" t="s">
        <v>29</v>
      </c>
      <c r="G446">
        <v>10</v>
      </c>
      <c r="H446" t="s">
        <v>30</v>
      </c>
      <c r="I446">
        <v>10</v>
      </c>
      <c r="J446" s="15"/>
      <c r="K446" s="16">
        <f>1178.15 - (1178.15 * $E$1)</f>
        <v>1178.1500000000001</v>
      </c>
      <c r="L446" s="16">
        <f>965.7 - (965.7 * $E$1)</f>
        <v>965.7</v>
      </c>
      <c r="M446" s="1">
        <v>1178.1500000000001</v>
      </c>
      <c r="N446" s="1">
        <v>965.7</v>
      </c>
      <c r="O446" s="1">
        <v>1001.43</v>
      </c>
      <c r="P446" s="1">
        <v>820.85</v>
      </c>
      <c r="Q446">
        <v>0.14199999999999999</v>
      </c>
      <c r="R446">
        <v>1.013E-4</v>
      </c>
    </row>
    <row r="447" spans="1:18" ht="13.8" outlineLevel="2" x14ac:dyDescent="0.25">
      <c r="A447">
        <v>90851</v>
      </c>
      <c r="B447" t="s">
        <v>479</v>
      </c>
      <c r="C447" t="s">
        <v>505</v>
      </c>
      <c r="D447" s="14" t="s">
        <v>481</v>
      </c>
      <c r="E447" s="12" t="s">
        <v>28</v>
      </c>
      <c r="F447" s="13" t="s">
        <v>29</v>
      </c>
      <c r="G447">
        <v>10</v>
      </c>
      <c r="H447" t="s">
        <v>30</v>
      </c>
      <c r="I447">
        <v>10</v>
      </c>
      <c r="J447" s="15"/>
      <c r="K447" s="16">
        <f>1445.58 - (1445.58 * $E$1)</f>
        <v>1445.58</v>
      </c>
      <c r="L447" s="16">
        <f>1184.9 - (1184.9 * $E$1)</f>
        <v>1184.9000000000001</v>
      </c>
      <c r="M447" s="1">
        <v>1445.58</v>
      </c>
      <c r="N447" s="1">
        <v>1184.9000000000001</v>
      </c>
      <c r="O447" s="1">
        <v>1228.74</v>
      </c>
      <c r="P447" s="1">
        <v>1007.17</v>
      </c>
      <c r="Q447">
        <v>0.14166670000000001</v>
      </c>
      <c r="R447">
        <v>1.08E-4</v>
      </c>
    </row>
    <row r="448" spans="1:18" ht="13.8" outlineLevel="2" x14ac:dyDescent="0.25">
      <c r="A448">
        <v>90852</v>
      </c>
      <c r="B448" t="s">
        <v>479</v>
      </c>
      <c r="C448" t="s">
        <v>506</v>
      </c>
      <c r="D448" s="14" t="s">
        <v>481</v>
      </c>
      <c r="E448" s="12" t="s">
        <v>28</v>
      </c>
      <c r="F448" s="13" t="s">
        <v>29</v>
      </c>
      <c r="G448">
        <v>10</v>
      </c>
      <c r="H448" t="s">
        <v>30</v>
      </c>
      <c r="I448">
        <v>10</v>
      </c>
      <c r="J448" s="15"/>
      <c r="K448" s="16">
        <f>1360.86 - (1360.86 * $E$1)</f>
        <v>1360.86</v>
      </c>
      <c r="L448" s="16">
        <f>1115.46 - (1115.46 * $E$1)</f>
        <v>1115.46</v>
      </c>
      <c r="M448" s="1">
        <v>1360.86</v>
      </c>
      <c r="N448" s="1">
        <v>1115.46</v>
      </c>
      <c r="O448" s="1">
        <v>1156.73</v>
      </c>
      <c r="P448" s="1">
        <v>948.14</v>
      </c>
      <c r="Q448">
        <v>0.1458333</v>
      </c>
      <c r="R448">
        <v>1.17E-4</v>
      </c>
    </row>
    <row r="449" spans="1:18" ht="13.8" outlineLevel="2" x14ac:dyDescent="0.25">
      <c r="A449">
        <v>51027</v>
      </c>
      <c r="B449" t="s">
        <v>482</v>
      </c>
      <c r="C449" t="s">
        <v>507</v>
      </c>
      <c r="D449" s="14" t="s">
        <v>481</v>
      </c>
      <c r="E449" s="12" t="s">
        <v>28</v>
      </c>
      <c r="F449" s="13" t="s">
        <v>29</v>
      </c>
      <c r="G449">
        <v>10</v>
      </c>
      <c r="H449" t="s">
        <v>30</v>
      </c>
      <c r="I449">
        <v>10</v>
      </c>
      <c r="J449" s="15"/>
      <c r="K449" s="16">
        <f>1502.59 - (1502.59 * $E$1)</f>
        <v>1502.59</v>
      </c>
      <c r="L449" s="16">
        <f>1231.63 - (1231.63 * $E$1)</f>
        <v>1231.6300000000001</v>
      </c>
      <c r="M449" s="1">
        <v>1502.59</v>
      </c>
      <c r="N449" s="1">
        <v>1231.6300000000001</v>
      </c>
      <c r="O449" s="1">
        <v>1277.2</v>
      </c>
      <c r="P449" s="1">
        <v>1046.8900000000001</v>
      </c>
      <c r="Q449">
        <v>0.1714</v>
      </c>
      <c r="R449">
        <v>1.176E-4</v>
      </c>
    </row>
    <row r="450" spans="1:18" ht="13.8" outlineLevel="2" x14ac:dyDescent="0.25">
      <c r="A450">
        <v>90853</v>
      </c>
      <c r="B450" t="s">
        <v>479</v>
      </c>
      <c r="C450" t="s">
        <v>508</v>
      </c>
      <c r="D450" s="14" t="s">
        <v>481</v>
      </c>
      <c r="E450" s="12" t="s">
        <v>28</v>
      </c>
      <c r="F450" s="13" t="s">
        <v>29</v>
      </c>
      <c r="G450">
        <v>10</v>
      </c>
      <c r="H450" t="s">
        <v>30</v>
      </c>
      <c r="I450">
        <v>10</v>
      </c>
      <c r="J450" s="15"/>
      <c r="K450" s="16">
        <f>1792.72 - (1792.72 * $E$1)</f>
        <v>1792.72</v>
      </c>
      <c r="L450" s="16">
        <f>1469.44 - (1469.44 * $E$1)</f>
        <v>1469.44</v>
      </c>
      <c r="M450" s="1">
        <v>1792.72</v>
      </c>
      <c r="N450" s="1">
        <v>1469.44</v>
      </c>
      <c r="O450" s="1">
        <v>1523.81</v>
      </c>
      <c r="P450" s="1">
        <v>1249.02</v>
      </c>
      <c r="Q450">
        <v>0.17083329999999999</v>
      </c>
      <c r="R450">
        <v>1.17E-4</v>
      </c>
    </row>
    <row r="451" spans="1:18" ht="13.8" outlineLevel="2" x14ac:dyDescent="0.25">
      <c r="A451">
        <v>90854</v>
      </c>
      <c r="B451" t="s">
        <v>479</v>
      </c>
      <c r="C451" t="s">
        <v>509</v>
      </c>
      <c r="D451" s="14" t="s">
        <v>481</v>
      </c>
      <c r="E451" s="12" t="s">
        <v>28</v>
      </c>
      <c r="F451" s="13" t="s">
        <v>29</v>
      </c>
      <c r="G451">
        <v>10</v>
      </c>
      <c r="H451" t="s">
        <v>30</v>
      </c>
      <c r="I451">
        <v>10</v>
      </c>
      <c r="J451" s="15"/>
      <c r="K451" s="16">
        <f>1609.55 - (1609.55 * $E$1)</f>
        <v>1609.55</v>
      </c>
      <c r="L451" s="16">
        <f>1319.3 - (1319.3 * $E$1)</f>
        <v>1319.3</v>
      </c>
      <c r="M451" s="1">
        <v>1609.55</v>
      </c>
      <c r="N451" s="1">
        <v>1319.3</v>
      </c>
      <c r="O451" s="1">
        <v>1368.11</v>
      </c>
      <c r="P451" s="1">
        <v>1121.4100000000001</v>
      </c>
      <c r="Q451">
        <v>0.16250000000000001</v>
      </c>
      <c r="R451">
        <v>1.7149999999999999E-4</v>
      </c>
    </row>
    <row r="452" spans="1:18" ht="13.8" outlineLevel="2" x14ac:dyDescent="0.25">
      <c r="A452">
        <v>51028</v>
      </c>
      <c r="B452" t="s">
        <v>482</v>
      </c>
      <c r="C452" t="s">
        <v>510</v>
      </c>
      <c r="D452" s="14" t="s">
        <v>481</v>
      </c>
      <c r="E452" s="12" t="s">
        <v>28</v>
      </c>
      <c r="F452" s="13" t="s">
        <v>29</v>
      </c>
      <c r="G452">
        <v>10</v>
      </c>
      <c r="H452" t="s">
        <v>30</v>
      </c>
      <c r="I452">
        <v>10</v>
      </c>
      <c r="J452" s="15"/>
      <c r="K452" s="16">
        <f>1799.37 - (1799.37 * $E$1)</f>
        <v>1799.37</v>
      </c>
      <c r="L452" s="16">
        <f>1474.89 - (1474.89 * $E$1)</f>
        <v>1474.89</v>
      </c>
      <c r="M452" s="1">
        <v>1799.37</v>
      </c>
      <c r="N452" s="1">
        <v>1474.89</v>
      </c>
      <c r="O452" s="1">
        <v>1529.46</v>
      </c>
      <c r="P452" s="1">
        <v>1253.6600000000001</v>
      </c>
      <c r="Q452">
        <v>0.23619999999999999</v>
      </c>
      <c r="R452">
        <v>1.428E-4</v>
      </c>
    </row>
    <row r="453" spans="1:18" ht="13.8" outlineLevel="2" x14ac:dyDescent="0.25">
      <c r="A453">
        <v>90855</v>
      </c>
      <c r="B453" t="s">
        <v>479</v>
      </c>
      <c r="C453" t="s">
        <v>511</v>
      </c>
      <c r="D453" s="14" t="s">
        <v>481</v>
      </c>
      <c r="E453" s="12" t="s">
        <v>28</v>
      </c>
      <c r="F453" s="13" t="s">
        <v>29</v>
      </c>
      <c r="G453">
        <v>10</v>
      </c>
      <c r="H453" t="s">
        <v>30</v>
      </c>
      <c r="I453">
        <v>10</v>
      </c>
      <c r="J453" s="15"/>
      <c r="K453" s="16">
        <f>2477.17 - (2477.17 * $E$1)</f>
        <v>2477.17</v>
      </c>
      <c r="L453" s="16">
        <f>2030.47 - (2030.47 * $E$1)</f>
        <v>2030.47</v>
      </c>
      <c r="M453" s="1">
        <v>2477.17</v>
      </c>
      <c r="N453" s="1">
        <v>2030.47</v>
      </c>
      <c r="O453" s="1">
        <v>2105.6</v>
      </c>
      <c r="P453" s="1">
        <v>1725.9</v>
      </c>
      <c r="Q453">
        <v>0.23749999999999999</v>
      </c>
      <c r="R453">
        <v>1.7149999999999999E-4</v>
      </c>
    </row>
    <row r="454" spans="1:18" ht="13.8" outlineLevel="2" x14ac:dyDescent="0.25">
      <c r="A454">
        <v>90856</v>
      </c>
      <c r="B454" t="s">
        <v>479</v>
      </c>
      <c r="C454" t="s">
        <v>512</v>
      </c>
      <c r="D454" s="14" t="s">
        <v>481</v>
      </c>
      <c r="E454" s="12" t="s">
        <v>28</v>
      </c>
      <c r="F454" s="13" t="s">
        <v>29</v>
      </c>
      <c r="G454">
        <v>4</v>
      </c>
      <c r="H454" t="s">
        <v>30</v>
      </c>
      <c r="I454">
        <v>4</v>
      </c>
      <c r="J454" s="15"/>
      <c r="K454" s="16">
        <f>2072.04 - (2072.04 * $E$1)</f>
        <v>2072.04</v>
      </c>
      <c r="L454" s="16">
        <f>1698.39 - (1698.39 * $E$1)</f>
        <v>1698.39</v>
      </c>
      <c r="M454" s="1">
        <v>2072.04</v>
      </c>
      <c r="N454" s="1">
        <v>1698.39</v>
      </c>
      <c r="O454" s="1">
        <v>1761.23</v>
      </c>
      <c r="P454" s="1">
        <v>1443.63</v>
      </c>
      <c r="Q454">
        <v>0.24305550000000001</v>
      </c>
      <c r="R454">
        <v>5.9999999999999995E-4</v>
      </c>
    </row>
    <row r="455" spans="1:18" ht="13.8" outlineLevel="2" x14ac:dyDescent="0.25">
      <c r="A455">
        <v>90857</v>
      </c>
      <c r="B455" t="s">
        <v>479</v>
      </c>
      <c r="C455" t="s">
        <v>513</v>
      </c>
      <c r="D455" s="14" t="s">
        <v>481</v>
      </c>
      <c r="E455" s="12" t="s">
        <v>28</v>
      </c>
      <c r="F455" s="13" t="s">
        <v>29</v>
      </c>
      <c r="G455">
        <v>4</v>
      </c>
      <c r="H455" t="s">
        <v>30</v>
      </c>
      <c r="I455">
        <v>4</v>
      </c>
      <c r="J455" s="15"/>
      <c r="K455" s="16">
        <f>2559.97 - (2559.97 * $E$1)</f>
        <v>2559.9699999999998</v>
      </c>
      <c r="L455" s="16">
        <f>2098.34 - (2098.34 * $E$1)</f>
        <v>2098.34</v>
      </c>
      <c r="M455" s="1">
        <v>2559.9699999999998</v>
      </c>
      <c r="N455" s="1">
        <v>2098.34</v>
      </c>
      <c r="O455" s="1">
        <v>2175.98</v>
      </c>
      <c r="P455" s="1">
        <v>1783.59</v>
      </c>
      <c r="Q455">
        <v>0.28472225000000001</v>
      </c>
      <c r="R455">
        <v>5.9999999999999995E-4</v>
      </c>
    </row>
    <row r="456" spans="1:18" ht="13.8" outlineLevel="2" x14ac:dyDescent="0.25">
      <c r="A456">
        <v>90858</v>
      </c>
      <c r="B456" t="s">
        <v>479</v>
      </c>
      <c r="C456" t="s">
        <v>514</v>
      </c>
      <c r="D456" s="14" t="s">
        <v>481</v>
      </c>
      <c r="E456" s="12" t="s">
        <v>28</v>
      </c>
      <c r="F456" s="13" t="s">
        <v>29</v>
      </c>
      <c r="G456">
        <v>4</v>
      </c>
      <c r="H456" t="s">
        <v>30</v>
      </c>
      <c r="I456">
        <v>4</v>
      </c>
      <c r="J456" s="15"/>
      <c r="K456" s="16">
        <f>3466.94 - (3466.94 * $E$1)</f>
        <v>3466.94</v>
      </c>
      <c r="L456" s="16">
        <f>2841.75 - (2841.75 * $E$1)</f>
        <v>2841.75</v>
      </c>
      <c r="M456" s="1">
        <v>3466.94</v>
      </c>
      <c r="N456" s="1">
        <v>2841.75</v>
      </c>
      <c r="O456" s="1">
        <v>2946.89</v>
      </c>
      <c r="P456" s="1">
        <v>2415.4899999999998</v>
      </c>
      <c r="Q456">
        <v>0.32638899999999998</v>
      </c>
      <c r="R456">
        <v>5.9999999999999995E-4</v>
      </c>
    </row>
    <row r="457" spans="1:18" ht="13.8" outlineLevel="2" x14ac:dyDescent="0.25">
      <c r="A457">
        <v>81985</v>
      </c>
      <c r="B457" t="s">
        <v>515</v>
      </c>
      <c r="C457" t="s">
        <v>516</v>
      </c>
      <c r="D457" s="14" t="s">
        <v>517</v>
      </c>
      <c r="E457" s="12" t="s">
        <v>28</v>
      </c>
      <c r="F457" s="13" t="s">
        <v>29</v>
      </c>
      <c r="G457">
        <v>5</v>
      </c>
      <c r="H457" t="s">
        <v>30</v>
      </c>
      <c r="I457">
        <v>5</v>
      </c>
      <c r="J457" s="15"/>
      <c r="K457" s="16">
        <f>331.99 - (331.99 * $E$1)</f>
        <v>331.99</v>
      </c>
      <c r="L457" s="16">
        <f>272.12 - (272.12 * $E$1)</f>
        <v>272.12</v>
      </c>
      <c r="M457" s="1">
        <v>331.99</v>
      </c>
      <c r="N457" s="1">
        <v>272.12</v>
      </c>
      <c r="O457" s="1">
        <v>282.19</v>
      </c>
      <c r="P457" s="1">
        <v>231.3</v>
      </c>
      <c r="Q457">
        <v>1.4E-2</v>
      </c>
      <c r="R457">
        <v>1.8E-5</v>
      </c>
    </row>
    <row r="458" spans="1:18" ht="13.8" outlineLevel="2" x14ac:dyDescent="0.25">
      <c r="A458">
        <v>81986</v>
      </c>
      <c r="B458" t="s">
        <v>515</v>
      </c>
      <c r="C458" t="s">
        <v>518</v>
      </c>
      <c r="D458" s="14" t="s">
        <v>517</v>
      </c>
      <c r="E458" s="12" t="s">
        <v>28</v>
      </c>
      <c r="F458" s="13" t="s">
        <v>29</v>
      </c>
      <c r="G458">
        <v>5</v>
      </c>
      <c r="H458" t="s">
        <v>30</v>
      </c>
      <c r="I458">
        <v>5</v>
      </c>
      <c r="J458" s="15"/>
      <c r="K458" s="16">
        <f>331.99 - (331.99 * $E$1)</f>
        <v>331.99</v>
      </c>
      <c r="L458" s="16">
        <f>272.12 - (272.12 * $E$1)</f>
        <v>272.12</v>
      </c>
      <c r="M458" s="1">
        <v>331.99</v>
      </c>
      <c r="N458" s="1">
        <v>272.12</v>
      </c>
      <c r="O458" s="1">
        <v>282.19</v>
      </c>
      <c r="P458" s="1">
        <v>231.3</v>
      </c>
      <c r="Q458">
        <v>0.02</v>
      </c>
      <c r="R458">
        <v>3.8399999999999998E-5</v>
      </c>
    </row>
    <row r="459" spans="1:18" ht="13.8" outlineLevel="2" x14ac:dyDescent="0.25">
      <c r="A459">
        <v>81987</v>
      </c>
      <c r="B459" t="s">
        <v>515</v>
      </c>
      <c r="C459" t="s">
        <v>519</v>
      </c>
      <c r="D459" s="14" t="s">
        <v>517</v>
      </c>
      <c r="E459" s="12" t="s">
        <v>28</v>
      </c>
      <c r="F459" s="13" t="s">
        <v>29</v>
      </c>
      <c r="G459">
        <v>5</v>
      </c>
      <c r="H459" t="s">
        <v>30</v>
      </c>
      <c r="I459">
        <v>5</v>
      </c>
      <c r="J459" s="15"/>
      <c r="K459" s="16">
        <f>383.85 - (383.85 * $E$1)</f>
        <v>383.85</v>
      </c>
      <c r="L459" s="16">
        <f>314.63 - (314.63 * $E$1)</f>
        <v>314.63</v>
      </c>
      <c r="M459" s="1">
        <v>383.85</v>
      </c>
      <c r="N459" s="1">
        <v>314.63</v>
      </c>
      <c r="O459" s="1">
        <v>326.27</v>
      </c>
      <c r="P459" s="1">
        <v>267.44</v>
      </c>
      <c r="Q459">
        <v>0.04</v>
      </c>
      <c r="R459">
        <v>4.8000000000000001E-5</v>
      </c>
    </row>
    <row r="460" spans="1:18" ht="13.8" outlineLevel="2" x14ac:dyDescent="0.25">
      <c r="A460">
        <v>81988</v>
      </c>
      <c r="B460" t="s">
        <v>515</v>
      </c>
      <c r="C460" t="s">
        <v>520</v>
      </c>
      <c r="D460" s="14" t="s">
        <v>517</v>
      </c>
      <c r="E460" s="12" t="s">
        <v>28</v>
      </c>
      <c r="F460" s="13" t="s">
        <v>29</v>
      </c>
      <c r="G460">
        <v>5</v>
      </c>
      <c r="H460" t="s">
        <v>30</v>
      </c>
      <c r="I460">
        <v>5</v>
      </c>
      <c r="J460" s="15"/>
      <c r="K460" s="16">
        <f>448.11 - (448.11 * $E$1)</f>
        <v>448.11</v>
      </c>
      <c r="L460" s="16">
        <f>367.3 - (367.3 * $E$1)</f>
        <v>367.3</v>
      </c>
      <c r="M460" s="1">
        <v>448.11</v>
      </c>
      <c r="N460" s="1">
        <v>367.3</v>
      </c>
      <c r="O460" s="1">
        <v>380.89</v>
      </c>
      <c r="P460" s="1">
        <v>312.20999999999998</v>
      </c>
      <c r="Q460">
        <v>3.2000000000000001E-2</v>
      </c>
      <c r="R460">
        <v>2.8799999999999999E-5</v>
      </c>
    </row>
    <row r="461" spans="1:18" ht="13.8" outlineLevel="2" x14ac:dyDescent="0.25">
      <c r="A461">
        <v>89234</v>
      </c>
      <c r="B461" t="s">
        <v>521</v>
      </c>
      <c r="C461" t="s">
        <v>522</v>
      </c>
      <c r="D461" s="14" t="s">
        <v>517</v>
      </c>
      <c r="E461" s="12" t="s">
        <v>28</v>
      </c>
      <c r="F461" s="13" t="s">
        <v>29</v>
      </c>
      <c r="G461">
        <v>5</v>
      </c>
      <c r="H461" t="s">
        <v>30</v>
      </c>
      <c r="I461">
        <v>5</v>
      </c>
      <c r="J461" s="15"/>
      <c r="K461" s="16">
        <f>594.15 - (594.15 * $E$1)</f>
        <v>594.15</v>
      </c>
      <c r="L461" s="16">
        <f>487.01 - (487.01 * $E$1)</f>
        <v>487.01</v>
      </c>
      <c r="M461" s="1">
        <v>594.15</v>
      </c>
      <c r="N461" s="1">
        <v>487.01</v>
      </c>
      <c r="O461" s="1">
        <v>505.03</v>
      </c>
      <c r="P461" s="1">
        <v>413.96</v>
      </c>
      <c r="Q461">
        <v>4.8000000000000001E-2</v>
      </c>
      <c r="R461">
        <v>4.0000000000000003E-5</v>
      </c>
    </row>
    <row r="462" spans="1:18" ht="13.8" outlineLevel="2" x14ac:dyDescent="0.25">
      <c r="A462">
        <v>89235</v>
      </c>
      <c r="B462" t="s">
        <v>521</v>
      </c>
      <c r="C462" t="s">
        <v>523</v>
      </c>
      <c r="D462" s="14" t="s">
        <v>517</v>
      </c>
      <c r="E462" s="12" t="s">
        <v>28</v>
      </c>
      <c r="F462" s="13" t="s">
        <v>29</v>
      </c>
      <c r="G462">
        <v>5</v>
      </c>
      <c r="H462" t="s">
        <v>30</v>
      </c>
      <c r="I462">
        <v>5</v>
      </c>
      <c r="J462" s="15"/>
      <c r="K462" s="16">
        <f>826.16 - (826.16 * $E$1)</f>
        <v>826.16</v>
      </c>
      <c r="L462" s="16">
        <f>677.18 - (677.18 * $E$1)</f>
        <v>677.18</v>
      </c>
      <c r="M462" s="1">
        <v>826.16</v>
      </c>
      <c r="N462" s="1">
        <v>677.18</v>
      </c>
      <c r="O462" s="1">
        <v>702.24</v>
      </c>
      <c r="P462" s="1">
        <v>575.6</v>
      </c>
      <c r="Q462">
        <v>7.1999999999999995E-2</v>
      </c>
      <c r="R462">
        <v>5.7599999999999997E-5</v>
      </c>
    </row>
    <row r="463" spans="1:18" ht="13.8" outlineLevel="2" x14ac:dyDescent="0.25">
      <c r="A463">
        <v>89236</v>
      </c>
      <c r="B463" t="s">
        <v>521</v>
      </c>
      <c r="C463" t="s">
        <v>524</v>
      </c>
      <c r="D463" s="14" t="s">
        <v>517</v>
      </c>
      <c r="E463" s="12" t="s">
        <v>28</v>
      </c>
      <c r="F463" s="13" t="s">
        <v>29</v>
      </c>
      <c r="G463">
        <v>5</v>
      </c>
      <c r="H463" t="s">
        <v>30</v>
      </c>
      <c r="I463">
        <v>5</v>
      </c>
      <c r="J463" s="15"/>
      <c r="K463" s="16">
        <f>948.25 - (948.25 * $E$1)</f>
        <v>948.25</v>
      </c>
      <c r="L463" s="16">
        <f>777.25 - (777.25 * $E$1)</f>
        <v>777.25</v>
      </c>
      <c r="M463" s="1">
        <v>948.25</v>
      </c>
      <c r="N463" s="1">
        <v>777.25</v>
      </c>
      <c r="O463" s="1">
        <v>806.01</v>
      </c>
      <c r="P463" s="1">
        <v>660.66</v>
      </c>
      <c r="Q463">
        <v>8.7999999999999995E-2</v>
      </c>
      <c r="R463">
        <v>7.1600000000000006E-5</v>
      </c>
    </row>
    <row r="464" spans="1:18" ht="13.8" outlineLevel="2" x14ac:dyDescent="0.25">
      <c r="A464">
        <v>89237</v>
      </c>
      <c r="B464" t="s">
        <v>521</v>
      </c>
      <c r="C464" t="s">
        <v>525</v>
      </c>
      <c r="D464" s="14" t="s">
        <v>517</v>
      </c>
      <c r="E464" s="12" t="s">
        <v>28</v>
      </c>
      <c r="F464" s="13" t="s">
        <v>29</v>
      </c>
      <c r="G464">
        <v>5</v>
      </c>
      <c r="H464" t="s">
        <v>30</v>
      </c>
      <c r="I464">
        <v>5</v>
      </c>
      <c r="J464" s="15"/>
      <c r="K464" s="16">
        <f>1156.6 - (1156.6 * $E$1)</f>
        <v>1156.5999999999999</v>
      </c>
      <c r="L464" s="16">
        <f>948.03 - (948.03 * $E$1)</f>
        <v>948.03</v>
      </c>
      <c r="M464" s="1">
        <v>1156.5999999999999</v>
      </c>
      <c r="N464" s="1">
        <v>948.03</v>
      </c>
      <c r="O464" s="1">
        <v>983.11</v>
      </c>
      <c r="P464" s="1">
        <v>805.83</v>
      </c>
      <c r="Q464">
        <v>0.10199999999999999</v>
      </c>
      <c r="R464">
        <v>9.0799999999999998E-5</v>
      </c>
    </row>
    <row r="465" spans="1:18" ht="13.8" outlineLevel="2" x14ac:dyDescent="0.25">
      <c r="A465">
        <v>89238</v>
      </c>
      <c r="B465" t="s">
        <v>521</v>
      </c>
      <c r="C465" t="s">
        <v>526</v>
      </c>
      <c r="D465" s="14" t="s">
        <v>517</v>
      </c>
      <c r="E465" s="12" t="s">
        <v>28</v>
      </c>
      <c r="F465" s="13" t="s">
        <v>29</v>
      </c>
      <c r="G465">
        <v>5</v>
      </c>
      <c r="H465" t="s">
        <v>30</v>
      </c>
      <c r="I465">
        <v>5</v>
      </c>
      <c r="J465" s="15"/>
      <c r="K465" s="16">
        <f>1456.89 - (1456.89 * $E$1)</f>
        <v>1456.89</v>
      </c>
      <c r="L465" s="16">
        <f>1194.17 - (1194.17 * $E$1)</f>
        <v>1194.17</v>
      </c>
      <c r="M465" s="1">
        <v>1456.89</v>
      </c>
      <c r="N465" s="1">
        <v>1194.17</v>
      </c>
      <c r="O465" s="1">
        <v>1238.3499999999999</v>
      </c>
      <c r="P465" s="1">
        <v>1015.04</v>
      </c>
      <c r="Q465">
        <v>0.13600000000000001</v>
      </c>
      <c r="R465">
        <v>1.17E-4</v>
      </c>
    </row>
    <row r="466" spans="1:18" ht="13.8" outlineLevel="2" x14ac:dyDescent="0.25">
      <c r="A466">
        <v>89239</v>
      </c>
      <c r="B466" t="s">
        <v>521</v>
      </c>
      <c r="C466" t="s">
        <v>527</v>
      </c>
      <c r="D466" s="14" t="s">
        <v>517</v>
      </c>
      <c r="E466" s="12" t="s">
        <v>28</v>
      </c>
      <c r="F466" s="13" t="s">
        <v>29</v>
      </c>
      <c r="G466">
        <v>5</v>
      </c>
      <c r="H466" t="s">
        <v>30</v>
      </c>
      <c r="I466">
        <v>5</v>
      </c>
      <c r="J466" s="15"/>
      <c r="K466" s="16">
        <f>1831.5 - (1831.5 * $E$1)</f>
        <v>1831.5</v>
      </c>
      <c r="L466" s="16">
        <f>1501.23 - (1501.23 * $E$1)</f>
        <v>1501.23</v>
      </c>
      <c r="M466" s="1">
        <v>1831.5</v>
      </c>
      <c r="N466" s="1">
        <v>1501.23</v>
      </c>
      <c r="O466" s="1">
        <v>1556.78</v>
      </c>
      <c r="P466" s="1">
        <v>1276.05</v>
      </c>
      <c r="Q466">
        <v>0.20399999999999999</v>
      </c>
      <c r="R466">
        <v>1.6660000000000001E-4</v>
      </c>
    </row>
    <row r="467" spans="1:18" ht="13.8" outlineLevel="2" x14ac:dyDescent="0.25">
      <c r="A467">
        <v>91877</v>
      </c>
      <c r="B467" t="s">
        <v>521</v>
      </c>
      <c r="C467" t="s">
        <v>528</v>
      </c>
      <c r="D467" s="14" t="s">
        <v>529</v>
      </c>
      <c r="E467" s="12" t="s">
        <v>28</v>
      </c>
      <c r="F467" s="13" t="s">
        <v>29</v>
      </c>
      <c r="G467">
        <v>50</v>
      </c>
      <c r="H467" t="s">
        <v>30</v>
      </c>
      <c r="I467">
        <v>50</v>
      </c>
      <c r="J467" s="15"/>
      <c r="K467" s="16">
        <f>168.69 - (168.69 * $E$1)</f>
        <v>168.69</v>
      </c>
      <c r="L467" s="16">
        <f>138.27 - (138.27 * $E$1)</f>
        <v>138.27000000000001</v>
      </c>
      <c r="M467" s="1">
        <v>168.69</v>
      </c>
      <c r="N467" s="1">
        <v>138.27000000000001</v>
      </c>
      <c r="O467" s="1">
        <v>143.38999999999999</v>
      </c>
      <c r="P467" s="1">
        <v>117.53</v>
      </c>
      <c r="Q467">
        <v>7.92E-3</v>
      </c>
      <c r="R467">
        <v>9.2799999999999992E-6</v>
      </c>
    </row>
    <row r="468" spans="1:18" ht="13.8" outlineLevel="2" x14ac:dyDescent="0.25">
      <c r="A468">
        <v>91878</v>
      </c>
      <c r="B468" t="s">
        <v>521</v>
      </c>
      <c r="C468" t="s">
        <v>530</v>
      </c>
      <c r="D468" s="14" t="s">
        <v>529</v>
      </c>
      <c r="E468" s="12" t="s">
        <v>28</v>
      </c>
      <c r="F468" s="13" t="s">
        <v>29</v>
      </c>
      <c r="G468">
        <v>50</v>
      </c>
      <c r="H468" t="s">
        <v>30</v>
      </c>
      <c r="I468">
        <v>50</v>
      </c>
      <c r="J468" s="15"/>
      <c r="K468" s="16">
        <f>188.86 - (188.86 * $E$1)</f>
        <v>188.86</v>
      </c>
      <c r="L468" s="16">
        <f>154.8 - (154.8 * $E$1)</f>
        <v>154.80000000000001</v>
      </c>
      <c r="M468" s="1">
        <v>188.86</v>
      </c>
      <c r="N468" s="1">
        <v>154.80000000000001</v>
      </c>
      <c r="O468" s="1">
        <v>160.53</v>
      </c>
      <c r="P468" s="1">
        <v>131.58000000000001</v>
      </c>
      <c r="Q468">
        <v>8.94E-3</v>
      </c>
      <c r="R468">
        <v>9.2799999999999992E-6</v>
      </c>
    </row>
    <row r="469" spans="1:18" ht="13.8" outlineLevel="2" x14ac:dyDescent="0.25">
      <c r="A469">
        <v>91879</v>
      </c>
      <c r="B469" t="s">
        <v>521</v>
      </c>
      <c r="C469" t="s">
        <v>531</v>
      </c>
      <c r="D469" s="14" t="s">
        <v>529</v>
      </c>
      <c r="E469" s="12" t="s">
        <v>28</v>
      </c>
      <c r="F469" s="13" t="s">
        <v>29</v>
      </c>
      <c r="G469">
        <v>50</v>
      </c>
      <c r="H469" t="s">
        <v>30</v>
      </c>
      <c r="I469">
        <v>50</v>
      </c>
      <c r="J469" s="15"/>
      <c r="K469" s="16">
        <f>204.53 - (204.53 * $E$1)</f>
        <v>204.53</v>
      </c>
      <c r="L469" s="16">
        <f>167.65 - (167.65 * $E$1)</f>
        <v>167.65</v>
      </c>
      <c r="M469" s="1">
        <v>204.53</v>
      </c>
      <c r="N469" s="1">
        <v>167.65</v>
      </c>
      <c r="O469" s="1">
        <v>173.85</v>
      </c>
      <c r="P469" s="1">
        <v>142.5</v>
      </c>
      <c r="Q469">
        <v>9.8799999999999999E-3</v>
      </c>
      <c r="R469">
        <v>8.6999999999999997E-6</v>
      </c>
    </row>
    <row r="470" spans="1:18" ht="13.8" outlineLevel="2" x14ac:dyDescent="0.25">
      <c r="A470">
        <v>91880</v>
      </c>
      <c r="B470" t="s">
        <v>521</v>
      </c>
      <c r="C470" t="s">
        <v>532</v>
      </c>
      <c r="D470" s="14" t="s">
        <v>529</v>
      </c>
      <c r="E470" s="12" t="s">
        <v>28</v>
      </c>
      <c r="F470" s="13" t="s">
        <v>29</v>
      </c>
      <c r="G470">
        <v>50</v>
      </c>
      <c r="H470" t="s">
        <v>30</v>
      </c>
      <c r="I470">
        <v>50</v>
      </c>
      <c r="J470" s="15"/>
      <c r="K470" s="16">
        <f>220.62 - (220.62 * $E$1)</f>
        <v>220.62</v>
      </c>
      <c r="L470" s="16">
        <f>180.84 - (180.84 * $E$1)</f>
        <v>180.84</v>
      </c>
      <c r="M470" s="1">
        <v>220.62</v>
      </c>
      <c r="N470" s="1">
        <v>180.84</v>
      </c>
      <c r="O470" s="1">
        <v>187.53</v>
      </c>
      <c r="P470" s="1">
        <v>153.71</v>
      </c>
      <c r="Q470">
        <v>1.3520000000000001E-2</v>
      </c>
      <c r="R470">
        <v>1.6019999999999999E-5</v>
      </c>
    </row>
    <row r="471" spans="1:18" ht="13.8" outlineLevel="2" x14ac:dyDescent="0.25">
      <c r="A471">
        <v>91881</v>
      </c>
      <c r="B471" t="s">
        <v>521</v>
      </c>
      <c r="C471" t="s">
        <v>533</v>
      </c>
      <c r="D471" s="14" t="s">
        <v>529</v>
      </c>
      <c r="E471" s="12" t="s">
        <v>28</v>
      </c>
      <c r="F471" s="13" t="s">
        <v>29</v>
      </c>
      <c r="G471">
        <v>50</v>
      </c>
      <c r="H471" t="s">
        <v>30</v>
      </c>
      <c r="I471">
        <v>50</v>
      </c>
      <c r="J471" s="15"/>
      <c r="K471" s="16">
        <f>239.57 - (239.57 * $E$1)</f>
        <v>239.57</v>
      </c>
      <c r="L471" s="16">
        <f>196.37 - (196.37 * $E$1)</f>
        <v>196.37</v>
      </c>
      <c r="M471" s="1">
        <v>239.57</v>
      </c>
      <c r="N471" s="1">
        <v>196.37</v>
      </c>
      <c r="O471" s="1">
        <v>203.64</v>
      </c>
      <c r="P471" s="1">
        <v>166.91</v>
      </c>
      <c r="Q471">
        <v>1.54E-2</v>
      </c>
      <c r="R471">
        <v>2.4559999999999999E-5</v>
      </c>
    </row>
    <row r="472" spans="1:18" ht="13.8" outlineLevel="2" x14ac:dyDescent="0.25">
      <c r="A472">
        <v>91882</v>
      </c>
      <c r="B472" t="s">
        <v>534</v>
      </c>
      <c r="C472" t="s">
        <v>535</v>
      </c>
      <c r="D472" s="14" t="s">
        <v>536</v>
      </c>
      <c r="E472" s="12" t="s">
        <v>28</v>
      </c>
      <c r="F472" s="13" t="s">
        <v>29</v>
      </c>
      <c r="G472">
        <v>5</v>
      </c>
      <c r="H472" t="s">
        <v>30</v>
      </c>
      <c r="I472">
        <v>5</v>
      </c>
      <c r="J472" s="15"/>
      <c r="K472" s="16">
        <f>2337.32 - (2337.32 * $E$1)</f>
        <v>2337.3200000000002</v>
      </c>
      <c r="L472" s="16">
        <f>1915.84 - (1915.84 * $E$1)</f>
        <v>1915.84</v>
      </c>
      <c r="M472" s="1">
        <v>2337.3200000000002</v>
      </c>
      <c r="N472" s="1">
        <v>1915.84</v>
      </c>
      <c r="O472" s="1">
        <v>1986.73</v>
      </c>
      <c r="P472" s="1">
        <v>1628.46</v>
      </c>
      <c r="Q472">
        <v>0.19919999999999999</v>
      </c>
      <c r="R472">
        <v>2.9119999999999998E-4</v>
      </c>
    </row>
    <row r="473" spans="1:18" ht="13.8" outlineLevel="2" x14ac:dyDescent="0.25">
      <c r="A473">
        <v>58750</v>
      </c>
      <c r="B473" t="s">
        <v>537</v>
      </c>
      <c r="C473" t="s">
        <v>538</v>
      </c>
      <c r="D473" s="14" t="s">
        <v>539</v>
      </c>
      <c r="E473" s="12" t="s">
        <v>28</v>
      </c>
      <c r="F473" s="13" t="s">
        <v>29</v>
      </c>
      <c r="G473">
        <v>100</v>
      </c>
      <c r="H473" t="s">
        <v>30</v>
      </c>
      <c r="I473">
        <v>100</v>
      </c>
      <c r="J473" s="15"/>
      <c r="K473" s="16">
        <f>87.99 - (87.99 * $E$1)</f>
        <v>87.99</v>
      </c>
      <c r="L473" s="16">
        <f>72.12 - (72.12 * $E$1)</f>
        <v>72.12</v>
      </c>
      <c r="M473" s="1">
        <v>87.99</v>
      </c>
      <c r="N473" s="1">
        <v>72.12</v>
      </c>
      <c r="O473" s="1">
        <v>74.790000000000006</v>
      </c>
      <c r="P473" s="1">
        <v>61.3</v>
      </c>
      <c r="Q473">
        <v>7.6000000000000004E-4</v>
      </c>
      <c r="R473">
        <v>9.9999999999999995E-7</v>
      </c>
    </row>
    <row r="474" spans="1:18" ht="13.8" outlineLevel="2" x14ac:dyDescent="0.25">
      <c r="A474">
        <v>58751</v>
      </c>
      <c r="B474" t="s">
        <v>537</v>
      </c>
      <c r="C474" t="s">
        <v>540</v>
      </c>
      <c r="D474" s="14" t="s">
        <v>539</v>
      </c>
      <c r="E474" s="12" t="s">
        <v>28</v>
      </c>
      <c r="F474" s="13" t="s">
        <v>29</v>
      </c>
      <c r="G474">
        <v>100</v>
      </c>
      <c r="H474" t="s">
        <v>30</v>
      </c>
      <c r="I474">
        <v>100</v>
      </c>
      <c r="J474" s="15"/>
      <c r="K474" s="16">
        <f>161.49 - (161.49 * $E$1)</f>
        <v>161.49</v>
      </c>
      <c r="L474" s="16">
        <f>132.37 - (132.37 * $E$1)</f>
        <v>132.37</v>
      </c>
      <c r="M474" s="1">
        <v>161.49</v>
      </c>
      <c r="N474" s="1">
        <v>132.37</v>
      </c>
      <c r="O474" s="1">
        <v>137.27000000000001</v>
      </c>
      <c r="P474" s="1">
        <v>112.51</v>
      </c>
      <c r="Q474">
        <v>1.9400000000000001E-3</v>
      </c>
      <c r="R474">
        <v>1.9800000000000001E-6</v>
      </c>
    </row>
    <row r="475" spans="1:18" ht="13.8" outlineLevel="2" x14ac:dyDescent="0.25">
      <c r="A475">
        <v>58752</v>
      </c>
      <c r="B475" t="s">
        <v>537</v>
      </c>
      <c r="C475" t="s">
        <v>541</v>
      </c>
      <c r="D475" s="14" t="s">
        <v>539</v>
      </c>
      <c r="E475" s="12" t="s">
        <v>28</v>
      </c>
      <c r="F475" s="13" t="s">
        <v>29</v>
      </c>
      <c r="G475">
        <v>50</v>
      </c>
      <c r="H475" t="s">
        <v>30</v>
      </c>
      <c r="I475">
        <v>50</v>
      </c>
      <c r="J475" s="15"/>
      <c r="K475" s="16">
        <f>190.52 - (190.52 * $E$1)</f>
        <v>190.52</v>
      </c>
      <c r="L475" s="16">
        <f>156.16 - (156.16 * $E$1)</f>
        <v>156.16</v>
      </c>
      <c r="M475" s="1">
        <v>190.52</v>
      </c>
      <c r="N475" s="1">
        <v>156.16</v>
      </c>
      <c r="O475" s="1">
        <v>161.94</v>
      </c>
      <c r="P475" s="1">
        <v>132.74</v>
      </c>
      <c r="Q475">
        <v>3.16E-3</v>
      </c>
      <c r="R475">
        <v>4.3200000000000001E-6</v>
      </c>
    </row>
    <row r="476" spans="1:18" ht="13.8" outlineLevel="2" x14ac:dyDescent="0.25">
      <c r="A476">
        <v>58753</v>
      </c>
      <c r="B476" t="s">
        <v>537</v>
      </c>
      <c r="C476" t="s">
        <v>542</v>
      </c>
      <c r="D476" s="14" t="s">
        <v>539</v>
      </c>
      <c r="E476" s="12" t="s">
        <v>28</v>
      </c>
      <c r="F476" s="13" t="s">
        <v>29</v>
      </c>
      <c r="G476">
        <v>50</v>
      </c>
      <c r="H476" t="s">
        <v>30</v>
      </c>
      <c r="I476">
        <v>50</v>
      </c>
      <c r="J476" s="15"/>
      <c r="K476" s="16">
        <f>242.66 - (242.66 * $E$1)</f>
        <v>242.66</v>
      </c>
      <c r="L476" s="16">
        <f>198.9 - (198.9 * $E$1)</f>
        <v>198.9</v>
      </c>
      <c r="M476" s="1">
        <v>242.66</v>
      </c>
      <c r="N476" s="1">
        <v>198.9</v>
      </c>
      <c r="O476" s="1">
        <v>206.26</v>
      </c>
      <c r="P476" s="1">
        <v>169.07</v>
      </c>
      <c r="Q476">
        <v>4.2399999999999998E-3</v>
      </c>
      <c r="R476">
        <v>3.4400000000000001E-6</v>
      </c>
    </row>
    <row r="477" spans="1:18" ht="13.8" outlineLevel="2" x14ac:dyDescent="0.25">
      <c r="A477">
        <v>55362</v>
      </c>
      <c r="B477" t="s">
        <v>543</v>
      </c>
      <c r="C477" t="s">
        <v>544</v>
      </c>
      <c r="D477" s="14" t="s">
        <v>544</v>
      </c>
      <c r="E477" s="12" t="s">
        <v>28</v>
      </c>
      <c r="F477" s="13" t="s">
        <v>29</v>
      </c>
      <c r="G477">
        <v>1</v>
      </c>
      <c r="H477" t="s">
        <v>30</v>
      </c>
      <c r="I477">
        <v>1</v>
      </c>
      <c r="J477" s="15"/>
      <c r="K477" s="16">
        <f>886.04 - (886.04 * $E$1)</f>
        <v>886.04</v>
      </c>
      <c r="L477" s="16">
        <f>726.26 - (726.26 * $E$1)</f>
        <v>726.26</v>
      </c>
      <c r="M477" s="1">
        <v>886.04</v>
      </c>
      <c r="N477" s="1">
        <v>726.26</v>
      </c>
      <c r="O477" s="1">
        <v>753.13</v>
      </c>
      <c r="P477" s="1">
        <v>617.32000000000005</v>
      </c>
      <c r="Q477">
        <v>9.2999999999999999E-2</v>
      </c>
      <c r="R477">
        <v>2.6200000000000003E-4</v>
      </c>
    </row>
    <row r="478" spans="1:18" ht="16.5" customHeight="1" outlineLevel="1" x14ac:dyDescent="0.35">
      <c r="A478" s="9"/>
      <c r="B478" s="10" t="s">
        <v>545</v>
      </c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</row>
    <row r="479" spans="1:18" ht="13.8" outlineLevel="2" x14ac:dyDescent="0.25">
      <c r="A479">
        <v>61640</v>
      </c>
      <c r="B479" t="s">
        <v>546</v>
      </c>
      <c r="C479" t="s">
        <v>547</v>
      </c>
      <c r="D479" s="14" t="s">
        <v>548</v>
      </c>
      <c r="E479" s="12" t="s">
        <v>28</v>
      </c>
      <c r="F479" s="17" t="s">
        <v>549</v>
      </c>
      <c r="G479">
        <v>1</v>
      </c>
      <c r="H479" t="s">
        <v>30</v>
      </c>
      <c r="I479">
        <v>25</v>
      </c>
      <c r="J479" s="15"/>
      <c r="K479" s="16">
        <f>41.85 - (41.85 * $E$1)</f>
        <v>41.85</v>
      </c>
      <c r="L479" s="16">
        <f>34.3 - (34.3 * $E$1)</f>
        <v>34.299999999999997</v>
      </c>
      <c r="M479" s="1">
        <v>41.85</v>
      </c>
      <c r="N479" s="1">
        <v>34.299999999999997</v>
      </c>
      <c r="O479" s="1">
        <v>35.57</v>
      </c>
      <c r="P479" s="1">
        <v>29.16</v>
      </c>
      <c r="Q479">
        <v>11</v>
      </c>
      <c r="R479">
        <v>1.4449999999999999E-2</v>
      </c>
    </row>
    <row r="480" spans="1:18" ht="13.8" outlineLevel="2" x14ac:dyDescent="0.25">
      <c r="A480">
        <v>108496</v>
      </c>
      <c r="B480" t="s">
        <v>550</v>
      </c>
      <c r="C480" t="s">
        <v>551</v>
      </c>
      <c r="D480" s="14" t="s">
        <v>548</v>
      </c>
      <c r="E480" s="12" t="s">
        <v>28</v>
      </c>
      <c r="F480" s="13" t="s">
        <v>29</v>
      </c>
      <c r="G480">
        <v>1</v>
      </c>
      <c r="H480" t="s">
        <v>420</v>
      </c>
      <c r="I480">
        <v>1</v>
      </c>
      <c r="J480" s="15"/>
      <c r="K480" s="16">
        <f>418.5 - (418.5 * $E$1)</f>
        <v>418.5</v>
      </c>
      <c r="L480" s="16">
        <f>343.03 - (343.03 * $E$1)</f>
        <v>343.03</v>
      </c>
      <c r="M480" s="1">
        <v>418.5</v>
      </c>
      <c r="N480" s="1">
        <v>343.03</v>
      </c>
      <c r="O480" s="1">
        <v>355.72</v>
      </c>
      <c r="P480" s="1">
        <v>291.58</v>
      </c>
      <c r="Q480">
        <v>0.35</v>
      </c>
      <c r="R480">
        <v>1.2600000000000001E-3</v>
      </c>
    </row>
    <row r="481" spans="1:18" ht="13.8" outlineLevel="2" x14ac:dyDescent="0.25">
      <c r="A481">
        <v>61641</v>
      </c>
      <c r="B481" t="s">
        <v>546</v>
      </c>
      <c r="C481" t="s">
        <v>552</v>
      </c>
      <c r="D481" s="14" t="s">
        <v>552</v>
      </c>
      <c r="E481" s="12" t="s">
        <v>28</v>
      </c>
      <c r="F481" s="17" t="s">
        <v>549</v>
      </c>
      <c r="G481">
        <v>1</v>
      </c>
      <c r="H481" t="s">
        <v>30</v>
      </c>
      <c r="I481">
        <v>25</v>
      </c>
      <c r="J481" s="15"/>
      <c r="K481" s="16">
        <f>41.85 - (41.85 * $E$1)</f>
        <v>41.85</v>
      </c>
      <c r="L481" s="16">
        <f>34.3 - (34.3 * $E$1)</f>
        <v>34.299999999999997</v>
      </c>
      <c r="M481" s="1">
        <v>41.85</v>
      </c>
      <c r="N481" s="1">
        <v>34.299999999999997</v>
      </c>
      <c r="O481" s="1">
        <v>35.57</v>
      </c>
      <c r="P481" s="1">
        <v>29.16</v>
      </c>
      <c r="Q481">
        <v>11</v>
      </c>
      <c r="R481">
        <v>1.6379999999999999E-2</v>
      </c>
    </row>
    <row r="482" spans="1:18" ht="13.8" outlineLevel="2" x14ac:dyDescent="0.25">
      <c r="A482">
        <v>108497</v>
      </c>
      <c r="B482" t="s">
        <v>550</v>
      </c>
      <c r="C482" t="s">
        <v>553</v>
      </c>
      <c r="D482" s="14" t="s">
        <v>552</v>
      </c>
      <c r="E482" s="12" t="s">
        <v>28</v>
      </c>
      <c r="F482" s="13" t="s">
        <v>29</v>
      </c>
      <c r="G482">
        <v>1</v>
      </c>
      <c r="H482" t="s">
        <v>420</v>
      </c>
      <c r="I482">
        <v>1</v>
      </c>
      <c r="J482" s="15"/>
      <c r="K482" s="16">
        <f>418.5 - (418.5 * $E$1)</f>
        <v>418.5</v>
      </c>
      <c r="L482" s="16">
        <f>343.03 - (343.03 * $E$1)</f>
        <v>343.03</v>
      </c>
      <c r="M482" s="1">
        <v>418.5</v>
      </c>
      <c r="N482" s="1">
        <v>343.03</v>
      </c>
      <c r="O482" s="1">
        <v>355.72</v>
      </c>
      <c r="P482" s="1">
        <v>291.58</v>
      </c>
      <c r="Q482">
        <v>0.36</v>
      </c>
      <c r="R482">
        <v>1.2600000000000001E-3</v>
      </c>
    </row>
    <row r="483" spans="1:18" ht="13.8" outlineLevel="2" x14ac:dyDescent="0.25">
      <c r="A483">
        <v>61642</v>
      </c>
      <c r="B483" t="s">
        <v>546</v>
      </c>
      <c r="C483" t="s">
        <v>554</v>
      </c>
      <c r="D483" s="14" t="s">
        <v>554</v>
      </c>
      <c r="E483" s="12" t="s">
        <v>28</v>
      </c>
      <c r="F483" s="17" t="s">
        <v>549</v>
      </c>
      <c r="G483">
        <v>1</v>
      </c>
      <c r="H483" t="s">
        <v>30</v>
      </c>
      <c r="I483">
        <v>25</v>
      </c>
      <c r="J483" s="15"/>
      <c r="K483" s="16">
        <f>41.85 - (41.85 * $E$1)</f>
        <v>41.85</v>
      </c>
      <c r="L483" s="16">
        <f>34.3 - (34.3 * $E$1)</f>
        <v>34.299999999999997</v>
      </c>
      <c r="M483" s="1">
        <v>41.85</v>
      </c>
      <c r="N483" s="1">
        <v>34.299999999999997</v>
      </c>
      <c r="O483" s="1">
        <v>35.57</v>
      </c>
      <c r="P483" s="1">
        <v>29.16</v>
      </c>
      <c r="Q483">
        <v>11</v>
      </c>
      <c r="R483">
        <v>1.6379999999999999E-2</v>
      </c>
    </row>
    <row r="484" spans="1:18" ht="13.8" outlineLevel="2" x14ac:dyDescent="0.25">
      <c r="A484">
        <v>108498</v>
      </c>
      <c r="B484" t="s">
        <v>550</v>
      </c>
      <c r="C484" t="s">
        <v>555</v>
      </c>
      <c r="D484" s="14" t="s">
        <v>554</v>
      </c>
      <c r="E484" s="12" t="s">
        <v>28</v>
      </c>
      <c r="F484" s="13" t="s">
        <v>29</v>
      </c>
      <c r="G484">
        <v>1</v>
      </c>
      <c r="H484" t="s">
        <v>420</v>
      </c>
      <c r="I484">
        <v>1</v>
      </c>
      <c r="J484" s="15"/>
      <c r="K484" s="16">
        <f>418.5 - (418.5 * $E$1)</f>
        <v>418.5</v>
      </c>
      <c r="L484" s="16">
        <f>343.03 - (343.03 * $E$1)</f>
        <v>343.03</v>
      </c>
      <c r="M484" s="1">
        <v>418.5</v>
      </c>
      <c r="N484" s="1">
        <v>343.03</v>
      </c>
      <c r="O484" s="1">
        <v>355.72</v>
      </c>
      <c r="P484" s="1">
        <v>291.58</v>
      </c>
      <c r="Q484">
        <v>0.35</v>
      </c>
      <c r="R484">
        <v>1.2600000000000001E-3</v>
      </c>
    </row>
    <row r="485" spans="1:18" ht="13.8" outlineLevel="2" x14ac:dyDescent="0.25">
      <c r="A485">
        <v>61643</v>
      </c>
      <c r="B485" t="s">
        <v>546</v>
      </c>
      <c r="C485" t="s">
        <v>556</v>
      </c>
      <c r="D485" s="14" t="s">
        <v>557</v>
      </c>
      <c r="E485" s="12" t="s">
        <v>28</v>
      </c>
      <c r="F485" s="17" t="s">
        <v>549</v>
      </c>
      <c r="G485">
        <v>1</v>
      </c>
      <c r="H485" t="s">
        <v>30</v>
      </c>
      <c r="I485">
        <v>25</v>
      </c>
      <c r="J485" s="15"/>
      <c r="K485" s="16">
        <f>41.85 - (41.85 * $E$1)</f>
        <v>41.85</v>
      </c>
      <c r="L485" s="16">
        <f>34.3 - (34.3 * $E$1)</f>
        <v>34.299999999999997</v>
      </c>
      <c r="M485" s="1">
        <v>41.85</v>
      </c>
      <c r="N485" s="1">
        <v>34.299999999999997</v>
      </c>
      <c r="O485" s="1">
        <v>35.57</v>
      </c>
      <c r="P485" s="1">
        <v>29.16</v>
      </c>
      <c r="Q485">
        <v>9.5</v>
      </c>
      <c r="R485">
        <v>1.2E-2</v>
      </c>
    </row>
    <row r="486" spans="1:18" ht="13.8" outlineLevel="2" x14ac:dyDescent="0.25">
      <c r="A486">
        <v>108499</v>
      </c>
      <c r="B486" t="s">
        <v>550</v>
      </c>
      <c r="C486" t="s">
        <v>558</v>
      </c>
      <c r="D486" s="14" t="s">
        <v>557</v>
      </c>
      <c r="E486" s="12" t="s">
        <v>28</v>
      </c>
      <c r="F486" s="13" t="s">
        <v>29</v>
      </c>
      <c r="G486">
        <v>1</v>
      </c>
      <c r="H486" t="s">
        <v>420</v>
      </c>
      <c r="I486">
        <v>1</v>
      </c>
      <c r="J486" s="15"/>
      <c r="K486" s="16">
        <f>418.5 - (418.5 * $E$1)</f>
        <v>418.5</v>
      </c>
      <c r="L486" s="16">
        <f>343.03 - (343.03 * $E$1)</f>
        <v>343.03</v>
      </c>
      <c r="M486" s="1">
        <v>418.5</v>
      </c>
      <c r="N486" s="1">
        <v>343.03</v>
      </c>
      <c r="O486" s="1">
        <v>355.72</v>
      </c>
      <c r="P486" s="1">
        <v>291.58</v>
      </c>
      <c r="Q486">
        <v>0.31</v>
      </c>
      <c r="R486">
        <v>1.008E-3</v>
      </c>
    </row>
    <row r="487" spans="1:18" ht="13.8" outlineLevel="2" x14ac:dyDescent="0.25">
      <c r="A487">
        <v>61644</v>
      </c>
      <c r="B487" t="s">
        <v>546</v>
      </c>
      <c r="C487" t="s">
        <v>559</v>
      </c>
      <c r="D487" s="14" t="s">
        <v>560</v>
      </c>
      <c r="E487" s="12" t="s">
        <v>28</v>
      </c>
      <c r="F487" s="17" t="s">
        <v>549</v>
      </c>
      <c r="G487">
        <v>1</v>
      </c>
      <c r="H487" t="s">
        <v>30</v>
      </c>
      <c r="I487">
        <v>12</v>
      </c>
      <c r="J487" s="15"/>
      <c r="K487" s="16">
        <f>140.06 - (140.06 * $E$1)</f>
        <v>140.06</v>
      </c>
      <c r="L487" s="16">
        <f>114.8 - (114.8 * $E$1)</f>
        <v>114.8</v>
      </c>
      <c r="M487" s="1">
        <v>140.06</v>
      </c>
      <c r="N487" s="1">
        <v>114.8</v>
      </c>
      <c r="O487" s="1">
        <v>119.05</v>
      </c>
      <c r="P487" s="1">
        <v>97.58</v>
      </c>
      <c r="Q487">
        <v>8.8000000000000007</v>
      </c>
      <c r="R487">
        <v>1.2E-2</v>
      </c>
    </row>
    <row r="488" spans="1:18" ht="13.8" outlineLevel="2" x14ac:dyDescent="0.25">
      <c r="A488">
        <v>108500</v>
      </c>
      <c r="B488" t="s">
        <v>550</v>
      </c>
      <c r="C488" t="s">
        <v>561</v>
      </c>
      <c r="D488" s="14" t="s">
        <v>560</v>
      </c>
      <c r="E488" s="12" t="s">
        <v>28</v>
      </c>
      <c r="F488" s="13" t="s">
        <v>29</v>
      </c>
      <c r="G488">
        <v>1</v>
      </c>
      <c r="H488" t="s">
        <v>420</v>
      </c>
      <c r="I488">
        <v>1</v>
      </c>
      <c r="J488" s="15"/>
      <c r="K488" s="16">
        <f>700.3 - (700.3 * $E$1)</f>
        <v>700.3</v>
      </c>
      <c r="L488" s="16">
        <f>574.02 - (574.02 * $E$1)</f>
        <v>574.02</v>
      </c>
      <c r="M488" s="1">
        <v>700.3</v>
      </c>
      <c r="N488" s="1">
        <v>574.02</v>
      </c>
      <c r="O488" s="1">
        <v>595.26</v>
      </c>
      <c r="P488" s="1">
        <v>487.92</v>
      </c>
      <c r="Q488">
        <v>0.66</v>
      </c>
      <c r="R488">
        <v>1.7819999999999999E-3</v>
      </c>
    </row>
    <row r="489" spans="1:18" ht="13.8" outlineLevel="2" x14ac:dyDescent="0.25">
      <c r="A489">
        <v>61645</v>
      </c>
      <c r="B489" t="s">
        <v>546</v>
      </c>
      <c r="C489" t="s">
        <v>562</v>
      </c>
      <c r="D489" s="14" t="s">
        <v>562</v>
      </c>
      <c r="E489" s="12" t="s">
        <v>28</v>
      </c>
      <c r="F489" s="13" t="s">
        <v>29</v>
      </c>
      <c r="G489">
        <v>1</v>
      </c>
      <c r="H489" t="s">
        <v>30</v>
      </c>
      <c r="I489">
        <v>22</v>
      </c>
      <c r="J489" s="15"/>
      <c r="K489" s="16">
        <f>330.75 - (330.75 * $E$1)</f>
        <v>330.75</v>
      </c>
      <c r="L489" s="16">
        <f>271.11 - (271.11 * $E$1)</f>
        <v>271.11</v>
      </c>
      <c r="M489" s="1">
        <v>330.75</v>
      </c>
      <c r="N489" s="1">
        <v>271.11</v>
      </c>
      <c r="O489" s="1">
        <v>281.14</v>
      </c>
      <c r="P489" s="1">
        <v>230.44</v>
      </c>
      <c r="Q489">
        <v>10.5</v>
      </c>
      <c r="R489">
        <v>1.3671000000000001E-2</v>
      </c>
    </row>
    <row r="490" spans="1:18" ht="13.8" outlineLevel="2" x14ac:dyDescent="0.25">
      <c r="A490">
        <v>61646</v>
      </c>
      <c r="B490" t="s">
        <v>546</v>
      </c>
      <c r="C490" t="s">
        <v>563</v>
      </c>
      <c r="D490" s="14" t="s">
        <v>563</v>
      </c>
      <c r="E490" s="12" t="s">
        <v>28</v>
      </c>
      <c r="F490" s="13" t="s">
        <v>29</v>
      </c>
      <c r="G490">
        <v>1</v>
      </c>
      <c r="H490" t="s">
        <v>30</v>
      </c>
      <c r="I490">
        <v>22</v>
      </c>
      <c r="J490" s="15"/>
      <c r="K490" s="16">
        <f>330.75 - (330.75 * $E$1)</f>
        <v>330.75</v>
      </c>
      <c r="L490" s="16">
        <f>271.11 - (271.11 * $E$1)</f>
        <v>271.11</v>
      </c>
      <c r="M490" s="1">
        <v>330.75</v>
      </c>
      <c r="N490" s="1">
        <v>271.11</v>
      </c>
      <c r="O490" s="1">
        <v>281.14</v>
      </c>
      <c r="P490" s="1">
        <v>230.44</v>
      </c>
      <c r="Q490">
        <v>10.5</v>
      </c>
      <c r="R490">
        <v>1.2E-2</v>
      </c>
    </row>
    <row r="491" spans="1:18" ht="13.8" outlineLevel="2" x14ac:dyDescent="0.25">
      <c r="A491">
        <v>61647</v>
      </c>
      <c r="B491" t="s">
        <v>546</v>
      </c>
      <c r="C491" t="s">
        <v>564</v>
      </c>
      <c r="D491" s="14" t="s">
        <v>564</v>
      </c>
      <c r="E491" s="12" t="s">
        <v>28</v>
      </c>
      <c r="F491" s="13" t="s">
        <v>29</v>
      </c>
      <c r="G491">
        <v>1</v>
      </c>
      <c r="H491" t="s">
        <v>30</v>
      </c>
      <c r="I491">
        <v>22</v>
      </c>
      <c r="J491" s="15"/>
      <c r="K491" s="16">
        <f>330.75 - (330.75 * $E$1)</f>
        <v>330.75</v>
      </c>
      <c r="L491" s="16">
        <f>271.11 - (271.11 * $E$1)</f>
        <v>271.11</v>
      </c>
      <c r="M491" s="1">
        <v>330.75</v>
      </c>
      <c r="N491" s="1">
        <v>271.11</v>
      </c>
      <c r="O491" s="1">
        <v>281.14</v>
      </c>
      <c r="P491" s="1">
        <v>230.44</v>
      </c>
      <c r="Q491">
        <v>10.5</v>
      </c>
      <c r="R491">
        <v>1.2E-2</v>
      </c>
    </row>
    <row r="492" spans="1:18" ht="33.75" customHeight="1" x14ac:dyDescent="0.35">
      <c r="A492" s="9"/>
      <c r="B492" s="10" t="s">
        <v>565</v>
      </c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</row>
    <row r="493" spans="1:18" ht="16.5" customHeight="1" outlineLevel="1" x14ac:dyDescent="0.35">
      <c r="A493" s="9"/>
      <c r="B493" s="10" t="s">
        <v>566</v>
      </c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</row>
    <row r="494" spans="1:18" ht="13.8" outlineLevel="2" x14ac:dyDescent="0.25">
      <c r="A494">
        <v>47471</v>
      </c>
      <c r="B494" t="s">
        <v>567</v>
      </c>
      <c r="C494" t="s">
        <v>568</v>
      </c>
      <c r="D494" s="14" t="s">
        <v>569</v>
      </c>
      <c r="E494" s="12" t="s">
        <v>28</v>
      </c>
      <c r="F494" s="17" t="s">
        <v>549</v>
      </c>
      <c r="G494">
        <v>100</v>
      </c>
      <c r="H494" t="s">
        <v>30</v>
      </c>
      <c r="I494">
        <v>500</v>
      </c>
      <c r="J494" s="15"/>
      <c r="K494" s="16">
        <f>3.83 - (3.83 * $E$1)</f>
        <v>3.83</v>
      </c>
      <c r="L494" s="16">
        <f>3.14 - (3.14 * $E$1)</f>
        <v>3.14</v>
      </c>
      <c r="M494" s="1">
        <v>3.83</v>
      </c>
      <c r="N494" s="1">
        <v>3.14</v>
      </c>
      <c r="O494" s="1">
        <v>3.26</v>
      </c>
      <c r="P494" s="1">
        <v>2.67</v>
      </c>
      <c r="Q494">
        <v>5.9999999999999995E-4</v>
      </c>
      <c r="R494">
        <v>1.4300000000000001E-6</v>
      </c>
    </row>
    <row r="495" spans="1:18" ht="13.8" outlineLevel="2" x14ac:dyDescent="0.25">
      <c r="A495">
        <v>47472</v>
      </c>
      <c r="B495" t="s">
        <v>567</v>
      </c>
      <c r="C495" t="s">
        <v>570</v>
      </c>
      <c r="D495" s="14" t="s">
        <v>569</v>
      </c>
      <c r="E495" s="12" t="s">
        <v>28</v>
      </c>
      <c r="F495" s="17" t="s">
        <v>549</v>
      </c>
      <c r="G495">
        <v>100</v>
      </c>
      <c r="H495" t="s">
        <v>30</v>
      </c>
      <c r="I495">
        <v>500</v>
      </c>
      <c r="J495" s="15"/>
      <c r="K495" s="16">
        <f>4.01 - (4.01 * $E$1)</f>
        <v>4.01</v>
      </c>
      <c r="L495" s="16">
        <f>3.29 - (3.29 * $E$1)</f>
        <v>3.29</v>
      </c>
      <c r="M495" s="1">
        <v>4.01</v>
      </c>
      <c r="N495" s="1">
        <v>3.29</v>
      </c>
      <c r="O495" s="1">
        <v>3.41</v>
      </c>
      <c r="P495" s="1">
        <v>2.8</v>
      </c>
      <c r="Q495">
        <v>6.6E-4</v>
      </c>
      <c r="R495">
        <v>1.7999999999999999E-6</v>
      </c>
    </row>
    <row r="496" spans="1:18" ht="13.8" outlineLevel="2" x14ac:dyDescent="0.25">
      <c r="A496">
        <v>47473</v>
      </c>
      <c r="B496" t="s">
        <v>567</v>
      </c>
      <c r="C496" t="s">
        <v>571</v>
      </c>
      <c r="D496" s="14" t="s">
        <v>569</v>
      </c>
      <c r="E496" s="12" t="s">
        <v>28</v>
      </c>
      <c r="F496" s="17" t="s">
        <v>549</v>
      </c>
      <c r="G496">
        <v>100</v>
      </c>
      <c r="H496" t="s">
        <v>30</v>
      </c>
      <c r="I496">
        <v>500</v>
      </c>
      <c r="J496" s="15"/>
      <c r="K496" s="16">
        <f>4.58 - (4.58 * $E$1)</f>
        <v>4.58</v>
      </c>
      <c r="L496" s="16">
        <f>3.75 - (3.75 * $E$1)</f>
        <v>3.75</v>
      </c>
      <c r="M496" s="1">
        <v>4.58</v>
      </c>
      <c r="N496" s="1">
        <v>3.75</v>
      </c>
      <c r="O496" s="1">
        <v>3.89</v>
      </c>
      <c r="P496" s="1">
        <v>3.19</v>
      </c>
      <c r="Q496">
        <v>7.3999999999999999E-4</v>
      </c>
      <c r="R496">
        <v>1.73E-6</v>
      </c>
    </row>
    <row r="497" spans="1:18" ht="13.8" outlineLevel="2" x14ac:dyDescent="0.25">
      <c r="A497">
        <v>47475</v>
      </c>
      <c r="B497" t="s">
        <v>567</v>
      </c>
      <c r="C497" t="s">
        <v>572</v>
      </c>
      <c r="D497" s="14" t="s">
        <v>569</v>
      </c>
      <c r="E497" s="12" t="s">
        <v>28</v>
      </c>
      <c r="F497" s="17" t="s">
        <v>549</v>
      </c>
      <c r="G497">
        <v>100</v>
      </c>
      <c r="H497" t="s">
        <v>30</v>
      </c>
      <c r="I497">
        <v>500</v>
      </c>
      <c r="J497" s="15"/>
      <c r="K497" s="16">
        <f>7.28 - (7.28 * $E$1)</f>
        <v>7.28</v>
      </c>
      <c r="L497" s="16">
        <f>5.97 - (5.97 * $E$1)</f>
        <v>5.97</v>
      </c>
      <c r="M497" s="1">
        <v>7.28</v>
      </c>
      <c r="N497" s="1">
        <v>5.97</v>
      </c>
      <c r="O497" s="1">
        <v>6.19</v>
      </c>
      <c r="P497" s="1">
        <v>5.07</v>
      </c>
      <c r="Q497">
        <v>1.1199999999999999E-3</v>
      </c>
      <c r="R497">
        <v>2.3999999999999999E-6</v>
      </c>
    </row>
    <row r="498" spans="1:18" ht="13.8" outlineLevel="2" x14ac:dyDescent="0.25">
      <c r="A498">
        <v>47477</v>
      </c>
      <c r="B498" t="s">
        <v>567</v>
      </c>
      <c r="C498" t="s">
        <v>573</v>
      </c>
      <c r="D498" s="14" t="s">
        <v>569</v>
      </c>
      <c r="E498" s="12" t="s">
        <v>28</v>
      </c>
      <c r="F498" s="17" t="s">
        <v>549</v>
      </c>
      <c r="G498">
        <v>100</v>
      </c>
      <c r="H498" t="s">
        <v>30</v>
      </c>
      <c r="I498">
        <v>500</v>
      </c>
      <c r="J498" s="15"/>
      <c r="K498" s="16">
        <f>4.62 - (4.62 * $E$1)</f>
        <v>4.62</v>
      </c>
      <c r="L498" s="16">
        <f>3.79 - (3.79 * $E$1)</f>
        <v>3.79</v>
      </c>
      <c r="M498" s="1">
        <v>4.62</v>
      </c>
      <c r="N498" s="1">
        <v>3.79</v>
      </c>
      <c r="O498" s="1">
        <v>3.93</v>
      </c>
      <c r="P498" s="1">
        <v>3.22</v>
      </c>
      <c r="Q498">
        <v>7.6000000000000004E-4</v>
      </c>
      <c r="R498">
        <v>1.1999999999999999E-6</v>
      </c>
    </row>
    <row r="499" spans="1:18" ht="13.8" outlineLevel="2" x14ac:dyDescent="0.25">
      <c r="A499">
        <v>47478</v>
      </c>
      <c r="B499" t="s">
        <v>567</v>
      </c>
      <c r="C499" t="s">
        <v>574</v>
      </c>
      <c r="D499" s="14" t="s">
        <v>569</v>
      </c>
      <c r="E499" s="12" t="s">
        <v>28</v>
      </c>
      <c r="F499" s="17" t="s">
        <v>549</v>
      </c>
      <c r="G499">
        <v>100</v>
      </c>
      <c r="H499" t="s">
        <v>30</v>
      </c>
      <c r="I499">
        <v>500</v>
      </c>
      <c r="J499" s="15"/>
      <c r="K499" s="16">
        <f>5.94 - (5.94 * $E$1)</f>
        <v>5.94</v>
      </c>
      <c r="L499" s="16">
        <f>4.87 - (4.87 * $E$1)</f>
        <v>4.87</v>
      </c>
      <c r="M499" s="1">
        <v>5.94</v>
      </c>
      <c r="N499" s="1">
        <v>4.87</v>
      </c>
      <c r="O499" s="1">
        <v>5.05</v>
      </c>
      <c r="P499" s="1">
        <v>4.1399999999999997</v>
      </c>
      <c r="Q499">
        <v>9.7999999999999997E-4</v>
      </c>
      <c r="R499">
        <v>1.7999999999999999E-6</v>
      </c>
    </row>
    <row r="500" spans="1:18" ht="13.8" outlineLevel="2" x14ac:dyDescent="0.25">
      <c r="A500">
        <v>47479</v>
      </c>
      <c r="B500" t="s">
        <v>567</v>
      </c>
      <c r="C500" t="s">
        <v>575</v>
      </c>
      <c r="D500" s="14" t="s">
        <v>569</v>
      </c>
      <c r="E500" s="12" t="s">
        <v>28</v>
      </c>
      <c r="F500" s="17" t="s">
        <v>549</v>
      </c>
      <c r="G500">
        <v>100</v>
      </c>
      <c r="H500" t="s">
        <v>30</v>
      </c>
      <c r="I500">
        <v>500</v>
      </c>
      <c r="J500" s="15"/>
      <c r="K500" s="16">
        <f>7.91 - (7.91 * $E$1)</f>
        <v>7.91</v>
      </c>
      <c r="L500" s="16">
        <f>6.48 - (6.48 * $E$1)</f>
        <v>6.48</v>
      </c>
      <c r="M500" s="1">
        <v>7.91</v>
      </c>
      <c r="N500" s="1">
        <v>6.48</v>
      </c>
      <c r="O500" s="1">
        <v>6.72</v>
      </c>
      <c r="P500" s="1">
        <v>5.51</v>
      </c>
      <c r="Q500">
        <v>1.2600000000000001E-3</v>
      </c>
      <c r="R500">
        <v>2.3999999999999999E-6</v>
      </c>
    </row>
    <row r="501" spans="1:18" ht="13.8" outlineLevel="2" x14ac:dyDescent="0.25">
      <c r="A501">
        <v>49612</v>
      </c>
      <c r="B501" t="s">
        <v>567</v>
      </c>
      <c r="C501" t="s">
        <v>576</v>
      </c>
      <c r="D501" s="14" t="s">
        <v>569</v>
      </c>
      <c r="E501" s="12" t="s">
        <v>28</v>
      </c>
      <c r="F501" s="17" t="s">
        <v>549</v>
      </c>
      <c r="G501">
        <v>100</v>
      </c>
      <c r="H501" t="s">
        <v>30</v>
      </c>
      <c r="I501">
        <v>500</v>
      </c>
      <c r="J501" s="15"/>
      <c r="K501" s="16">
        <f>7.08 - (7.08 * $E$1)</f>
        <v>7.08</v>
      </c>
      <c r="L501" s="16">
        <f>5.8 - (5.8 * $E$1)</f>
        <v>5.8</v>
      </c>
      <c r="M501" s="1">
        <v>7.08</v>
      </c>
      <c r="N501" s="1">
        <v>5.8</v>
      </c>
      <c r="O501" s="1">
        <v>6.01</v>
      </c>
      <c r="P501" s="1">
        <v>4.93</v>
      </c>
      <c r="Q501">
        <v>1.1000000000000001E-3</v>
      </c>
      <c r="R501">
        <v>1.1000000000000001E-6</v>
      </c>
    </row>
    <row r="502" spans="1:18" ht="13.8" outlineLevel="2" x14ac:dyDescent="0.25">
      <c r="A502">
        <v>47480</v>
      </c>
      <c r="B502" t="s">
        <v>567</v>
      </c>
      <c r="C502" t="s">
        <v>577</v>
      </c>
      <c r="D502" s="14" t="s">
        <v>569</v>
      </c>
      <c r="E502" s="12" t="s">
        <v>28</v>
      </c>
      <c r="F502" s="17" t="s">
        <v>549</v>
      </c>
      <c r="G502">
        <v>100</v>
      </c>
      <c r="H502" t="s">
        <v>30</v>
      </c>
      <c r="I502">
        <v>500</v>
      </c>
      <c r="J502" s="15"/>
      <c r="K502" s="16">
        <f>8.76 - (8.76 * $E$1)</f>
        <v>8.76</v>
      </c>
      <c r="L502" s="16">
        <f>7.18 - (7.18 * $E$1)</f>
        <v>7.18</v>
      </c>
      <c r="M502" s="1">
        <v>8.76</v>
      </c>
      <c r="N502" s="1">
        <v>7.18</v>
      </c>
      <c r="O502" s="1">
        <v>7.45</v>
      </c>
      <c r="P502" s="1">
        <v>6.1</v>
      </c>
      <c r="Q502">
        <v>1.42E-3</v>
      </c>
      <c r="R502">
        <v>2.3099999999999999E-6</v>
      </c>
    </row>
    <row r="503" spans="1:18" ht="13.8" outlineLevel="2" x14ac:dyDescent="0.25">
      <c r="A503">
        <v>47481</v>
      </c>
      <c r="B503" t="s">
        <v>567</v>
      </c>
      <c r="C503" t="s">
        <v>578</v>
      </c>
      <c r="D503" s="14" t="s">
        <v>569</v>
      </c>
      <c r="E503" s="12" t="s">
        <v>28</v>
      </c>
      <c r="F503" s="17" t="s">
        <v>549</v>
      </c>
      <c r="G503">
        <v>100</v>
      </c>
      <c r="H503" t="s">
        <v>30</v>
      </c>
      <c r="I503">
        <v>500</v>
      </c>
      <c r="J503" s="15"/>
      <c r="K503" s="16">
        <f>10.38 - (10.38 * $E$1)</f>
        <v>10.38</v>
      </c>
      <c r="L503" s="16">
        <f>8.51 - (8.51 * $E$1)</f>
        <v>8.51</v>
      </c>
      <c r="M503" s="1">
        <v>10.38</v>
      </c>
      <c r="N503" s="1">
        <v>8.51</v>
      </c>
      <c r="O503" s="1">
        <v>8.82</v>
      </c>
      <c r="P503" s="1">
        <v>7.23</v>
      </c>
      <c r="Q503">
        <v>1.6999999999999999E-3</v>
      </c>
      <c r="R503">
        <v>3.0800000000000002E-6</v>
      </c>
    </row>
    <row r="504" spans="1:18" ht="13.8" outlineLevel="2" x14ac:dyDescent="0.25">
      <c r="A504">
        <v>47482</v>
      </c>
      <c r="B504" t="s">
        <v>567</v>
      </c>
      <c r="C504" t="s">
        <v>579</v>
      </c>
      <c r="D504" s="14" t="s">
        <v>569</v>
      </c>
      <c r="E504" s="12" t="s">
        <v>28</v>
      </c>
      <c r="F504" s="17" t="s">
        <v>549</v>
      </c>
      <c r="G504">
        <v>100</v>
      </c>
      <c r="H504" t="s">
        <v>30</v>
      </c>
      <c r="I504">
        <v>500</v>
      </c>
      <c r="J504" s="15"/>
      <c r="K504" s="16">
        <f>12.94 - (12.94 * $E$1)</f>
        <v>12.94</v>
      </c>
      <c r="L504" s="16">
        <f>10.61 - (10.61 * $E$1)</f>
        <v>10.61</v>
      </c>
      <c r="M504" s="1">
        <v>12.94</v>
      </c>
      <c r="N504" s="1">
        <v>10.61</v>
      </c>
      <c r="O504" s="1">
        <v>11</v>
      </c>
      <c r="P504" s="1">
        <v>9.02</v>
      </c>
      <c r="Q504">
        <v>2E-3</v>
      </c>
      <c r="R504">
        <v>3.0800000000000002E-6</v>
      </c>
    </row>
    <row r="505" spans="1:18" ht="13.8" outlineLevel="2" x14ac:dyDescent="0.25">
      <c r="A505">
        <v>47483</v>
      </c>
      <c r="B505" t="s">
        <v>567</v>
      </c>
      <c r="C505" t="s">
        <v>580</v>
      </c>
      <c r="D505" s="14" t="s">
        <v>569</v>
      </c>
      <c r="E505" s="12" t="s">
        <v>28</v>
      </c>
      <c r="F505" s="17" t="s">
        <v>549</v>
      </c>
      <c r="G505">
        <v>100</v>
      </c>
      <c r="H505" t="s">
        <v>30</v>
      </c>
      <c r="I505">
        <v>500</v>
      </c>
      <c r="J505" s="15"/>
      <c r="K505" s="16">
        <f>15.88 - (15.88 * $E$1)</f>
        <v>15.88</v>
      </c>
      <c r="L505" s="16">
        <f>13.02 - (13.02 * $E$1)</f>
        <v>13.02</v>
      </c>
      <c r="M505" s="1">
        <v>15.88</v>
      </c>
      <c r="N505" s="1">
        <v>13.02</v>
      </c>
      <c r="O505" s="1">
        <v>13.5</v>
      </c>
      <c r="P505" s="1">
        <v>11.07</v>
      </c>
      <c r="Q505">
        <v>2.3999999999999998E-3</v>
      </c>
      <c r="R505">
        <v>3.8500000000000004E-6</v>
      </c>
    </row>
    <row r="506" spans="1:18" ht="13.8" outlineLevel="2" x14ac:dyDescent="0.25">
      <c r="A506">
        <v>50195</v>
      </c>
      <c r="B506" t="s">
        <v>567</v>
      </c>
      <c r="C506" t="s">
        <v>581</v>
      </c>
      <c r="D506" s="14" t="s">
        <v>569</v>
      </c>
      <c r="E506" s="12" t="s">
        <v>28</v>
      </c>
      <c r="F506" s="17" t="s">
        <v>549</v>
      </c>
      <c r="G506">
        <v>100</v>
      </c>
      <c r="H506" t="s">
        <v>30</v>
      </c>
      <c r="I506">
        <v>500</v>
      </c>
      <c r="J506" s="15"/>
      <c r="K506" s="16">
        <f>14.52 - (14.52 * $E$1)</f>
        <v>14.52</v>
      </c>
      <c r="L506" s="16">
        <f>11.9 - (11.9 * $E$1)</f>
        <v>11.9</v>
      </c>
      <c r="M506" s="1">
        <v>14.52</v>
      </c>
      <c r="N506" s="1">
        <v>11.9</v>
      </c>
      <c r="O506" s="1">
        <v>12.34</v>
      </c>
      <c r="P506" s="1">
        <v>10.119999999999999</v>
      </c>
      <c r="Q506">
        <v>2.16E-3</v>
      </c>
      <c r="R506">
        <v>3.8500000000000004E-6</v>
      </c>
    </row>
    <row r="507" spans="1:18" ht="13.8" outlineLevel="2" x14ac:dyDescent="0.25">
      <c r="A507">
        <v>108513</v>
      </c>
      <c r="B507" t="s">
        <v>582</v>
      </c>
      <c r="C507" t="s">
        <v>583</v>
      </c>
      <c r="D507" s="14" t="s">
        <v>569</v>
      </c>
      <c r="E507" s="12" t="s">
        <v>28</v>
      </c>
      <c r="F507" s="13" t="s">
        <v>29</v>
      </c>
      <c r="G507">
        <v>1</v>
      </c>
      <c r="H507" t="s">
        <v>420</v>
      </c>
      <c r="I507">
        <v>5</v>
      </c>
      <c r="J507" s="15"/>
      <c r="K507" s="16">
        <f>382.99 - (382.99 * $E$1)</f>
        <v>382.99</v>
      </c>
      <c r="L507" s="16">
        <f>313.93 - (313.93 * $E$1)</f>
        <v>313.93</v>
      </c>
      <c r="M507" s="1">
        <v>382.99</v>
      </c>
      <c r="N507" s="1">
        <v>313.93</v>
      </c>
      <c r="O507" s="1">
        <v>325.55</v>
      </c>
      <c r="P507" s="1">
        <v>266.83999999999997</v>
      </c>
      <c r="Q507">
        <v>0.06</v>
      </c>
      <c r="R507">
        <v>1.4300000000000001E-4</v>
      </c>
    </row>
    <row r="508" spans="1:18" ht="13.8" outlineLevel="2" x14ac:dyDescent="0.25">
      <c r="A508">
        <v>108514</v>
      </c>
      <c r="B508" t="s">
        <v>582</v>
      </c>
      <c r="C508" t="s">
        <v>584</v>
      </c>
      <c r="D508" s="14" t="s">
        <v>569</v>
      </c>
      <c r="E508" s="12" t="s">
        <v>28</v>
      </c>
      <c r="F508" s="13" t="s">
        <v>29</v>
      </c>
      <c r="G508">
        <v>1</v>
      </c>
      <c r="H508" t="s">
        <v>420</v>
      </c>
      <c r="I508">
        <v>5</v>
      </c>
      <c r="J508" s="15"/>
      <c r="K508" s="16">
        <f>401 - (401 * $E$1)</f>
        <v>401</v>
      </c>
      <c r="L508" s="16">
        <f>328.69 - (328.69 * $E$1)</f>
        <v>328.69</v>
      </c>
      <c r="M508" s="1">
        <v>401</v>
      </c>
      <c r="N508" s="1">
        <v>328.69</v>
      </c>
      <c r="O508" s="1">
        <v>340.85</v>
      </c>
      <c r="P508" s="1">
        <v>279.39</v>
      </c>
      <c r="Q508">
        <v>6.6000000000000003E-2</v>
      </c>
      <c r="R508">
        <v>1.8000000000000001E-4</v>
      </c>
    </row>
    <row r="509" spans="1:18" ht="13.8" outlineLevel="2" x14ac:dyDescent="0.25">
      <c r="A509">
        <v>108515</v>
      </c>
      <c r="B509" t="s">
        <v>582</v>
      </c>
      <c r="C509" t="s">
        <v>585</v>
      </c>
      <c r="D509" s="14" t="s">
        <v>569</v>
      </c>
      <c r="E509" s="12" t="s">
        <v>28</v>
      </c>
      <c r="F509" s="13" t="s">
        <v>29</v>
      </c>
      <c r="G509">
        <v>1</v>
      </c>
      <c r="H509" t="s">
        <v>420</v>
      </c>
      <c r="I509">
        <v>5</v>
      </c>
      <c r="J509" s="15"/>
      <c r="K509" s="16">
        <f>458 - (458 * $E$1)</f>
        <v>458</v>
      </c>
      <c r="L509" s="16">
        <f>375.41 - (375.41 * $E$1)</f>
        <v>375.41</v>
      </c>
      <c r="M509" s="1">
        <v>458</v>
      </c>
      <c r="N509" s="1">
        <v>375.41</v>
      </c>
      <c r="O509" s="1">
        <v>389.3</v>
      </c>
      <c r="P509" s="1">
        <v>319.10000000000002</v>
      </c>
      <c r="Q509">
        <v>7.3999999999999996E-2</v>
      </c>
      <c r="R509">
        <v>1.73E-4</v>
      </c>
    </row>
    <row r="510" spans="1:18" ht="13.8" outlineLevel="2" x14ac:dyDescent="0.25">
      <c r="A510">
        <v>108516</v>
      </c>
      <c r="B510" t="s">
        <v>582</v>
      </c>
      <c r="C510" t="s">
        <v>586</v>
      </c>
      <c r="D510" s="14" t="s">
        <v>569</v>
      </c>
      <c r="E510" s="12" t="s">
        <v>28</v>
      </c>
      <c r="F510" s="13" t="s">
        <v>29</v>
      </c>
      <c r="G510">
        <v>1</v>
      </c>
      <c r="H510" t="s">
        <v>420</v>
      </c>
      <c r="I510">
        <v>5</v>
      </c>
      <c r="J510" s="15"/>
      <c r="K510" s="16">
        <f>728 - (728 * $E$1)</f>
        <v>728</v>
      </c>
      <c r="L510" s="16">
        <f>596.72 - (596.72 * $E$1)</f>
        <v>596.72</v>
      </c>
      <c r="M510" s="1">
        <v>728</v>
      </c>
      <c r="N510" s="1">
        <v>596.72</v>
      </c>
      <c r="O510" s="1">
        <v>618.79999999999995</v>
      </c>
      <c r="P510" s="1">
        <v>507.21</v>
      </c>
      <c r="Q510">
        <v>0.112</v>
      </c>
      <c r="R510">
        <v>2.4000000000000001E-4</v>
      </c>
    </row>
    <row r="511" spans="1:18" ht="13.8" outlineLevel="2" x14ac:dyDescent="0.25">
      <c r="A511">
        <v>108517</v>
      </c>
      <c r="B511" t="s">
        <v>582</v>
      </c>
      <c r="C511" t="s">
        <v>587</v>
      </c>
      <c r="D511" s="14" t="s">
        <v>569</v>
      </c>
      <c r="E511" s="12" t="s">
        <v>28</v>
      </c>
      <c r="F511" s="13" t="s">
        <v>29</v>
      </c>
      <c r="G511">
        <v>1</v>
      </c>
      <c r="H511" t="s">
        <v>420</v>
      </c>
      <c r="I511">
        <v>5</v>
      </c>
      <c r="J511" s="15"/>
      <c r="K511" s="16">
        <f>462 - (462 * $E$1)</f>
        <v>462</v>
      </c>
      <c r="L511" s="16">
        <f>378.69 - (378.69 * $E$1)</f>
        <v>378.69</v>
      </c>
      <c r="M511" s="1">
        <v>462</v>
      </c>
      <c r="N511" s="1">
        <v>378.69</v>
      </c>
      <c r="O511" s="1">
        <v>392.7</v>
      </c>
      <c r="P511" s="1">
        <v>321.89</v>
      </c>
      <c r="Q511">
        <v>7.5999999999999998E-2</v>
      </c>
      <c r="R511">
        <v>1.2E-4</v>
      </c>
    </row>
    <row r="512" spans="1:18" ht="13.8" outlineLevel="2" x14ac:dyDescent="0.25">
      <c r="A512">
        <v>108518</v>
      </c>
      <c r="B512" t="s">
        <v>582</v>
      </c>
      <c r="C512" t="s">
        <v>588</v>
      </c>
      <c r="D512" s="14" t="s">
        <v>569</v>
      </c>
      <c r="E512" s="12" t="s">
        <v>28</v>
      </c>
      <c r="F512" s="13" t="s">
        <v>29</v>
      </c>
      <c r="G512">
        <v>1</v>
      </c>
      <c r="H512" t="s">
        <v>420</v>
      </c>
      <c r="I512">
        <v>5</v>
      </c>
      <c r="J512" s="15"/>
      <c r="K512" s="16">
        <f>594.01 - (594.01 * $E$1)</f>
        <v>594.01</v>
      </c>
      <c r="L512" s="16">
        <f>486.89 - (486.89 * $E$1)</f>
        <v>486.89</v>
      </c>
      <c r="M512" s="1">
        <v>594.01</v>
      </c>
      <c r="N512" s="1">
        <v>486.89</v>
      </c>
      <c r="O512" s="1">
        <v>504.9</v>
      </c>
      <c r="P512" s="1">
        <v>413.86</v>
      </c>
      <c r="Q512">
        <v>9.8000000000000004E-2</v>
      </c>
      <c r="R512">
        <v>1.8000000000000001E-4</v>
      </c>
    </row>
    <row r="513" spans="1:18" ht="13.8" outlineLevel="2" x14ac:dyDescent="0.25">
      <c r="A513">
        <v>108519</v>
      </c>
      <c r="B513" t="s">
        <v>582</v>
      </c>
      <c r="C513" t="s">
        <v>589</v>
      </c>
      <c r="D513" s="14" t="s">
        <v>569</v>
      </c>
      <c r="E513" s="12" t="s">
        <v>28</v>
      </c>
      <c r="F513" s="13" t="s">
        <v>29</v>
      </c>
      <c r="G513">
        <v>1</v>
      </c>
      <c r="H513" t="s">
        <v>420</v>
      </c>
      <c r="I513">
        <v>5</v>
      </c>
      <c r="J513" s="15"/>
      <c r="K513" s="16">
        <f>790 - (790 * $E$1)</f>
        <v>790</v>
      </c>
      <c r="L513" s="16">
        <f>647.54 - (647.54 * $E$1)</f>
        <v>647.54</v>
      </c>
      <c r="M513" s="1">
        <v>790</v>
      </c>
      <c r="N513" s="1">
        <v>647.54</v>
      </c>
      <c r="O513" s="1">
        <v>671.5</v>
      </c>
      <c r="P513" s="1">
        <v>550.41</v>
      </c>
      <c r="Q513">
        <v>0.126</v>
      </c>
      <c r="R513">
        <v>2.4000000000000001E-4</v>
      </c>
    </row>
    <row r="514" spans="1:18" ht="13.8" outlineLevel="2" x14ac:dyDescent="0.25">
      <c r="A514">
        <v>108520</v>
      </c>
      <c r="B514" t="s">
        <v>582</v>
      </c>
      <c r="C514" t="s">
        <v>590</v>
      </c>
      <c r="D514" s="14" t="s">
        <v>569</v>
      </c>
      <c r="E514" s="12" t="s">
        <v>28</v>
      </c>
      <c r="F514" s="13" t="s">
        <v>29</v>
      </c>
      <c r="G514">
        <v>1</v>
      </c>
      <c r="H514" t="s">
        <v>420</v>
      </c>
      <c r="I514">
        <v>5</v>
      </c>
      <c r="J514" s="15"/>
      <c r="K514" s="16">
        <f>707 - (707 * $E$1)</f>
        <v>707</v>
      </c>
      <c r="L514" s="16">
        <f>579.51 - (579.51 * $E$1)</f>
        <v>579.51</v>
      </c>
      <c r="M514" s="1">
        <v>707</v>
      </c>
      <c r="N514" s="1">
        <v>579.51</v>
      </c>
      <c r="O514" s="1">
        <v>600.95000000000005</v>
      </c>
      <c r="P514" s="1">
        <v>492.58</v>
      </c>
      <c r="Q514">
        <v>0.11</v>
      </c>
      <c r="R514">
        <v>1.1E-4</v>
      </c>
    </row>
    <row r="515" spans="1:18" ht="13.8" outlineLevel="2" x14ac:dyDescent="0.25">
      <c r="A515">
        <v>108521</v>
      </c>
      <c r="B515" t="s">
        <v>582</v>
      </c>
      <c r="C515" t="s">
        <v>591</v>
      </c>
      <c r="D515" s="14" t="s">
        <v>569</v>
      </c>
      <c r="E515" s="12" t="s">
        <v>28</v>
      </c>
      <c r="F515" s="13" t="s">
        <v>29</v>
      </c>
      <c r="G515">
        <v>1</v>
      </c>
      <c r="H515" t="s">
        <v>420</v>
      </c>
      <c r="I515">
        <v>5</v>
      </c>
      <c r="J515" s="15"/>
      <c r="K515" s="16">
        <f>876 - (876 * $E$1)</f>
        <v>876</v>
      </c>
      <c r="L515" s="16">
        <f>718.03 - (718.03 * $E$1)</f>
        <v>718.03</v>
      </c>
      <c r="M515" s="1">
        <v>876</v>
      </c>
      <c r="N515" s="1">
        <v>718.03</v>
      </c>
      <c r="O515" s="1">
        <v>744.6</v>
      </c>
      <c r="P515" s="1">
        <v>610.33000000000004</v>
      </c>
      <c r="Q515">
        <v>0.14199999999999999</v>
      </c>
      <c r="R515">
        <v>2.31E-4</v>
      </c>
    </row>
    <row r="516" spans="1:18" ht="13.8" outlineLevel="2" x14ac:dyDescent="0.25">
      <c r="A516">
        <v>108522</v>
      </c>
      <c r="B516" t="s">
        <v>582</v>
      </c>
      <c r="C516" t="s">
        <v>592</v>
      </c>
      <c r="D516" s="14" t="s">
        <v>569</v>
      </c>
      <c r="E516" s="12" t="s">
        <v>28</v>
      </c>
      <c r="F516" s="13" t="s">
        <v>29</v>
      </c>
      <c r="G516">
        <v>1</v>
      </c>
      <c r="H516" t="s">
        <v>420</v>
      </c>
      <c r="I516">
        <v>5</v>
      </c>
      <c r="J516" s="15"/>
      <c r="K516" s="16">
        <f>1038 - (1038 * $E$1)</f>
        <v>1038</v>
      </c>
      <c r="L516" s="16">
        <f>850.82 - (850.82 * $E$1)</f>
        <v>850.82</v>
      </c>
      <c r="M516" s="1">
        <v>1038</v>
      </c>
      <c r="N516" s="1">
        <v>850.82</v>
      </c>
      <c r="O516" s="1">
        <v>882.3</v>
      </c>
      <c r="P516" s="1">
        <v>723.2</v>
      </c>
      <c r="Q516">
        <v>0.17</v>
      </c>
      <c r="R516">
        <v>3.0800000000000001E-4</v>
      </c>
    </row>
    <row r="517" spans="1:18" ht="13.8" outlineLevel="2" x14ac:dyDescent="0.25">
      <c r="A517">
        <v>108523</v>
      </c>
      <c r="B517" t="s">
        <v>582</v>
      </c>
      <c r="C517" t="s">
        <v>593</v>
      </c>
      <c r="D517" s="14" t="s">
        <v>569</v>
      </c>
      <c r="E517" s="12" t="s">
        <v>28</v>
      </c>
      <c r="F517" s="13" t="s">
        <v>29</v>
      </c>
      <c r="G517">
        <v>1</v>
      </c>
      <c r="H517" t="s">
        <v>420</v>
      </c>
      <c r="I517">
        <v>5</v>
      </c>
      <c r="J517" s="15"/>
      <c r="K517" s="16">
        <f>1295.01 - (1295.01 * $E$1)</f>
        <v>1295.01</v>
      </c>
      <c r="L517" s="16">
        <f>1061.48 - (1061.48 * $E$1)</f>
        <v>1061.48</v>
      </c>
      <c r="M517" s="1">
        <v>1295.01</v>
      </c>
      <c r="N517" s="1">
        <v>1061.48</v>
      </c>
      <c r="O517" s="1">
        <v>1100.75</v>
      </c>
      <c r="P517" s="1">
        <v>902.26</v>
      </c>
      <c r="Q517">
        <v>0.2</v>
      </c>
      <c r="R517">
        <v>3.0800000000000001E-4</v>
      </c>
    </row>
    <row r="518" spans="1:18" ht="13.8" outlineLevel="2" x14ac:dyDescent="0.25">
      <c r="A518">
        <v>108524</v>
      </c>
      <c r="B518" t="s">
        <v>582</v>
      </c>
      <c r="C518" t="s">
        <v>594</v>
      </c>
      <c r="D518" s="14" t="s">
        <v>569</v>
      </c>
      <c r="E518" s="12" t="s">
        <v>28</v>
      </c>
      <c r="F518" s="13" t="s">
        <v>29</v>
      </c>
      <c r="G518">
        <v>1</v>
      </c>
      <c r="H518" t="s">
        <v>420</v>
      </c>
      <c r="I518">
        <v>5</v>
      </c>
      <c r="J518" s="15"/>
      <c r="K518" s="16">
        <f>1588 - (1588 * $E$1)</f>
        <v>1588</v>
      </c>
      <c r="L518" s="16">
        <f>1301.64 - (1301.64 * $E$1)</f>
        <v>1301.6400000000001</v>
      </c>
      <c r="M518" s="1">
        <v>1588</v>
      </c>
      <c r="N518" s="1">
        <v>1301.6400000000001</v>
      </c>
      <c r="O518" s="1">
        <v>1349.8</v>
      </c>
      <c r="P518" s="1">
        <v>1106.3900000000001</v>
      </c>
      <c r="Q518">
        <v>0.24</v>
      </c>
      <c r="R518">
        <v>3.8499999999999998E-4</v>
      </c>
    </row>
    <row r="519" spans="1:18" ht="13.8" outlineLevel="2" x14ac:dyDescent="0.25">
      <c r="A519">
        <v>108525</v>
      </c>
      <c r="B519" t="s">
        <v>582</v>
      </c>
      <c r="C519" t="s">
        <v>595</v>
      </c>
      <c r="D519" s="14" t="s">
        <v>569</v>
      </c>
      <c r="E519" s="12" t="s">
        <v>28</v>
      </c>
      <c r="F519" s="13" t="s">
        <v>29</v>
      </c>
      <c r="G519">
        <v>1</v>
      </c>
      <c r="H519" t="s">
        <v>420</v>
      </c>
      <c r="I519">
        <v>5</v>
      </c>
      <c r="J519" s="15"/>
      <c r="K519" s="16">
        <f>1452 - (1452 * $E$1)</f>
        <v>1452</v>
      </c>
      <c r="L519" s="16">
        <f>1190.16 - (1190.16 * $E$1)</f>
        <v>1190.1600000000001</v>
      </c>
      <c r="M519" s="1">
        <v>1452</v>
      </c>
      <c r="N519" s="1">
        <v>1190.1600000000001</v>
      </c>
      <c r="O519" s="1">
        <v>1234.2</v>
      </c>
      <c r="P519" s="1">
        <v>1011.64</v>
      </c>
      <c r="Q519">
        <v>0.216</v>
      </c>
      <c r="R519">
        <v>3.8499999999999998E-4</v>
      </c>
    </row>
    <row r="520" spans="1:18" ht="13.8" outlineLevel="2" x14ac:dyDescent="0.25">
      <c r="A520">
        <v>90887</v>
      </c>
      <c r="B520" t="s">
        <v>582</v>
      </c>
      <c r="C520" t="s">
        <v>596</v>
      </c>
      <c r="D520" s="14" t="s">
        <v>597</v>
      </c>
      <c r="E520" s="12" t="s">
        <v>28</v>
      </c>
      <c r="F520" s="17" t="s">
        <v>549</v>
      </c>
      <c r="G520">
        <v>100</v>
      </c>
      <c r="H520" t="s">
        <v>30</v>
      </c>
      <c r="I520">
        <v>500</v>
      </c>
      <c r="J520" s="15"/>
      <c r="K520" s="16">
        <f>2.99 - (2.99 * $E$1)</f>
        <v>2.99</v>
      </c>
      <c r="L520" s="16">
        <f>2.45 - (2.45 * $E$1)</f>
        <v>2.4500000000000002</v>
      </c>
      <c r="M520" s="1">
        <v>2.99</v>
      </c>
      <c r="N520" s="1">
        <v>2.4500000000000002</v>
      </c>
      <c r="O520" s="1">
        <v>2.54</v>
      </c>
      <c r="P520" s="1">
        <v>2.08</v>
      </c>
      <c r="Q520">
        <v>5.9999999999999995E-4</v>
      </c>
      <c r="R520">
        <v>1.4300000000000001E-6</v>
      </c>
    </row>
    <row r="521" spans="1:18" ht="13.8" outlineLevel="2" x14ac:dyDescent="0.25">
      <c r="A521">
        <v>90888</v>
      </c>
      <c r="B521" t="s">
        <v>582</v>
      </c>
      <c r="C521" t="s">
        <v>598</v>
      </c>
      <c r="D521" s="14" t="s">
        <v>597</v>
      </c>
      <c r="E521" s="12" t="s">
        <v>28</v>
      </c>
      <c r="F521" s="17" t="s">
        <v>549</v>
      </c>
      <c r="G521">
        <v>100</v>
      </c>
      <c r="H521" t="s">
        <v>30</v>
      </c>
      <c r="I521">
        <v>500</v>
      </c>
      <c r="J521" s="15"/>
      <c r="K521" s="16">
        <f>3.14 - (3.14 * $E$1)</f>
        <v>3.14</v>
      </c>
      <c r="L521" s="16">
        <f>2.57 - (2.57 * $E$1)</f>
        <v>2.57</v>
      </c>
      <c r="M521" s="1">
        <v>3.14</v>
      </c>
      <c r="N521" s="1">
        <v>2.57</v>
      </c>
      <c r="O521" s="1">
        <v>2.67</v>
      </c>
      <c r="P521" s="1">
        <v>2.1800000000000002</v>
      </c>
      <c r="Q521">
        <v>6.9999999999999999E-4</v>
      </c>
      <c r="R521">
        <v>1.7999999999999999E-6</v>
      </c>
    </row>
    <row r="522" spans="1:18" ht="13.8" outlineLevel="2" x14ac:dyDescent="0.25">
      <c r="A522">
        <v>90889</v>
      </c>
      <c r="B522" t="s">
        <v>582</v>
      </c>
      <c r="C522" t="s">
        <v>599</v>
      </c>
      <c r="D522" s="14" t="s">
        <v>597</v>
      </c>
      <c r="E522" s="12" t="s">
        <v>28</v>
      </c>
      <c r="F522" s="17" t="s">
        <v>549</v>
      </c>
      <c r="G522">
        <v>100</v>
      </c>
      <c r="H522" t="s">
        <v>30</v>
      </c>
      <c r="I522">
        <v>500</v>
      </c>
      <c r="J522" s="15"/>
      <c r="K522" s="16">
        <f>3.55 - (3.55 * $E$1)</f>
        <v>3.55</v>
      </c>
      <c r="L522" s="16">
        <f>2.91 - (2.91 * $E$1)</f>
        <v>2.91</v>
      </c>
      <c r="M522" s="1">
        <v>3.55</v>
      </c>
      <c r="N522" s="1">
        <v>2.91</v>
      </c>
      <c r="O522" s="1">
        <v>3.02</v>
      </c>
      <c r="P522" s="1">
        <v>2.4700000000000002</v>
      </c>
      <c r="Q522">
        <v>6.9999999999999999E-4</v>
      </c>
      <c r="R522">
        <v>1.73E-6</v>
      </c>
    </row>
    <row r="523" spans="1:18" ht="13.8" outlineLevel="2" x14ac:dyDescent="0.25">
      <c r="A523">
        <v>90890</v>
      </c>
      <c r="B523" t="s">
        <v>582</v>
      </c>
      <c r="C523" t="s">
        <v>600</v>
      </c>
      <c r="D523" s="14" t="s">
        <v>597</v>
      </c>
      <c r="E523" s="12" t="s">
        <v>28</v>
      </c>
      <c r="F523" s="17" t="s">
        <v>549</v>
      </c>
      <c r="G523">
        <v>100</v>
      </c>
      <c r="H523" t="s">
        <v>30</v>
      </c>
      <c r="I523">
        <v>500</v>
      </c>
      <c r="J523" s="15"/>
      <c r="K523" s="16">
        <f>5.71 - (5.71 * $E$1)</f>
        <v>5.71</v>
      </c>
      <c r="L523" s="16">
        <f>4.68 - (4.68 * $E$1)</f>
        <v>4.68</v>
      </c>
      <c r="M523" s="1">
        <v>5.71</v>
      </c>
      <c r="N523" s="1">
        <v>4.68</v>
      </c>
      <c r="O523" s="1">
        <v>4.8499999999999996</v>
      </c>
      <c r="P523" s="1">
        <v>3.98</v>
      </c>
      <c r="Q523">
        <v>1.1000000000000001E-3</v>
      </c>
      <c r="R523">
        <v>2.3999999999999999E-6</v>
      </c>
    </row>
    <row r="524" spans="1:18" ht="13.8" outlineLevel="2" x14ac:dyDescent="0.25">
      <c r="A524">
        <v>90891</v>
      </c>
      <c r="B524" t="s">
        <v>582</v>
      </c>
      <c r="C524" t="s">
        <v>601</v>
      </c>
      <c r="D524" s="14" t="s">
        <v>597</v>
      </c>
      <c r="E524" s="12" t="s">
        <v>28</v>
      </c>
      <c r="F524" s="17" t="s">
        <v>549</v>
      </c>
      <c r="G524">
        <v>100</v>
      </c>
      <c r="H524" t="s">
        <v>30</v>
      </c>
      <c r="I524">
        <v>500</v>
      </c>
      <c r="J524" s="15"/>
      <c r="K524" s="16">
        <f>3.61 - (3.61 * $E$1)</f>
        <v>3.61</v>
      </c>
      <c r="L524" s="16">
        <f>2.96 - (2.96 * $E$1)</f>
        <v>2.96</v>
      </c>
      <c r="M524" s="1">
        <v>3.61</v>
      </c>
      <c r="N524" s="1">
        <v>2.96</v>
      </c>
      <c r="O524" s="1">
        <v>3.07</v>
      </c>
      <c r="P524" s="1">
        <v>2.52</v>
      </c>
      <c r="Q524">
        <v>8.0000000000000004E-4</v>
      </c>
      <c r="R524">
        <v>1.1999999999999999E-6</v>
      </c>
    </row>
    <row r="525" spans="1:18" ht="13.8" outlineLevel="2" x14ac:dyDescent="0.25">
      <c r="A525">
        <v>90892</v>
      </c>
      <c r="B525" t="s">
        <v>582</v>
      </c>
      <c r="C525" t="s">
        <v>602</v>
      </c>
      <c r="D525" s="14" t="s">
        <v>597</v>
      </c>
      <c r="E525" s="12" t="s">
        <v>28</v>
      </c>
      <c r="F525" s="17" t="s">
        <v>549</v>
      </c>
      <c r="G525">
        <v>100</v>
      </c>
      <c r="H525" t="s">
        <v>30</v>
      </c>
      <c r="I525">
        <v>500</v>
      </c>
      <c r="J525" s="15"/>
      <c r="K525" s="16">
        <f>4.64 - (4.64 * $E$1)</f>
        <v>4.6399999999999997</v>
      </c>
      <c r="L525" s="16">
        <f>3.8 - (3.8 * $E$1)</f>
        <v>3.8</v>
      </c>
      <c r="M525" s="1">
        <v>4.6399999999999997</v>
      </c>
      <c r="N525" s="1">
        <v>3.8</v>
      </c>
      <c r="O525" s="1">
        <v>3.94</v>
      </c>
      <c r="P525" s="1">
        <v>3.23</v>
      </c>
      <c r="Q525">
        <v>1E-3</v>
      </c>
      <c r="R525">
        <v>1.7999999999999999E-6</v>
      </c>
    </row>
    <row r="526" spans="1:18" ht="13.8" outlineLevel="2" x14ac:dyDescent="0.25">
      <c r="A526">
        <v>90893</v>
      </c>
      <c r="B526" t="s">
        <v>582</v>
      </c>
      <c r="C526" t="s">
        <v>603</v>
      </c>
      <c r="D526" s="14" t="s">
        <v>597</v>
      </c>
      <c r="E526" s="12" t="s">
        <v>28</v>
      </c>
      <c r="F526" s="17" t="s">
        <v>549</v>
      </c>
      <c r="G526">
        <v>100</v>
      </c>
      <c r="H526" t="s">
        <v>30</v>
      </c>
      <c r="I526">
        <v>500</v>
      </c>
      <c r="J526" s="15"/>
      <c r="K526" s="16">
        <f>6.17 - (6.17 * $E$1)</f>
        <v>6.17</v>
      </c>
      <c r="L526" s="16">
        <f>5.06 - (5.06 * $E$1)</f>
        <v>5.0599999999999996</v>
      </c>
      <c r="M526" s="1">
        <v>6.17</v>
      </c>
      <c r="N526" s="1">
        <v>5.0599999999999996</v>
      </c>
      <c r="O526" s="1">
        <v>5.25</v>
      </c>
      <c r="P526" s="1">
        <v>4.3</v>
      </c>
      <c r="Q526">
        <v>1.2999999999999999E-3</v>
      </c>
      <c r="R526">
        <v>2.3999999999999999E-6</v>
      </c>
    </row>
    <row r="527" spans="1:18" ht="13.8" outlineLevel="2" x14ac:dyDescent="0.25">
      <c r="A527">
        <v>90894</v>
      </c>
      <c r="B527" t="s">
        <v>582</v>
      </c>
      <c r="C527" t="s">
        <v>604</v>
      </c>
      <c r="D527" s="14" t="s">
        <v>597</v>
      </c>
      <c r="E527" s="12" t="s">
        <v>28</v>
      </c>
      <c r="F527" s="17" t="s">
        <v>549</v>
      </c>
      <c r="G527">
        <v>100</v>
      </c>
      <c r="H527" t="s">
        <v>30</v>
      </c>
      <c r="I527">
        <v>500</v>
      </c>
      <c r="J527" s="15"/>
      <c r="K527" s="16">
        <f>5.51 - (5.51 * $E$1)</f>
        <v>5.51</v>
      </c>
      <c r="L527" s="16">
        <f>4.52 - (4.52 * $E$1)</f>
        <v>4.5199999999999996</v>
      </c>
      <c r="M527" s="1">
        <v>5.51</v>
      </c>
      <c r="N527" s="1">
        <v>4.5199999999999996</v>
      </c>
      <c r="O527" s="1">
        <v>4.6900000000000004</v>
      </c>
      <c r="P527" s="1">
        <v>3.84</v>
      </c>
      <c r="Q527">
        <v>1.1000000000000001E-3</v>
      </c>
      <c r="R527">
        <v>1.1000000000000001E-6</v>
      </c>
    </row>
    <row r="528" spans="1:18" ht="13.8" outlineLevel="2" x14ac:dyDescent="0.25">
      <c r="A528">
        <v>90895</v>
      </c>
      <c r="B528" t="s">
        <v>582</v>
      </c>
      <c r="C528" t="s">
        <v>605</v>
      </c>
      <c r="D528" s="14" t="s">
        <v>597</v>
      </c>
      <c r="E528" s="12" t="s">
        <v>28</v>
      </c>
      <c r="F528" s="17" t="s">
        <v>549</v>
      </c>
      <c r="G528">
        <v>100</v>
      </c>
      <c r="H528" t="s">
        <v>30</v>
      </c>
      <c r="I528">
        <v>500</v>
      </c>
      <c r="J528" s="15"/>
      <c r="K528" s="16">
        <f>6.87 - (6.87 * $E$1)</f>
        <v>6.87</v>
      </c>
      <c r="L528" s="16">
        <f>5.63 - (5.63 * $E$1)</f>
        <v>5.63</v>
      </c>
      <c r="M528" s="1">
        <v>6.87</v>
      </c>
      <c r="N528" s="1">
        <v>5.63</v>
      </c>
      <c r="O528" s="1">
        <v>5.84</v>
      </c>
      <c r="P528" s="1">
        <v>4.79</v>
      </c>
      <c r="Q528">
        <v>1.4E-3</v>
      </c>
      <c r="R528">
        <v>2.3099999999999999E-6</v>
      </c>
    </row>
    <row r="529" spans="1:18" ht="13.8" outlineLevel="2" x14ac:dyDescent="0.25">
      <c r="A529">
        <v>90896</v>
      </c>
      <c r="B529" t="s">
        <v>582</v>
      </c>
      <c r="C529" t="s">
        <v>606</v>
      </c>
      <c r="D529" s="14" t="s">
        <v>597</v>
      </c>
      <c r="E529" s="12" t="s">
        <v>28</v>
      </c>
      <c r="F529" s="17" t="s">
        <v>549</v>
      </c>
      <c r="G529">
        <v>100</v>
      </c>
      <c r="H529" t="s">
        <v>30</v>
      </c>
      <c r="I529">
        <v>500</v>
      </c>
      <c r="J529" s="15"/>
      <c r="K529" s="16">
        <f>8.13 - (8.13 * $E$1)</f>
        <v>8.1300000000000008</v>
      </c>
      <c r="L529" s="16">
        <f>6.66 - (6.66 * $E$1)</f>
        <v>6.66</v>
      </c>
      <c r="M529" s="1">
        <v>8.1300000000000008</v>
      </c>
      <c r="N529" s="1">
        <v>6.66</v>
      </c>
      <c r="O529" s="1">
        <v>6.91</v>
      </c>
      <c r="P529" s="1">
        <v>5.66</v>
      </c>
      <c r="Q529">
        <v>1.6999999999999999E-3</v>
      </c>
      <c r="R529">
        <v>3.0800000000000002E-6</v>
      </c>
    </row>
    <row r="530" spans="1:18" ht="13.8" outlineLevel="2" x14ac:dyDescent="0.25">
      <c r="A530">
        <v>90897</v>
      </c>
      <c r="B530" t="s">
        <v>582</v>
      </c>
      <c r="C530" t="s">
        <v>607</v>
      </c>
      <c r="D530" s="14" t="s">
        <v>597</v>
      </c>
      <c r="E530" s="12" t="s">
        <v>28</v>
      </c>
      <c r="F530" s="17" t="s">
        <v>549</v>
      </c>
      <c r="G530">
        <v>100</v>
      </c>
      <c r="H530" t="s">
        <v>30</v>
      </c>
      <c r="I530">
        <v>500</v>
      </c>
      <c r="J530" s="15"/>
      <c r="K530" s="16">
        <f>10.09 - (10.09 * $E$1)</f>
        <v>10.09</v>
      </c>
      <c r="L530" s="16">
        <f>8.27 - (8.27 * $E$1)</f>
        <v>8.27</v>
      </c>
      <c r="M530" s="1">
        <v>10.09</v>
      </c>
      <c r="N530" s="1">
        <v>8.27</v>
      </c>
      <c r="O530" s="1">
        <v>8.58</v>
      </c>
      <c r="P530" s="1">
        <v>7.03</v>
      </c>
      <c r="Q530">
        <v>2E-3</v>
      </c>
      <c r="R530">
        <v>3.0800000000000002E-6</v>
      </c>
    </row>
    <row r="531" spans="1:18" ht="13.8" outlineLevel="2" x14ac:dyDescent="0.25">
      <c r="A531">
        <v>90898</v>
      </c>
      <c r="B531" t="s">
        <v>582</v>
      </c>
      <c r="C531" t="s">
        <v>608</v>
      </c>
      <c r="D531" s="14" t="s">
        <v>597</v>
      </c>
      <c r="E531" s="12" t="s">
        <v>28</v>
      </c>
      <c r="F531" s="17" t="s">
        <v>549</v>
      </c>
      <c r="G531">
        <v>100</v>
      </c>
      <c r="H531" t="s">
        <v>30</v>
      </c>
      <c r="I531">
        <v>500</v>
      </c>
      <c r="J531" s="15"/>
      <c r="K531" s="16">
        <f>12.44 - (12.44 * $E$1)</f>
        <v>12.44</v>
      </c>
      <c r="L531" s="16">
        <f>10.2 - (10.2 * $E$1)</f>
        <v>10.199999999999999</v>
      </c>
      <c r="M531" s="1">
        <v>12.44</v>
      </c>
      <c r="N531" s="1">
        <v>10.199999999999999</v>
      </c>
      <c r="O531" s="1">
        <v>10.58</v>
      </c>
      <c r="P531" s="1">
        <v>8.67</v>
      </c>
      <c r="Q531">
        <v>2.3999999999999998E-3</v>
      </c>
      <c r="R531">
        <v>3.8500000000000004E-6</v>
      </c>
    </row>
    <row r="532" spans="1:18" ht="13.8" outlineLevel="2" x14ac:dyDescent="0.25">
      <c r="A532">
        <v>90899</v>
      </c>
      <c r="B532" t="s">
        <v>582</v>
      </c>
      <c r="C532" t="s">
        <v>609</v>
      </c>
      <c r="D532" s="14" t="s">
        <v>597</v>
      </c>
      <c r="E532" s="12" t="s">
        <v>28</v>
      </c>
      <c r="F532" s="17" t="s">
        <v>549</v>
      </c>
      <c r="G532">
        <v>100</v>
      </c>
      <c r="H532" t="s">
        <v>30</v>
      </c>
      <c r="I532">
        <v>500</v>
      </c>
      <c r="J532" s="15"/>
      <c r="K532" s="16">
        <f>11.35 - (11.35 * $E$1)</f>
        <v>11.35</v>
      </c>
      <c r="L532" s="16">
        <f>9.3 - (9.3 * $E$1)</f>
        <v>9.3000000000000007</v>
      </c>
      <c r="M532" s="1">
        <v>11.35</v>
      </c>
      <c r="N532" s="1">
        <v>9.3000000000000007</v>
      </c>
      <c r="O532" s="1">
        <v>9.64</v>
      </c>
      <c r="P532" s="1">
        <v>7.91</v>
      </c>
      <c r="Q532">
        <v>2.2000000000000001E-3</v>
      </c>
      <c r="R532">
        <v>3.8500000000000004E-6</v>
      </c>
    </row>
    <row r="533" spans="1:18" ht="13.8" outlineLevel="2" x14ac:dyDescent="0.25">
      <c r="A533">
        <v>108549</v>
      </c>
      <c r="B533" t="s">
        <v>582</v>
      </c>
      <c r="C533" t="s">
        <v>610</v>
      </c>
      <c r="D533" s="14" t="s">
        <v>597</v>
      </c>
      <c r="E533" s="12" t="s">
        <v>28</v>
      </c>
      <c r="F533" s="13" t="s">
        <v>29</v>
      </c>
      <c r="G533">
        <v>1</v>
      </c>
      <c r="H533" t="s">
        <v>420</v>
      </c>
      <c r="I533">
        <v>5</v>
      </c>
      <c r="J533" s="15"/>
      <c r="K533" s="16">
        <f>299 - (299 * $E$1)</f>
        <v>299</v>
      </c>
      <c r="L533" s="16">
        <f>245.08 - (245.08 * $E$1)</f>
        <v>245.08</v>
      </c>
      <c r="M533" s="1">
        <v>299</v>
      </c>
      <c r="N533" s="1">
        <v>245.08</v>
      </c>
      <c r="O533" s="1">
        <v>254.15</v>
      </c>
      <c r="P533" s="1">
        <v>208.32</v>
      </c>
      <c r="Q533">
        <v>0.06</v>
      </c>
      <c r="R533">
        <v>1.4300000000000001E-4</v>
      </c>
    </row>
    <row r="534" spans="1:18" ht="13.8" outlineLevel="2" x14ac:dyDescent="0.25">
      <c r="A534">
        <v>108550</v>
      </c>
      <c r="B534" t="s">
        <v>582</v>
      </c>
      <c r="C534" t="s">
        <v>611</v>
      </c>
      <c r="D534" s="14" t="s">
        <v>597</v>
      </c>
      <c r="E534" s="12" t="s">
        <v>28</v>
      </c>
      <c r="F534" s="13" t="s">
        <v>29</v>
      </c>
      <c r="G534">
        <v>1</v>
      </c>
      <c r="H534" t="s">
        <v>420</v>
      </c>
      <c r="I534">
        <v>5</v>
      </c>
      <c r="J534" s="15"/>
      <c r="K534" s="16">
        <f>314 - (314 * $E$1)</f>
        <v>314</v>
      </c>
      <c r="L534" s="16">
        <f>257.38 - (257.38 * $E$1)</f>
        <v>257.38</v>
      </c>
      <c r="M534" s="1">
        <v>314</v>
      </c>
      <c r="N534" s="1">
        <v>257.38</v>
      </c>
      <c r="O534" s="1">
        <v>266.89999999999998</v>
      </c>
      <c r="P534" s="1">
        <v>218.77</v>
      </c>
      <c r="Q534">
        <v>7.0000000000000007E-2</v>
      </c>
      <c r="R534">
        <v>1.8000000000000001E-4</v>
      </c>
    </row>
    <row r="535" spans="1:18" ht="13.8" outlineLevel="2" x14ac:dyDescent="0.25">
      <c r="A535">
        <v>108551</v>
      </c>
      <c r="B535" t="s">
        <v>582</v>
      </c>
      <c r="C535" t="s">
        <v>612</v>
      </c>
      <c r="D535" s="14" t="s">
        <v>597</v>
      </c>
      <c r="E535" s="12" t="s">
        <v>28</v>
      </c>
      <c r="F535" s="13" t="s">
        <v>29</v>
      </c>
      <c r="G535">
        <v>1</v>
      </c>
      <c r="H535" t="s">
        <v>420</v>
      </c>
      <c r="I535">
        <v>5</v>
      </c>
      <c r="J535" s="15"/>
      <c r="K535" s="16">
        <f>355 - (355 * $E$1)</f>
        <v>355</v>
      </c>
      <c r="L535" s="16">
        <f>290.98 - (290.98 * $E$1)</f>
        <v>290.98</v>
      </c>
      <c r="M535" s="1">
        <v>355</v>
      </c>
      <c r="N535" s="1">
        <v>290.98</v>
      </c>
      <c r="O535" s="1">
        <v>301.75</v>
      </c>
      <c r="P535" s="1">
        <v>247.33</v>
      </c>
      <c r="Q535">
        <v>7.0000000000000007E-2</v>
      </c>
      <c r="R535">
        <v>1.73E-4</v>
      </c>
    </row>
    <row r="536" spans="1:18" ht="13.8" outlineLevel="2" x14ac:dyDescent="0.25">
      <c r="A536">
        <v>108552</v>
      </c>
      <c r="B536" t="s">
        <v>582</v>
      </c>
      <c r="C536" t="s">
        <v>613</v>
      </c>
      <c r="D536" s="14" t="s">
        <v>597</v>
      </c>
      <c r="E536" s="12" t="s">
        <v>28</v>
      </c>
      <c r="F536" s="13" t="s">
        <v>29</v>
      </c>
      <c r="G536">
        <v>1</v>
      </c>
      <c r="H536" t="s">
        <v>420</v>
      </c>
      <c r="I536">
        <v>5</v>
      </c>
      <c r="J536" s="15"/>
      <c r="K536" s="16">
        <f>571 - (571 * $E$1)</f>
        <v>571</v>
      </c>
      <c r="L536" s="16">
        <f>468.03 - (468.03 * $E$1)</f>
        <v>468.03</v>
      </c>
      <c r="M536" s="1">
        <v>571</v>
      </c>
      <c r="N536" s="1">
        <v>468.03</v>
      </c>
      <c r="O536" s="1">
        <v>485.35</v>
      </c>
      <c r="P536" s="1">
        <v>397.83</v>
      </c>
      <c r="Q536">
        <v>0.11</v>
      </c>
      <c r="R536">
        <v>2.4000000000000001E-4</v>
      </c>
    </row>
    <row r="537" spans="1:18" ht="13.8" outlineLevel="2" x14ac:dyDescent="0.25">
      <c r="A537">
        <v>108553</v>
      </c>
      <c r="B537" t="s">
        <v>582</v>
      </c>
      <c r="C537" t="s">
        <v>614</v>
      </c>
      <c r="D537" s="14" t="s">
        <v>597</v>
      </c>
      <c r="E537" s="12" t="s">
        <v>28</v>
      </c>
      <c r="F537" s="13" t="s">
        <v>29</v>
      </c>
      <c r="G537">
        <v>1</v>
      </c>
      <c r="H537" t="s">
        <v>420</v>
      </c>
      <c r="I537">
        <v>5</v>
      </c>
      <c r="J537" s="15"/>
      <c r="K537" s="16">
        <f>361 - (361 * $E$1)</f>
        <v>361</v>
      </c>
      <c r="L537" s="16">
        <f>295.9 - (295.9 * $E$1)</f>
        <v>295.89999999999998</v>
      </c>
      <c r="M537" s="1">
        <v>361</v>
      </c>
      <c r="N537" s="1">
        <v>295.89999999999998</v>
      </c>
      <c r="O537" s="1">
        <v>306.85000000000002</v>
      </c>
      <c r="P537" s="1">
        <v>251.52</v>
      </c>
      <c r="Q537">
        <v>0.08</v>
      </c>
      <c r="R537">
        <v>1.2E-4</v>
      </c>
    </row>
    <row r="538" spans="1:18" ht="13.8" outlineLevel="2" x14ac:dyDescent="0.25">
      <c r="A538">
        <v>108554</v>
      </c>
      <c r="B538" t="s">
        <v>582</v>
      </c>
      <c r="C538" t="s">
        <v>615</v>
      </c>
      <c r="D538" s="14" t="s">
        <v>597</v>
      </c>
      <c r="E538" s="12" t="s">
        <v>28</v>
      </c>
      <c r="F538" s="13" t="s">
        <v>29</v>
      </c>
      <c r="G538">
        <v>1</v>
      </c>
      <c r="H538" t="s">
        <v>420</v>
      </c>
      <c r="I538">
        <v>5</v>
      </c>
      <c r="J538" s="15"/>
      <c r="K538" s="16">
        <f>464 - (464 * $E$1)</f>
        <v>464</v>
      </c>
      <c r="L538" s="16">
        <f>380.33 - (380.33 * $E$1)</f>
        <v>380.33</v>
      </c>
      <c r="M538" s="1">
        <v>464</v>
      </c>
      <c r="N538" s="1">
        <v>380.33</v>
      </c>
      <c r="O538" s="1">
        <v>394.4</v>
      </c>
      <c r="P538" s="1">
        <v>323.27999999999997</v>
      </c>
      <c r="Q538">
        <v>0.1</v>
      </c>
      <c r="R538">
        <v>1.8000000000000001E-4</v>
      </c>
    </row>
    <row r="539" spans="1:18" ht="13.8" outlineLevel="2" x14ac:dyDescent="0.25">
      <c r="A539">
        <v>108555</v>
      </c>
      <c r="B539" t="s">
        <v>582</v>
      </c>
      <c r="C539" t="s">
        <v>616</v>
      </c>
      <c r="D539" s="14" t="s">
        <v>597</v>
      </c>
      <c r="E539" s="12" t="s">
        <v>28</v>
      </c>
      <c r="F539" s="13" t="s">
        <v>29</v>
      </c>
      <c r="G539">
        <v>1</v>
      </c>
      <c r="H539" t="s">
        <v>420</v>
      </c>
      <c r="I539">
        <v>5</v>
      </c>
      <c r="J539" s="15"/>
      <c r="K539" s="16">
        <f>617 - (617 * $E$1)</f>
        <v>617</v>
      </c>
      <c r="L539" s="16">
        <f>505.74 - (505.74 * $E$1)</f>
        <v>505.74</v>
      </c>
      <c r="M539" s="1">
        <v>617</v>
      </c>
      <c r="N539" s="1">
        <v>505.74</v>
      </c>
      <c r="O539" s="1">
        <v>524.45000000000005</v>
      </c>
      <c r="P539" s="1">
        <v>429.88</v>
      </c>
      <c r="Q539">
        <v>0.13</v>
      </c>
      <c r="R539">
        <v>2.4000000000000001E-4</v>
      </c>
    </row>
    <row r="540" spans="1:18" ht="13.8" outlineLevel="2" x14ac:dyDescent="0.25">
      <c r="A540">
        <v>108556</v>
      </c>
      <c r="B540" t="s">
        <v>582</v>
      </c>
      <c r="C540" t="s">
        <v>617</v>
      </c>
      <c r="D540" s="14" t="s">
        <v>597</v>
      </c>
      <c r="E540" s="12" t="s">
        <v>28</v>
      </c>
      <c r="F540" s="13" t="s">
        <v>29</v>
      </c>
      <c r="G540">
        <v>1</v>
      </c>
      <c r="H540" t="s">
        <v>420</v>
      </c>
      <c r="I540">
        <v>5</v>
      </c>
      <c r="J540" s="15"/>
      <c r="K540" s="16">
        <f>552 - (552 * $E$1)</f>
        <v>552</v>
      </c>
      <c r="L540" s="16">
        <f>452.46 - (452.46 * $E$1)</f>
        <v>452.46</v>
      </c>
      <c r="M540" s="1">
        <v>552</v>
      </c>
      <c r="N540" s="1">
        <v>452.46</v>
      </c>
      <c r="O540" s="1">
        <v>469.2</v>
      </c>
      <c r="P540" s="1">
        <v>384.59</v>
      </c>
      <c r="Q540">
        <v>0.11</v>
      </c>
      <c r="R540">
        <v>1.1E-4</v>
      </c>
    </row>
    <row r="541" spans="1:18" ht="13.8" outlineLevel="2" x14ac:dyDescent="0.25">
      <c r="A541">
        <v>108557</v>
      </c>
      <c r="B541" t="s">
        <v>582</v>
      </c>
      <c r="C541" t="s">
        <v>618</v>
      </c>
      <c r="D541" s="14" t="s">
        <v>597</v>
      </c>
      <c r="E541" s="12" t="s">
        <v>28</v>
      </c>
      <c r="F541" s="13" t="s">
        <v>29</v>
      </c>
      <c r="G541">
        <v>1</v>
      </c>
      <c r="H541" t="s">
        <v>420</v>
      </c>
      <c r="I541">
        <v>5</v>
      </c>
      <c r="J541" s="15"/>
      <c r="K541" s="16">
        <f>686.99 - (686.99 * $E$1)</f>
        <v>686.99</v>
      </c>
      <c r="L541" s="16">
        <f>563.11 - (563.11 * $E$1)</f>
        <v>563.11</v>
      </c>
      <c r="M541" s="1">
        <v>686.99</v>
      </c>
      <c r="N541" s="1">
        <v>563.11</v>
      </c>
      <c r="O541" s="1">
        <v>583.95000000000005</v>
      </c>
      <c r="P541" s="1">
        <v>478.64</v>
      </c>
      <c r="Q541">
        <v>0.14000000000000001</v>
      </c>
      <c r="R541">
        <v>2.31E-4</v>
      </c>
    </row>
    <row r="542" spans="1:18" ht="13.8" outlineLevel="2" x14ac:dyDescent="0.25">
      <c r="A542">
        <v>108558</v>
      </c>
      <c r="B542" t="s">
        <v>582</v>
      </c>
      <c r="C542" t="s">
        <v>619</v>
      </c>
      <c r="D542" s="14" t="s">
        <v>597</v>
      </c>
      <c r="E542" s="12" t="s">
        <v>28</v>
      </c>
      <c r="F542" s="13" t="s">
        <v>29</v>
      </c>
      <c r="G542">
        <v>1</v>
      </c>
      <c r="H542" t="s">
        <v>420</v>
      </c>
      <c r="I542">
        <v>5</v>
      </c>
      <c r="J542" s="15"/>
      <c r="K542" s="16">
        <f>812 - (812 * $E$1)</f>
        <v>812</v>
      </c>
      <c r="L542" s="16">
        <f>665.57 - (665.57 * $E$1)</f>
        <v>665.57</v>
      </c>
      <c r="M542" s="1">
        <v>812</v>
      </c>
      <c r="N542" s="1">
        <v>665.57</v>
      </c>
      <c r="O542" s="1">
        <v>690.2</v>
      </c>
      <c r="P542" s="1">
        <v>565.73</v>
      </c>
      <c r="Q542">
        <v>0.17</v>
      </c>
      <c r="R542">
        <v>3.0800000000000001E-4</v>
      </c>
    </row>
    <row r="543" spans="1:18" ht="13.8" outlineLevel="2" x14ac:dyDescent="0.25">
      <c r="A543">
        <v>108559</v>
      </c>
      <c r="B543" t="s">
        <v>582</v>
      </c>
      <c r="C543" t="s">
        <v>620</v>
      </c>
      <c r="D543" s="14" t="s">
        <v>597</v>
      </c>
      <c r="E543" s="12" t="s">
        <v>28</v>
      </c>
      <c r="F543" s="13" t="s">
        <v>29</v>
      </c>
      <c r="G543">
        <v>1</v>
      </c>
      <c r="H543" t="s">
        <v>420</v>
      </c>
      <c r="I543">
        <v>5</v>
      </c>
      <c r="J543" s="15"/>
      <c r="K543" s="16">
        <f>1009 - (1009 * $E$1)</f>
        <v>1009</v>
      </c>
      <c r="L543" s="16">
        <f>827.05 - (827.05 * $E$1)</f>
        <v>827.05</v>
      </c>
      <c r="M543" s="1">
        <v>1009</v>
      </c>
      <c r="N543" s="1">
        <v>827.05</v>
      </c>
      <c r="O543" s="1">
        <v>857.65</v>
      </c>
      <c r="P543" s="1">
        <v>702.99</v>
      </c>
      <c r="Q543">
        <v>0.2</v>
      </c>
      <c r="R543">
        <v>3.0800000000000001E-4</v>
      </c>
    </row>
    <row r="544" spans="1:18" ht="13.8" outlineLevel="2" x14ac:dyDescent="0.25">
      <c r="A544">
        <v>108560</v>
      </c>
      <c r="B544" t="s">
        <v>582</v>
      </c>
      <c r="C544" t="s">
        <v>621</v>
      </c>
      <c r="D544" s="14" t="s">
        <v>597</v>
      </c>
      <c r="E544" s="12" t="s">
        <v>28</v>
      </c>
      <c r="F544" s="13" t="s">
        <v>29</v>
      </c>
      <c r="G544">
        <v>1</v>
      </c>
      <c r="H544" t="s">
        <v>420</v>
      </c>
      <c r="I544">
        <v>5</v>
      </c>
      <c r="J544" s="15"/>
      <c r="K544" s="16">
        <f>1244 - (1244 * $E$1)</f>
        <v>1244</v>
      </c>
      <c r="L544" s="16">
        <f>1019.67 - (1019.67 * $E$1)</f>
        <v>1019.67</v>
      </c>
      <c r="M544" s="1">
        <v>1244</v>
      </c>
      <c r="N544" s="1">
        <v>1019.67</v>
      </c>
      <c r="O544" s="1">
        <v>1057.4000000000001</v>
      </c>
      <c r="P544" s="1">
        <v>866.72</v>
      </c>
      <c r="Q544">
        <v>0.24</v>
      </c>
      <c r="R544">
        <v>3.8499999999999998E-4</v>
      </c>
    </row>
    <row r="545" spans="1:18" ht="13.8" outlineLevel="2" x14ac:dyDescent="0.25">
      <c r="A545">
        <v>108561</v>
      </c>
      <c r="B545" t="s">
        <v>582</v>
      </c>
      <c r="C545" t="s">
        <v>622</v>
      </c>
      <c r="D545" s="14" t="s">
        <v>597</v>
      </c>
      <c r="E545" s="12" t="s">
        <v>28</v>
      </c>
      <c r="F545" s="13" t="s">
        <v>29</v>
      </c>
      <c r="G545">
        <v>1</v>
      </c>
      <c r="H545" t="s">
        <v>420</v>
      </c>
      <c r="I545">
        <v>5</v>
      </c>
      <c r="J545" s="15"/>
      <c r="K545" s="16">
        <f>1135 - (1135 * $E$1)</f>
        <v>1135</v>
      </c>
      <c r="L545" s="16">
        <f>930.33 - (930.33 * $E$1)</f>
        <v>930.33</v>
      </c>
      <c r="M545" s="1">
        <v>1135</v>
      </c>
      <c r="N545" s="1">
        <v>930.33</v>
      </c>
      <c r="O545" s="1">
        <v>964.75</v>
      </c>
      <c r="P545" s="1">
        <v>790.78</v>
      </c>
      <c r="Q545">
        <v>0.22</v>
      </c>
      <c r="R545">
        <v>3.8499999999999998E-4</v>
      </c>
    </row>
    <row r="546" spans="1:18" ht="13.8" outlineLevel="2" x14ac:dyDescent="0.25">
      <c r="A546">
        <v>57904</v>
      </c>
      <c r="B546" t="s">
        <v>567</v>
      </c>
      <c r="C546" t="s">
        <v>623</v>
      </c>
      <c r="D546" s="14" t="s">
        <v>624</v>
      </c>
      <c r="E546" s="12" t="s">
        <v>28</v>
      </c>
      <c r="F546" s="13" t="s">
        <v>29</v>
      </c>
      <c r="G546">
        <v>100</v>
      </c>
      <c r="H546" t="s">
        <v>30</v>
      </c>
      <c r="I546">
        <v>100</v>
      </c>
      <c r="J546" s="15"/>
      <c r="K546" s="16">
        <f>4.65 - (4.65 * $E$1)</f>
        <v>4.6500000000000004</v>
      </c>
      <c r="L546" s="16">
        <f>3.81 - (3.81 * $E$1)</f>
        <v>3.81</v>
      </c>
      <c r="M546" s="1">
        <v>4.6500000000000004</v>
      </c>
      <c r="N546" s="1">
        <v>3.81</v>
      </c>
      <c r="O546" s="1">
        <v>3.95</v>
      </c>
      <c r="P546" s="1">
        <v>3.24</v>
      </c>
      <c r="Q546">
        <v>6.2E-4</v>
      </c>
      <c r="R546">
        <v>1.1999999999999999E-6</v>
      </c>
    </row>
    <row r="547" spans="1:18" ht="13.8" outlineLevel="2" x14ac:dyDescent="0.25">
      <c r="A547">
        <v>57907</v>
      </c>
      <c r="B547" t="s">
        <v>567</v>
      </c>
      <c r="C547" t="s">
        <v>625</v>
      </c>
      <c r="D547" s="14" t="s">
        <v>624</v>
      </c>
      <c r="E547" s="12" t="s">
        <v>28</v>
      </c>
      <c r="F547" s="17" t="s">
        <v>549</v>
      </c>
      <c r="G547">
        <v>100</v>
      </c>
      <c r="H547" t="s">
        <v>30</v>
      </c>
      <c r="I547">
        <v>100</v>
      </c>
      <c r="J547" s="15"/>
      <c r="K547" s="16">
        <f>8.13 - (8.13 * $E$1)</f>
        <v>8.1300000000000008</v>
      </c>
      <c r="L547" s="16">
        <f>6.66 - (6.66 * $E$1)</f>
        <v>6.66</v>
      </c>
      <c r="M547" s="1">
        <v>8.1300000000000008</v>
      </c>
      <c r="N547" s="1">
        <v>6.66</v>
      </c>
      <c r="O547" s="1">
        <v>6.91</v>
      </c>
      <c r="P547" s="1">
        <v>5.66</v>
      </c>
      <c r="Q547">
        <v>1.1199999999999999E-3</v>
      </c>
      <c r="R547">
        <v>1.6500000000000001E-6</v>
      </c>
    </row>
    <row r="548" spans="1:18" ht="13.8" outlineLevel="2" x14ac:dyDescent="0.25">
      <c r="A548">
        <v>57909</v>
      </c>
      <c r="B548" t="s">
        <v>567</v>
      </c>
      <c r="C548" t="s">
        <v>626</v>
      </c>
      <c r="D548" s="14" t="s">
        <v>624</v>
      </c>
      <c r="E548" s="12" t="s">
        <v>28</v>
      </c>
      <c r="F548" s="13" t="s">
        <v>29</v>
      </c>
      <c r="G548">
        <v>100</v>
      </c>
      <c r="H548" t="s">
        <v>30</v>
      </c>
      <c r="I548">
        <v>100</v>
      </c>
      <c r="J548" s="15"/>
      <c r="K548" s="16">
        <f>5.25 - (5.25 * $E$1)</f>
        <v>5.25</v>
      </c>
      <c r="L548" s="16">
        <f>4.3 - (4.3 * $E$1)</f>
        <v>4.3</v>
      </c>
      <c r="M548" s="1">
        <v>5.25</v>
      </c>
      <c r="N548" s="1">
        <v>4.3</v>
      </c>
      <c r="O548" s="1">
        <v>4.46</v>
      </c>
      <c r="P548" s="1">
        <v>3.66</v>
      </c>
      <c r="Q548">
        <v>8.0000000000000004E-4</v>
      </c>
      <c r="R548">
        <v>1.1000000000000001E-6</v>
      </c>
    </row>
    <row r="549" spans="1:18" ht="13.8" outlineLevel="2" x14ac:dyDescent="0.25">
      <c r="A549">
        <v>57911</v>
      </c>
      <c r="B549" t="s">
        <v>567</v>
      </c>
      <c r="C549" t="s">
        <v>627</v>
      </c>
      <c r="D549" s="14" t="s">
        <v>624</v>
      </c>
      <c r="E549" s="12" t="s">
        <v>28</v>
      </c>
      <c r="F549" s="17" t="s">
        <v>549</v>
      </c>
      <c r="G549">
        <v>100</v>
      </c>
      <c r="H549" t="s">
        <v>30</v>
      </c>
      <c r="I549">
        <v>100</v>
      </c>
      <c r="J549" s="15"/>
      <c r="K549" s="16">
        <f>8.69 - (8.69 * $E$1)</f>
        <v>8.69</v>
      </c>
      <c r="L549" s="16">
        <f>7.12 - (7.12 * $E$1)</f>
        <v>7.12</v>
      </c>
      <c r="M549" s="1">
        <v>8.69</v>
      </c>
      <c r="N549" s="1">
        <v>7.12</v>
      </c>
      <c r="O549" s="1">
        <v>7.38</v>
      </c>
      <c r="P549" s="1">
        <v>6.05</v>
      </c>
      <c r="Q549">
        <v>1.2800000000000001E-3</v>
      </c>
      <c r="R549">
        <v>2.3E-6</v>
      </c>
    </row>
    <row r="550" spans="1:18" ht="13.8" outlineLevel="2" x14ac:dyDescent="0.25">
      <c r="A550">
        <v>57913</v>
      </c>
      <c r="B550" t="s">
        <v>567</v>
      </c>
      <c r="C550" t="s">
        <v>628</v>
      </c>
      <c r="D550" s="14" t="s">
        <v>624</v>
      </c>
      <c r="E550" s="12" t="s">
        <v>28</v>
      </c>
      <c r="F550" s="17" t="s">
        <v>549</v>
      </c>
      <c r="G550">
        <v>100</v>
      </c>
      <c r="H550" t="s">
        <v>30</v>
      </c>
      <c r="I550">
        <v>100</v>
      </c>
      <c r="J550" s="15"/>
      <c r="K550" s="16">
        <f>14.55 - (14.55 * $E$1)</f>
        <v>14.55</v>
      </c>
      <c r="L550" s="16">
        <f>11.93 - (11.93 * $E$1)</f>
        <v>11.93</v>
      </c>
      <c r="M550" s="1">
        <v>14.55</v>
      </c>
      <c r="N550" s="1">
        <v>11.93</v>
      </c>
      <c r="O550" s="1">
        <v>12.37</v>
      </c>
      <c r="P550" s="1">
        <v>10.14</v>
      </c>
      <c r="Q550">
        <v>2E-3</v>
      </c>
      <c r="R550">
        <v>3.58E-6</v>
      </c>
    </row>
    <row r="551" spans="1:18" ht="13.8" outlineLevel="2" x14ac:dyDescent="0.25">
      <c r="A551">
        <v>57914</v>
      </c>
      <c r="B551" t="s">
        <v>567</v>
      </c>
      <c r="C551" t="s">
        <v>629</v>
      </c>
      <c r="D551" s="14" t="s">
        <v>624</v>
      </c>
      <c r="E551" s="12" t="s">
        <v>28</v>
      </c>
      <c r="F551" s="17" t="s">
        <v>549</v>
      </c>
      <c r="G551">
        <v>100</v>
      </c>
      <c r="H551" t="s">
        <v>30</v>
      </c>
      <c r="I551">
        <v>100</v>
      </c>
      <c r="J551" s="15"/>
      <c r="K551" s="16">
        <f>17.68 - (17.68 * $E$1)</f>
        <v>17.68</v>
      </c>
      <c r="L551" s="16">
        <f>14.49 - (14.49 * $E$1)</f>
        <v>14.49</v>
      </c>
      <c r="M551" s="1">
        <v>17.68</v>
      </c>
      <c r="N551" s="1">
        <v>14.49</v>
      </c>
      <c r="O551" s="1">
        <v>15.03</v>
      </c>
      <c r="P551" s="1">
        <v>12.32</v>
      </c>
      <c r="Q551">
        <v>2.4199999999999998E-3</v>
      </c>
      <c r="R551">
        <v>3.58E-6</v>
      </c>
    </row>
    <row r="552" spans="1:18" ht="13.8" outlineLevel="2" x14ac:dyDescent="0.25">
      <c r="A552">
        <v>61773</v>
      </c>
      <c r="B552" t="s">
        <v>567</v>
      </c>
      <c r="C552" t="s">
        <v>630</v>
      </c>
      <c r="D552" s="14" t="s">
        <v>624</v>
      </c>
      <c r="E552" s="12" t="s">
        <v>28</v>
      </c>
      <c r="F552" s="17" t="s">
        <v>549</v>
      </c>
      <c r="G552">
        <v>100</v>
      </c>
      <c r="H552" t="s">
        <v>30</v>
      </c>
      <c r="I552">
        <v>100</v>
      </c>
      <c r="J552" s="15"/>
      <c r="K552" s="16">
        <f>28.61 - (28.61 * $E$1)</f>
        <v>28.61</v>
      </c>
      <c r="L552" s="16">
        <f>23.45 - (23.45 * $E$1)</f>
        <v>23.45</v>
      </c>
      <c r="M552" s="1">
        <v>28.61</v>
      </c>
      <c r="N552" s="1">
        <v>23.45</v>
      </c>
      <c r="O552" s="1">
        <v>24.32</v>
      </c>
      <c r="P552" s="1">
        <v>19.93</v>
      </c>
      <c r="Q552">
        <v>3.3E-3</v>
      </c>
      <c r="R552">
        <v>3.6399999999999999E-6</v>
      </c>
    </row>
    <row r="553" spans="1:18" ht="13.8" outlineLevel="2" x14ac:dyDescent="0.25">
      <c r="A553">
        <v>61774</v>
      </c>
      <c r="B553" t="s">
        <v>567</v>
      </c>
      <c r="C553" t="s">
        <v>631</v>
      </c>
      <c r="D553" s="14" t="s">
        <v>624</v>
      </c>
      <c r="E553" s="12" t="s">
        <v>28</v>
      </c>
      <c r="F553" s="17" t="s">
        <v>549</v>
      </c>
      <c r="G553">
        <v>100</v>
      </c>
      <c r="H553" t="s">
        <v>30</v>
      </c>
      <c r="I553">
        <v>100</v>
      </c>
      <c r="J553" s="15"/>
      <c r="K553" s="16">
        <f>34.22 - (34.22 * $E$1)</f>
        <v>34.22</v>
      </c>
      <c r="L553" s="16">
        <f>28.05 - (28.05 * $E$1)</f>
        <v>28.05</v>
      </c>
      <c r="M553" s="1">
        <v>34.22</v>
      </c>
      <c r="N553" s="1">
        <v>28.05</v>
      </c>
      <c r="O553" s="1">
        <v>29.09</v>
      </c>
      <c r="P553" s="1">
        <v>23.84</v>
      </c>
      <c r="Q553">
        <v>4.0400000000000002E-3</v>
      </c>
      <c r="R553">
        <v>5.2000000000000002E-6</v>
      </c>
    </row>
    <row r="554" spans="1:18" ht="13.8" outlineLevel="2" x14ac:dyDescent="0.25">
      <c r="A554">
        <v>61775</v>
      </c>
      <c r="B554" t="s">
        <v>567</v>
      </c>
      <c r="C554" t="s">
        <v>632</v>
      </c>
      <c r="D554" s="14" t="s">
        <v>624</v>
      </c>
      <c r="E554" s="12" t="s">
        <v>28</v>
      </c>
      <c r="F554" s="17" t="s">
        <v>549</v>
      </c>
      <c r="G554">
        <v>100</v>
      </c>
      <c r="H554" t="s">
        <v>30</v>
      </c>
      <c r="I554">
        <v>100</v>
      </c>
      <c r="J554" s="15"/>
      <c r="K554" s="16">
        <f>53.77 - (53.77 * $E$1)</f>
        <v>53.77</v>
      </c>
      <c r="L554" s="16">
        <f>44.07 - (44.07 * $E$1)</f>
        <v>44.07</v>
      </c>
      <c r="M554" s="1">
        <v>53.77</v>
      </c>
      <c r="N554" s="1">
        <v>44.07</v>
      </c>
      <c r="O554" s="1">
        <v>45.7</v>
      </c>
      <c r="P554" s="1">
        <v>37.46</v>
      </c>
      <c r="Q554">
        <v>6.4000000000000003E-3</v>
      </c>
      <c r="R554">
        <v>8.6400000000000003E-6</v>
      </c>
    </row>
    <row r="555" spans="1:18" ht="13.8" outlineLevel="2" x14ac:dyDescent="0.25">
      <c r="A555">
        <v>61776</v>
      </c>
      <c r="B555" t="s">
        <v>567</v>
      </c>
      <c r="C555" t="s">
        <v>633</v>
      </c>
      <c r="D555" s="14" t="s">
        <v>624</v>
      </c>
      <c r="E555" s="12" t="s">
        <v>28</v>
      </c>
      <c r="F555" s="17" t="s">
        <v>549</v>
      </c>
      <c r="G555">
        <v>100</v>
      </c>
      <c r="H555" t="s">
        <v>30</v>
      </c>
      <c r="I555">
        <v>100</v>
      </c>
      <c r="J555" s="15"/>
      <c r="K555" s="16">
        <f>60.02 - (60.02 * $E$1)</f>
        <v>60.02</v>
      </c>
      <c r="L555" s="16">
        <f>49.2 - (49.2 * $E$1)</f>
        <v>49.2</v>
      </c>
      <c r="M555" s="1">
        <v>60.02</v>
      </c>
      <c r="N555" s="1">
        <v>49.2</v>
      </c>
      <c r="O555" s="1">
        <v>51.02</v>
      </c>
      <c r="P555" s="1">
        <v>41.82</v>
      </c>
      <c r="Q555">
        <v>7.1999999999999998E-3</v>
      </c>
      <c r="R555">
        <v>9.1800000000000002E-6</v>
      </c>
    </row>
    <row r="556" spans="1:18" ht="13.8" outlineLevel="2" x14ac:dyDescent="0.25">
      <c r="A556">
        <v>108526</v>
      </c>
      <c r="B556" t="s">
        <v>582</v>
      </c>
      <c r="C556" t="s">
        <v>634</v>
      </c>
      <c r="D556" s="14" t="s">
        <v>624</v>
      </c>
      <c r="E556" s="12" t="s">
        <v>28</v>
      </c>
      <c r="F556" s="13" t="s">
        <v>29</v>
      </c>
      <c r="G556">
        <v>1</v>
      </c>
      <c r="H556" t="s">
        <v>420</v>
      </c>
      <c r="I556">
        <v>1</v>
      </c>
      <c r="J556" s="15"/>
      <c r="K556" s="16">
        <f>465 - (465 * $E$1)</f>
        <v>465</v>
      </c>
      <c r="L556" s="16">
        <f>381.15 - (381.15 * $E$1)</f>
        <v>381.15</v>
      </c>
      <c r="M556" s="1">
        <v>465</v>
      </c>
      <c r="N556" s="1">
        <v>381.15</v>
      </c>
      <c r="O556" s="1">
        <v>395.25</v>
      </c>
      <c r="P556" s="1">
        <v>323.98</v>
      </c>
      <c r="Q556">
        <v>6.2E-2</v>
      </c>
      <c r="R556">
        <v>1.2E-4</v>
      </c>
    </row>
    <row r="557" spans="1:18" ht="13.8" outlineLevel="2" x14ac:dyDescent="0.25">
      <c r="A557">
        <v>108527</v>
      </c>
      <c r="B557" t="s">
        <v>582</v>
      </c>
      <c r="C557" t="s">
        <v>635</v>
      </c>
      <c r="D557" s="14" t="s">
        <v>624</v>
      </c>
      <c r="E557" s="12" t="s">
        <v>28</v>
      </c>
      <c r="F557" s="13" t="s">
        <v>29</v>
      </c>
      <c r="G557">
        <v>1</v>
      </c>
      <c r="H557" t="s">
        <v>420</v>
      </c>
      <c r="I557">
        <v>1</v>
      </c>
      <c r="J557" s="15"/>
      <c r="K557" s="16">
        <f>812 - (812 * $E$1)</f>
        <v>812</v>
      </c>
      <c r="L557" s="16">
        <f>665.57 - (665.57 * $E$1)</f>
        <v>665.57</v>
      </c>
      <c r="M557" s="1">
        <v>812</v>
      </c>
      <c r="N557" s="1">
        <v>665.57</v>
      </c>
      <c r="O557" s="1">
        <v>690.2</v>
      </c>
      <c r="P557" s="1">
        <v>565.73</v>
      </c>
      <c r="Q557">
        <v>0.112</v>
      </c>
      <c r="R557">
        <v>1.65E-4</v>
      </c>
    </row>
    <row r="558" spans="1:18" ht="13.8" outlineLevel="2" x14ac:dyDescent="0.25">
      <c r="A558">
        <v>108528</v>
      </c>
      <c r="B558" t="s">
        <v>582</v>
      </c>
      <c r="C558" t="s">
        <v>636</v>
      </c>
      <c r="D558" s="14" t="s">
        <v>624</v>
      </c>
      <c r="E558" s="12" t="s">
        <v>28</v>
      </c>
      <c r="F558" s="13" t="s">
        <v>29</v>
      </c>
      <c r="G558">
        <v>1</v>
      </c>
      <c r="H558" t="s">
        <v>420</v>
      </c>
      <c r="I558">
        <v>1</v>
      </c>
      <c r="J558" s="15"/>
      <c r="K558" s="16">
        <f>525 - (525 * $E$1)</f>
        <v>525</v>
      </c>
      <c r="L558" s="16">
        <f>430.33 - (430.33 * $E$1)</f>
        <v>430.33</v>
      </c>
      <c r="M558" s="1">
        <v>525</v>
      </c>
      <c r="N558" s="1">
        <v>430.33</v>
      </c>
      <c r="O558" s="1">
        <v>446.25</v>
      </c>
      <c r="P558" s="1">
        <v>365.78</v>
      </c>
      <c r="Q558">
        <v>0.08</v>
      </c>
      <c r="R558">
        <v>1.1E-4</v>
      </c>
    </row>
    <row r="559" spans="1:18" ht="13.8" outlineLevel="2" x14ac:dyDescent="0.25">
      <c r="A559">
        <v>108529</v>
      </c>
      <c r="B559" t="s">
        <v>582</v>
      </c>
      <c r="C559" t="s">
        <v>637</v>
      </c>
      <c r="D559" s="14" t="s">
        <v>624</v>
      </c>
      <c r="E559" s="12" t="s">
        <v>28</v>
      </c>
      <c r="F559" s="13" t="s">
        <v>29</v>
      </c>
      <c r="G559">
        <v>1</v>
      </c>
      <c r="H559" t="s">
        <v>420</v>
      </c>
      <c r="I559">
        <v>1</v>
      </c>
      <c r="J559" s="15"/>
      <c r="K559" s="16">
        <f>869.01 - (869.01 * $E$1)</f>
        <v>869.01</v>
      </c>
      <c r="L559" s="16">
        <f>712.3 - (712.3 * $E$1)</f>
        <v>712.3</v>
      </c>
      <c r="M559" s="1">
        <v>869.01</v>
      </c>
      <c r="N559" s="1">
        <v>712.3</v>
      </c>
      <c r="O559" s="1">
        <v>738.66</v>
      </c>
      <c r="P559" s="1">
        <v>605.46</v>
      </c>
      <c r="Q559">
        <v>0.128</v>
      </c>
      <c r="R559">
        <v>2.3000000000000001E-4</v>
      </c>
    </row>
    <row r="560" spans="1:18" ht="13.8" outlineLevel="2" x14ac:dyDescent="0.25">
      <c r="A560">
        <v>108530</v>
      </c>
      <c r="B560" t="s">
        <v>582</v>
      </c>
      <c r="C560" t="s">
        <v>638</v>
      </c>
      <c r="D560" s="14" t="s">
        <v>624</v>
      </c>
      <c r="E560" s="12" t="s">
        <v>28</v>
      </c>
      <c r="F560" s="13" t="s">
        <v>29</v>
      </c>
      <c r="G560">
        <v>1</v>
      </c>
      <c r="H560" t="s">
        <v>420</v>
      </c>
      <c r="I560">
        <v>1</v>
      </c>
      <c r="J560" s="15"/>
      <c r="K560" s="16">
        <f>1455 - (1455 * $E$1)</f>
        <v>1455</v>
      </c>
      <c r="L560" s="16">
        <f>1192.62 - (1192.62 * $E$1)</f>
        <v>1192.6199999999999</v>
      </c>
      <c r="M560" s="1">
        <v>1455</v>
      </c>
      <c r="N560" s="1">
        <v>1192.6199999999999</v>
      </c>
      <c r="O560" s="1">
        <v>1236.75</v>
      </c>
      <c r="P560" s="1">
        <v>1013.73</v>
      </c>
      <c r="Q560">
        <v>0.2</v>
      </c>
      <c r="R560">
        <v>3.5799999999999997E-4</v>
      </c>
    </row>
    <row r="561" spans="1:18" ht="13.8" outlineLevel="2" x14ac:dyDescent="0.25">
      <c r="A561">
        <v>108531</v>
      </c>
      <c r="B561" t="s">
        <v>582</v>
      </c>
      <c r="C561" t="s">
        <v>639</v>
      </c>
      <c r="D561" s="14" t="s">
        <v>624</v>
      </c>
      <c r="E561" s="12" t="s">
        <v>28</v>
      </c>
      <c r="F561" s="13" t="s">
        <v>29</v>
      </c>
      <c r="G561">
        <v>1</v>
      </c>
      <c r="H561" t="s">
        <v>420</v>
      </c>
      <c r="I561">
        <v>1</v>
      </c>
      <c r="J561" s="15"/>
      <c r="K561" s="16">
        <f>1768 - (1768 * $E$1)</f>
        <v>1768</v>
      </c>
      <c r="L561" s="16">
        <f>1449.18 - (1449.18 * $E$1)</f>
        <v>1449.18</v>
      </c>
      <c r="M561" s="1">
        <v>1768</v>
      </c>
      <c r="N561" s="1">
        <v>1449.18</v>
      </c>
      <c r="O561" s="1">
        <v>1502.8</v>
      </c>
      <c r="P561" s="1">
        <v>1231.8</v>
      </c>
      <c r="Q561">
        <v>0.24199999999999999</v>
      </c>
      <c r="R561">
        <v>3.5799999999999997E-4</v>
      </c>
    </row>
    <row r="562" spans="1:18" ht="13.8" outlineLevel="2" x14ac:dyDescent="0.25">
      <c r="A562">
        <v>108532</v>
      </c>
      <c r="B562" t="s">
        <v>582</v>
      </c>
      <c r="C562" t="s">
        <v>640</v>
      </c>
      <c r="D562" s="14" t="s">
        <v>624</v>
      </c>
      <c r="E562" s="12" t="s">
        <v>28</v>
      </c>
      <c r="F562" s="13" t="s">
        <v>29</v>
      </c>
      <c r="G562">
        <v>1</v>
      </c>
      <c r="H562" t="s">
        <v>420</v>
      </c>
      <c r="I562">
        <v>1</v>
      </c>
      <c r="J562" s="15"/>
      <c r="K562" s="16">
        <f>2861 - (2861 * $E$1)</f>
        <v>2861</v>
      </c>
      <c r="L562" s="16">
        <f>2345.08 - (2345.08 * $E$1)</f>
        <v>2345.08</v>
      </c>
      <c r="M562" s="1">
        <v>2861</v>
      </c>
      <c r="N562" s="1">
        <v>2345.08</v>
      </c>
      <c r="O562" s="1">
        <v>2431.85</v>
      </c>
      <c r="P562" s="1">
        <v>1993.32</v>
      </c>
      <c r="Q562">
        <v>0.33</v>
      </c>
      <c r="R562">
        <v>3.6400000000000001E-4</v>
      </c>
    </row>
    <row r="563" spans="1:18" ht="13.8" outlineLevel="2" x14ac:dyDescent="0.25">
      <c r="A563">
        <v>108533</v>
      </c>
      <c r="B563" t="s">
        <v>582</v>
      </c>
      <c r="C563" t="s">
        <v>641</v>
      </c>
      <c r="D563" s="14" t="s">
        <v>624</v>
      </c>
      <c r="E563" s="12" t="s">
        <v>28</v>
      </c>
      <c r="F563" s="13" t="s">
        <v>29</v>
      </c>
      <c r="G563">
        <v>1</v>
      </c>
      <c r="H563" t="s">
        <v>420</v>
      </c>
      <c r="I563">
        <v>1</v>
      </c>
      <c r="J563" s="15"/>
      <c r="K563" s="16">
        <f>3422 - (3422 * $E$1)</f>
        <v>3422</v>
      </c>
      <c r="L563" s="16">
        <f>2804.92 - (2804.92 * $E$1)</f>
        <v>2804.92</v>
      </c>
      <c r="M563" s="1">
        <v>3422</v>
      </c>
      <c r="N563" s="1">
        <v>2804.92</v>
      </c>
      <c r="O563" s="1">
        <v>2908.7</v>
      </c>
      <c r="P563" s="1">
        <v>2384.1799999999998</v>
      </c>
      <c r="Q563">
        <v>0.40400000000000003</v>
      </c>
      <c r="R563">
        <v>5.1999999999999995E-4</v>
      </c>
    </row>
    <row r="564" spans="1:18" ht="13.8" outlineLevel="2" x14ac:dyDescent="0.25">
      <c r="A564">
        <v>108534</v>
      </c>
      <c r="B564" t="s">
        <v>582</v>
      </c>
      <c r="C564" t="s">
        <v>642</v>
      </c>
      <c r="D564" s="14" t="s">
        <v>624</v>
      </c>
      <c r="E564" s="12" t="s">
        <v>28</v>
      </c>
      <c r="F564" s="13" t="s">
        <v>29</v>
      </c>
      <c r="G564">
        <v>1</v>
      </c>
      <c r="H564" t="s">
        <v>420</v>
      </c>
      <c r="I564">
        <v>1</v>
      </c>
      <c r="J564" s="15"/>
      <c r="K564" s="16">
        <f>5376 - (5376 * $E$1)</f>
        <v>5376</v>
      </c>
      <c r="L564" s="16">
        <f>4406.56 - (4406.56 * $E$1)</f>
        <v>4406.5600000000004</v>
      </c>
      <c r="M564" s="1">
        <v>5376</v>
      </c>
      <c r="N564" s="1">
        <v>4406.5600000000004</v>
      </c>
      <c r="O564" s="1">
        <v>4569.6000000000004</v>
      </c>
      <c r="P564" s="1">
        <v>3745.58</v>
      </c>
      <c r="Q564">
        <v>0.64</v>
      </c>
      <c r="R564">
        <v>8.6399999999999997E-4</v>
      </c>
    </row>
    <row r="565" spans="1:18" ht="13.8" outlineLevel="2" x14ac:dyDescent="0.25">
      <c r="A565">
        <v>108535</v>
      </c>
      <c r="B565" t="s">
        <v>582</v>
      </c>
      <c r="C565" t="s">
        <v>643</v>
      </c>
      <c r="D565" s="14" t="s">
        <v>624</v>
      </c>
      <c r="E565" s="12" t="s">
        <v>28</v>
      </c>
      <c r="F565" s="13" t="s">
        <v>29</v>
      </c>
      <c r="G565">
        <v>1</v>
      </c>
      <c r="H565" t="s">
        <v>420</v>
      </c>
      <c r="I565">
        <v>1</v>
      </c>
      <c r="J565" s="15"/>
      <c r="K565" s="16">
        <f>6002 - (6002 * $E$1)</f>
        <v>6002</v>
      </c>
      <c r="L565" s="16">
        <f>4919.67 - (4919.67 * $E$1)</f>
        <v>4919.67</v>
      </c>
      <c r="M565" s="1">
        <v>6002</v>
      </c>
      <c r="N565" s="1">
        <v>4919.67</v>
      </c>
      <c r="O565" s="1">
        <v>5101.7</v>
      </c>
      <c r="P565" s="1">
        <v>4181.72</v>
      </c>
      <c r="Q565">
        <v>0.72</v>
      </c>
      <c r="R565">
        <v>9.1799999999999998E-4</v>
      </c>
    </row>
    <row r="566" spans="1:18" ht="13.8" outlineLevel="2" x14ac:dyDescent="0.25">
      <c r="A566">
        <v>66629</v>
      </c>
      <c r="B566" t="s">
        <v>567</v>
      </c>
      <c r="C566" t="s">
        <v>644</v>
      </c>
      <c r="D566" s="14" t="s">
        <v>645</v>
      </c>
      <c r="E566" s="12" t="s">
        <v>28</v>
      </c>
      <c r="F566" s="17" t="s">
        <v>549</v>
      </c>
      <c r="G566">
        <v>100</v>
      </c>
      <c r="H566" t="s">
        <v>30</v>
      </c>
      <c r="I566">
        <v>100</v>
      </c>
      <c r="J566" s="15"/>
      <c r="K566" s="16">
        <f>7.8 - (7.8 * $E$1)</f>
        <v>7.8</v>
      </c>
      <c r="L566" s="16">
        <f>6.39 - (6.39 * $E$1)</f>
        <v>6.39</v>
      </c>
      <c r="M566" s="1">
        <v>7.8</v>
      </c>
      <c r="N566" s="1">
        <v>6.39</v>
      </c>
      <c r="O566" s="1">
        <v>6.63</v>
      </c>
      <c r="P566" s="1">
        <v>5.43</v>
      </c>
      <c r="Q566">
        <v>8.0000000000000004E-4</v>
      </c>
      <c r="R566">
        <v>2.1600000000000001E-6</v>
      </c>
    </row>
    <row r="567" spans="1:18" ht="13.8" outlineLevel="2" x14ac:dyDescent="0.25">
      <c r="A567">
        <v>66630</v>
      </c>
      <c r="B567" t="s">
        <v>567</v>
      </c>
      <c r="C567" t="s">
        <v>646</v>
      </c>
      <c r="D567" s="14" t="s">
        <v>645</v>
      </c>
      <c r="E567" s="12" t="s">
        <v>28</v>
      </c>
      <c r="F567" s="17" t="s">
        <v>549</v>
      </c>
      <c r="G567">
        <v>100</v>
      </c>
      <c r="H567" t="s">
        <v>30</v>
      </c>
      <c r="I567">
        <v>100</v>
      </c>
      <c r="J567" s="15"/>
      <c r="K567" s="16">
        <f>8.39 - (8.39 * $E$1)</f>
        <v>8.39</v>
      </c>
      <c r="L567" s="16">
        <f>6.88 - (6.88 * $E$1)</f>
        <v>6.88</v>
      </c>
      <c r="M567" s="1">
        <v>8.39</v>
      </c>
      <c r="N567" s="1">
        <v>6.88</v>
      </c>
      <c r="O567" s="1">
        <v>7.13</v>
      </c>
      <c r="P567" s="1">
        <v>5.85</v>
      </c>
      <c r="Q567">
        <v>8.5999999999999998E-4</v>
      </c>
      <c r="R567">
        <v>1.1999999999999999E-6</v>
      </c>
    </row>
    <row r="568" spans="1:18" ht="13.8" outlineLevel="2" x14ac:dyDescent="0.25">
      <c r="A568">
        <v>66631</v>
      </c>
      <c r="B568" t="s">
        <v>567</v>
      </c>
      <c r="C568" t="s">
        <v>647</v>
      </c>
      <c r="D568" s="14" t="s">
        <v>645</v>
      </c>
      <c r="E568" s="12" t="s">
        <v>28</v>
      </c>
      <c r="F568" s="17" t="s">
        <v>549</v>
      </c>
      <c r="G568">
        <v>100</v>
      </c>
      <c r="H568" t="s">
        <v>30</v>
      </c>
      <c r="I568">
        <v>100</v>
      </c>
      <c r="J568" s="15"/>
      <c r="K568" s="16">
        <f>9.46 - (9.46 * $E$1)</f>
        <v>9.4600000000000009</v>
      </c>
      <c r="L568" s="16">
        <f>7.75 - (7.75 * $E$1)</f>
        <v>7.75</v>
      </c>
      <c r="M568" s="1">
        <v>9.4600000000000009</v>
      </c>
      <c r="N568" s="1">
        <v>7.75</v>
      </c>
      <c r="O568" s="1">
        <v>8.0399999999999991</v>
      </c>
      <c r="P568" s="1">
        <v>6.59</v>
      </c>
      <c r="Q568">
        <v>1.2999999999999999E-3</v>
      </c>
      <c r="R568">
        <v>2.88E-6</v>
      </c>
    </row>
    <row r="569" spans="1:18" ht="13.8" outlineLevel="2" x14ac:dyDescent="0.25">
      <c r="A569">
        <v>66632</v>
      </c>
      <c r="B569" t="s">
        <v>567</v>
      </c>
      <c r="C569" t="s">
        <v>648</v>
      </c>
      <c r="D569" s="14" t="s">
        <v>645</v>
      </c>
      <c r="E569" s="12" t="s">
        <v>28</v>
      </c>
      <c r="F569" s="17" t="s">
        <v>549</v>
      </c>
      <c r="G569">
        <v>100</v>
      </c>
      <c r="H569" t="s">
        <v>30</v>
      </c>
      <c r="I569">
        <v>100</v>
      </c>
      <c r="J569" s="15"/>
      <c r="K569" s="16">
        <f>8.8 - (8.8 * $E$1)</f>
        <v>8.8000000000000007</v>
      </c>
      <c r="L569" s="16">
        <f>7.21 - (7.21 * $E$1)</f>
        <v>7.21</v>
      </c>
      <c r="M569" s="1">
        <v>8.8000000000000007</v>
      </c>
      <c r="N569" s="1">
        <v>7.21</v>
      </c>
      <c r="O569" s="1">
        <v>7.48</v>
      </c>
      <c r="P569" s="1">
        <v>6.13</v>
      </c>
      <c r="Q569">
        <v>9.6000000000000002E-4</v>
      </c>
      <c r="R569">
        <v>1.4399999999999999E-5</v>
      </c>
    </row>
    <row r="570" spans="1:18" ht="13.8" outlineLevel="2" x14ac:dyDescent="0.25">
      <c r="A570">
        <v>66633</v>
      </c>
      <c r="B570" t="s">
        <v>567</v>
      </c>
      <c r="C570" t="s">
        <v>649</v>
      </c>
      <c r="D570" s="14" t="s">
        <v>645</v>
      </c>
      <c r="E570" s="12" t="s">
        <v>28</v>
      </c>
      <c r="F570" s="13" t="s">
        <v>29</v>
      </c>
      <c r="G570">
        <v>100</v>
      </c>
      <c r="H570" t="s">
        <v>30</v>
      </c>
      <c r="I570">
        <v>100</v>
      </c>
      <c r="J570" s="15"/>
      <c r="K570" s="16">
        <f>10.11 - (10.11 * $E$1)</f>
        <v>10.11</v>
      </c>
      <c r="L570" s="16">
        <f>8.29 - (8.29 * $E$1)</f>
        <v>8.2899999999999991</v>
      </c>
      <c r="M570" s="1">
        <v>10.11</v>
      </c>
      <c r="N570" s="1">
        <v>8.2899999999999991</v>
      </c>
      <c r="O570" s="1">
        <v>8.6</v>
      </c>
      <c r="P570" s="1">
        <v>7.05</v>
      </c>
      <c r="Q570">
        <v>1.66E-3</v>
      </c>
      <c r="R570">
        <v>1.4399999999999999E-5</v>
      </c>
    </row>
    <row r="571" spans="1:18" ht="13.8" outlineLevel="2" x14ac:dyDescent="0.25">
      <c r="A571">
        <v>66634</v>
      </c>
      <c r="B571" t="s">
        <v>567</v>
      </c>
      <c r="C571" t="s">
        <v>650</v>
      </c>
      <c r="D571" s="14" t="s">
        <v>645</v>
      </c>
      <c r="E571" s="12" t="s">
        <v>28</v>
      </c>
      <c r="F571" s="17" t="s">
        <v>549</v>
      </c>
      <c r="G571">
        <v>100</v>
      </c>
      <c r="H571" t="s">
        <v>30</v>
      </c>
      <c r="I571">
        <v>100</v>
      </c>
      <c r="J571" s="15"/>
      <c r="K571" s="16">
        <f>11.94 - (11.94 * $E$1)</f>
        <v>11.94</v>
      </c>
      <c r="L571" s="16">
        <f>9.79 - (9.79 * $E$1)</f>
        <v>9.7899999999999991</v>
      </c>
      <c r="M571" s="1">
        <v>11.94</v>
      </c>
      <c r="N571" s="1">
        <v>9.7899999999999991</v>
      </c>
      <c r="O571" s="1">
        <v>10.15</v>
      </c>
      <c r="P571" s="1">
        <v>8.32</v>
      </c>
      <c r="Q571">
        <v>1.48E-3</v>
      </c>
      <c r="R571">
        <v>1.4399999999999999E-5</v>
      </c>
    </row>
    <row r="572" spans="1:18" ht="13.8" outlineLevel="2" x14ac:dyDescent="0.25">
      <c r="A572">
        <v>66635</v>
      </c>
      <c r="B572" t="s">
        <v>567</v>
      </c>
      <c r="C572" t="s">
        <v>651</v>
      </c>
      <c r="D572" s="14" t="s">
        <v>645</v>
      </c>
      <c r="E572" s="12" t="s">
        <v>28</v>
      </c>
      <c r="F572" s="17" t="s">
        <v>549</v>
      </c>
      <c r="G572">
        <v>100</v>
      </c>
      <c r="H572" t="s">
        <v>30</v>
      </c>
      <c r="I572">
        <v>100</v>
      </c>
      <c r="J572" s="15"/>
      <c r="K572" s="16">
        <f>17.89 - (17.89 * $E$1)</f>
        <v>17.89</v>
      </c>
      <c r="L572" s="16">
        <f>14.66 - (14.66 * $E$1)</f>
        <v>14.66</v>
      </c>
      <c r="M572" s="1">
        <v>17.89</v>
      </c>
      <c r="N572" s="1">
        <v>14.66</v>
      </c>
      <c r="O572" s="1">
        <v>15.2</v>
      </c>
      <c r="P572" s="1">
        <v>12.46</v>
      </c>
      <c r="Q572">
        <v>2.4199999999999998E-3</v>
      </c>
      <c r="R572">
        <v>1.573E-5</v>
      </c>
    </row>
    <row r="573" spans="1:18" ht="13.8" outlineLevel="2" x14ac:dyDescent="0.25">
      <c r="A573">
        <v>66636</v>
      </c>
      <c r="B573" t="s">
        <v>567</v>
      </c>
      <c r="C573" t="s">
        <v>652</v>
      </c>
      <c r="D573" s="14" t="s">
        <v>645</v>
      </c>
      <c r="E573" s="12" t="s">
        <v>28</v>
      </c>
      <c r="F573" s="13" t="s">
        <v>29</v>
      </c>
      <c r="G573">
        <v>100</v>
      </c>
      <c r="H573" t="s">
        <v>30</v>
      </c>
      <c r="I573">
        <v>100</v>
      </c>
      <c r="J573" s="15"/>
      <c r="K573" s="16">
        <f>21.01 - (21.01 * $E$1)</f>
        <v>21.01</v>
      </c>
      <c r="L573" s="16">
        <f>17.22 - (17.22 * $E$1)</f>
        <v>17.22</v>
      </c>
      <c r="M573" s="1">
        <v>21.01</v>
      </c>
      <c r="N573" s="1">
        <v>17.22</v>
      </c>
      <c r="O573" s="1">
        <v>17.86</v>
      </c>
      <c r="P573" s="1">
        <v>14.64</v>
      </c>
      <c r="Q573">
        <v>2.8600000000000001E-3</v>
      </c>
      <c r="R573">
        <v>1.573E-5</v>
      </c>
    </row>
    <row r="574" spans="1:18" ht="13.8" outlineLevel="2" x14ac:dyDescent="0.25">
      <c r="A574">
        <v>108608</v>
      </c>
      <c r="B574" t="s">
        <v>582</v>
      </c>
      <c r="C574" t="s">
        <v>653</v>
      </c>
      <c r="D574" s="14" t="s">
        <v>645</v>
      </c>
      <c r="E574" s="12" t="s">
        <v>28</v>
      </c>
      <c r="F574" s="13" t="s">
        <v>29</v>
      </c>
      <c r="G574">
        <v>1</v>
      </c>
      <c r="H574" t="s">
        <v>420</v>
      </c>
      <c r="I574">
        <v>1</v>
      </c>
      <c r="J574" s="15"/>
      <c r="K574" s="16">
        <f>779.99 - (779.99 * $E$1)</f>
        <v>779.99</v>
      </c>
      <c r="L574" s="16">
        <f>639.34 - (639.34 * $E$1)</f>
        <v>639.34</v>
      </c>
      <c r="M574" s="1">
        <v>779.99</v>
      </c>
      <c r="N574" s="1">
        <v>639.34</v>
      </c>
      <c r="O574" s="1">
        <v>663</v>
      </c>
      <c r="P574" s="1">
        <v>543.44000000000005</v>
      </c>
      <c r="Q574">
        <v>0.08</v>
      </c>
      <c r="R574">
        <v>2.1599999999999999E-4</v>
      </c>
    </row>
    <row r="575" spans="1:18" ht="13.8" outlineLevel="2" x14ac:dyDescent="0.25">
      <c r="A575">
        <v>108609</v>
      </c>
      <c r="B575" t="s">
        <v>582</v>
      </c>
      <c r="C575" t="s">
        <v>654</v>
      </c>
      <c r="D575" s="14" t="s">
        <v>645</v>
      </c>
      <c r="E575" s="12" t="s">
        <v>28</v>
      </c>
      <c r="F575" s="13" t="s">
        <v>29</v>
      </c>
      <c r="G575">
        <v>1</v>
      </c>
      <c r="H575" t="s">
        <v>420</v>
      </c>
      <c r="I575">
        <v>1</v>
      </c>
      <c r="J575" s="15"/>
      <c r="K575" s="16">
        <f>838.99 - (838.99 * $E$1)</f>
        <v>838.99</v>
      </c>
      <c r="L575" s="16">
        <f>687.7 - (687.7 * $E$1)</f>
        <v>687.7</v>
      </c>
      <c r="M575" s="1">
        <v>838.99</v>
      </c>
      <c r="N575" s="1">
        <v>687.7</v>
      </c>
      <c r="O575" s="1">
        <v>713.14</v>
      </c>
      <c r="P575" s="1">
        <v>584.54999999999995</v>
      </c>
      <c r="Q575">
        <v>8.5999999999999993E-2</v>
      </c>
      <c r="R575">
        <v>1.2E-4</v>
      </c>
    </row>
    <row r="576" spans="1:18" ht="13.8" outlineLevel="2" x14ac:dyDescent="0.25">
      <c r="A576">
        <v>108610</v>
      </c>
      <c r="B576" t="s">
        <v>582</v>
      </c>
      <c r="C576" t="s">
        <v>655</v>
      </c>
      <c r="D576" s="14" t="s">
        <v>645</v>
      </c>
      <c r="E576" s="12" t="s">
        <v>28</v>
      </c>
      <c r="F576" s="13" t="s">
        <v>29</v>
      </c>
      <c r="G576">
        <v>1</v>
      </c>
      <c r="H576" t="s">
        <v>420</v>
      </c>
      <c r="I576">
        <v>1</v>
      </c>
      <c r="J576" s="15"/>
      <c r="K576" s="16">
        <f>946 - (946 * $E$1)</f>
        <v>946</v>
      </c>
      <c r="L576" s="16">
        <f>775.41 - (775.41 * $E$1)</f>
        <v>775.41</v>
      </c>
      <c r="M576" s="1">
        <v>946</v>
      </c>
      <c r="N576" s="1">
        <v>775.41</v>
      </c>
      <c r="O576" s="1">
        <v>804.1</v>
      </c>
      <c r="P576" s="1">
        <v>659.1</v>
      </c>
      <c r="Q576">
        <v>0.13</v>
      </c>
      <c r="R576">
        <v>2.8800000000000001E-4</v>
      </c>
    </row>
    <row r="577" spans="1:18" ht="13.8" outlineLevel="2" x14ac:dyDescent="0.25">
      <c r="A577">
        <v>108611</v>
      </c>
      <c r="B577" t="s">
        <v>582</v>
      </c>
      <c r="C577" t="s">
        <v>656</v>
      </c>
      <c r="D577" s="14" t="s">
        <v>645</v>
      </c>
      <c r="E577" s="12" t="s">
        <v>28</v>
      </c>
      <c r="F577" s="13" t="s">
        <v>29</v>
      </c>
      <c r="G577">
        <v>1</v>
      </c>
      <c r="H577" t="s">
        <v>420</v>
      </c>
      <c r="I577">
        <v>1</v>
      </c>
      <c r="J577" s="15"/>
      <c r="K577" s="16">
        <f>880 - (880 * $E$1)</f>
        <v>880</v>
      </c>
      <c r="L577" s="16">
        <f>721.31 - (721.31 * $E$1)</f>
        <v>721.31</v>
      </c>
      <c r="M577" s="1">
        <v>880</v>
      </c>
      <c r="N577" s="1">
        <v>721.31</v>
      </c>
      <c r="O577" s="1">
        <v>748</v>
      </c>
      <c r="P577" s="1">
        <v>613.11</v>
      </c>
      <c r="Q577">
        <v>9.6000000000000002E-2</v>
      </c>
      <c r="R577">
        <v>1.4400000000000001E-3</v>
      </c>
    </row>
    <row r="578" spans="1:18" ht="13.8" outlineLevel="2" x14ac:dyDescent="0.25">
      <c r="A578">
        <v>108612</v>
      </c>
      <c r="B578" t="s">
        <v>582</v>
      </c>
      <c r="C578" t="s">
        <v>657</v>
      </c>
      <c r="D578" s="14" t="s">
        <v>645</v>
      </c>
      <c r="E578" s="12" t="s">
        <v>28</v>
      </c>
      <c r="F578" s="13" t="s">
        <v>29</v>
      </c>
      <c r="G578">
        <v>1</v>
      </c>
      <c r="H578" t="s">
        <v>420</v>
      </c>
      <c r="I578">
        <v>1</v>
      </c>
      <c r="J578" s="15"/>
      <c r="K578" s="16">
        <f>1011 - (1011 * $E$1)</f>
        <v>1011</v>
      </c>
      <c r="L578" s="16">
        <f>828.69 - (828.69 * $E$1)</f>
        <v>828.69</v>
      </c>
      <c r="M578" s="1">
        <v>1011</v>
      </c>
      <c r="N578" s="1">
        <v>828.69</v>
      </c>
      <c r="O578" s="1">
        <v>859.35</v>
      </c>
      <c r="P578" s="1">
        <v>704.39</v>
      </c>
      <c r="Q578">
        <v>0.16600000000000001</v>
      </c>
      <c r="R578">
        <v>1.4400000000000001E-3</v>
      </c>
    </row>
    <row r="579" spans="1:18" ht="13.8" outlineLevel="2" x14ac:dyDescent="0.25">
      <c r="A579">
        <v>108613</v>
      </c>
      <c r="B579" t="s">
        <v>582</v>
      </c>
      <c r="C579" t="s">
        <v>658</v>
      </c>
      <c r="D579" s="14" t="s">
        <v>645</v>
      </c>
      <c r="E579" s="12" t="s">
        <v>28</v>
      </c>
      <c r="F579" s="13" t="s">
        <v>29</v>
      </c>
      <c r="G579">
        <v>1</v>
      </c>
      <c r="H579" t="s">
        <v>420</v>
      </c>
      <c r="I579">
        <v>1</v>
      </c>
      <c r="J579" s="15"/>
      <c r="K579" s="16">
        <f>1194 - (1194 * $E$1)</f>
        <v>1194</v>
      </c>
      <c r="L579" s="16">
        <f>978.69 - (978.69 * $E$1)</f>
        <v>978.69</v>
      </c>
      <c r="M579" s="1">
        <v>1194</v>
      </c>
      <c r="N579" s="1">
        <v>978.69</v>
      </c>
      <c r="O579" s="1">
        <v>1014.9</v>
      </c>
      <c r="P579" s="1">
        <v>831.89</v>
      </c>
      <c r="Q579">
        <v>0.14799999999999999</v>
      </c>
      <c r="R579">
        <v>1.4400000000000001E-3</v>
      </c>
    </row>
    <row r="580" spans="1:18" ht="13.8" outlineLevel="2" x14ac:dyDescent="0.25">
      <c r="A580">
        <v>108614</v>
      </c>
      <c r="B580" t="s">
        <v>582</v>
      </c>
      <c r="C580" t="s">
        <v>659</v>
      </c>
      <c r="D580" s="14" t="s">
        <v>645</v>
      </c>
      <c r="E580" s="12" t="s">
        <v>28</v>
      </c>
      <c r="F580" s="13" t="s">
        <v>29</v>
      </c>
      <c r="G580">
        <v>1</v>
      </c>
      <c r="H580" t="s">
        <v>420</v>
      </c>
      <c r="I580">
        <v>1</v>
      </c>
      <c r="J580" s="15"/>
      <c r="K580" s="16">
        <f>1789 - (1789 * $E$1)</f>
        <v>1789</v>
      </c>
      <c r="L580" s="16">
        <f>1466.39 - (1466.39 * $E$1)</f>
        <v>1466.39</v>
      </c>
      <c r="M580" s="1">
        <v>1789</v>
      </c>
      <c r="N580" s="1">
        <v>1466.39</v>
      </c>
      <c r="O580" s="1">
        <v>1520.65</v>
      </c>
      <c r="P580" s="1">
        <v>1246.43</v>
      </c>
      <c r="Q580">
        <v>0.24199999999999999</v>
      </c>
      <c r="R580">
        <v>1.573E-3</v>
      </c>
    </row>
    <row r="581" spans="1:18" ht="13.8" outlineLevel="2" x14ac:dyDescent="0.25">
      <c r="A581">
        <v>108615</v>
      </c>
      <c r="B581" t="s">
        <v>582</v>
      </c>
      <c r="C581" t="s">
        <v>660</v>
      </c>
      <c r="D581" s="14" t="s">
        <v>645</v>
      </c>
      <c r="E581" s="12" t="s">
        <v>28</v>
      </c>
      <c r="F581" s="13" t="s">
        <v>29</v>
      </c>
      <c r="G581">
        <v>1</v>
      </c>
      <c r="H581" t="s">
        <v>420</v>
      </c>
      <c r="I581">
        <v>1</v>
      </c>
      <c r="J581" s="15"/>
      <c r="K581" s="16">
        <f>2101 - (2101 * $E$1)</f>
        <v>2101</v>
      </c>
      <c r="L581" s="16">
        <f>1722.13 - (1722.13 * $E$1)</f>
        <v>1722.13</v>
      </c>
      <c r="M581" s="1">
        <v>2101</v>
      </c>
      <c r="N581" s="1">
        <v>1722.13</v>
      </c>
      <c r="O581" s="1">
        <v>1785.85</v>
      </c>
      <c r="P581" s="1">
        <v>1463.81</v>
      </c>
      <c r="Q581">
        <v>0.28599999999999998</v>
      </c>
      <c r="R581">
        <v>1.573E-3</v>
      </c>
    </row>
    <row r="582" spans="1:18" ht="13.8" outlineLevel="2" x14ac:dyDescent="0.25">
      <c r="A582">
        <v>47456</v>
      </c>
      <c r="B582" t="s">
        <v>661</v>
      </c>
      <c r="C582" t="s">
        <v>662</v>
      </c>
      <c r="D582" s="14" t="s">
        <v>663</v>
      </c>
      <c r="E582" s="12" t="s">
        <v>28</v>
      </c>
      <c r="F582" s="17" t="s">
        <v>549</v>
      </c>
      <c r="G582">
        <v>100</v>
      </c>
      <c r="H582" t="s">
        <v>30</v>
      </c>
      <c r="I582">
        <v>500</v>
      </c>
      <c r="J582" s="15"/>
      <c r="K582" s="16">
        <f>4.32 - (4.32 * $E$1)</f>
        <v>4.32</v>
      </c>
      <c r="L582" s="16">
        <f>3.54 - (3.54 * $E$1)</f>
        <v>3.54</v>
      </c>
      <c r="M582" s="1">
        <v>4.32</v>
      </c>
      <c r="N582" s="1">
        <v>3.54</v>
      </c>
      <c r="O582" s="1">
        <v>3.67</v>
      </c>
      <c r="P582" s="1">
        <v>3.01</v>
      </c>
      <c r="Q582">
        <v>7.2000000000000005E-4</v>
      </c>
      <c r="R582">
        <v>1.3200000000000001E-6</v>
      </c>
    </row>
    <row r="583" spans="1:18" ht="13.8" outlineLevel="2" x14ac:dyDescent="0.25">
      <c r="A583">
        <v>47484</v>
      </c>
      <c r="B583" t="s">
        <v>661</v>
      </c>
      <c r="C583" t="s">
        <v>664</v>
      </c>
      <c r="D583" s="14" t="s">
        <v>663</v>
      </c>
      <c r="E583" s="12" t="s">
        <v>28</v>
      </c>
      <c r="F583" s="17" t="s">
        <v>549</v>
      </c>
      <c r="G583">
        <v>100</v>
      </c>
      <c r="H583" t="s">
        <v>30</v>
      </c>
      <c r="I583">
        <v>500</v>
      </c>
      <c r="J583" s="15"/>
      <c r="K583" s="16">
        <f>4.47 - (4.47 * $E$1)</f>
        <v>4.47</v>
      </c>
      <c r="L583" s="16">
        <f>3.66 - (3.66 * $E$1)</f>
        <v>3.66</v>
      </c>
      <c r="M583" s="1">
        <v>4.47</v>
      </c>
      <c r="N583" s="1">
        <v>3.66</v>
      </c>
      <c r="O583" s="1">
        <v>3.8</v>
      </c>
      <c r="P583" s="1">
        <v>3.11</v>
      </c>
      <c r="Q583">
        <v>7.2000000000000005E-4</v>
      </c>
      <c r="R583">
        <v>1.1999999999999999E-6</v>
      </c>
    </row>
    <row r="584" spans="1:18" ht="13.8" outlineLevel="2" x14ac:dyDescent="0.25">
      <c r="A584">
        <v>47485</v>
      </c>
      <c r="B584" t="s">
        <v>661</v>
      </c>
      <c r="C584" t="s">
        <v>665</v>
      </c>
      <c r="D584" s="14" t="s">
        <v>663</v>
      </c>
      <c r="E584" s="12" t="s">
        <v>28</v>
      </c>
      <c r="F584" s="17" t="s">
        <v>549</v>
      </c>
      <c r="G584">
        <v>100</v>
      </c>
      <c r="H584" t="s">
        <v>30</v>
      </c>
      <c r="I584">
        <v>500</v>
      </c>
      <c r="J584" s="15"/>
      <c r="K584" s="16">
        <f>4.49 - (4.49 * $E$1)</f>
        <v>4.49</v>
      </c>
      <c r="L584" s="16">
        <f>3.68 - (3.68 * $E$1)</f>
        <v>3.68</v>
      </c>
      <c r="M584" s="1">
        <v>4.49</v>
      </c>
      <c r="N584" s="1">
        <v>3.68</v>
      </c>
      <c r="O584" s="1">
        <v>3.82</v>
      </c>
      <c r="P584" s="1">
        <v>3.13</v>
      </c>
      <c r="Q584">
        <v>6.9999999999999999E-4</v>
      </c>
      <c r="R584">
        <v>1.1999999999999999E-6</v>
      </c>
    </row>
    <row r="585" spans="1:18" ht="13.8" outlineLevel="2" x14ac:dyDescent="0.25">
      <c r="A585">
        <v>47486</v>
      </c>
      <c r="B585" t="s">
        <v>661</v>
      </c>
      <c r="C585" t="s">
        <v>666</v>
      </c>
      <c r="D585" s="14" t="s">
        <v>663</v>
      </c>
      <c r="E585" s="12" t="s">
        <v>28</v>
      </c>
      <c r="F585" s="17" t="s">
        <v>549</v>
      </c>
      <c r="G585">
        <v>100</v>
      </c>
      <c r="H585" t="s">
        <v>30</v>
      </c>
      <c r="I585">
        <v>500</v>
      </c>
      <c r="J585" s="15"/>
      <c r="K585" s="16">
        <f>4.94 - (4.94 * $E$1)</f>
        <v>4.9400000000000004</v>
      </c>
      <c r="L585" s="16">
        <f>4.05 - (4.05 * $E$1)</f>
        <v>4.05</v>
      </c>
      <c r="M585" s="1">
        <v>4.9400000000000004</v>
      </c>
      <c r="N585" s="1">
        <v>4.05</v>
      </c>
      <c r="O585" s="1">
        <v>4.2</v>
      </c>
      <c r="P585" s="1">
        <v>3.44</v>
      </c>
      <c r="Q585">
        <v>8.8000000000000003E-4</v>
      </c>
      <c r="R585">
        <v>1.73E-6</v>
      </c>
    </row>
    <row r="586" spans="1:18" ht="13.8" outlineLevel="2" x14ac:dyDescent="0.25">
      <c r="A586">
        <v>47487</v>
      </c>
      <c r="B586" t="s">
        <v>661</v>
      </c>
      <c r="C586" t="s">
        <v>667</v>
      </c>
      <c r="D586" s="14" t="s">
        <v>663</v>
      </c>
      <c r="E586" s="12" t="s">
        <v>28</v>
      </c>
      <c r="F586" s="17" t="s">
        <v>549</v>
      </c>
      <c r="G586">
        <v>100</v>
      </c>
      <c r="H586" t="s">
        <v>30</v>
      </c>
      <c r="I586">
        <v>500</v>
      </c>
      <c r="J586" s="15"/>
      <c r="K586" s="16">
        <f>4.95 - (4.95 * $E$1)</f>
        <v>4.95</v>
      </c>
      <c r="L586" s="16">
        <f>4.06 - (4.06 * $E$1)</f>
        <v>4.0599999999999996</v>
      </c>
      <c r="M586" s="1">
        <v>4.95</v>
      </c>
      <c r="N586" s="1">
        <v>4.0599999999999996</v>
      </c>
      <c r="O586" s="1">
        <v>4.21</v>
      </c>
      <c r="P586" s="1">
        <v>3.45</v>
      </c>
      <c r="Q586">
        <v>8.5999999999999998E-4</v>
      </c>
      <c r="R586">
        <v>1.7999999999999999E-6</v>
      </c>
    </row>
    <row r="587" spans="1:18" ht="13.8" outlineLevel="2" x14ac:dyDescent="0.25">
      <c r="A587">
        <v>47488</v>
      </c>
      <c r="B587" t="s">
        <v>661</v>
      </c>
      <c r="C587" t="s">
        <v>668</v>
      </c>
      <c r="D587" s="14" t="s">
        <v>663</v>
      </c>
      <c r="E587" s="12" t="s">
        <v>28</v>
      </c>
      <c r="F587" s="17" t="s">
        <v>549</v>
      </c>
      <c r="G587">
        <v>100</v>
      </c>
      <c r="H587" t="s">
        <v>30</v>
      </c>
      <c r="I587">
        <v>500</v>
      </c>
      <c r="J587" s="15"/>
      <c r="K587" s="16">
        <f>5.01 - (5.01 * $E$1)</f>
        <v>5.01</v>
      </c>
      <c r="L587" s="16">
        <f>4.11 - (4.11 * $E$1)</f>
        <v>4.1100000000000003</v>
      </c>
      <c r="M587" s="1">
        <v>5.01</v>
      </c>
      <c r="N587" s="1">
        <v>4.1100000000000003</v>
      </c>
      <c r="O587" s="1">
        <v>4.26</v>
      </c>
      <c r="P587" s="1">
        <v>3.49</v>
      </c>
      <c r="Q587">
        <v>8.0000000000000004E-4</v>
      </c>
      <c r="R587">
        <v>2.1600000000000001E-6</v>
      </c>
    </row>
    <row r="588" spans="1:18" ht="13.8" outlineLevel="2" x14ac:dyDescent="0.25">
      <c r="A588">
        <v>47489</v>
      </c>
      <c r="B588" t="s">
        <v>661</v>
      </c>
      <c r="C588" t="s">
        <v>669</v>
      </c>
      <c r="D588" s="14" t="s">
        <v>663</v>
      </c>
      <c r="E588" s="12" t="s">
        <v>28</v>
      </c>
      <c r="F588" s="17" t="s">
        <v>549</v>
      </c>
      <c r="G588">
        <v>100</v>
      </c>
      <c r="H588" t="s">
        <v>30</v>
      </c>
      <c r="I588">
        <v>500</v>
      </c>
      <c r="J588" s="15"/>
      <c r="K588" s="16">
        <f>9.63 - (9.63 * $E$1)</f>
        <v>9.6300000000000008</v>
      </c>
      <c r="L588" s="16">
        <f>7.89 - (7.89 * $E$1)</f>
        <v>7.89</v>
      </c>
      <c r="M588" s="1">
        <v>9.6300000000000008</v>
      </c>
      <c r="N588" s="1">
        <v>7.89</v>
      </c>
      <c r="O588" s="1">
        <v>8.18</v>
      </c>
      <c r="P588" s="1">
        <v>6.71</v>
      </c>
      <c r="Q588">
        <v>1.6000000000000001E-3</v>
      </c>
      <c r="R588">
        <v>2.2000000000000001E-6</v>
      </c>
    </row>
    <row r="589" spans="1:18" ht="13.8" outlineLevel="2" x14ac:dyDescent="0.25">
      <c r="A589">
        <v>47490</v>
      </c>
      <c r="B589" t="s">
        <v>661</v>
      </c>
      <c r="C589" t="s">
        <v>670</v>
      </c>
      <c r="D589" s="14" t="s">
        <v>663</v>
      </c>
      <c r="E589" s="12" t="s">
        <v>28</v>
      </c>
      <c r="F589" s="17" t="s">
        <v>549</v>
      </c>
      <c r="G589">
        <v>100</v>
      </c>
      <c r="H589" t="s">
        <v>30</v>
      </c>
      <c r="I589">
        <v>500</v>
      </c>
      <c r="J589" s="15"/>
      <c r="K589" s="16">
        <f>9.59 - (9.59 * $E$1)</f>
        <v>9.59</v>
      </c>
      <c r="L589" s="16">
        <f>7.86 - (7.86 * $E$1)</f>
        <v>7.86</v>
      </c>
      <c r="M589" s="1">
        <v>9.59</v>
      </c>
      <c r="N589" s="1">
        <v>7.86</v>
      </c>
      <c r="O589" s="1">
        <v>8.15</v>
      </c>
      <c r="P589" s="1">
        <v>6.68</v>
      </c>
      <c r="Q589">
        <v>1.6000000000000001E-3</v>
      </c>
      <c r="R589">
        <v>2.3099999999999999E-6</v>
      </c>
    </row>
    <row r="590" spans="1:18" ht="13.8" outlineLevel="2" x14ac:dyDescent="0.25">
      <c r="A590">
        <v>47491</v>
      </c>
      <c r="B590" t="s">
        <v>661</v>
      </c>
      <c r="C590" t="s">
        <v>671</v>
      </c>
      <c r="D590" s="14" t="s">
        <v>663</v>
      </c>
      <c r="E590" s="12" t="s">
        <v>28</v>
      </c>
      <c r="F590" s="17" t="s">
        <v>549</v>
      </c>
      <c r="G590">
        <v>100</v>
      </c>
      <c r="H590" t="s">
        <v>30</v>
      </c>
      <c r="I590">
        <v>500</v>
      </c>
      <c r="J590" s="15"/>
      <c r="K590" s="16">
        <f>9.02 - (9.02 * $E$1)</f>
        <v>9.02</v>
      </c>
      <c r="L590" s="16">
        <f>7.39 - (7.39 * $E$1)</f>
        <v>7.39</v>
      </c>
      <c r="M590" s="1">
        <v>9.02</v>
      </c>
      <c r="N590" s="1">
        <v>7.39</v>
      </c>
      <c r="O590" s="1">
        <v>7.66</v>
      </c>
      <c r="P590" s="1">
        <v>6.28</v>
      </c>
      <c r="Q590">
        <v>1.5E-3</v>
      </c>
      <c r="R590">
        <v>2.3099999999999999E-6</v>
      </c>
    </row>
    <row r="591" spans="1:18" ht="13.8" outlineLevel="2" x14ac:dyDescent="0.25">
      <c r="A591">
        <v>108536</v>
      </c>
      <c r="B591" t="s">
        <v>672</v>
      </c>
      <c r="C591" t="s">
        <v>673</v>
      </c>
      <c r="D591" s="14" t="s">
        <v>663</v>
      </c>
      <c r="E591" s="12" t="s">
        <v>28</v>
      </c>
      <c r="F591" s="13" t="s">
        <v>29</v>
      </c>
      <c r="G591">
        <v>1</v>
      </c>
      <c r="H591" t="s">
        <v>420</v>
      </c>
      <c r="I591">
        <v>5</v>
      </c>
      <c r="J591" s="15"/>
      <c r="K591" s="16">
        <f>432 - (432 * $E$1)</f>
        <v>432</v>
      </c>
      <c r="L591" s="16">
        <f>354.1 - (354.1 * $E$1)</f>
        <v>354.1</v>
      </c>
      <c r="M591" s="1">
        <v>432</v>
      </c>
      <c r="N591" s="1">
        <v>354.1</v>
      </c>
      <c r="O591" s="1">
        <v>367.2</v>
      </c>
      <c r="P591" s="1">
        <v>300.99</v>
      </c>
      <c r="Q591">
        <v>7.1999999999999995E-2</v>
      </c>
      <c r="R591">
        <v>1.3200000000000001E-4</v>
      </c>
    </row>
    <row r="592" spans="1:18" ht="13.8" outlineLevel="2" x14ac:dyDescent="0.25">
      <c r="A592">
        <v>108537</v>
      </c>
      <c r="B592" t="s">
        <v>672</v>
      </c>
      <c r="C592" t="s">
        <v>674</v>
      </c>
      <c r="D592" s="14" t="s">
        <v>663</v>
      </c>
      <c r="E592" s="12" t="s">
        <v>28</v>
      </c>
      <c r="F592" s="13" t="s">
        <v>29</v>
      </c>
      <c r="G592">
        <v>1</v>
      </c>
      <c r="H592" t="s">
        <v>420</v>
      </c>
      <c r="I592">
        <v>5</v>
      </c>
      <c r="J592" s="15"/>
      <c r="K592" s="16">
        <f>447 - (447 * $E$1)</f>
        <v>447</v>
      </c>
      <c r="L592" s="16">
        <f>366.39 - (366.39 * $E$1)</f>
        <v>366.39</v>
      </c>
      <c r="M592" s="1">
        <v>447</v>
      </c>
      <c r="N592" s="1">
        <v>366.39</v>
      </c>
      <c r="O592" s="1">
        <v>379.95</v>
      </c>
      <c r="P592" s="1">
        <v>311.43</v>
      </c>
      <c r="Q592">
        <v>7.1999999999999995E-2</v>
      </c>
      <c r="R592">
        <v>1.2E-4</v>
      </c>
    </row>
    <row r="593" spans="1:18" ht="13.8" outlineLevel="2" x14ac:dyDescent="0.25">
      <c r="A593">
        <v>108538</v>
      </c>
      <c r="B593" t="s">
        <v>672</v>
      </c>
      <c r="C593" t="s">
        <v>675</v>
      </c>
      <c r="D593" s="14" t="s">
        <v>663</v>
      </c>
      <c r="E593" s="12" t="s">
        <v>28</v>
      </c>
      <c r="F593" s="13" t="s">
        <v>29</v>
      </c>
      <c r="G593">
        <v>1</v>
      </c>
      <c r="H593" t="s">
        <v>420</v>
      </c>
      <c r="I593">
        <v>5</v>
      </c>
      <c r="J593" s="15"/>
      <c r="K593" s="16">
        <f>449 - (449 * $E$1)</f>
        <v>449</v>
      </c>
      <c r="L593" s="16">
        <f>368.03 - (368.03 * $E$1)</f>
        <v>368.03</v>
      </c>
      <c r="M593" s="1">
        <v>449</v>
      </c>
      <c r="N593" s="1">
        <v>368.03</v>
      </c>
      <c r="O593" s="1">
        <v>381.65</v>
      </c>
      <c r="P593" s="1">
        <v>312.83</v>
      </c>
      <c r="Q593">
        <v>7.0000000000000007E-2</v>
      </c>
      <c r="R593">
        <v>1.2E-4</v>
      </c>
    </row>
    <row r="594" spans="1:18" ht="13.8" outlineLevel="2" x14ac:dyDescent="0.25">
      <c r="A594">
        <v>108539</v>
      </c>
      <c r="B594" t="s">
        <v>672</v>
      </c>
      <c r="C594" t="s">
        <v>676</v>
      </c>
      <c r="D594" s="14" t="s">
        <v>663</v>
      </c>
      <c r="E594" s="12" t="s">
        <v>28</v>
      </c>
      <c r="F594" s="13" t="s">
        <v>29</v>
      </c>
      <c r="G594">
        <v>1</v>
      </c>
      <c r="H594" t="s">
        <v>420</v>
      </c>
      <c r="I594">
        <v>5</v>
      </c>
      <c r="J594" s="15"/>
      <c r="K594" s="16">
        <f>494 - (494 * $E$1)</f>
        <v>494</v>
      </c>
      <c r="L594" s="16">
        <f>404.92 - (404.92 * $E$1)</f>
        <v>404.92</v>
      </c>
      <c r="M594" s="1">
        <v>494</v>
      </c>
      <c r="N594" s="1">
        <v>404.92</v>
      </c>
      <c r="O594" s="1">
        <v>419.9</v>
      </c>
      <c r="P594" s="1">
        <v>344.18</v>
      </c>
      <c r="Q594">
        <v>8.7999999999999995E-2</v>
      </c>
      <c r="R594">
        <v>1.73E-4</v>
      </c>
    </row>
    <row r="595" spans="1:18" ht="13.8" outlineLevel="2" x14ac:dyDescent="0.25">
      <c r="A595">
        <v>108540</v>
      </c>
      <c r="B595" t="s">
        <v>672</v>
      </c>
      <c r="C595" t="s">
        <v>677</v>
      </c>
      <c r="D595" s="14" t="s">
        <v>663</v>
      </c>
      <c r="E595" s="12" t="s">
        <v>28</v>
      </c>
      <c r="F595" s="13" t="s">
        <v>29</v>
      </c>
      <c r="G595">
        <v>1</v>
      </c>
      <c r="H595" t="s">
        <v>420</v>
      </c>
      <c r="I595">
        <v>5</v>
      </c>
      <c r="J595" s="15"/>
      <c r="K595" s="16">
        <f>495 - (495 * $E$1)</f>
        <v>495</v>
      </c>
      <c r="L595" s="16">
        <f>405.74 - (405.74 * $E$1)</f>
        <v>405.74</v>
      </c>
      <c r="M595" s="1">
        <v>495</v>
      </c>
      <c r="N595" s="1">
        <v>405.74</v>
      </c>
      <c r="O595" s="1">
        <v>420.75</v>
      </c>
      <c r="P595" s="1">
        <v>344.88</v>
      </c>
      <c r="Q595">
        <v>8.5999999999999993E-2</v>
      </c>
      <c r="R595">
        <v>1.8000000000000001E-4</v>
      </c>
    </row>
    <row r="596" spans="1:18" ht="13.8" outlineLevel="2" x14ac:dyDescent="0.25">
      <c r="A596">
        <v>108541</v>
      </c>
      <c r="B596" t="s">
        <v>672</v>
      </c>
      <c r="C596" t="s">
        <v>678</v>
      </c>
      <c r="D596" s="14" t="s">
        <v>663</v>
      </c>
      <c r="E596" s="12" t="s">
        <v>28</v>
      </c>
      <c r="F596" s="13" t="s">
        <v>29</v>
      </c>
      <c r="G596">
        <v>1</v>
      </c>
      <c r="H596" t="s">
        <v>420</v>
      </c>
      <c r="I596">
        <v>5</v>
      </c>
      <c r="J596" s="15"/>
      <c r="K596" s="16">
        <f>502.01 - (502.01 * $E$1)</f>
        <v>502.01</v>
      </c>
      <c r="L596" s="16">
        <f>411.48 - (411.48 * $E$1)</f>
        <v>411.48</v>
      </c>
      <c r="M596" s="1">
        <v>502.01</v>
      </c>
      <c r="N596" s="1">
        <v>411.48</v>
      </c>
      <c r="O596" s="1">
        <v>426.7</v>
      </c>
      <c r="P596" s="1">
        <v>349.76</v>
      </c>
      <c r="Q596">
        <v>0.08</v>
      </c>
      <c r="R596">
        <v>2.1599999999999999E-4</v>
      </c>
    </row>
    <row r="597" spans="1:18" ht="13.8" outlineLevel="2" x14ac:dyDescent="0.25">
      <c r="A597">
        <v>108542</v>
      </c>
      <c r="B597" t="s">
        <v>672</v>
      </c>
      <c r="C597" t="s">
        <v>679</v>
      </c>
      <c r="D597" s="14" t="s">
        <v>663</v>
      </c>
      <c r="E597" s="12" t="s">
        <v>28</v>
      </c>
      <c r="F597" s="13" t="s">
        <v>29</v>
      </c>
      <c r="G597">
        <v>1</v>
      </c>
      <c r="H597" t="s">
        <v>420</v>
      </c>
      <c r="I597">
        <v>5</v>
      </c>
      <c r="J597" s="15"/>
      <c r="K597" s="16">
        <f>962.99 - (962.99 * $E$1)</f>
        <v>962.99</v>
      </c>
      <c r="L597" s="16">
        <f>789.34 - (789.34 * $E$1)</f>
        <v>789.34</v>
      </c>
      <c r="M597" s="1">
        <v>962.99</v>
      </c>
      <c r="N597" s="1">
        <v>789.34</v>
      </c>
      <c r="O597" s="1">
        <v>818.55</v>
      </c>
      <c r="P597" s="1">
        <v>670.94</v>
      </c>
      <c r="Q597">
        <v>0.16</v>
      </c>
      <c r="R597">
        <v>2.2000000000000001E-4</v>
      </c>
    </row>
    <row r="598" spans="1:18" ht="13.8" outlineLevel="2" x14ac:dyDescent="0.25">
      <c r="A598">
        <v>108543</v>
      </c>
      <c r="B598" t="s">
        <v>672</v>
      </c>
      <c r="C598" t="s">
        <v>680</v>
      </c>
      <c r="D598" s="14" t="s">
        <v>663</v>
      </c>
      <c r="E598" s="12" t="s">
        <v>28</v>
      </c>
      <c r="F598" s="13" t="s">
        <v>29</v>
      </c>
      <c r="G598">
        <v>1</v>
      </c>
      <c r="H598" t="s">
        <v>420</v>
      </c>
      <c r="I598">
        <v>5</v>
      </c>
      <c r="J598" s="15"/>
      <c r="K598" s="16">
        <f>959.01 - (959.01 * $E$1)</f>
        <v>959.01</v>
      </c>
      <c r="L598" s="16">
        <f>786.07 - (786.07 * $E$1)</f>
        <v>786.07</v>
      </c>
      <c r="M598" s="1">
        <v>959.01</v>
      </c>
      <c r="N598" s="1">
        <v>786.07</v>
      </c>
      <c r="O598" s="1">
        <v>815.15</v>
      </c>
      <c r="P598" s="1">
        <v>668.16</v>
      </c>
      <c r="Q598">
        <v>0.16</v>
      </c>
      <c r="R598">
        <v>2.31E-4</v>
      </c>
    </row>
    <row r="599" spans="1:18" ht="13.8" outlineLevel="2" x14ac:dyDescent="0.25">
      <c r="A599">
        <v>108544</v>
      </c>
      <c r="B599" t="s">
        <v>672</v>
      </c>
      <c r="C599" t="s">
        <v>681</v>
      </c>
      <c r="D599" s="14" t="s">
        <v>663</v>
      </c>
      <c r="E599" s="12" t="s">
        <v>28</v>
      </c>
      <c r="F599" s="13" t="s">
        <v>29</v>
      </c>
      <c r="G599">
        <v>1</v>
      </c>
      <c r="H599" t="s">
        <v>420</v>
      </c>
      <c r="I599">
        <v>5</v>
      </c>
      <c r="J599" s="15"/>
      <c r="K599" s="16">
        <f>901.99 - (901.99 * $E$1)</f>
        <v>901.99</v>
      </c>
      <c r="L599" s="16">
        <f>739.34 - (739.34 * $E$1)</f>
        <v>739.34</v>
      </c>
      <c r="M599" s="1">
        <v>901.99</v>
      </c>
      <c r="N599" s="1">
        <v>739.34</v>
      </c>
      <c r="O599" s="1">
        <v>766.7</v>
      </c>
      <c r="P599" s="1">
        <v>628.44000000000005</v>
      </c>
      <c r="Q599">
        <v>0.15</v>
      </c>
      <c r="R599">
        <v>2.31E-4</v>
      </c>
    </row>
    <row r="600" spans="1:18" ht="13.8" outlineLevel="2" x14ac:dyDescent="0.25">
      <c r="A600">
        <v>90900</v>
      </c>
      <c r="B600" t="s">
        <v>672</v>
      </c>
      <c r="C600" t="s">
        <v>682</v>
      </c>
      <c r="D600" s="14" t="s">
        <v>683</v>
      </c>
      <c r="E600" s="12" t="s">
        <v>28</v>
      </c>
      <c r="F600" s="17" t="s">
        <v>549</v>
      </c>
      <c r="G600">
        <v>100</v>
      </c>
      <c r="H600" t="s">
        <v>30</v>
      </c>
      <c r="I600">
        <v>100</v>
      </c>
      <c r="J600" s="15"/>
      <c r="K600" s="16">
        <f>3.4 - (3.4 * $E$1)</f>
        <v>3.4</v>
      </c>
      <c r="L600" s="16">
        <f>2.79 - (2.79 * $E$1)</f>
        <v>2.79</v>
      </c>
      <c r="M600" s="1">
        <v>3.4</v>
      </c>
      <c r="N600" s="1">
        <v>2.79</v>
      </c>
      <c r="O600" s="1">
        <v>2.89</v>
      </c>
      <c r="P600" s="1">
        <v>2.37</v>
      </c>
      <c r="Q600">
        <v>6.9999999999999999E-4</v>
      </c>
      <c r="R600">
        <v>1.3200000000000001E-6</v>
      </c>
    </row>
    <row r="601" spans="1:18" ht="13.8" outlineLevel="2" x14ac:dyDescent="0.25">
      <c r="A601">
        <v>90901</v>
      </c>
      <c r="B601" t="s">
        <v>672</v>
      </c>
      <c r="C601" t="s">
        <v>684</v>
      </c>
      <c r="D601" s="14" t="s">
        <v>683</v>
      </c>
      <c r="E601" s="12" t="s">
        <v>28</v>
      </c>
      <c r="F601" s="17" t="s">
        <v>549</v>
      </c>
      <c r="G601">
        <v>100</v>
      </c>
      <c r="H601" t="s">
        <v>30</v>
      </c>
      <c r="I601">
        <v>100</v>
      </c>
      <c r="J601" s="15"/>
      <c r="K601" s="16">
        <f>3.51 - (3.51 * $E$1)</f>
        <v>3.51</v>
      </c>
      <c r="L601" s="16">
        <f>2.88 - (2.88 * $E$1)</f>
        <v>2.88</v>
      </c>
      <c r="M601" s="1">
        <v>3.51</v>
      </c>
      <c r="N601" s="1">
        <v>2.88</v>
      </c>
      <c r="O601" s="1">
        <v>2.99</v>
      </c>
      <c r="P601" s="1">
        <v>2.4500000000000002</v>
      </c>
      <c r="Q601">
        <v>6.9999999999999999E-4</v>
      </c>
      <c r="R601">
        <v>1.1999999999999999E-6</v>
      </c>
    </row>
    <row r="602" spans="1:18" ht="13.8" outlineLevel="2" x14ac:dyDescent="0.25">
      <c r="A602">
        <v>90902</v>
      </c>
      <c r="B602" t="s">
        <v>672</v>
      </c>
      <c r="C602" t="s">
        <v>685</v>
      </c>
      <c r="D602" s="14" t="s">
        <v>683</v>
      </c>
      <c r="E602" s="12" t="s">
        <v>28</v>
      </c>
      <c r="F602" s="17" t="s">
        <v>549</v>
      </c>
      <c r="G602">
        <v>100</v>
      </c>
      <c r="H602" t="s">
        <v>30</v>
      </c>
      <c r="I602">
        <v>100</v>
      </c>
      <c r="J602" s="15"/>
      <c r="K602" s="16">
        <f>3.86 - (3.86 * $E$1)</f>
        <v>3.86</v>
      </c>
      <c r="L602" s="16">
        <f>3.16 - (3.16 * $E$1)</f>
        <v>3.16</v>
      </c>
      <c r="M602" s="1">
        <v>3.86</v>
      </c>
      <c r="N602" s="1">
        <v>3.16</v>
      </c>
      <c r="O602" s="1">
        <v>3.28</v>
      </c>
      <c r="P602" s="1">
        <v>2.69</v>
      </c>
      <c r="Q602">
        <v>8.9999999999999998E-4</v>
      </c>
      <c r="R602">
        <v>1.73E-6</v>
      </c>
    </row>
    <row r="603" spans="1:18" ht="13.8" outlineLevel="2" x14ac:dyDescent="0.25">
      <c r="A603">
        <v>90903</v>
      </c>
      <c r="B603" t="s">
        <v>672</v>
      </c>
      <c r="C603" t="s">
        <v>686</v>
      </c>
      <c r="D603" s="14" t="s">
        <v>683</v>
      </c>
      <c r="E603" s="12" t="s">
        <v>28</v>
      </c>
      <c r="F603" s="17" t="s">
        <v>549</v>
      </c>
      <c r="G603">
        <v>100</v>
      </c>
      <c r="H603" t="s">
        <v>30</v>
      </c>
      <c r="I603">
        <v>100</v>
      </c>
      <c r="J603" s="15"/>
      <c r="K603" s="16">
        <f>3.89 - (3.89 * $E$1)</f>
        <v>3.89</v>
      </c>
      <c r="L603" s="16">
        <f>3.19 - (3.19 * $E$1)</f>
        <v>3.19</v>
      </c>
      <c r="M603" s="1">
        <v>3.89</v>
      </c>
      <c r="N603" s="1">
        <v>3.19</v>
      </c>
      <c r="O603" s="1">
        <v>3.31</v>
      </c>
      <c r="P603" s="1">
        <v>2.71</v>
      </c>
      <c r="Q603">
        <v>8.9999999999999998E-4</v>
      </c>
      <c r="R603">
        <v>1.7999999999999999E-6</v>
      </c>
    </row>
    <row r="604" spans="1:18" ht="13.8" outlineLevel="2" x14ac:dyDescent="0.25">
      <c r="A604">
        <v>90904</v>
      </c>
      <c r="B604" t="s">
        <v>672</v>
      </c>
      <c r="C604" t="s">
        <v>687</v>
      </c>
      <c r="D604" s="14" t="s">
        <v>683</v>
      </c>
      <c r="E604" s="12" t="s">
        <v>28</v>
      </c>
      <c r="F604" s="13" t="s">
        <v>29</v>
      </c>
      <c r="G604">
        <v>100</v>
      </c>
      <c r="H604" t="s">
        <v>30</v>
      </c>
      <c r="I604">
        <v>100</v>
      </c>
      <c r="J604" s="15"/>
      <c r="K604" s="16">
        <f>7.52 - (7.52 * $E$1)</f>
        <v>7.52</v>
      </c>
      <c r="L604" s="16">
        <f>6.16 - (6.16 * $E$1)</f>
        <v>6.16</v>
      </c>
      <c r="M604" s="1">
        <v>7.52</v>
      </c>
      <c r="N604" s="1">
        <v>6.16</v>
      </c>
      <c r="O604" s="1">
        <v>6.39</v>
      </c>
      <c r="P604" s="1">
        <v>5.24</v>
      </c>
      <c r="Q604">
        <v>1.6000000000000001E-3</v>
      </c>
      <c r="R604">
        <v>2.2000000000000001E-6</v>
      </c>
    </row>
    <row r="605" spans="1:18" ht="13.8" outlineLevel="2" x14ac:dyDescent="0.25">
      <c r="A605">
        <v>90905</v>
      </c>
      <c r="B605" t="s">
        <v>672</v>
      </c>
      <c r="C605" t="s">
        <v>688</v>
      </c>
      <c r="D605" s="14" t="s">
        <v>683</v>
      </c>
      <c r="E605" s="12" t="s">
        <v>28</v>
      </c>
      <c r="F605" s="13" t="s">
        <v>29</v>
      </c>
      <c r="G605">
        <v>100</v>
      </c>
      <c r="H605" t="s">
        <v>30</v>
      </c>
      <c r="I605">
        <v>100</v>
      </c>
      <c r="J605" s="15"/>
      <c r="K605" s="16">
        <f>7.05 - (7.05 * $E$1)</f>
        <v>7.05</v>
      </c>
      <c r="L605" s="16">
        <f>5.78 - (5.78 * $E$1)</f>
        <v>5.78</v>
      </c>
      <c r="M605" s="1">
        <v>7.05</v>
      </c>
      <c r="N605" s="1">
        <v>5.78</v>
      </c>
      <c r="O605" s="1">
        <v>5.99</v>
      </c>
      <c r="P605" s="1">
        <v>4.91</v>
      </c>
      <c r="Q605">
        <v>1.5E-3</v>
      </c>
      <c r="R605">
        <v>2.3099999999999999E-6</v>
      </c>
    </row>
    <row r="606" spans="1:18" ht="13.8" outlineLevel="2" x14ac:dyDescent="0.25">
      <c r="A606">
        <v>108562</v>
      </c>
      <c r="B606" t="s">
        <v>672</v>
      </c>
      <c r="C606" t="s">
        <v>689</v>
      </c>
      <c r="D606" s="14" t="s">
        <v>683</v>
      </c>
      <c r="E606" s="12" t="s">
        <v>28</v>
      </c>
      <c r="F606" s="13" t="s">
        <v>29</v>
      </c>
      <c r="G606">
        <v>1</v>
      </c>
      <c r="H606" t="s">
        <v>420</v>
      </c>
      <c r="I606">
        <v>5</v>
      </c>
      <c r="J606" s="15"/>
      <c r="K606" s="16">
        <f>340 - (340 * $E$1)</f>
        <v>340</v>
      </c>
      <c r="L606" s="16">
        <f>278.69 - (278.69 * $E$1)</f>
        <v>278.69</v>
      </c>
      <c r="M606" s="1">
        <v>340</v>
      </c>
      <c r="N606" s="1">
        <v>278.69</v>
      </c>
      <c r="O606" s="1">
        <v>289</v>
      </c>
      <c r="P606" s="1">
        <v>236.89</v>
      </c>
      <c r="Q606">
        <v>7.0000000000000007E-2</v>
      </c>
      <c r="R606">
        <v>1.3200000000000001E-4</v>
      </c>
    </row>
    <row r="607" spans="1:18" ht="13.8" outlineLevel="2" x14ac:dyDescent="0.25">
      <c r="A607">
        <v>108563</v>
      </c>
      <c r="B607" t="s">
        <v>672</v>
      </c>
      <c r="C607" t="s">
        <v>690</v>
      </c>
      <c r="D607" s="14" t="s">
        <v>683</v>
      </c>
      <c r="E607" s="12" t="s">
        <v>28</v>
      </c>
      <c r="F607" s="13" t="s">
        <v>29</v>
      </c>
      <c r="G607">
        <v>1</v>
      </c>
      <c r="H607" t="s">
        <v>420</v>
      </c>
      <c r="I607">
        <v>5</v>
      </c>
      <c r="J607" s="15"/>
      <c r="K607" s="16">
        <f>350.99 - (350.99 * $E$1)</f>
        <v>350.99</v>
      </c>
      <c r="L607" s="16">
        <f>287.7 - (287.7 * $E$1)</f>
        <v>287.7</v>
      </c>
      <c r="M607" s="1">
        <v>350.99</v>
      </c>
      <c r="N607" s="1">
        <v>287.7</v>
      </c>
      <c r="O607" s="1">
        <v>298.33999999999997</v>
      </c>
      <c r="P607" s="1">
        <v>244.55</v>
      </c>
      <c r="Q607">
        <v>7.0000000000000007E-2</v>
      </c>
      <c r="R607">
        <v>1.2E-4</v>
      </c>
    </row>
    <row r="608" spans="1:18" ht="13.8" outlineLevel="2" x14ac:dyDescent="0.25">
      <c r="A608">
        <v>108564</v>
      </c>
      <c r="B608" t="s">
        <v>672</v>
      </c>
      <c r="C608" t="s">
        <v>691</v>
      </c>
      <c r="D608" s="14" t="s">
        <v>683</v>
      </c>
      <c r="E608" s="12" t="s">
        <v>28</v>
      </c>
      <c r="F608" s="13" t="s">
        <v>29</v>
      </c>
      <c r="G608">
        <v>1</v>
      </c>
      <c r="H608" t="s">
        <v>420</v>
      </c>
      <c r="I608">
        <v>5</v>
      </c>
      <c r="J608" s="15"/>
      <c r="K608" s="16">
        <f>386 - (386 * $E$1)</f>
        <v>386</v>
      </c>
      <c r="L608" s="16">
        <f>316.39 - (316.39 * $E$1)</f>
        <v>316.39</v>
      </c>
      <c r="M608" s="1">
        <v>386</v>
      </c>
      <c r="N608" s="1">
        <v>316.39</v>
      </c>
      <c r="O608" s="1">
        <v>328.1</v>
      </c>
      <c r="P608" s="1">
        <v>268.93</v>
      </c>
      <c r="Q608">
        <v>0.09</v>
      </c>
      <c r="R608">
        <v>1.73E-4</v>
      </c>
    </row>
    <row r="609" spans="1:18" ht="13.8" outlineLevel="2" x14ac:dyDescent="0.25">
      <c r="A609">
        <v>108565</v>
      </c>
      <c r="B609" t="s">
        <v>672</v>
      </c>
      <c r="C609" t="s">
        <v>692</v>
      </c>
      <c r="D609" s="14" t="s">
        <v>683</v>
      </c>
      <c r="E609" s="12" t="s">
        <v>28</v>
      </c>
      <c r="F609" s="13" t="s">
        <v>29</v>
      </c>
      <c r="G609">
        <v>1</v>
      </c>
      <c r="H609" t="s">
        <v>420</v>
      </c>
      <c r="I609">
        <v>5</v>
      </c>
      <c r="J609" s="15"/>
      <c r="K609" s="16">
        <f>389 - (389 * $E$1)</f>
        <v>389</v>
      </c>
      <c r="L609" s="16">
        <f>318.85 - (318.85 * $E$1)</f>
        <v>318.85000000000002</v>
      </c>
      <c r="M609" s="1">
        <v>389</v>
      </c>
      <c r="N609" s="1">
        <v>318.85000000000002</v>
      </c>
      <c r="O609" s="1">
        <v>330.65</v>
      </c>
      <c r="P609" s="1">
        <v>271.02</v>
      </c>
      <c r="Q609">
        <v>0.09</v>
      </c>
      <c r="R609">
        <v>1.8000000000000001E-4</v>
      </c>
    </row>
    <row r="610" spans="1:18" ht="13.8" outlineLevel="2" x14ac:dyDescent="0.25">
      <c r="A610">
        <v>108566</v>
      </c>
      <c r="B610" t="s">
        <v>672</v>
      </c>
      <c r="C610" t="s">
        <v>693</v>
      </c>
      <c r="D610" s="14" t="s">
        <v>683</v>
      </c>
      <c r="E610" s="12" t="s">
        <v>28</v>
      </c>
      <c r="F610" s="13" t="s">
        <v>29</v>
      </c>
      <c r="G610">
        <v>1</v>
      </c>
      <c r="H610" t="s">
        <v>420</v>
      </c>
      <c r="I610">
        <v>5</v>
      </c>
      <c r="J610" s="15"/>
      <c r="K610" s="16">
        <f>752 - (752 * $E$1)</f>
        <v>752</v>
      </c>
      <c r="L610" s="16">
        <f>616.39 - (616.39 * $E$1)</f>
        <v>616.39</v>
      </c>
      <c r="M610" s="1">
        <v>752</v>
      </c>
      <c r="N610" s="1">
        <v>616.39</v>
      </c>
      <c r="O610" s="1">
        <v>639.20000000000005</v>
      </c>
      <c r="P610" s="1">
        <v>523.92999999999995</v>
      </c>
      <c r="Q610">
        <v>0.16</v>
      </c>
      <c r="R610">
        <v>2.2000000000000001E-4</v>
      </c>
    </row>
    <row r="611" spans="1:18" ht="13.8" outlineLevel="2" x14ac:dyDescent="0.25">
      <c r="A611">
        <v>108567</v>
      </c>
      <c r="B611" t="s">
        <v>672</v>
      </c>
      <c r="C611" t="s">
        <v>694</v>
      </c>
      <c r="D611" s="14" t="s">
        <v>683</v>
      </c>
      <c r="E611" s="12" t="s">
        <v>28</v>
      </c>
      <c r="F611" s="13" t="s">
        <v>29</v>
      </c>
      <c r="G611">
        <v>1</v>
      </c>
      <c r="H611" t="s">
        <v>420</v>
      </c>
      <c r="I611">
        <v>5</v>
      </c>
      <c r="J611" s="15"/>
      <c r="K611" s="16">
        <f>705 - (705 * $E$1)</f>
        <v>705</v>
      </c>
      <c r="L611" s="16">
        <f>577.87 - (577.87 * $E$1)</f>
        <v>577.87</v>
      </c>
      <c r="M611" s="1">
        <v>705</v>
      </c>
      <c r="N611" s="1">
        <v>577.87</v>
      </c>
      <c r="O611" s="1">
        <v>599.25</v>
      </c>
      <c r="P611" s="1">
        <v>491.19</v>
      </c>
      <c r="Q611">
        <v>0.15</v>
      </c>
      <c r="R611">
        <v>2.31E-4</v>
      </c>
    </row>
    <row r="612" spans="1:18" ht="13.8" outlineLevel="2" x14ac:dyDescent="0.25">
      <c r="A612">
        <v>61779</v>
      </c>
      <c r="B612" t="s">
        <v>661</v>
      </c>
      <c r="C612" t="s">
        <v>695</v>
      </c>
      <c r="D612" s="14" t="s">
        <v>696</v>
      </c>
      <c r="E612" s="12" t="s">
        <v>28</v>
      </c>
      <c r="F612" s="17" t="s">
        <v>549</v>
      </c>
      <c r="G612">
        <v>100</v>
      </c>
      <c r="H612" t="s">
        <v>30</v>
      </c>
      <c r="I612">
        <v>100</v>
      </c>
      <c r="J612" s="15"/>
      <c r="K612" s="16">
        <f>25.46 - (25.46 * $E$1)</f>
        <v>25.46</v>
      </c>
      <c r="L612" s="16">
        <f>20.87 - (20.87 * $E$1)</f>
        <v>20.87</v>
      </c>
      <c r="M612" s="1">
        <v>25.46</v>
      </c>
      <c r="N612" s="1">
        <v>20.87</v>
      </c>
      <c r="O612" s="1">
        <v>21.64</v>
      </c>
      <c r="P612" s="1">
        <v>17.739999999999998</v>
      </c>
      <c r="Q612">
        <v>3.14E-3</v>
      </c>
      <c r="R612">
        <v>3.58E-6</v>
      </c>
    </row>
    <row r="613" spans="1:18" ht="13.8" outlineLevel="2" x14ac:dyDescent="0.25">
      <c r="A613">
        <v>61780</v>
      </c>
      <c r="B613" t="s">
        <v>661</v>
      </c>
      <c r="C613" t="s">
        <v>697</v>
      </c>
      <c r="D613" s="14" t="s">
        <v>696</v>
      </c>
      <c r="E613" s="12" t="s">
        <v>28</v>
      </c>
      <c r="F613" s="17" t="s">
        <v>549</v>
      </c>
      <c r="G613">
        <v>100</v>
      </c>
      <c r="H613" t="s">
        <v>30</v>
      </c>
      <c r="I613">
        <v>100</v>
      </c>
      <c r="J613" s="15"/>
      <c r="K613" s="16">
        <f>27.47 - (27.47 * $E$1)</f>
        <v>27.47</v>
      </c>
      <c r="L613" s="16">
        <f>22.52 - (22.52 * $E$1)</f>
        <v>22.52</v>
      </c>
      <c r="M613" s="1">
        <v>27.47</v>
      </c>
      <c r="N613" s="1">
        <v>22.52</v>
      </c>
      <c r="O613" s="1">
        <v>23.35</v>
      </c>
      <c r="P613" s="1">
        <v>19.14</v>
      </c>
      <c r="Q613">
        <v>3.16E-3</v>
      </c>
      <c r="R613">
        <v>3.58E-6</v>
      </c>
    </row>
    <row r="614" spans="1:18" ht="13.8" outlineLevel="2" x14ac:dyDescent="0.25">
      <c r="A614">
        <v>61781</v>
      </c>
      <c r="B614" t="s">
        <v>661</v>
      </c>
      <c r="C614" t="s">
        <v>698</v>
      </c>
      <c r="D614" s="14" t="s">
        <v>696</v>
      </c>
      <c r="E614" s="12" t="s">
        <v>28</v>
      </c>
      <c r="F614" s="13" t="s">
        <v>29</v>
      </c>
      <c r="G614">
        <v>100</v>
      </c>
      <c r="H614" t="s">
        <v>30</v>
      </c>
      <c r="I614">
        <v>100</v>
      </c>
      <c r="J614" s="15"/>
      <c r="K614" s="16">
        <f>45.84 - (45.84 * $E$1)</f>
        <v>45.84</v>
      </c>
      <c r="L614" s="16">
        <f>37.57 - (37.57 * $E$1)</f>
        <v>37.57</v>
      </c>
      <c r="M614" s="1">
        <v>45.84</v>
      </c>
      <c r="N614" s="1">
        <v>37.57</v>
      </c>
      <c r="O614" s="1">
        <v>38.96</v>
      </c>
      <c r="P614" s="1">
        <v>31.93</v>
      </c>
      <c r="Q614">
        <v>5.8999999999999999E-3</v>
      </c>
      <c r="R614">
        <v>8.6400000000000003E-6</v>
      </c>
    </row>
    <row r="615" spans="1:18" ht="13.8" outlineLevel="2" x14ac:dyDescent="0.25">
      <c r="A615">
        <v>61782</v>
      </c>
      <c r="B615" t="s">
        <v>661</v>
      </c>
      <c r="C615" t="s">
        <v>699</v>
      </c>
      <c r="D615" s="14" t="s">
        <v>696</v>
      </c>
      <c r="E615" s="12" t="s">
        <v>28</v>
      </c>
      <c r="F615" s="17" t="s">
        <v>549</v>
      </c>
      <c r="G615">
        <v>100</v>
      </c>
      <c r="H615" t="s">
        <v>30</v>
      </c>
      <c r="I615">
        <v>100</v>
      </c>
      <c r="J615" s="15"/>
      <c r="K615" s="16">
        <f>50.2 - (50.2 * $E$1)</f>
        <v>50.2</v>
      </c>
      <c r="L615" s="16">
        <f>41.15 - (41.15 * $E$1)</f>
        <v>41.15</v>
      </c>
      <c r="M615" s="1">
        <v>50.2</v>
      </c>
      <c r="N615" s="1">
        <v>41.15</v>
      </c>
      <c r="O615" s="1">
        <v>42.67</v>
      </c>
      <c r="P615" s="1">
        <v>34.979999999999997</v>
      </c>
      <c r="Q615">
        <v>6.1799999999999997E-3</v>
      </c>
      <c r="R615">
        <v>8.0800000000000006E-6</v>
      </c>
    </row>
    <row r="616" spans="1:18" ht="13.8" outlineLevel="2" x14ac:dyDescent="0.25">
      <c r="A616">
        <v>108545</v>
      </c>
      <c r="B616" t="s">
        <v>672</v>
      </c>
      <c r="C616" t="s">
        <v>700</v>
      </c>
      <c r="D616" s="14" t="s">
        <v>696</v>
      </c>
      <c r="E616" s="12" t="s">
        <v>28</v>
      </c>
      <c r="F616" s="13" t="s">
        <v>29</v>
      </c>
      <c r="G616">
        <v>1</v>
      </c>
      <c r="H616" t="s">
        <v>420</v>
      </c>
      <c r="I616">
        <v>1</v>
      </c>
      <c r="J616" s="15"/>
      <c r="K616" s="16">
        <f>2546.01 - (2546.01 * $E$1)</f>
        <v>2546.0100000000002</v>
      </c>
      <c r="L616" s="16">
        <f>2086.89 - (2086.89 * $E$1)</f>
        <v>2086.89</v>
      </c>
      <c r="M616" s="1">
        <v>2546.0100000000002</v>
      </c>
      <c r="N616" s="1">
        <v>2086.89</v>
      </c>
      <c r="O616" s="1">
        <v>2164.1</v>
      </c>
      <c r="P616" s="1">
        <v>1773.86</v>
      </c>
      <c r="Q616">
        <v>0.314</v>
      </c>
      <c r="R616">
        <v>3.5799999999999997E-4</v>
      </c>
    </row>
    <row r="617" spans="1:18" ht="13.8" outlineLevel="2" x14ac:dyDescent="0.25">
      <c r="A617">
        <v>108546</v>
      </c>
      <c r="B617" t="s">
        <v>672</v>
      </c>
      <c r="C617" t="s">
        <v>701</v>
      </c>
      <c r="D617" s="14" t="s">
        <v>696</v>
      </c>
      <c r="E617" s="12" t="s">
        <v>28</v>
      </c>
      <c r="F617" s="13" t="s">
        <v>29</v>
      </c>
      <c r="G617">
        <v>1</v>
      </c>
      <c r="H617" t="s">
        <v>420</v>
      </c>
      <c r="I617">
        <v>1</v>
      </c>
      <c r="J617" s="15"/>
      <c r="K617" s="16">
        <f>2747 - (2747 * $E$1)</f>
        <v>2747</v>
      </c>
      <c r="L617" s="16">
        <f>2251.64 - (2251.64 * $E$1)</f>
        <v>2251.64</v>
      </c>
      <c r="M617" s="1">
        <v>2747</v>
      </c>
      <c r="N617" s="1">
        <v>2251.64</v>
      </c>
      <c r="O617" s="1">
        <v>2334.9499999999998</v>
      </c>
      <c r="P617" s="1">
        <v>1913.89</v>
      </c>
      <c r="Q617">
        <v>0.316</v>
      </c>
      <c r="R617">
        <v>3.5799999999999997E-4</v>
      </c>
    </row>
    <row r="618" spans="1:18" ht="13.8" outlineLevel="2" x14ac:dyDescent="0.25">
      <c r="A618">
        <v>108547</v>
      </c>
      <c r="B618" t="s">
        <v>672</v>
      </c>
      <c r="C618" t="s">
        <v>702</v>
      </c>
      <c r="D618" s="14" t="s">
        <v>696</v>
      </c>
      <c r="E618" s="12" t="s">
        <v>28</v>
      </c>
      <c r="F618" s="13" t="s">
        <v>29</v>
      </c>
      <c r="G618">
        <v>1</v>
      </c>
      <c r="H618" t="s">
        <v>420</v>
      </c>
      <c r="I618">
        <v>1</v>
      </c>
      <c r="J618" s="15"/>
      <c r="K618" s="16">
        <f>4584 - (4584 * $E$1)</f>
        <v>4584</v>
      </c>
      <c r="L618" s="16">
        <f>3757.38 - (3757.38 * $E$1)</f>
        <v>3757.38</v>
      </c>
      <c r="M618" s="1">
        <v>4584</v>
      </c>
      <c r="N618" s="1">
        <v>3757.38</v>
      </c>
      <c r="O618" s="1">
        <v>3896.4</v>
      </c>
      <c r="P618" s="1">
        <v>3193.77</v>
      </c>
      <c r="Q618">
        <v>0.59</v>
      </c>
      <c r="R618">
        <v>8.6399999999999997E-4</v>
      </c>
    </row>
    <row r="619" spans="1:18" ht="13.8" outlineLevel="2" x14ac:dyDescent="0.25">
      <c r="A619">
        <v>108548</v>
      </c>
      <c r="B619" t="s">
        <v>672</v>
      </c>
      <c r="C619" t="s">
        <v>703</v>
      </c>
      <c r="D619" s="14" t="s">
        <v>696</v>
      </c>
      <c r="E619" s="12" t="s">
        <v>28</v>
      </c>
      <c r="F619" s="13" t="s">
        <v>29</v>
      </c>
      <c r="G619">
        <v>1</v>
      </c>
      <c r="H619" t="s">
        <v>420</v>
      </c>
      <c r="I619">
        <v>1</v>
      </c>
      <c r="J619" s="15"/>
      <c r="K619" s="16">
        <f>5020 - (5020 * $E$1)</f>
        <v>5020</v>
      </c>
      <c r="L619" s="16">
        <f>4114.75 - (4114.75 * $E$1)</f>
        <v>4114.75</v>
      </c>
      <c r="M619" s="1">
        <v>5020</v>
      </c>
      <c r="N619" s="1">
        <v>4114.75</v>
      </c>
      <c r="O619" s="1">
        <v>4267</v>
      </c>
      <c r="P619" s="1">
        <v>3497.54</v>
      </c>
      <c r="Q619">
        <v>0.61799999999999999</v>
      </c>
      <c r="R619">
        <v>8.0800000000000002E-4</v>
      </c>
    </row>
    <row r="620" spans="1:18" ht="13.8" outlineLevel="2" x14ac:dyDescent="0.25">
      <c r="A620">
        <v>47459</v>
      </c>
      <c r="B620" t="s">
        <v>704</v>
      </c>
      <c r="C620" t="s">
        <v>705</v>
      </c>
      <c r="D620" s="14" t="s">
        <v>706</v>
      </c>
      <c r="E620" s="12" t="s">
        <v>28</v>
      </c>
      <c r="F620" s="17" t="s">
        <v>549</v>
      </c>
      <c r="G620">
        <v>100</v>
      </c>
      <c r="H620" t="s">
        <v>30</v>
      </c>
      <c r="I620">
        <v>500</v>
      </c>
      <c r="J620" s="15"/>
      <c r="K620" s="16">
        <f>3.86 - (3.86 * $E$1)</f>
        <v>3.86</v>
      </c>
      <c r="L620" s="16">
        <f>3.16 - (3.16 * $E$1)</f>
        <v>3.16</v>
      </c>
      <c r="M620" s="1">
        <v>3.86</v>
      </c>
      <c r="N620" s="1">
        <v>3.16</v>
      </c>
      <c r="O620" s="1">
        <v>3.28</v>
      </c>
      <c r="P620" s="1">
        <v>2.69</v>
      </c>
      <c r="Q620">
        <v>5.9999999999999995E-4</v>
      </c>
      <c r="R620">
        <v>1.1999999999999999E-6</v>
      </c>
    </row>
    <row r="621" spans="1:18" ht="13.8" outlineLevel="2" x14ac:dyDescent="0.25">
      <c r="A621">
        <v>47494</v>
      </c>
      <c r="B621" t="s">
        <v>704</v>
      </c>
      <c r="C621" t="s">
        <v>707</v>
      </c>
      <c r="D621" s="14" t="s">
        <v>706</v>
      </c>
      <c r="E621" s="12" t="s">
        <v>28</v>
      </c>
      <c r="F621" s="17" t="s">
        <v>549</v>
      </c>
      <c r="G621">
        <v>100</v>
      </c>
      <c r="H621" t="s">
        <v>30</v>
      </c>
      <c r="I621">
        <v>500</v>
      </c>
      <c r="J621" s="15"/>
      <c r="K621" s="16">
        <f>4.31 - (4.31 * $E$1)</f>
        <v>4.3099999999999996</v>
      </c>
      <c r="L621" s="16">
        <f>3.53 - (3.53 * $E$1)</f>
        <v>3.53</v>
      </c>
      <c r="M621" s="1">
        <v>4.3099999999999996</v>
      </c>
      <c r="N621" s="1">
        <v>3.53</v>
      </c>
      <c r="O621" s="1">
        <v>3.66</v>
      </c>
      <c r="P621" s="1">
        <v>3</v>
      </c>
      <c r="Q621">
        <v>6.9999999999999999E-4</v>
      </c>
      <c r="R621">
        <v>1.08E-6</v>
      </c>
    </row>
    <row r="622" spans="1:18" ht="13.8" outlineLevel="2" x14ac:dyDescent="0.25">
      <c r="A622">
        <v>66657</v>
      </c>
      <c r="B622" t="s">
        <v>704</v>
      </c>
      <c r="C622" t="s">
        <v>708</v>
      </c>
      <c r="D622" s="14" t="s">
        <v>706</v>
      </c>
      <c r="E622" s="12" t="s">
        <v>28</v>
      </c>
      <c r="F622" s="17" t="s">
        <v>549</v>
      </c>
      <c r="G622">
        <v>100</v>
      </c>
      <c r="H622" t="s">
        <v>30</v>
      </c>
      <c r="I622">
        <v>500</v>
      </c>
      <c r="J622" s="15"/>
      <c r="K622" s="16">
        <f>8.72 - (8.72 * $E$1)</f>
        <v>8.7200000000000006</v>
      </c>
      <c r="L622" s="16">
        <f>7.15 - (7.15 * $E$1)</f>
        <v>7.15</v>
      </c>
      <c r="M622" s="1">
        <v>8.7200000000000006</v>
      </c>
      <c r="N622" s="1">
        <v>7.15</v>
      </c>
      <c r="O622" s="1">
        <v>7.41</v>
      </c>
      <c r="P622" s="1">
        <v>6.08</v>
      </c>
      <c r="Q622">
        <v>1.6000000000000001E-3</v>
      </c>
      <c r="R622">
        <v>2.4200000000000001E-6</v>
      </c>
    </row>
    <row r="623" spans="1:18" ht="13.8" outlineLevel="2" x14ac:dyDescent="0.25">
      <c r="A623">
        <v>108577</v>
      </c>
      <c r="B623" t="s">
        <v>709</v>
      </c>
      <c r="C623" t="s">
        <v>710</v>
      </c>
      <c r="D623" s="14" t="s">
        <v>706</v>
      </c>
      <c r="E623" s="12" t="s">
        <v>28</v>
      </c>
      <c r="F623" s="13" t="s">
        <v>29</v>
      </c>
      <c r="G623">
        <v>1</v>
      </c>
      <c r="H623" t="s">
        <v>420</v>
      </c>
      <c r="I623">
        <v>5</v>
      </c>
      <c r="J623" s="15"/>
      <c r="K623" s="16">
        <f>385 - (385 * $E$1)</f>
        <v>385</v>
      </c>
      <c r="L623" s="16">
        <f>315.57 - (315.57 * $E$1)</f>
        <v>315.57</v>
      </c>
      <c r="M623" s="1">
        <v>385</v>
      </c>
      <c r="N623" s="1">
        <v>315.57</v>
      </c>
      <c r="O623" s="1">
        <v>327.25</v>
      </c>
      <c r="P623" s="1">
        <v>268.23</v>
      </c>
      <c r="Q623">
        <v>0.06</v>
      </c>
      <c r="R623">
        <v>1.2E-4</v>
      </c>
    </row>
    <row r="624" spans="1:18" ht="13.8" outlineLevel="2" x14ac:dyDescent="0.25">
      <c r="A624">
        <v>108578</v>
      </c>
      <c r="B624" t="s">
        <v>709</v>
      </c>
      <c r="C624" t="s">
        <v>711</v>
      </c>
      <c r="D624" s="14" t="s">
        <v>706</v>
      </c>
      <c r="E624" s="12" t="s">
        <v>28</v>
      </c>
      <c r="F624" s="13" t="s">
        <v>29</v>
      </c>
      <c r="G624">
        <v>1</v>
      </c>
      <c r="H624" t="s">
        <v>420</v>
      </c>
      <c r="I624">
        <v>5</v>
      </c>
      <c r="J624" s="15"/>
      <c r="K624" s="16">
        <f>431 - (431 * $E$1)</f>
        <v>431</v>
      </c>
      <c r="L624" s="16">
        <f>353.28 - (353.28 * $E$1)</f>
        <v>353.28</v>
      </c>
      <c r="M624" s="1">
        <v>431</v>
      </c>
      <c r="N624" s="1">
        <v>353.28</v>
      </c>
      <c r="O624" s="1">
        <v>366.35</v>
      </c>
      <c r="P624" s="1">
        <v>300.29000000000002</v>
      </c>
      <c r="Q624">
        <v>7.0000000000000007E-2</v>
      </c>
      <c r="R624">
        <v>1.08E-4</v>
      </c>
    </row>
    <row r="625" spans="1:18" ht="13.8" outlineLevel="2" x14ac:dyDescent="0.25">
      <c r="A625">
        <v>108579</v>
      </c>
      <c r="B625" t="s">
        <v>709</v>
      </c>
      <c r="C625" t="s">
        <v>712</v>
      </c>
      <c r="D625" s="14" t="s">
        <v>706</v>
      </c>
      <c r="E625" s="12" t="s">
        <v>28</v>
      </c>
      <c r="F625" s="13" t="s">
        <v>29</v>
      </c>
      <c r="G625">
        <v>1</v>
      </c>
      <c r="H625" t="s">
        <v>420</v>
      </c>
      <c r="I625">
        <v>5</v>
      </c>
      <c r="J625" s="15"/>
      <c r="K625" s="16">
        <f>872 - (872 * $E$1)</f>
        <v>872</v>
      </c>
      <c r="L625" s="16">
        <f>714.75 - (714.75 * $E$1)</f>
        <v>714.75</v>
      </c>
      <c r="M625" s="1">
        <v>872</v>
      </c>
      <c r="N625" s="1">
        <v>714.75</v>
      </c>
      <c r="O625" s="1">
        <v>741.2</v>
      </c>
      <c r="P625" s="1">
        <v>607.54</v>
      </c>
      <c r="Q625">
        <v>0.16</v>
      </c>
      <c r="R625">
        <v>2.42E-4</v>
      </c>
    </row>
    <row r="626" spans="1:18" ht="13.8" outlineLevel="2" x14ac:dyDescent="0.25">
      <c r="A626">
        <v>47458</v>
      </c>
      <c r="B626" t="s">
        <v>713</v>
      </c>
      <c r="C626" t="s">
        <v>714</v>
      </c>
      <c r="D626" s="14" t="s">
        <v>715</v>
      </c>
      <c r="E626" s="12" t="s">
        <v>28</v>
      </c>
      <c r="F626" s="17" t="s">
        <v>549</v>
      </c>
      <c r="G626">
        <v>100</v>
      </c>
      <c r="H626" t="s">
        <v>30</v>
      </c>
      <c r="I626">
        <v>500</v>
      </c>
      <c r="J626" s="15"/>
      <c r="K626" s="16">
        <f>4.95 - (4.95 * $E$1)</f>
        <v>4.95</v>
      </c>
      <c r="L626" s="16">
        <f>4.06 - (4.06 * $E$1)</f>
        <v>4.0599999999999996</v>
      </c>
      <c r="M626" s="1">
        <v>4.95</v>
      </c>
      <c r="N626" s="1">
        <v>4.0599999999999996</v>
      </c>
      <c r="O626" s="1">
        <v>4.21</v>
      </c>
      <c r="P626" s="1">
        <v>3.45</v>
      </c>
      <c r="Q626">
        <v>7.3999999999999999E-4</v>
      </c>
      <c r="R626">
        <v>1.04E-6</v>
      </c>
    </row>
    <row r="627" spans="1:18" ht="13.8" outlineLevel="2" x14ac:dyDescent="0.25">
      <c r="A627">
        <v>47492</v>
      </c>
      <c r="B627" t="s">
        <v>713</v>
      </c>
      <c r="C627" t="s">
        <v>716</v>
      </c>
      <c r="D627" s="14" t="s">
        <v>715</v>
      </c>
      <c r="E627" s="12" t="s">
        <v>28</v>
      </c>
      <c r="F627" s="17" t="s">
        <v>549</v>
      </c>
      <c r="G627">
        <v>100</v>
      </c>
      <c r="H627" t="s">
        <v>30</v>
      </c>
      <c r="I627">
        <v>500</v>
      </c>
      <c r="J627" s="15"/>
      <c r="K627" s="16">
        <f>5.47 - (5.47 * $E$1)</f>
        <v>5.47</v>
      </c>
      <c r="L627" s="16">
        <f>4.48 - (4.48 * $E$1)</f>
        <v>4.4800000000000004</v>
      </c>
      <c r="M627" s="1">
        <v>5.47</v>
      </c>
      <c r="N627" s="1">
        <v>4.4800000000000004</v>
      </c>
      <c r="O627" s="1">
        <v>4.6500000000000004</v>
      </c>
      <c r="P627" s="1">
        <v>3.81</v>
      </c>
      <c r="Q627">
        <v>8.5999999999999998E-4</v>
      </c>
      <c r="R627">
        <v>1.55E-6</v>
      </c>
    </row>
    <row r="628" spans="1:18" ht="13.8" outlineLevel="2" x14ac:dyDescent="0.25">
      <c r="A628">
        <v>69805</v>
      </c>
      <c r="B628" t="s">
        <v>713</v>
      </c>
      <c r="C628" t="s">
        <v>717</v>
      </c>
      <c r="D628" s="14" t="s">
        <v>715</v>
      </c>
      <c r="E628" s="12" t="s">
        <v>28</v>
      </c>
      <c r="F628" s="17" t="s">
        <v>549</v>
      </c>
      <c r="G628">
        <v>100</v>
      </c>
      <c r="H628" t="s">
        <v>30</v>
      </c>
      <c r="I628">
        <v>500</v>
      </c>
      <c r="J628" s="15"/>
      <c r="K628" s="16">
        <f>11 - (11 * $E$1)</f>
        <v>11</v>
      </c>
      <c r="L628" s="16">
        <f>9.02 - (9.02 * $E$1)</f>
        <v>9.02</v>
      </c>
      <c r="M628" s="1">
        <v>11</v>
      </c>
      <c r="N628" s="1">
        <v>9.02</v>
      </c>
      <c r="O628" s="1">
        <v>9.35</v>
      </c>
      <c r="P628" s="1">
        <v>7.67</v>
      </c>
      <c r="Q628">
        <v>1.7799999999999999E-3</v>
      </c>
      <c r="R628">
        <v>2.3099999999999999E-6</v>
      </c>
    </row>
    <row r="629" spans="1:18" ht="13.8" outlineLevel="2" x14ac:dyDescent="0.25">
      <c r="A629">
        <v>108574</v>
      </c>
      <c r="B629" t="s">
        <v>718</v>
      </c>
      <c r="C629" t="s">
        <v>719</v>
      </c>
      <c r="D629" s="14" t="s">
        <v>715</v>
      </c>
      <c r="E629" s="12" t="s">
        <v>28</v>
      </c>
      <c r="F629" s="13" t="s">
        <v>29</v>
      </c>
      <c r="G629">
        <v>1</v>
      </c>
      <c r="H629" t="s">
        <v>420</v>
      </c>
      <c r="I629">
        <v>5</v>
      </c>
      <c r="J629" s="15"/>
      <c r="K629" s="16">
        <f>495 - (495 * $E$1)</f>
        <v>495</v>
      </c>
      <c r="L629" s="16">
        <f>405.74 - (405.74 * $E$1)</f>
        <v>405.74</v>
      </c>
      <c r="M629" s="1">
        <v>495</v>
      </c>
      <c r="N629" s="1">
        <v>405.74</v>
      </c>
      <c r="O629" s="1">
        <v>420.75</v>
      </c>
      <c r="P629" s="1">
        <v>344.88</v>
      </c>
      <c r="Q629">
        <v>7.3999999999999996E-2</v>
      </c>
      <c r="R629">
        <v>1.0399999999999999E-4</v>
      </c>
    </row>
    <row r="630" spans="1:18" ht="13.8" outlineLevel="2" x14ac:dyDescent="0.25">
      <c r="A630">
        <v>108575</v>
      </c>
      <c r="B630" t="s">
        <v>718</v>
      </c>
      <c r="C630" t="s">
        <v>720</v>
      </c>
      <c r="D630" s="14" t="s">
        <v>715</v>
      </c>
      <c r="E630" s="12" t="s">
        <v>28</v>
      </c>
      <c r="F630" s="13" t="s">
        <v>29</v>
      </c>
      <c r="G630">
        <v>1</v>
      </c>
      <c r="H630" t="s">
        <v>420</v>
      </c>
      <c r="I630">
        <v>5</v>
      </c>
      <c r="J630" s="15"/>
      <c r="K630" s="16">
        <f>547 - (547 * $E$1)</f>
        <v>547</v>
      </c>
      <c r="L630" s="16">
        <f>448.36 - (448.36 * $E$1)</f>
        <v>448.36</v>
      </c>
      <c r="M630" s="1">
        <v>547</v>
      </c>
      <c r="N630" s="1">
        <v>448.36</v>
      </c>
      <c r="O630" s="1">
        <v>464.95</v>
      </c>
      <c r="P630" s="1">
        <v>381.11</v>
      </c>
      <c r="Q630">
        <v>8.5999999999999993E-2</v>
      </c>
      <c r="R630">
        <v>1.55E-4</v>
      </c>
    </row>
    <row r="631" spans="1:18" ht="13.8" outlineLevel="2" x14ac:dyDescent="0.25">
      <c r="A631">
        <v>108576</v>
      </c>
      <c r="B631" t="s">
        <v>718</v>
      </c>
      <c r="C631" t="s">
        <v>721</v>
      </c>
      <c r="D631" s="14" t="s">
        <v>715</v>
      </c>
      <c r="E631" s="12" t="s">
        <v>28</v>
      </c>
      <c r="F631" s="13" t="s">
        <v>29</v>
      </c>
      <c r="G631">
        <v>1</v>
      </c>
      <c r="H631" t="s">
        <v>420</v>
      </c>
      <c r="I631">
        <v>5</v>
      </c>
      <c r="J631" s="15"/>
      <c r="K631" s="16">
        <f>1101 - (1101 * $E$1)</f>
        <v>1101</v>
      </c>
      <c r="L631" s="16">
        <f>902.46 - (902.46 * $E$1)</f>
        <v>902.46</v>
      </c>
      <c r="M631" s="1">
        <v>1101</v>
      </c>
      <c r="N631" s="1">
        <v>902.46</v>
      </c>
      <c r="O631" s="1">
        <v>935.85</v>
      </c>
      <c r="P631" s="1">
        <v>767.09</v>
      </c>
      <c r="Q631">
        <v>0.17799999999999999</v>
      </c>
      <c r="R631">
        <v>2.31E-4</v>
      </c>
    </row>
    <row r="632" spans="1:18" ht="13.8" outlineLevel="2" x14ac:dyDescent="0.25">
      <c r="A632">
        <v>66621</v>
      </c>
      <c r="B632" t="s">
        <v>567</v>
      </c>
      <c r="C632" t="s">
        <v>722</v>
      </c>
      <c r="D632" s="14" t="s">
        <v>723</v>
      </c>
      <c r="E632" s="12" t="s">
        <v>28</v>
      </c>
      <c r="F632" s="13" t="s">
        <v>29</v>
      </c>
      <c r="G632">
        <v>100</v>
      </c>
      <c r="H632" t="s">
        <v>30</v>
      </c>
      <c r="I632">
        <v>100</v>
      </c>
      <c r="J632" s="15"/>
      <c r="K632" s="16">
        <f>14.87 - (14.87 * $E$1)</f>
        <v>14.87</v>
      </c>
      <c r="L632" s="16">
        <f>12.19 - (12.19 * $E$1)</f>
        <v>12.19</v>
      </c>
      <c r="M632" s="1">
        <v>14.87</v>
      </c>
      <c r="N632" s="1">
        <v>12.19</v>
      </c>
      <c r="O632" s="1">
        <v>12.64</v>
      </c>
      <c r="P632" s="1">
        <v>10.36</v>
      </c>
      <c r="Q632">
        <v>6.4000000000000005E-4</v>
      </c>
      <c r="R632">
        <v>1.6199999999999999E-6</v>
      </c>
    </row>
    <row r="633" spans="1:18" ht="13.8" outlineLevel="2" x14ac:dyDescent="0.25">
      <c r="A633">
        <v>66623</v>
      </c>
      <c r="B633" t="s">
        <v>567</v>
      </c>
      <c r="C633" t="s">
        <v>724</v>
      </c>
      <c r="D633" s="14" t="s">
        <v>723</v>
      </c>
      <c r="E633" s="12" t="s">
        <v>28</v>
      </c>
      <c r="F633" s="13" t="s">
        <v>29</v>
      </c>
      <c r="G633">
        <v>100</v>
      </c>
      <c r="H633" t="s">
        <v>30</v>
      </c>
      <c r="I633">
        <v>100</v>
      </c>
      <c r="J633" s="15"/>
      <c r="K633" s="16">
        <f>16.42 - (16.42 * $E$1)</f>
        <v>16.420000000000002</v>
      </c>
      <c r="L633" s="16">
        <f>13.46 - (13.46 * $E$1)</f>
        <v>13.46</v>
      </c>
      <c r="M633" s="1">
        <v>16.420000000000002</v>
      </c>
      <c r="N633" s="1">
        <v>13.46</v>
      </c>
      <c r="O633" s="1">
        <v>13.96</v>
      </c>
      <c r="P633" s="1">
        <v>11.44</v>
      </c>
      <c r="Q633">
        <v>1.1000000000000001E-3</v>
      </c>
      <c r="R633">
        <v>2.1600000000000001E-6</v>
      </c>
    </row>
    <row r="634" spans="1:18" ht="13.8" outlineLevel="2" x14ac:dyDescent="0.25">
      <c r="A634">
        <v>66624</v>
      </c>
      <c r="B634" t="s">
        <v>567</v>
      </c>
      <c r="C634" t="s">
        <v>725</v>
      </c>
      <c r="D634" s="14" t="s">
        <v>723</v>
      </c>
      <c r="E634" s="12" t="s">
        <v>28</v>
      </c>
      <c r="F634" s="17" t="s">
        <v>549</v>
      </c>
      <c r="G634">
        <v>100</v>
      </c>
      <c r="H634" t="s">
        <v>30</v>
      </c>
      <c r="I634">
        <v>100</v>
      </c>
      <c r="J634" s="15"/>
      <c r="K634" s="16">
        <f>16.26 - (16.26 * $E$1)</f>
        <v>16.260000000000002</v>
      </c>
      <c r="L634" s="16">
        <f>13.33 - (13.33 * $E$1)</f>
        <v>13.33</v>
      </c>
      <c r="M634" s="1">
        <v>16.260000000000002</v>
      </c>
      <c r="N634" s="1">
        <v>13.33</v>
      </c>
      <c r="O634" s="1">
        <v>13.82</v>
      </c>
      <c r="P634" s="1">
        <v>11.33</v>
      </c>
      <c r="Q634">
        <v>7.7999999999999999E-4</v>
      </c>
      <c r="R634">
        <v>2.1600000000000001E-6</v>
      </c>
    </row>
    <row r="635" spans="1:18" ht="13.8" outlineLevel="2" x14ac:dyDescent="0.25">
      <c r="A635">
        <v>66626</v>
      </c>
      <c r="B635" t="s">
        <v>567</v>
      </c>
      <c r="C635" t="s">
        <v>726</v>
      </c>
      <c r="D635" s="14" t="s">
        <v>723</v>
      </c>
      <c r="E635" s="12" t="s">
        <v>28</v>
      </c>
      <c r="F635" s="13" t="s">
        <v>29</v>
      </c>
      <c r="G635">
        <v>100</v>
      </c>
      <c r="H635" t="s">
        <v>30</v>
      </c>
      <c r="I635">
        <v>100</v>
      </c>
      <c r="J635" s="15"/>
      <c r="K635" s="16">
        <f>19.36 - (19.36 * $E$1)</f>
        <v>19.36</v>
      </c>
      <c r="L635" s="16">
        <f>15.87 - (15.87 * $E$1)</f>
        <v>15.87</v>
      </c>
      <c r="M635" s="1">
        <v>19.36</v>
      </c>
      <c r="N635" s="1">
        <v>15.87</v>
      </c>
      <c r="O635" s="1">
        <v>16.46</v>
      </c>
      <c r="P635" s="1">
        <v>13.49</v>
      </c>
      <c r="Q635">
        <v>1.2600000000000001E-3</v>
      </c>
      <c r="R635">
        <v>2.7E-6</v>
      </c>
    </row>
    <row r="636" spans="1:18" ht="13.8" outlineLevel="2" x14ac:dyDescent="0.25">
      <c r="A636">
        <v>66627</v>
      </c>
      <c r="B636" t="s">
        <v>567</v>
      </c>
      <c r="C636" t="s">
        <v>727</v>
      </c>
      <c r="D636" s="14" t="s">
        <v>723</v>
      </c>
      <c r="E636" s="12" t="s">
        <v>28</v>
      </c>
      <c r="F636" s="17" t="s">
        <v>549</v>
      </c>
      <c r="G636">
        <v>100</v>
      </c>
      <c r="H636" t="s">
        <v>30</v>
      </c>
      <c r="I636">
        <v>100</v>
      </c>
      <c r="J636" s="15"/>
      <c r="K636" s="16">
        <f>27.02 - (27.02 * $E$1)</f>
        <v>27.02</v>
      </c>
      <c r="L636" s="16">
        <f>22.15 - (22.15 * $E$1)</f>
        <v>22.15</v>
      </c>
      <c r="M636" s="1">
        <v>27.02</v>
      </c>
      <c r="N636" s="1">
        <v>22.15</v>
      </c>
      <c r="O636" s="1">
        <v>22.97</v>
      </c>
      <c r="P636" s="1">
        <v>18.829999999999998</v>
      </c>
      <c r="Q636">
        <v>2.0200000000000001E-3</v>
      </c>
      <c r="R636">
        <v>2.9900000000000002E-6</v>
      </c>
    </row>
    <row r="637" spans="1:18" ht="13.8" outlineLevel="2" x14ac:dyDescent="0.25">
      <c r="A637">
        <v>66628</v>
      </c>
      <c r="B637" t="s">
        <v>567</v>
      </c>
      <c r="C637" t="s">
        <v>728</v>
      </c>
      <c r="D637" s="14" t="s">
        <v>723</v>
      </c>
      <c r="E637" s="12" t="s">
        <v>28</v>
      </c>
      <c r="F637" s="17" t="s">
        <v>549</v>
      </c>
      <c r="G637">
        <v>100</v>
      </c>
      <c r="H637" t="s">
        <v>30</v>
      </c>
      <c r="I637">
        <v>100</v>
      </c>
      <c r="J637" s="15"/>
      <c r="K637" s="16">
        <f>30.11 - (30.11 * $E$1)</f>
        <v>30.11</v>
      </c>
      <c r="L637" s="16">
        <f>24.68 - (24.68 * $E$1)</f>
        <v>24.68</v>
      </c>
      <c r="M637" s="1">
        <v>30.11</v>
      </c>
      <c r="N637" s="1">
        <v>24.68</v>
      </c>
      <c r="O637" s="1">
        <v>25.59</v>
      </c>
      <c r="P637" s="1">
        <v>20.98</v>
      </c>
      <c r="Q637">
        <v>2.4399999999999999E-3</v>
      </c>
      <c r="R637">
        <v>4.7600000000000002E-6</v>
      </c>
    </row>
    <row r="638" spans="1:18" ht="13.8" outlineLevel="2" x14ac:dyDescent="0.25">
      <c r="A638">
        <v>108568</v>
      </c>
      <c r="B638" t="s">
        <v>582</v>
      </c>
      <c r="C638" t="s">
        <v>729</v>
      </c>
      <c r="D638" s="14" t="s">
        <v>723</v>
      </c>
      <c r="E638" s="12" t="s">
        <v>28</v>
      </c>
      <c r="F638" s="13" t="s">
        <v>29</v>
      </c>
      <c r="G638">
        <v>1</v>
      </c>
      <c r="H638" t="s">
        <v>420</v>
      </c>
      <c r="I638">
        <v>1</v>
      </c>
      <c r="J638" s="15"/>
      <c r="K638" s="16">
        <f>1487 - (1487 * $E$1)</f>
        <v>1487</v>
      </c>
      <c r="L638" s="16">
        <f>1218.85 - (1218.85 * $E$1)</f>
        <v>1218.8499999999999</v>
      </c>
      <c r="M638" s="1">
        <v>1487</v>
      </c>
      <c r="N638" s="1">
        <v>1218.8499999999999</v>
      </c>
      <c r="O638" s="1">
        <v>1263.95</v>
      </c>
      <c r="P638" s="1">
        <v>1036.02</v>
      </c>
      <c r="Q638">
        <v>6.4000000000000001E-2</v>
      </c>
      <c r="R638">
        <v>1.6200000000000001E-4</v>
      </c>
    </row>
    <row r="639" spans="1:18" ht="13.8" outlineLevel="2" x14ac:dyDescent="0.25">
      <c r="A639">
        <v>108569</v>
      </c>
      <c r="B639" t="s">
        <v>582</v>
      </c>
      <c r="C639" t="s">
        <v>730</v>
      </c>
      <c r="D639" s="14" t="s">
        <v>723</v>
      </c>
      <c r="E639" s="12" t="s">
        <v>28</v>
      </c>
      <c r="F639" s="13" t="s">
        <v>29</v>
      </c>
      <c r="G639">
        <v>1</v>
      </c>
      <c r="H639" t="s">
        <v>420</v>
      </c>
      <c r="I639">
        <v>1</v>
      </c>
      <c r="J639" s="15"/>
      <c r="K639" s="16">
        <f>1642 - (1642 * $E$1)</f>
        <v>1642</v>
      </c>
      <c r="L639" s="16">
        <f>1345.9 - (1345.9 * $E$1)</f>
        <v>1345.9</v>
      </c>
      <c r="M639" s="1">
        <v>1642</v>
      </c>
      <c r="N639" s="1">
        <v>1345.9</v>
      </c>
      <c r="O639" s="1">
        <v>1395.7</v>
      </c>
      <c r="P639" s="1">
        <v>1144.02</v>
      </c>
      <c r="Q639">
        <v>0.11</v>
      </c>
      <c r="R639">
        <v>2.1599999999999999E-4</v>
      </c>
    </row>
    <row r="640" spans="1:18" ht="13.8" outlineLevel="2" x14ac:dyDescent="0.25">
      <c r="A640">
        <v>108570</v>
      </c>
      <c r="B640" t="s">
        <v>582</v>
      </c>
      <c r="C640" t="s">
        <v>731</v>
      </c>
      <c r="D640" s="14" t="s">
        <v>723</v>
      </c>
      <c r="E640" s="12" t="s">
        <v>28</v>
      </c>
      <c r="F640" s="13" t="s">
        <v>29</v>
      </c>
      <c r="G640">
        <v>1</v>
      </c>
      <c r="H640" t="s">
        <v>420</v>
      </c>
      <c r="I640">
        <v>1</v>
      </c>
      <c r="J640" s="15"/>
      <c r="K640" s="16">
        <f>1626 - (1626 * $E$1)</f>
        <v>1626</v>
      </c>
      <c r="L640" s="16">
        <f>1332.79 - (1332.79 * $E$1)</f>
        <v>1332.79</v>
      </c>
      <c r="M640" s="1">
        <v>1626</v>
      </c>
      <c r="N640" s="1">
        <v>1332.79</v>
      </c>
      <c r="O640" s="1">
        <v>1382.1</v>
      </c>
      <c r="P640" s="1">
        <v>1132.8699999999999</v>
      </c>
      <c r="Q640">
        <v>7.8E-2</v>
      </c>
      <c r="R640">
        <v>2.1599999999999999E-4</v>
      </c>
    </row>
    <row r="641" spans="1:18" ht="13.8" outlineLevel="2" x14ac:dyDescent="0.25">
      <c r="A641">
        <v>108571</v>
      </c>
      <c r="B641" t="s">
        <v>582</v>
      </c>
      <c r="C641" t="s">
        <v>732</v>
      </c>
      <c r="D641" s="14" t="s">
        <v>723</v>
      </c>
      <c r="E641" s="12" t="s">
        <v>28</v>
      </c>
      <c r="F641" s="13" t="s">
        <v>29</v>
      </c>
      <c r="G641">
        <v>1</v>
      </c>
      <c r="H641" t="s">
        <v>420</v>
      </c>
      <c r="I641">
        <v>1</v>
      </c>
      <c r="J641" s="15"/>
      <c r="K641" s="16">
        <f>1936.01 - (1936.01 * $E$1)</f>
        <v>1936.01</v>
      </c>
      <c r="L641" s="16">
        <f>1586.89 - (1586.89 * $E$1)</f>
        <v>1586.89</v>
      </c>
      <c r="M641" s="1">
        <v>1936.01</v>
      </c>
      <c r="N641" s="1">
        <v>1586.89</v>
      </c>
      <c r="O641" s="1">
        <v>1645.6</v>
      </c>
      <c r="P641" s="1">
        <v>1348.86</v>
      </c>
      <c r="Q641">
        <v>0.126</v>
      </c>
      <c r="R641">
        <v>2.7E-4</v>
      </c>
    </row>
    <row r="642" spans="1:18" ht="13.8" outlineLevel="2" x14ac:dyDescent="0.25">
      <c r="A642">
        <v>108572</v>
      </c>
      <c r="B642" t="s">
        <v>582</v>
      </c>
      <c r="C642" t="s">
        <v>733</v>
      </c>
      <c r="D642" s="14" t="s">
        <v>723</v>
      </c>
      <c r="E642" s="12" t="s">
        <v>28</v>
      </c>
      <c r="F642" s="13" t="s">
        <v>29</v>
      </c>
      <c r="G642">
        <v>1</v>
      </c>
      <c r="H642" t="s">
        <v>420</v>
      </c>
      <c r="I642">
        <v>1</v>
      </c>
      <c r="J642" s="15"/>
      <c r="K642" s="16">
        <f>2702 - (2702 * $E$1)</f>
        <v>2702</v>
      </c>
      <c r="L642" s="16">
        <f>2214.75 - (2214.75 * $E$1)</f>
        <v>2214.75</v>
      </c>
      <c r="M642" s="1">
        <v>2702</v>
      </c>
      <c r="N642" s="1">
        <v>2214.75</v>
      </c>
      <c r="O642" s="1">
        <v>2296.6999999999998</v>
      </c>
      <c r="P642" s="1">
        <v>1882.54</v>
      </c>
      <c r="Q642">
        <v>0.20200000000000001</v>
      </c>
      <c r="R642">
        <v>2.99E-4</v>
      </c>
    </row>
    <row r="643" spans="1:18" ht="13.8" outlineLevel="2" x14ac:dyDescent="0.25">
      <c r="A643">
        <v>108573</v>
      </c>
      <c r="B643" t="s">
        <v>582</v>
      </c>
      <c r="C643" t="s">
        <v>734</v>
      </c>
      <c r="D643" s="14" t="s">
        <v>723</v>
      </c>
      <c r="E643" s="12" t="s">
        <v>28</v>
      </c>
      <c r="F643" s="13" t="s">
        <v>29</v>
      </c>
      <c r="G643">
        <v>1</v>
      </c>
      <c r="H643" t="s">
        <v>420</v>
      </c>
      <c r="I643">
        <v>1</v>
      </c>
      <c r="J643" s="15"/>
      <c r="K643" s="16">
        <f>3011 - (3011 * $E$1)</f>
        <v>3011</v>
      </c>
      <c r="L643" s="16">
        <f>2468.03 - (2468.03 * $E$1)</f>
        <v>2468.0300000000002</v>
      </c>
      <c r="M643" s="1">
        <v>3011</v>
      </c>
      <c r="N643" s="1">
        <v>2468.0300000000002</v>
      </c>
      <c r="O643" s="1">
        <v>2559.35</v>
      </c>
      <c r="P643" s="1">
        <v>2097.83</v>
      </c>
      <c r="Q643">
        <v>0.24399999999999999</v>
      </c>
      <c r="R643">
        <v>4.7600000000000002E-4</v>
      </c>
    </row>
    <row r="644" spans="1:18" ht="13.8" outlineLevel="2" x14ac:dyDescent="0.25">
      <c r="A644">
        <v>79430</v>
      </c>
      <c r="B644" t="s">
        <v>735</v>
      </c>
      <c r="C644" t="s">
        <v>736</v>
      </c>
      <c r="D644" s="14" t="s">
        <v>736</v>
      </c>
      <c r="E644" s="12" t="s">
        <v>28</v>
      </c>
      <c r="F644" s="13" t="s">
        <v>29</v>
      </c>
      <c r="G644">
        <v>1</v>
      </c>
      <c r="H644" t="s">
        <v>30</v>
      </c>
      <c r="I644">
        <v>1</v>
      </c>
      <c r="J644" s="15"/>
      <c r="K644" s="16">
        <f>2837.13 - (2837.13 * $E$1)</f>
        <v>2837.13</v>
      </c>
      <c r="L644" s="16">
        <f>2325.52 - (2325.52 * $E$1)</f>
        <v>2325.52</v>
      </c>
      <c r="M644" s="1">
        <v>2837.13</v>
      </c>
      <c r="N644" s="1">
        <v>2325.52</v>
      </c>
      <c r="O644" s="1">
        <v>2411.56</v>
      </c>
      <c r="P644" s="1">
        <v>1976.69</v>
      </c>
      <c r="Q644">
        <v>0.16400000000000001</v>
      </c>
      <c r="R644">
        <v>9.6599999999999995E-4</v>
      </c>
    </row>
    <row r="645" spans="1:18" ht="13.8" outlineLevel="2" x14ac:dyDescent="0.25">
      <c r="A645">
        <v>75487</v>
      </c>
      <c r="B645" t="s">
        <v>735</v>
      </c>
      <c r="C645" t="s">
        <v>737</v>
      </c>
      <c r="D645" s="14" t="s">
        <v>737</v>
      </c>
      <c r="E645" s="12" t="s">
        <v>28</v>
      </c>
      <c r="F645" s="17" t="s">
        <v>549</v>
      </c>
      <c r="G645">
        <v>1</v>
      </c>
      <c r="H645" t="s">
        <v>30</v>
      </c>
      <c r="I645">
        <v>1</v>
      </c>
      <c r="J645" s="15"/>
      <c r="K645" s="16">
        <f>11122.2 - (11122.2 * $E$1)</f>
        <v>11122.2</v>
      </c>
      <c r="L645" s="16">
        <f>9116.56 - (9116.56 * $E$1)</f>
        <v>9116.56</v>
      </c>
      <c r="M645" s="1">
        <v>11122.2</v>
      </c>
      <c r="N645" s="1">
        <v>9116.56</v>
      </c>
      <c r="O645" s="1">
        <v>9453.8700000000008</v>
      </c>
      <c r="P645" s="1">
        <v>7749.08</v>
      </c>
      <c r="Q645">
        <v>3</v>
      </c>
      <c r="R645">
        <v>4.3010000000000001E-3</v>
      </c>
    </row>
    <row r="646" spans="1:18" ht="13.8" outlineLevel="2" x14ac:dyDescent="0.25">
      <c r="A646">
        <v>75488</v>
      </c>
      <c r="B646" t="s">
        <v>735</v>
      </c>
      <c r="C646" t="s">
        <v>738</v>
      </c>
      <c r="D646" s="14" t="s">
        <v>738</v>
      </c>
      <c r="E646" s="12" t="s">
        <v>28</v>
      </c>
      <c r="F646" s="13" t="s">
        <v>29</v>
      </c>
      <c r="G646">
        <v>1</v>
      </c>
      <c r="H646" t="s">
        <v>30</v>
      </c>
      <c r="I646">
        <v>1</v>
      </c>
      <c r="J646" s="15"/>
      <c r="K646" s="16">
        <f>13524.74 - (13524.74 * $E$1)</f>
        <v>13524.74</v>
      </c>
      <c r="L646" s="16">
        <f>11085.85 - (11085.85 * $E$1)</f>
        <v>11085.85</v>
      </c>
      <c r="M646" s="1">
        <v>13524.74</v>
      </c>
      <c r="N646" s="1">
        <v>11085.85</v>
      </c>
      <c r="O646" s="1">
        <v>11496.03</v>
      </c>
      <c r="P646" s="1">
        <v>9422.9699999999993</v>
      </c>
      <c r="Q646">
        <v>3.3</v>
      </c>
      <c r="R646">
        <v>4.3010000000000001E-3</v>
      </c>
    </row>
    <row r="647" spans="1:18" ht="13.8" outlineLevel="2" x14ac:dyDescent="0.25">
      <c r="A647">
        <v>75489</v>
      </c>
      <c r="B647" t="s">
        <v>735</v>
      </c>
      <c r="C647" t="s">
        <v>739</v>
      </c>
      <c r="D647" s="14" t="s">
        <v>739</v>
      </c>
      <c r="E647" s="12" t="s">
        <v>28</v>
      </c>
      <c r="F647" s="13" t="s">
        <v>29</v>
      </c>
      <c r="G647">
        <v>1</v>
      </c>
      <c r="H647" t="s">
        <v>30</v>
      </c>
      <c r="I647">
        <v>1</v>
      </c>
      <c r="J647" s="15"/>
      <c r="K647" s="16">
        <f>17298.97 - (17298.97 * $E$1)</f>
        <v>17298.97</v>
      </c>
      <c r="L647" s="16">
        <f>14179.48 - (14179.48 * $E$1)</f>
        <v>14179.48</v>
      </c>
      <c r="M647" s="1">
        <v>17298.97</v>
      </c>
      <c r="N647" s="1">
        <v>14179.48</v>
      </c>
      <c r="O647" s="1">
        <v>14704.12</v>
      </c>
      <c r="P647" s="1">
        <v>12052.56</v>
      </c>
      <c r="Q647">
        <v>3.6</v>
      </c>
      <c r="R647">
        <v>4.3010000000000001E-3</v>
      </c>
    </row>
    <row r="648" spans="1:18" ht="13.8" outlineLevel="2" x14ac:dyDescent="0.25">
      <c r="A648">
        <v>90998</v>
      </c>
      <c r="B648" t="s">
        <v>582</v>
      </c>
      <c r="C648" t="s">
        <v>740</v>
      </c>
      <c r="D648" s="14" t="s">
        <v>741</v>
      </c>
      <c r="E648" s="12" t="s">
        <v>28</v>
      </c>
      <c r="F648" s="13" t="s">
        <v>29</v>
      </c>
      <c r="G648">
        <v>1</v>
      </c>
      <c r="H648" t="s">
        <v>420</v>
      </c>
      <c r="I648">
        <v>1</v>
      </c>
      <c r="J648" s="15"/>
      <c r="K648" s="16">
        <f>180.08 - (180.08 * $E$1)</f>
        <v>180.08</v>
      </c>
      <c r="L648" s="16">
        <f>147.61 - (147.61 * $E$1)</f>
        <v>147.61000000000001</v>
      </c>
      <c r="M648" s="1">
        <v>180.08</v>
      </c>
      <c r="N648" s="1">
        <v>147.61000000000001</v>
      </c>
      <c r="O648" s="1">
        <v>153.07</v>
      </c>
      <c r="P648" s="1">
        <v>125.47</v>
      </c>
      <c r="Q648">
        <v>2.1999999999999999E-2</v>
      </c>
      <c r="R648">
        <v>1.2E-4</v>
      </c>
    </row>
    <row r="649" spans="1:18" ht="13.8" outlineLevel="2" x14ac:dyDescent="0.25">
      <c r="A649">
        <v>90999</v>
      </c>
      <c r="B649" t="s">
        <v>582</v>
      </c>
      <c r="C649" t="s">
        <v>742</v>
      </c>
      <c r="D649" s="14" t="s">
        <v>741</v>
      </c>
      <c r="E649" s="12" t="s">
        <v>28</v>
      </c>
      <c r="F649" s="13" t="s">
        <v>29</v>
      </c>
      <c r="G649">
        <v>1</v>
      </c>
      <c r="H649" t="s">
        <v>420</v>
      </c>
      <c r="I649">
        <v>1</v>
      </c>
      <c r="J649" s="15"/>
      <c r="K649" s="16">
        <f>199.14 - (199.14 * $E$1)</f>
        <v>199.14</v>
      </c>
      <c r="L649" s="16">
        <f>163.23 - (163.23 * $E$1)</f>
        <v>163.22999999999999</v>
      </c>
      <c r="M649" s="1">
        <v>199.14</v>
      </c>
      <c r="N649" s="1">
        <v>163.22999999999999</v>
      </c>
      <c r="O649" s="1">
        <v>169.27</v>
      </c>
      <c r="P649" s="1">
        <v>138.75</v>
      </c>
      <c r="Q649">
        <v>0.02</v>
      </c>
      <c r="R649">
        <v>1.2E-4</v>
      </c>
    </row>
    <row r="650" spans="1:18" ht="13.8" outlineLevel="2" x14ac:dyDescent="0.25">
      <c r="A650">
        <v>91000</v>
      </c>
      <c r="B650" t="s">
        <v>582</v>
      </c>
      <c r="C650" t="s">
        <v>743</v>
      </c>
      <c r="D650" s="14" t="s">
        <v>741</v>
      </c>
      <c r="E650" s="12" t="s">
        <v>28</v>
      </c>
      <c r="F650" s="13" t="s">
        <v>29</v>
      </c>
      <c r="G650">
        <v>1</v>
      </c>
      <c r="H650" t="s">
        <v>420</v>
      </c>
      <c r="I650">
        <v>1</v>
      </c>
      <c r="J650" s="15"/>
      <c r="K650" s="16">
        <f>295.85 - (295.85 * $E$1)</f>
        <v>295.85000000000002</v>
      </c>
      <c r="L650" s="16">
        <f>242.5 - (242.5 * $E$1)</f>
        <v>242.5</v>
      </c>
      <c r="M650" s="1">
        <v>295.85000000000002</v>
      </c>
      <c r="N650" s="1">
        <v>242.5</v>
      </c>
      <c r="O650" s="1">
        <v>251.47</v>
      </c>
      <c r="P650" s="1">
        <v>206.13</v>
      </c>
      <c r="Q650">
        <v>3.4000000000000002E-2</v>
      </c>
      <c r="R650">
        <v>1.2E-4</v>
      </c>
    </row>
    <row r="651" spans="1:18" ht="13.8" outlineLevel="2" x14ac:dyDescent="0.25">
      <c r="A651">
        <v>91001</v>
      </c>
      <c r="B651" t="s">
        <v>582</v>
      </c>
      <c r="C651" t="s">
        <v>744</v>
      </c>
      <c r="D651" s="14" t="s">
        <v>741</v>
      </c>
      <c r="E651" s="12" t="s">
        <v>28</v>
      </c>
      <c r="F651" s="13" t="s">
        <v>29</v>
      </c>
      <c r="G651">
        <v>1</v>
      </c>
      <c r="H651" t="s">
        <v>420</v>
      </c>
      <c r="I651">
        <v>1</v>
      </c>
      <c r="J651" s="15"/>
      <c r="K651" s="16">
        <f>200.74 - (200.74 * $E$1)</f>
        <v>200.74</v>
      </c>
      <c r="L651" s="16">
        <f>164.54 - (164.54 * $E$1)</f>
        <v>164.54</v>
      </c>
      <c r="M651" s="1">
        <v>200.74</v>
      </c>
      <c r="N651" s="1">
        <v>164.54</v>
      </c>
      <c r="O651" s="1">
        <v>170.63</v>
      </c>
      <c r="P651" s="1">
        <v>139.86000000000001</v>
      </c>
      <c r="Q651">
        <v>2.5999999999999999E-2</v>
      </c>
      <c r="R651">
        <v>1.2E-4</v>
      </c>
    </row>
    <row r="652" spans="1:18" ht="13.8" outlineLevel="2" x14ac:dyDescent="0.25">
      <c r="A652">
        <v>91002</v>
      </c>
      <c r="B652" t="s">
        <v>582</v>
      </c>
      <c r="C652" t="s">
        <v>745</v>
      </c>
      <c r="D652" s="14" t="s">
        <v>741</v>
      </c>
      <c r="E652" s="12" t="s">
        <v>28</v>
      </c>
      <c r="F652" s="13" t="s">
        <v>29</v>
      </c>
      <c r="G652">
        <v>1</v>
      </c>
      <c r="H652" t="s">
        <v>420</v>
      </c>
      <c r="I652">
        <v>1</v>
      </c>
      <c r="J652" s="15"/>
      <c r="K652" s="16">
        <f>248.36 - (248.36 * $E$1)</f>
        <v>248.36</v>
      </c>
      <c r="L652" s="16">
        <f>203.57 - (203.57 * $E$1)</f>
        <v>203.57</v>
      </c>
      <c r="M652" s="1">
        <v>248.36</v>
      </c>
      <c r="N652" s="1">
        <v>203.57</v>
      </c>
      <c r="O652" s="1">
        <v>211.1</v>
      </c>
      <c r="P652" s="1">
        <v>173.03</v>
      </c>
      <c r="Q652">
        <v>0.03</v>
      </c>
      <c r="R652">
        <v>1.2E-4</v>
      </c>
    </row>
    <row r="653" spans="1:18" ht="13.8" outlineLevel="2" x14ac:dyDescent="0.25">
      <c r="A653">
        <v>91003</v>
      </c>
      <c r="B653" t="s">
        <v>582</v>
      </c>
      <c r="C653" t="s">
        <v>746</v>
      </c>
      <c r="D653" s="14" t="s">
        <v>741</v>
      </c>
      <c r="E653" s="12" t="s">
        <v>28</v>
      </c>
      <c r="F653" s="13" t="s">
        <v>29</v>
      </c>
      <c r="G653">
        <v>1</v>
      </c>
      <c r="H653" t="s">
        <v>420</v>
      </c>
      <c r="I653">
        <v>1</v>
      </c>
      <c r="J653" s="15"/>
      <c r="K653" s="16">
        <f>316.74 - (316.74 * $E$1)</f>
        <v>316.74</v>
      </c>
      <c r="L653" s="16">
        <f>259.62 - (259.62 * $E$1)</f>
        <v>259.62</v>
      </c>
      <c r="M653" s="1">
        <v>316.74</v>
      </c>
      <c r="N653" s="1">
        <v>259.62</v>
      </c>
      <c r="O653" s="1">
        <v>269.23</v>
      </c>
      <c r="P653" s="1">
        <v>220.68</v>
      </c>
      <c r="Q653">
        <v>0.04</v>
      </c>
      <c r="R653">
        <v>1.2E-4</v>
      </c>
    </row>
    <row r="654" spans="1:18" ht="13.8" outlineLevel="2" x14ac:dyDescent="0.25">
      <c r="A654">
        <v>91004</v>
      </c>
      <c r="B654" t="s">
        <v>582</v>
      </c>
      <c r="C654" t="s">
        <v>747</v>
      </c>
      <c r="D654" s="14" t="s">
        <v>741</v>
      </c>
      <c r="E654" s="12" t="s">
        <v>28</v>
      </c>
      <c r="F654" s="13" t="s">
        <v>29</v>
      </c>
      <c r="G654">
        <v>1</v>
      </c>
      <c r="H654" t="s">
        <v>420</v>
      </c>
      <c r="I654">
        <v>1</v>
      </c>
      <c r="J654" s="15"/>
      <c r="K654" s="16">
        <f>335.5 - (335.5 * $E$1)</f>
        <v>335.5</v>
      </c>
      <c r="L654" s="16">
        <f>275 - (275 * $E$1)</f>
        <v>275</v>
      </c>
      <c r="M654" s="1">
        <v>335.5</v>
      </c>
      <c r="N654" s="1">
        <v>275</v>
      </c>
      <c r="O654" s="1">
        <v>285.18</v>
      </c>
      <c r="P654" s="1">
        <v>233.75</v>
      </c>
      <c r="Q654">
        <v>0.04</v>
      </c>
      <c r="R654">
        <v>1.2E-4</v>
      </c>
    </row>
    <row r="655" spans="1:18" ht="13.8" outlineLevel="2" x14ac:dyDescent="0.25">
      <c r="A655">
        <v>91005</v>
      </c>
      <c r="B655" t="s">
        <v>582</v>
      </c>
      <c r="C655" t="s">
        <v>748</v>
      </c>
      <c r="D655" s="14" t="s">
        <v>741</v>
      </c>
      <c r="E655" s="12" t="s">
        <v>28</v>
      </c>
      <c r="F655" s="13" t="s">
        <v>29</v>
      </c>
      <c r="G655">
        <v>1</v>
      </c>
      <c r="H655" t="s">
        <v>420</v>
      </c>
      <c r="I655">
        <v>1</v>
      </c>
      <c r="J655" s="15"/>
      <c r="K655" s="16">
        <f>312.6 - (312.6 * $E$1)</f>
        <v>312.60000000000002</v>
      </c>
      <c r="L655" s="16">
        <f>256.23 - (256.23 * $E$1)</f>
        <v>256.23</v>
      </c>
      <c r="M655" s="1">
        <v>312.60000000000002</v>
      </c>
      <c r="N655" s="1">
        <v>256.23</v>
      </c>
      <c r="O655" s="1">
        <v>265.70999999999998</v>
      </c>
      <c r="P655" s="1">
        <v>217.8</v>
      </c>
      <c r="Q655">
        <v>0.04</v>
      </c>
      <c r="R655">
        <v>1.2E-4</v>
      </c>
    </row>
    <row r="656" spans="1:18" ht="13.8" outlineLevel="2" x14ac:dyDescent="0.25">
      <c r="A656">
        <v>91006</v>
      </c>
      <c r="B656" t="s">
        <v>582</v>
      </c>
      <c r="C656" t="s">
        <v>749</v>
      </c>
      <c r="D656" s="14" t="s">
        <v>741</v>
      </c>
      <c r="E656" s="12" t="s">
        <v>28</v>
      </c>
      <c r="F656" s="13" t="s">
        <v>29</v>
      </c>
      <c r="G656">
        <v>1</v>
      </c>
      <c r="H656" t="s">
        <v>420</v>
      </c>
      <c r="I656">
        <v>1</v>
      </c>
      <c r="J656" s="15"/>
      <c r="K656" s="16">
        <f>199.34 - (199.34 * $E$1)</f>
        <v>199.34</v>
      </c>
      <c r="L656" s="16">
        <f>163.39 - (163.39 * $E$1)</f>
        <v>163.38999999999999</v>
      </c>
      <c r="M656" s="1">
        <v>199.34</v>
      </c>
      <c r="N656" s="1">
        <v>163.38999999999999</v>
      </c>
      <c r="O656" s="1">
        <v>169.44</v>
      </c>
      <c r="P656" s="1">
        <v>138.88</v>
      </c>
      <c r="Q656">
        <v>2.5000000000000001E-2</v>
      </c>
      <c r="R656">
        <v>1.2E-4</v>
      </c>
    </row>
    <row r="657" spans="1:18" ht="13.8" outlineLevel="2" x14ac:dyDescent="0.25">
      <c r="A657">
        <v>91007</v>
      </c>
      <c r="B657" t="s">
        <v>672</v>
      </c>
      <c r="C657" t="s">
        <v>750</v>
      </c>
      <c r="D657" s="14" t="s">
        <v>751</v>
      </c>
      <c r="E657" s="12" t="s">
        <v>28</v>
      </c>
      <c r="F657" s="13" t="s">
        <v>29</v>
      </c>
      <c r="G657">
        <v>1</v>
      </c>
      <c r="H657" t="s">
        <v>420</v>
      </c>
      <c r="I657">
        <v>1</v>
      </c>
      <c r="J657" s="15"/>
      <c r="K657" s="16">
        <f>206.41 - (206.41 * $E$1)</f>
        <v>206.41</v>
      </c>
      <c r="L657" s="16">
        <f>169.19 - (169.19 * $E$1)</f>
        <v>169.19</v>
      </c>
      <c r="M657" s="1">
        <v>206.41</v>
      </c>
      <c r="N657" s="1">
        <v>169.19</v>
      </c>
      <c r="O657" s="1">
        <v>175.45</v>
      </c>
      <c r="P657" s="1">
        <v>143.81</v>
      </c>
      <c r="Q657">
        <v>2.4E-2</v>
      </c>
      <c r="R657">
        <v>1.2E-4</v>
      </c>
    </row>
    <row r="658" spans="1:18" ht="13.8" outlineLevel="2" x14ac:dyDescent="0.25">
      <c r="A658">
        <v>91008</v>
      </c>
      <c r="B658" t="s">
        <v>672</v>
      </c>
      <c r="C658" t="s">
        <v>752</v>
      </c>
      <c r="D658" s="14" t="s">
        <v>751</v>
      </c>
      <c r="E658" s="12" t="s">
        <v>28</v>
      </c>
      <c r="F658" s="13" t="s">
        <v>29</v>
      </c>
      <c r="G658">
        <v>1</v>
      </c>
      <c r="H658" t="s">
        <v>420</v>
      </c>
      <c r="I658">
        <v>1</v>
      </c>
      <c r="J658" s="15"/>
      <c r="K658" s="16">
        <f>223.13 - (223.13 * $E$1)</f>
        <v>223.13</v>
      </c>
      <c r="L658" s="16">
        <f>182.89 - (182.89 * $E$1)</f>
        <v>182.89</v>
      </c>
      <c r="M658" s="1">
        <v>223.13</v>
      </c>
      <c r="N658" s="1">
        <v>182.89</v>
      </c>
      <c r="O658" s="1">
        <v>189.66</v>
      </c>
      <c r="P658" s="1">
        <v>155.46</v>
      </c>
      <c r="Q658">
        <v>2.7E-2</v>
      </c>
      <c r="R658">
        <v>1.2E-4</v>
      </c>
    </row>
    <row r="659" spans="1:18" ht="13.8" outlineLevel="2" x14ac:dyDescent="0.25">
      <c r="A659">
        <v>91009</v>
      </c>
      <c r="B659" t="s">
        <v>672</v>
      </c>
      <c r="C659" t="s">
        <v>753</v>
      </c>
      <c r="D659" s="14" t="s">
        <v>751</v>
      </c>
      <c r="E659" s="12" t="s">
        <v>28</v>
      </c>
      <c r="F659" s="13" t="s">
        <v>29</v>
      </c>
      <c r="G659">
        <v>1</v>
      </c>
      <c r="H659" t="s">
        <v>420</v>
      </c>
      <c r="I659">
        <v>1</v>
      </c>
      <c r="J659" s="15"/>
      <c r="K659" s="16">
        <f>273.18 - (273.18 * $E$1)</f>
        <v>273.18</v>
      </c>
      <c r="L659" s="16">
        <f>223.92 - (223.92 * $E$1)</f>
        <v>223.92</v>
      </c>
      <c r="M659" s="1">
        <v>273.18</v>
      </c>
      <c r="N659" s="1">
        <v>223.92</v>
      </c>
      <c r="O659" s="1">
        <v>232.21</v>
      </c>
      <c r="P659" s="1">
        <v>190.33</v>
      </c>
      <c r="Q659">
        <v>3.4000000000000002E-2</v>
      </c>
      <c r="R659">
        <v>1.2E-4</v>
      </c>
    </row>
    <row r="660" spans="1:18" ht="13.8" outlineLevel="2" x14ac:dyDescent="0.25">
      <c r="A660">
        <v>91010</v>
      </c>
      <c r="B660" t="s">
        <v>718</v>
      </c>
      <c r="C660" t="s">
        <v>754</v>
      </c>
      <c r="D660" s="14" t="s">
        <v>755</v>
      </c>
      <c r="E660" s="12" t="s">
        <v>28</v>
      </c>
      <c r="F660" s="13" t="s">
        <v>29</v>
      </c>
      <c r="G660">
        <v>1</v>
      </c>
      <c r="H660" t="s">
        <v>420</v>
      </c>
      <c r="I660">
        <v>1</v>
      </c>
      <c r="J660" s="15"/>
      <c r="K660" s="16">
        <f>213.46 - (213.46 * $E$1)</f>
        <v>213.46</v>
      </c>
      <c r="L660" s="16">
        <f>174.97 - (174.97 * $E$1)</f>
        <v>174.97</v>
      </c>
      <c r="M660" s="1">
        <v>213.46</v>
      </c>
      <c r="N660" s="1">
        <v>174.97</v>
      </c>
      <c r="O660" s="1">
        <v>181.44</v>
      </c>
      <c r="P660" s="1">
        <v>148.72</v>
      </c>
      <c r="Q660">
        <v>2.4E-2</v>
      </c>
      <c r="R660">
        <v>1.2E-4</v>
      </c>
    </row>
    <row r="661" spans="1:18" ht="13.8" outlineLevel="2" x14ac:dyDescent="0.25">
      <c r="A661">
        <v>91011</v>
      </c>
      <c r="B661" t="s">
        <v>718</v>
      </c>
      <c r="C661" t="s">
        <v>756</v>
      </c>
      <c r="D661" s="14" t="s">
        <v>755</v>
      </c>
      <c r="E661" s="12" t="s">
        <v>28</v>
      </c>
      <c r="F661" s="13" t="s">
        <v>29</v>
      </c>
      <c r="G661">
        <v>1</v>
      </c>
      <c r="H661" t="s">
        <v>420</v>
      </c>
      <c r="I661">
        <v>1</v>
      </c>
      <c r="J661" s="15"/>
      <c r="K661" s="16">
        <f>232.25 - (232.25 * $E$1)</f>
        <v>232.25</v>
      </c>
      <c r="L661" s="16">
        <f>190.37 - (190.37 * $E$1)</f>
        <v>190.37</v>
      </c>
      <c r="M661" s="1">
        <v>232.25</v>
      </c>
      <c r="N661" s="1">
        <v>190.37</v>
      </c>
      <c r="O661" s="1">
        <v>197.41</v>
      </c>
      <c r="P661" s="1">
        <v>161.81</v>
      </c>
      <c r="Q661">
        <v>2.8000000000000001E-2</v>
      </c>
      <c r="R661">
        <v>1.2E-4</v>
      </c>
    </row>
    <row r="662" spans="1:18" ht="13.8" outlineLevel="2" x14ac:dyDescent="0.25">
      <c r="A662">
        <v>91012</v>
      </c>
      <c r="B662" t="s">
        <v>718</v>
      </c>
      <c r="C662" t="s">
        <v>757</v>
      </c>
      <c r="D662" s="14" t="s">
        <v>755</v>
      </c>
      <c r="E662" s="12" t="s">
        <v>28</v>
      </c>
      <c r="F662" s="13" t="s">
        <v>29</v>
      </c>
      <c r="G662">
        <v>1</v>
      </c>
      <c r="H662" t="s">
        <v>420</v>
      </c>
      <c r="I662">
        <v>1</v>
      </c>
      <c r="J662" s="15"/>
      <c r="K662" s="16">
        <f>291.79 - (291.79 * $E$1)</f>
        <v>291.79000000000002</v>
      </c>
      <c r="L662" s="16">
        <f>239.17 - (239.17 * $E$1)</f>
        <v>239.17</v>
      </c>
      <c r="M662" s="1">
        <v>291.79000000000002</v>
      </c>
      <c r="N662" s="1">
        <v>239.17</v>
      </c>
      <c r="O662" s="1">
        <v>248.02</v>
      </c>
      <c r="P662" s="1">
        <v>203.29</v>
      </c>
      <c r="Q662">
        <v>3.6999999999999998E-2</v>
      </c>
      <c r="R662">
        <v>1.2E-4</v>
      </c>
    </row>
    <row r="663" spans="1:18" ht="16.5" customHeight="1" outlineLevel="1" x14ac:dyDescent="0.35">
      <c r="A663" s="9"/>
      <c r="B663" s="10" t="s">
        <v>758</v>
      </c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1"/>
    </row>
    <row r="664" spans="1:18" ht="13.8" outlineLevel="2" x14ac:dyDescent="0.25">
      <c r="A664">
        <v>85157</v>
      </c>
      <c r="B664" t="s">
        <v>759</v>
      </c>
      <c r="C664" t="s">
        <v>760</v>
      </c>
      <c r="D664" s="14" t="s">
        <v>761</v>
      </c>
      <c r="E664" s="12" t="s">
        <v>28</v>
      </c>
      <c r="F664" s="17" t="s">
        <v>549</v>
      </c>
      <c r="G664">
        <v>100</v>
      </c>
      <c r="H664" t="s">
        <v>30</v>
      </c>
      <c r="I664">
        <v>500</v>
      </c>
      <c r="J664" s="15"/>
      <c r="K664" s="16">
        <f>1.99 - (1.99 * $E$1)</f>
        <v>1.99</v>
      </c>
      <c r="L664" s="16">
        <f>1.63 - (1.63 * $E$1)</f>
        <v>1.63</v>
      </c>
      <c r="M664" s="1">
        <v>1.99</v>
      </c>
      <c r="N664" s="1">
        <v>1.63</v>
      </c>
      <c r="O664" s="1">
        <v>1.69</v>
      </c>
      <c r="P664" s="1">
        <v>1.39</v>
      </c>
      <c r="Q664">
        <v>4.37E-4</v>
      </c>
      <c r="R664">
        <v>1.04E-6</v>
      </c>
    </row>
    <row r="665" spans="1:18" ht="13.8" outlineLevel="2" x14ac:dyDescent="0.25">
      <c r="A665">
        <v>85158</v>
      </c>
      <c r="B665" t="s">
        <v>759</v>
      </c>
      <c r="C665" t="s">
        <v>762</v>
      </c>
      <c r="D665" s="14" t="s">
        <v>761</v>
      </c>
      <c r="E665" s="12" t="s">
        <v>28</v>
      </c>
      <c r="F665" s="17" t="s">
        <v>549</v>
      </c>
      <c r="G665">
        <v>100</v>
      </c>
      <c r="H665" t="s">
        <v>30</v>
      </c>
      <c r="I665">
        <v>500</v>
      </c>
      <c r="J665" s="15"/>
      <c r="K665" s="16">
        <f>2.48 - (2.48 * $E$1)</f>
        <v>2.48</v>
      </c>
      <c r="L665" s="16">
        <f>2.03 - (2.03 * $E$1)</f>
        <v>2.0299999999999998</v>
      </c>
      <c r="M665" s="1">
        <v>2.48</v>
      </c>
      <c r="N665" s="1">
        <v>2.0299999999999998</v>
      </c>
      <c r="O665" s="1">
        <v>2.11</v>
      </c>
      <c r="P665" s="1">
        <v>1.73</v>
      </c>
      <c r="Q665">
        <v>5.4299999999999997E-4</v>
      </c>
      <c r="R665">
        <v>1.1999999999999999E-6</v>
      </c>
    </row>
    <row r="666" spans="1:18" ht="13.8" outlineLevel="2" x14ac:dyDescent="0.25">
      <c r="A666">
        <v>49614</v>
      </c>
      <c r="B666" t="s">
        <v>759</v>
      </c>
      <c r="C666" t="s">
        <v>763</v>
      </c>
      <c r="D666" s="14" t="s">
        <v>761</v>
      </c>
      <c r="E666" s="12" t="s">
        <v>28</v>
      </c>
      <c r="F666" s="17" t="s">
        <v>549</v>
      </c>
      <c r="G666">
        <v>100</v>
      </c>
      <c r="H666" t="s">
        <v>30</v>
      </c>
      <c r="I666">
        <v>500</v>
      </c>
      <c r="J666" s="15"/>
      <c r="K666" s="16">
        <f>3.2 - (3.2 * $E$1)</f>
        <v>3.2</v>
      </c>
      <c r="L666" s="16">
        <f>2.62 - (2.62 * $E$1)</f>
        <v>2.62</v>
      </c>
      <c r="M666" s="1">
        <v>3.2</v>
      </c>
      <c r="N666" s="1">
        <v>2.62</v>
      </c>
      <c r="O666" s="1">
        <v>2.72</v>
      </c>
      <c r="P666" s="1">
        <v>2.23</v>
      </c>
      <c r="Q666">
        <v>6.4000000000000005E-4</v>
      </c>
      <c r="R666">
        <v>1.04E-6</v>
      </c>
    </row>
    <row r="667" spans="1:18" ht="13.8" outlineLevel="2" x14ac:dyDescent="0.25">
      <c r="A667">
        <v>85159</v>
      </c>
      <c r="B667" t="s">
        <v>759</v>
      </c>
      <c r="C667" t="s">
        <v>764</v>
      </c>
      <c r="D667" s="14" t="s">
        <v>761</v>
      </c>
      <c r="E667" s="12" t="s">
        <v>28</v>
      </c>
      <c r="F667" s="17" t="s">
        <v>549</v>
      </c>
      <c r="G667">
        <v>100</v>
      </c>
      <c r="H667" t="s">
        <v>30</v>
      </c>
      <c r="I667">
        <v>500</v>
      </c>
      <c r="J667" s="15"/>
      <c r="K667" s="16">
        <f>2.9 - (2.9 * $E$1)</f>
        <v>2.9</v>
      </c>
      <c r="L667" s="16">
        <f>2.38 - (2.38 * $E$1)</f>
        <v>2.38</v>
      </c>
      <c r="M667" s="1">
        <v>2.9</v>
      </c>
      <c r="N667" s="1">
        <v>2.38</v>
      </c>
      <c r="O667" s="1">
        <v>2.4700000000000002</v>
      </c>
      <c r="P667" s="1">
        <v>2.02</v>
      </c>
      <c r="Q667">
        <v>6.0700000000000001E-4</v>
      </c>
      <c r="R667">
        <v>1.55E-6</v>
      </c>
    </row>
    <row r="668" spans="1:18" ht="13.8" outlineLevel="2" x14ac:dyDescent="0.25">
      <c r="A668">
        <v>49615</v>
      </c>
      <c r="B668" t="s">
        <v>759</v>
      </c>
      <c r="C668" t="s">
        <v>765</v>
      </c>
      <c r="D668" s="14" t="s">
        <v>761</v>
      </c>
      <c r="E668" s="12" t="s">
        <v>28</v>
      </c>
      <c r="F668" s="17" t="s">
        <v>549</v>
      </c>
      <c r="G668">
        <v>100</v>
      </c>
      <c r="H668" t="s">
        <v>30</v>
      </c>
      <c r="I668">
        <v>500</v>
      </c>
      <c r="J668" s="15"/>
      <c r="K668" s="16">
        <f>3.36 - (3.36 * $E$1)</f>
        <v>3.36</v>
      </c>
      <c r="L668" s="16">
        <f>2.75 - (2.75 * $E$1)</f>
        <v>2.75</v>
      </c>
      <c r="M668" s="1">
        <v>3.36</v>
      </c>
      <c r="N668" s="1">
        <v>2.75</v>
      </c>
      <c r="O668" s="1">
        <v>2.85</v>
      </c>
      <c r="P668" s="1">
        <v>2.34</v>
      </c>
      <c r="Q668">
        <v>6.6E-4</v>
      </c>
      <c r="R668">
        <v>1.1999999999999999E-6</v>
      </c>
    </row>
    <row r="669" spans="1:18" ht="13.8" outlineLevel="2" x14ac:dyDescent="0.25">
      <c r="A669">
        <v>47512</v>
      </c>
      <c r="B669" t="s">
        <v>759</v>
      </c>
      <c r="C669" t="s">
        <v>766</v>
      </c>
      <c r="D669" s="14" t="s">
        <v>761</v>
      </c>
      <c r="E669" s="12" t="s">
        <v>28</v>
      </c>
      <c r="F669" s="13" t="s">
        <v>29</v>
      </c>
      <c r="G669">
        <v>100</v>
      </c>
      <c r="H669" t="s">
        <v>30</v>
      </c>
      <c r="I669">
        <v>500</v>
      </c>
      <c r="J669" s="15"/>
      <c r="K669" s="16">
        <f>4.47 - (4.47 * $E$1)</f>
        <v>4.47</v>
      </c>
      <c r="L669" s="16">
        <f>3.66 - (3.66 * $E$1)</f>
        <v>3.66</v>
      </c>
      <c r="M669" s="1">
        <v>4.47</v>
      </c>
      <c r="N669" s="1">
        <v>3.66</v>
      </c>
      <c r="O669" s="1">
        <v>3.8</v>
      </c>
      <c r="P669" s="1">
        <v>3.11</v>
      </c>
      <c r="Q669">
        <v>8.5999999999999998E-4</v>
      </c>
      <c r="R669">
        <v>2.3099999999999999E-6</v>
      </c>
    </row>
    <row r="670" spans="1:18" ht="13.8" outlineLevel="2" x14ac:dyDescent="0.25">
      <c r="A670">
        <v>108580</v>
      </c>
      <c r="B670" t="s">
        <v>767</v>
      </c>
      <c r="C670" t="s">
        <v>768</v>
      </c>
      <c r="D670" s="14" t="s">
        <v>761</v>
      </c>
      <c r="E670" s="12" t="s">
        <v>28</v>
      </c>
      <c r="F670" s="13" t="s">
        <v>29</v>
      </c>
      <c r="G670">
        <v>1</v>
      </c>
      <c r="H670" t="s">
        <v>420</v>
      </c>
      <c r="I670">
        <v>5</v>
      </c>
      <c r="J670" s="15"/>
      <c r="K670" s="16">
        <f>198.99 - (198.99 * $E$1)</f>
        <v>198.99</v>
      </c>
      <c r="L670" s="16">
        <f>163.11 - (163.11 * $E$1)</f>
        <v>163.11000000000001</v>
      </c>
      <c r="M670" s="1">
        <v>198.99</v>
      </c>
      <c r="N670" s="1">
        <v>163.11000000000001</v>
      </c>
      <c r="O670" s="1">
        <v>169.15</v>
      </c>
      <c r="P670" s="1">
        <v>138.63999999999999</v>
      </c>
      <c r="Q670">
        <v>4.3700000000000003E-2</v>
      </c>
      <c r="R670">
        <v>1.0399999999999999E-4</v>
      </c>
    </row>
    <row r="671" spans="1:18" ht="13.8" outlineLevel="2" x14ac:dyDescent="0.25">
      <c r="A671">
        <v>108581</v>
      </c>
      <c r="B671" t="s">
        <v>767</v>
      </c>
      <c r="C671" t="s">
        <v>769</v>
      </c>
      <c r="D671" s="14" t="s">
        <v>761</v>
      </c>
      <c r="E671" s="12" t="s">
        <v>28</v>
      </c>
      <c r="F671" s="13" t="s">
        <v>29</v>
      </c>
      <c r="G671">
        <v>1</v>
      </c>
      <c r="H671" t="s">
        <v>420</v>
      </c>
      <c r="I671">
        <v>5</v>
      </c>
      <c r="J671" s="15"/>
      <c r="K671" s="16">
        <f>248 - (248 * $E$1)</f>
        <v>248</v>
      </c>
      <c r="L671" s="16">
        <f>203.28 - (203.28 * $E$1)</f>
        <v>203.28</v>
      </c>
      <c r="M671" s="1">
        <v>248</v>
      </c>
      <c r="N671" s="1">
        <v>203.28</v>
      </c>
      <c r="O671" s="1">
        <v>210.8</v>
      </c>
      <c r="P671" s="1">
        <v>172.79</v>
      </c>
      <c r="Q671">
        <v>5.4300000000000001E-2</v>
      </c>
      <c r="R671">
        <v>1.2E-4</v>
      </c>
    </row>
    <row r="672" spans="1:18" ht="13.8" outlineLevel="2" x14ac:dyDescent="0.25">
      <c r="A672">
        <v>108582</v>
      </c>
      <c r="B672" t="s">
        <v>767</v>
      </c>
      <c r="C672" t="s">
        <v>770</v>
      </c>
      <c r="D672" s="14" t="s">
        <v>761</v>
      </c>
      <c r="E672" s="12" t="s">
        <v>28</v>
      </c>
      <c r="F672" s="13" t="s">
        <v>29</v>
      </c>
      <c r="G672">
        <v>1</v>
      </c>
      <c r="H672" t="s">
        <v>420</v>
      </c>
      <c r="I672">
        <v>5</v>
      </c>
      <c r="J672" s="15"/>
      <c r="K672" s="16">
        <f>320.01 - (320.01 * $E$1)</f>
        <v>320.01</v>
      </c>
      <c r="L672" s="16">
        <f>262.3 - (262.3 * $E$1)</f>
        <v>262.3</v>
      </c>
      <c r="M672" s="1">
        <v>320.01</v>
      </c>
      <c r="N672" s="1">
        <v>262.3</v>
      </c>
      <c r="O672" s="1">
        <v>272.01</v>
      </c>
      <c r="P672" s="1">
        <v>222.96</v>
      </c>
      <c r="Q672">
        <v>6.4000000000000001E-2</v>
      </c>
      <c r="R672">
        <v>1.0399999999999999E-4</v>
      </c>
    </row>
    <row r="673" spans="1:18" ht="13.8" outlineLevel="2" x14ac:dyDescent="0.25">
      <c r="A673">
        <v>108583</v>
      </c>
      <c r="B673" t="s">
        <v>767</v>
      </c>
      <c r="C673" t="s">
        <v>771</v>
      </c>
      <c r="D673" s="14" t="s">
        <v>761</v>
      </c>
      <c r="E673" s="12" t="s">
        <v>28</v>
      </c>
      <c r="F673" s="13" t="s">
        <v>29</v>
      </c>
      <c r="G673">
        <v>1</v>
      </c>
      <c r="H673" t="s">
        <v>420</v>
      </c>
      <c r="I673">
        <v>5</v>
      </c>
      <c r="J673" s="15"/>
      <c r="K673" s="16">
        <f>289.99 - (289.99 * $E$1)</f>
        <v>289.99</v>
      </c>
      <c r="L673" s="16">
        <f>237.7 - (237.7 * $E$1)</f>
        <v>237.7</v>
      </c>
      <c r="M673" s="1">
        <v>289.99</v>
      </c>
      <c r="N673" s="1">
        <v>237.7</v>
      </c>
      <c r="O673" s="1">
        <v>246.49</v>
      </c>
      <c r="P673" s="1">
        <v>202.05</v>
      </c>
      <c r="Q673">
        <v>6.0699999999999997E-2</v>
      </c>
      <c r="R673">
        <v>1.55E-4</v>
      </c>
    </row>
    <row r="674" spans="1:18" ht="13.8" outlineLevel="2" x14ac:dyDescent="0.25">
      <c r="A674">
        <v>108584</v>
      </c>
      <c r="B674" t="s">
        <v>767</v>
      </c>
      <c r="C674" t="s">
        <v>772</v>
      </c>
      <c r="D674" s="14" t="s">
        <v>761</v>
      </c>
      <c r="E674" s="12" t="s">
        <v>28</v>
      </c>
      <c r="F674" s="13" t="s">
        <v>29</v>
      </c>
      <c r="G674">
        <v>1</v>
      </c>
      <c r="H674" t="s">
        <v>420</v>
      </c>
      <c r="I674">
        <v>5</v>
      </c>
      <c r="J674" s="15"/>
      <c r="K674" s="16">
        <f>336 - (336 * $E$1)</f>
        <v>336</v>
      </c>
      <c r="L674" s="16">
        <f>275.41 - (275.41 * $E$1)</f>
        <v>275.41000000000003</v>
      </c>
      <c r="M674" s="1">
        <v>336</v>
      </c>
      <c r="N674" s="1">
        <v>275.41000000000003</v>
      </c>
      <c r="O674" s="1">
        <v>285.60000000000002</v>
      </c>
      <c r="P674" s="1">
        <v>234.1</v>
      </c>
      <c r="Q674">
        <v>6.6000000000000003E-2</v>
      </c>
      <c r="R674">
        <v>1.2E-4</v>
      </c>
    </row>
    <row r="675" spans="1:18" ht="13.8" outlineLevel="2" x14ac:dyDescent="0.25">
      <c r="A675">
        <v>108585</v>
      </c>
      <c r="B675" t="s">
        <v>767</v>
      </c>
      <c r="C675" t="s">
        <v>773</v>
      </c>
      <c r="D675" s="14" t="s">
        <v>761</v>
      </c>
      <c r="E675" s="12" t="s">
        <v>28</v>
      </c>
      <c r="F675" s="13" t="s">
        <v>29</v>
      </c>
      <c r="G675">
        <v>1</v>
      </c>
      <c r="H675" t="s">
        <v>420</v>
      </c>
      <c r="I675">
        <v>5</v>
      </c>
      <c r="J675" s="15"/>
      <c r="K675" s="16">
        <f>447 - (447 * $E$1)</f>
        <v>447</v>
      </c>
      <c r="L675" s="16">
        <f>366.39 - (366.39 * $E$1)</f>
        <v>366.39</v>
      </c>
      <c r="M675" s="1">
        <v>447</v>
      </c>
      <c r="N675" s="1">
        <v>366.39</v>
      </c>
      <c r="O675" s="1">
        <v>379.95</v>
      </c>
      <c r="P675" s="1">
        <v>311.43</v>
      </c>
      <c r="Q675">
        <v>8.5999999999999993E-2</v>
      </c>
      <c r="R675">
        <v>2.31E-4</v>
      </c>
    </row>
    <row r="676" spans="1:18" ht="13.8" outlineLevel="2" x14ac:dyDescent="0.25">
      <c r="A676">
        <v>50198</v>
      </c>
      <c r="B676" t="s">
        <v>774</v>
      </c>
      <c r="C676" t="s">
        <v>775</v>
      </c>
      <c r="D676" s="14" t="s">
        <v>776</v>
      </c>
      <c r="E676" s="12" t="s">
        <v>28</v>
      </c>
      <c r="F676" s="17" t="s">
        <v>549</v>
      </c>
      <c r="G676">
        <v>100</v>
      </c>
      <c r="H676" t="s">
        <v>30</v>
      </c>
      <c r="I676">
        <v>500</v>
      </c>
      <c r="J676" s="15"/>
      <c r="K676" s="16">
        <f>2.1 - (2.1 * $E$1)</f>
        <v>2.1</v>
      </c>
      <c r="L676" s="16">
        <f>1.72 - (1.72 * $E$1)</f>
        <v>1.72</v>
      </c>
      <c r="M676" s="1">
        <v>2.1</v>
      </c>
      <c r="N676" s="1">
        <v>1.72</v>
      </c>
      <c r="O676" s="1">
        <v>1.78</v>
      </c>
      <c r="P676" s="1">
        <v>1.46</v>
      </c>
      <c r="Q676">
        <v>4.4000000000000002E-4</v>
      </c>
      <c r="R676">
        <v>1.04E-6</v>
      </c>
    </row>
    <row r="677" spans="1:18" ht="13.8" outlineLevel="2" x14ac:dyDescent="0.25">
      <c r="A677">
        <v>47463</v>
      </c>
      <c r="B677" t="s">
        <v>774</v>
      </c>
      <c r="C677" t="s">
        <v>777</v>
      </c>
      <c r="D677" s="14" t="s">
        <v>776</v>
      </c>
      <c r="E677" s="12" t="s">
        <v>28</v>
      </c>
      <c r="F677" s="17" t="s">
        <v>549</v>
      </c>
      <c r="G677">
        <v>100</v>
      </c>
      <c r="H677" t="s">
        <v>30</v>
      </c>
      <c r="I677">
        <v>500</v>
      </c>
      <c r="J677" s="15"/>
      <c r="K677" s="16">
        <f>3.18 - (3.18 * $E$1)</f>
        <v>3.18</v>
      </c>
      <c r="L677" s="16">
        <f>2.61 - (2.61 * $E$1)</f>
        <v>2.61</v>
      </c>
      <c r="M677" s="1">
        <v>3.18</v>
      </c>
      <c r="N677" s="1">
        <v>2.61</v>
      </c>
      <c r="O677" s="1">
        <v>2.71</v>
      </c>
      <c r="P677" s="1">
        <v>2.2200000000000002</v>
      </c>
      <c r="Q677">
        <v>5.9999999999999995E-4</v>
      </c>
      <c r="R677">
        <v>1.1999999999999999E-6</v>
      </c>
    </row>
    <row r="678" spans="1:18" ht="13.8" outlineLevel="2" x14ac:dyDescent="0.25">
      <c r="A678">
        <v>49616</v>
      </c>
      <c r="B678" t="s">
        <v>774</v>
      </c>
      <c r="C678" t="s">
        <v>778</v>
      </c>
      <c r="D678" s="14" t="s">
        <v>776</v>
      </c>
      <c r="E678" s="12" t="s">
        <v>28</v>
      </c>
      <c r="F678" s="17" t="s">
        <v>549</v>
      </c>
      <c r="G678">
        <v>100</v>
      </c>
      <c r="H678" t="s">
        <v>30</v>
      </c>
      <c r="I678">
        <v>500</v>
      </c>
      <c r="J678" s="15"/>
      <c r="K678" s="16">
        <f>3.84 - (3.84 * $E$1)</f>
        <v>3.84</v>
      </c>
      <c r="L678" s="16">
        <f>3.15 - (3.15 * $E$1)</f>
        <v>3.15</v>
      </c>
      <c r="M678" s="1">
        <v>3.84</v>
      </c>
      <c r="N678" s="1">
        <v>3.15</v>
      </c>
      <c r="O678" s="1">
        <v>3.27</v>
      </c>
      <c r="P678" s="1">
        <v>2.68</v>
      </c>
      <c r="Q678">
        <v>6.9999999999999999E-4</v>
      </c>
      <c r="R678">
        <v>1.6500000000000001E-6</v>
      </c>
    </row>
    <row r="679" spans="1:18" ht="13.8" outlineLevel="2" x14ac:dyDescent="0.25">
      <c r="A679">
        <v>47513</v>
      </c>
      <c r="B679" t="s">
        <v>774</v>
      </c>
      <c r="C679" t="s">
        <v>779</v>
      </c>
      <c r="D679" s="14" t="s">
        <v>776</v>
      </c>
      <c r="E679" s="12" t="s">
        <v>28</v>
      </c>
      <c r="F679" s="17" t="s">
        <v>549</v>
      </c>
      <c r="G679">
        <v>100</v>
      </c>
      <c r="H679" t="s">
        <v>30</v>
      </c>
      <c r="I679">
        <v>500</v>
      </c>
      <c r="J679" s="15"/>
      <c r="K679" s="16">
        <f>3.67 - (3.67 * $E$1)</f>
        <v>3.67</v>
      </c>
      <c r="L679" s="16">
        <f>3.01 - (3.01 * $E$1)</f>
        <v>3.01</v>
      </c>
      <c r="M679" s="1">
        <v>3.67</v>
      </c>
      <c r="N679" s="1">
        <v>3.01</v>
      </c>
      <c r="O679" s="1">
        <v>3.12</v>
      </c>
      <c r="P679" s="1">
        <v>2.56</v>
      </c>
      <c r="Q679">
        <v>6.4000000000000005E-4</v>
      </c>
      <c r="R679">
        <v>1.55E-6</v>
      </c>
    </row>
    <row r="680" spans="1:18" ht="13.8" outlineLevel="2" x14ac:dyDescent="0.25">
      <c r="A680">
        <v>49617</v>
      </c>
      <c r="B680" t="s">
        <v>774</v>
      </c>
      <c r="C680" t="s">
        <v>780</v>
      </c>
      <c r="D680" s="14" t="s">
        <v>776</v>
      </c>
      <c r="E680" s="12" t="s">
        <v>28</v>
      </c>
      <c r="F680" s="17" t="s">
        <v>549</v>
      </c>
      <c r="G680">
        <v>100</v>
      </c>
      <c r="H680" t="s">
        <v>30</v>
      </c>
      <c r="I680">
        <v>500</v>
      </c>
      <c r="J680" s="15"/>
      <c r="K680" s="16">
        <f>4.14 - (4.14 * $E$1)</f>
        <v>4.1399999999999997</v>
      </c>
      <c r="L680" s="16">
        <f>3.39 - (3.39 * $E$1)</f>
        <v>3.39</v>
      </c>
      <c r="M680" s="1">
        <v>4.1399999999999997</v>
      </c>
      <c r="N680" s="1">
        <v>3.39</v>
      </c>
      <c r="O680" s="1">
        <v>3.52</v>
      </c>
      <c r="P680" s="1">
        <v>2.88</v>
      </c>
      <c r="Q680">
        <v>7.3999999999999999E-4</v>
      </c>
      <c r="R680">
        <v>1.6500000000000001E-6</v>
      </c>
    </row>
    <row r="681" spans="1:18" ht="13.8" outlineLevel="2" x14ac:dyDescent="0.25">
      <c r="A681">
        <v>47514</v>
      </c>
      <c r="B681" t="s">
        <v>774</v>
      </c>
      <c r="C681" t="s">
        <v>781</v>
      </c>
      <c r="D681" s="14" t="s">
        <v>776</v>
      </c>
      <c r="E681" s="12" t="s">
        <v>28</v>
      </c>
      <c r="F681" s="17" t="s">
        <v>549</v>
      </c>
      <c r="G681">
        <v>100</v>
      </c>
      <c r="H681" t="s">
        <v>30</v>
      </c>
      <c r="I681">
        <v>500</v>
      </c>
      <c r="J681" s="15"/>
      <c r="K681" s="16">
        <f>5.01 - (5.01 * $E$1)</f>
        <v>5.01</v>
      </c>
      <c r="L681" s="16">
        <f>4.11 - (4.11 * $E$1)</f>
        <v>4.1100000000000003</v>
      </c>
      <c r="M681" s="1">
        <v>5.01</v>
      </c>
      <c r="N681" s="1">
        <v>4.1100000000000003</v>
      </c>
      <c r="O681" s="1">
        <v>4.26</v>
      </c>
      <c r="P681" s="1">
        <v>3.49</v>
      </c>
      <c r="Q681">
        <v>8.9999999999999998E-4</v>
      </c>
      <c r="R681">
        <v>2.4200000000000001E-6</v>
      </c>
    </row>
    <row r="682" spans="1:18" ht="13.8" outlineLevel="2" x14ac:dyDescent="0.25">
      <c r="A682">
        <v>108586</v>
      </c>
      <c r="B682" t="s">
        <v>782</v>
      </c>
      <c r="C682" t="s">
        <v>783</v>
      </c>
      <c r="D682" s="14" t="s">
        <v>776</v>
      </c>
      <c r="E682" s="12" t="s">
        <v>28</v>
      </c>
      <c r="F682" s="13" t="s">
        <v>29</v>
      </c>
      <c r="G682">
        <v>1</v>
      </c>
      <c r="H682" t="s">
        <v>420</v>
      </c>
      <c r="I682">
        <v>5</v>
      </c>
      <c r="J682" s="15"/>
      <c r="K682" s="16">
        <f>210 - (210 * $E$1)</f>
        <v>210</v>
      </c>
      <c r="L682" s="16">
        <f>172.13 - (172.13 * $E$1)</f>
        <v>172.13</v>
      </c>
      <c r="M682" s="1">
        <v>210</v>
      </c>
      <c r="N682" s="1">
        <v>172.13</v>
      </c>
      <c r="O682" s="1">
        <v>178.5</v>
      </c>
      <c r="P682" s="1">
        <v>146.31</v>
      </c>
      <c r="Q682">
        <v>4.3999999999999997E-2</v>
      </c>
      <c r="R682">
        <v>1.0399999999999999E-4</v>
      </c>
    </row>
    <row r="683" spans="1:18" ht="13.8" outlineLevel="2" x14ac:dyDescent="0.25">
      <c r="A683">
        <v>108587</v>
      </c>
      <c r="B683" t="s">
        <v>782</v>
      </c>
      <c r="C683" t="s">
        <v>784</v>
      </c>
      <c r="D683" s="14" t="s">
        <v>776</v>
      </c>
      <c r="E683" s="12" t="s">
        <v>28</v>
      </c>
      <c r="F683" s="13" t="s">
        <v>29</v>
      </c>
      <c r="G683">
        <v>1</v>
      </c>
      <c r="H683" t="s">
        <v>420</v>
      </c>
      <c r="I683">
        <v>5</v>
      </c>
      <c r="J683" s="15"/>
      <c r="K683" s="16">
        <f>318.01 - (318.01 * $E$1)</f>
        <v>318.01</v>
      </c>
      <c r="L683" s="16">
        <f>260.66 - (260.66 * $E$1)</f>
        <v>260.66000000000003</v>
      </c>
      <c r="M683" s="1">
        <v>318.01</v>
      </c>
      <c r="N683" s="1">
        <v>260.66000000000003</v>
      </c>
      <c r="O683" s="1">
        <v>270.3</v>
      </c>
      <c r="P683" s="1">
        <v>221.56</v>
      </c>
      <c r="Q683">
        <v>0.06</v>
      </c>
      <c r="R683">
        <v>1.2E-4</v>
      </c>
    </row>
    <row r="684" spans="1:18" ht="13.8" outlineLevel="2" x14ac:dyDescent="0.25">
      <c r="A684">
        <v>108588</v>
      </c>
      <c r="B684" t="s">
        <v>782</v>
      </c>
      <c r="C684" t="s">
        <v>785</v>
      </c>
      <c r="D684" s="14" t="s">
        <v>776</v>
      </c>
      <c r="E684" s="12" t="s">
        <v>28</v>
      </c>
      <c r="F684" s="13" t="s">
        <v>29</v>
      </c>
      <c r="G684">
        <v>1</v>
      </c>
      <c r="H684" t="s">
        <v>420</v>
      </c>
      <c r="I684">
        <v>5</v>
      </c>
      <c r="J684" s="15"/>
      <c r="K684" s="16">
        <f>384 - (384 * $E$1)</f>
        <v>384</v>
      </c>
      <c r="L684" s="16">
        <f>314.75 - (314.75 * $E$1)</f>
        <v>314.75</v>
      </c>
      <c r="M684" s="1">
        <v>384</v>
      </c>
      <c r="N684" s="1">
        <v>314.75</v>
      </c>
      <c r="O684" s="1">
        <v>326.39999999999998</v>
      </c>
      <c r="P684" s="1">
        <v>267.54000000000002</v>
      </c>
      <c r="Q684">
        <v>7.0000000000000007E-2</v>
      </c>
      <c r="R684">
        <v>1.65E-4</v>
      </c>
    </row>
    <row r="685" spans="1:18" ht="13.8" outlineLevel="2" x14ac:dyDescent="0.25">
      <c r="A685">
        <v>108589</v>
      </c>
      <c r="B685" t="s">
        <v>782</v>
      </c>
      <c r="C685" t="s">
        <v>786</v>
      </c>
      <c r="D685" s="14" t="s">
        <v>776</v>
      </c>
      <c r="E685" s="12" t="s">
        <v>28</v>
      </c>
      <c r="F685" s="13" t="s">
        <v>29</v>
      </c>
      <c r="G685">
        <v>1</v>
      </c>
      <c r="H685" t="s">
        <v>420</v>
      </c>
      <c r="I685">
        <v>5</v>
      </c>
      <c r="J685" s="15"/>
      <c r="K685" s="16">
        <f>367 - (367 * $E$1)</f>
        <v>367</v>
      </c>
      <c r="L685" s="16">
        <f>300.82 - (300.82 * $E$1)</f>
        <v>300.82</v>
      </c>
      <c r="M685" s="1">
        <v>367</v>
      </c>
      <c r="N685" s="1">
        <v>300.82</v>
      </c>
      <c r="O685" s="1">
        <v>311.95</v>
      </c>
      <c r="P685" s="1">
        <v>255.7</v>
      </c>
      <c r="Q685">
        <v>6.4000000000000001E-2</v>
      </c>
      <c r="R685">
        <v>1.55E-4</v>
      </c>
    </row>
    <row r="686" spans="1:18" ht="13.8" outlineLevel="2" x14ac:dyDescent="0.25">
      <c r="A686">
        <v>108590</v>
      </c>
      <c r="B686" t="s">
        <v>782</v>
      </c>
      <c r="C686" t="s">
        <v>787</v>
      </c>
      <c r="D686" s="14" t="s">
        <v>776</v>
      </c>
      <c r="E686" s="12" t="s">
        <v>28</v>
      </c>
      <c r="F686" s="13" t="s">
        <v>29</v>
      </c>
      <c r="G686">
        <v>1</v>
      </c>
      <c r="H686" t="s">
        <v>420</v>
      </c>
      <c r="I686">
        <v>5</v>
      </c>
      <c r="J686" s="15"/>
      <c r="K686" s="16">
        <f>413.99 - (413.99 * $E$1)</f>
        <v>413.99</v>
      </c>
      <c r="L686" s="16">
        <f>339.34 - (339.34 * $E$1)</f>
        <v>339.34</v>
      </c>
      <c r="M686" s="1">
        <v>413.99</v>
      </c>
      <c r="N686" s="1">
        <v>339.34</v>
      </c>
      <c r="O686" s="1">
        <v>351.9</v>
      </c>
      <c r="P686" s="1">
        <v>288.44</v>
      </c>
      <c r="Q686">
        <v>7.3999999999999996E-2</v>
      </c>
      <c r="R686">
        <v>1.65E-4</v>
      </c>
    </row>
    <row r="687" spans="1:18" ht="13.8" outlineLevel="2" x14ac:dyDescent="0.25">
      <c r="A687">
        <v>108591</v>
      </c>
      <c r="B687" t="s">
        <v>782</v>
      </c>
      <c r="C687" t="s">
        <v>788</v>
      </c>
      <c r="D687" s="14" t="s">
        <v>776</v>
      </c>
      <c r="E687" s="12" t="s">
        <v>28</v>
      </c>
      <c r="F687" s="13" t="s">
        <v>29</v>
      </c>
      <c r="G687">
        <v>1</v>
      </c>
      <c r="H687" t="s">
        <v>420</v>
      </c>
      <c r="I687">
        <v>5</v>
      </c>
      <c r="J687" s="15"/>
      <c r="K687" s="16">
        <f>501.01 - (501.01 * $E$1)</f>
        <v>501.01</v>
      </c>
      <c r="L687" s="16">
        <f>410.66 - (410.66 * $E$1)</f>
        <v>410.66</v>
      </c>
      <c r="M687" s="1">
        <v>501.01</v>
      </c>
      <c r="N687" s="1">
        <v>410.66</v>
      </c>
      <c r="O687" s="1">
        <v>425.85</v>
      </c>
      <c r="P687" s="1">
        <v>349.06</v>
      </c>
      <c r="Q687">
        <v>0.09</v>
      </c>
      <c r="R687">
        <v>2.42E-4</v>
      </c>
    </row>
    <row r="688" spans="1:18" ht="13.8" outlineLevel="2" x14ac:dyDescent="0.25">
      <c r="A688">
        <v>50201</v>
      </c>
      <c r="B688" t="s">
        <v>789</v>
      </c>
      <c r="C688" t="s">
        <v>790</v>
      </c>
      <c r="D688" s="14" t="s">
        <v>791</v>
      </c>
      <c r="E688" s="12" t="s">
        <v>28</v>
      </c>
      <c r="F688" s="17" t="s">
        <v>549</v>
      </c>
      <c r="G688">
        <v>100</v>
      </c>
      <c r="H688" t="s">
        <v>30</v>
      </c>
      <c r="I688">
        <v>500</v>
      </c>
      <c r="J688" s="15"/>
      <c r="K688" s="16">
        <f>4.18 - (4.18 * $E$1)</f>
        <v>4.18</v>
      </c>
      <c r="L688" s="16">
        <f>3.43 - (3.43 * $E$1)</f>
        <v>3.43</v>
      </c>
      <c r="M688" s="1">
        <v>4.18</v>
      </c>
      <c r="N688" s="1">
        <v>3.43</v>
      </c>
      <c r="O688" s="1">
        <v>3.56</v>
      </c>
      <c r="P688" s="1">
        <v>2.92</v>
      </c>
      <c r="Q688">
        <v>6.6E-4</v>
      </c>
      <c r="R688">
        <v>1.04E-6</v>
      </c>
    </row>
    <row r="689" spans="1:18" ht="13.8" outlineLevel="2" x14ac:dyDescent="0.25">
      <c r="A689">
        <v>49619</v>
      </c>
      <c r="B689" t="s">
        <v>789</v>
      </c>
      <c r="C689" t="s">
        <v>792</v>
      </c>
      <c r="D689" s="14" t="s">
        <v>791</v>
      </c>
      <c r="E689" s="12" t="s">
        <v>28</v>
      </c>
      <c r="F689" s="17" t="s">
        <v>549</v>
      </c>
      <c r="G689">
        <v>100</v>
      </c>
      <c r="H689" t="s">
        <v>30</v>
      </c>
      <c r="I689">
        <v>500</v>
      </c>
      <c r="J689" s="15"/>
      <c r="K689" s="16">
        <f>5.6 - (5.6 * $E$1)</f>
        <v>5.6</v>
      </c>
      <c r="L689" s="16">
        <f>4.59 - (4.59 * $E$1)</f>
        <v>4.59</v>
      </c>
      <c r="M689" s="1">
        <v>5.6</v>
      </c>
      <c r="N689" s="1">
        <v>4.59</v>
      </c>
      <c r="O689" s="1">
        <v>4.76</v>
      </c>
      <c r="P689" s="1">
        <v>3.9</v>
      </c>
      <c r="Q689">
        <v>8.5999999999999998E-4</v>
      </c>
      <c r="R689">
        <v>1.3E-6</v>
      </c>
    </row>
    <row r="690" spans="1:18" ht="13.8" outlineLevel="2" x14ac:dyDescent="0.25">
      <c r="A690">
        <v>49620</v>
      </c>
      <c r="B690" t="s">
        <v>789</v>
      </c>
      <c r="C690" t="s">
        <v>793</v>
      </c>
      <c r="D690" s="14" t="s">
        <v>791</v>
      </c>
      <c r="E690" s="12" t="s">
        <v>28</v>
      </c>
      <c r="F690" s="17" t="s">
        <v>549</v>
      </c>
      <c r="G690">
        <v>100</v>
      </c>
      <c r="H690" t="s">
        <v>30</v>
      </c>
      <c r="I690">
        <v>500</v>
      </c>
      <c r="J690" s="15"/>
      <c r="K690" s="16">
        <f>6.12 - (6.12 * $E$1)</f>
        <v>6.12</v>
      </c>
      <c r="L690" s="16">
        <f>5.02 - (5.02 * $E$1)</f>
        <v>5.0199999999999996</v>
      </c>
      <c r="M690" s="1">
        <v>6.12</v>
      </c>
      <c r="N690" s="1">
        <v>5.0199999999999996</v>
      </c>
      <c r="O690" s="1">
        <v>5.21</v>
      </c>
      <c r="P690" s="1">
        <v>4.2699999999999996</v>
      </c>
      <c r="Q690">
        <v>1.1199999999999999E-3</v>
      </c>
      <c r="R690">
        <v>1.9800000000000001E-6</v>
      </c>
    </row>
    <row r="691" spans="1:18" ht="13.8" outlineLevel="2" x14ac:dyDescent="0.25">
      <c r="A691">
        <v>74252</v>
      </c>
      <c r="B691" t="s">
        <v>789</v>
      </c>
      <c r="C691" t="s">
        <v>794</v>
      </c>
      <c r="D691" s="14" t="s">
        <v>791</v>
      </c>
      <c r="E691" s="12" t="s">
        <v>28</v>
      </c>
      <c r="F691" s="17" t="s">
        <v>549</v>
      </c>
      <c r="G691">
        <v>100</v>
      </c>
      <c r="H691" t="s">
        <v>30</v>
      </c>
      <c r="I691">
        <v>500</v>
      </c>
      <c r="J691" s="15"/>
      <c r="K691" s="16">
        <f>5.83 - (5.83 * $E$1)</f>
        <v>5.83</v>
      </c>
      <c r="L691" s="16">
        <f>4.78 - (4.78 * $E$1)</f>
        <v>4.78</v>
      </c>
      <c r="M691" s="1">
        <v>5.83</v>
      </c>
      <c r="N691" s="1">
        <v>4.78</v>
      </c>
      <c r="O691" s="1">
        <v>4.96</v>
      </c>
      <c r="P691" s="1">
        <v>4.0599999999999996</v>
      </c>
      <c r="Q691">
        <v>8.0000000000000004E-4</v>
      </c>
      <c r="R691">
        <v>1.6199999999999999E-6</v>
      </c>
    </row>
    <row r="692" spans="1:18" ht="13.8" outlineLevel="2" x14ac:dyDescent="0.25">
      <c r="A692">
        <v>49623</v>
      </c>
      <c r="B692" t="s">
        <v>789</v>
      </c>
      <c r="C692" t="s">
        <v>795</v>
      </c>
      <c r="D692" s="14" t="s">
        <v>791</v>
      </c>
      <c r="E692" s="12" t="s">
        <v>28</v>
      </c>
      <c r="F692" s="17" t="s">
        <v>549</v>
      </c>
      <c r="G692">
        <v>100</v>
      </c>
      <c r="H692" t="s">
        <v>30</v>
      </c>
      <c r="I692">
        <v>500</v>
      </c>
      <c r="J692" s="15"/>
      <c r="K692" s="16">
        <f>6.38 - (6.38 * $E$1)</f>
        <v>6.38</v>
      </c>
      <c r="L692" s="16">
        <f>5.23 - (5.23 * $E$1)</f>
        <v>5.23</v>
      </c>
      <c r="M692" s="1">
        <v>6.38</v>
      </c>
      <c r="N692" s="1">
        <v>5.23</v>
      </c>
      <c r="O692" s="1">
        <v>5.42</v>
      </c>
      <c r="P692" s="1">
        <v>4.45</v>
      </c>
      <c r="Q692">
        <v>1.0200000000000001E-3</v>
      </c>
      <c r="R692">
        <v>1.68E-6</v>
      </c>
    </row>
    <row r="693" spans="1:18" ht="13.8" outlineLevel="2" x14ac:dyDescent="0.25">
      <c r="A693">
        <v>49624</v>
      </c>
      <c r="B693" t="s">
        <v>789</v>
      </c>
      <c r="C693" t="s">
        <v>796</v>
      </c>
      <c r="D693" s="14" t="s">
        <v>791</v>
      </c>
      <c r="E693" s="12" t="s">
        <v>28</v>
      </c>
      <c r="F693" s="17" t="s">
        <v>549</v>
      </c>
      <c r="G693">
        <v>100</v>
      </c>
      <c r="H693" t="s">
        <v>30</v>
      </c>
      <c r="I693">
        <v>500</v>
      </c>
      <c r="J693" s="15"/>
      <c r="K693" s="16">
        <f>7.67 - (7.67 * $E$1)</f>
        <v>7.67</v>
      </c>
      <c r="L693" s="16">
        <f>6.29 - (6.29 * $E$1)</f>
        <v>6.29</v>
      </c>
      <c r="M693" s="1">
        <v>7.67</v>
      </c>
      <c r="N693" s="1">
        <v>6.29</v>
      </c>
      <c r="O693" s="1">
        <v>6.52</v>
      </c>
      <c r="P693" s="1">
        <v>5.35</v>
      </c>
      <c r="Q693">
        <v>1.1999999999999999E-3</v>
      </c>
      <c r="R693">
        <v>2.4600000000000002E-6</v>
      </c>
    </row>
    <row r="694" spans="1:18" ht="13.8" outlineLevel="2" x14ac:dyDescent="0.25">
      <c r="A694">
        <v>108592</v>
      </c>
      <c r="B694" t="s">
        <v>797</v>
      </c>
      <c r="C694" t="s">
        <v>798</v>
      </c>
      <c r="D694" s="14" t="s">
        <v>791</v>
      </c>
      <c r="E694" s="12" t="s">
        <v>28</v>
      </c>
      <c r="F694" s="13" t="s">
        <v>29</v>
      </c>
      <c r="G694">
        <v>1</v>
      </c>
      <c r="H694" t="s">
        <v>420</v>
      </c>
      <c r="I694">
        <v>5</v>
      </c>
      <c r="J694" s="15"/>
      <c r="K694" s="16">
        <f>418 - (418 * $E$1)</f>
        <v>418</v>
      </c>
      <c r="L694" s="16">
        <f>342.62 - (342.62 * $E$1)</f>
        <v>342.62</v>
      </c>
      <c r="M694" s="1">
        <v>418</v>
      </c>
      <c r="N694" s="1">
        <v>342.62</v>
      </c>
      <c r="O694" s="1">
        <v>355.3</v>
      </c>
      <c r="P694" s="1">
        <v>291.23</v>
      </c>
      <c r="Q694">
        <v>6.6000000000000003E-2</v>
      </c>
      <c r="R694">
        <v>1.0399999999999999E-4</v>
      </c>
    </row>
    <row r="695" spans="1:18" ht="13.8" outlineLevel="2" x14ac:dyDescent="0.25">
      <c r="A695">
        <v>108593</v>
      </c>
      <c r="B695" t="s">
        <v>797</v>
      </c>
      <c r="C695" t="s">
        <v>799</v>
      </c>
      <c r="D695" s="14" t="s">
        <v>791</v>
      </c>
      <c r="E695" s="12" t="s">
        <v>28</v>
      </c>
      <c r="F695" s="13" t="s">
        <v>29</v>
      </c>
      <c r="G695">
        <v>1</v>
      </c>
      <c r="H695" t="s">
        <v>420</v>
      </c>
      <c r="I695">
        <v>5</v>
      </c>
      <c r="J695" s="15"/>
      <c r="K695" s="16">
        <f>560 - (560 * $E$1)</f>
        <v>560</v>
      </c>
      <c r="L695" s="16">
        <f>459.02 - (459.02 * $E$1)</f>
        <v>459.02</v>
      </c>
      <c r="M695" s="1">
        <v>560</v>
      </c>
      <c r="N695" s="1">
        <v>459.02</v>
      </c>
      <c r="O695" s="1">
        <v>476</v>
      </c>
      <c r="P695" s="1">
        <v>390.17</v>
      </c>
      <c r="Q695">
        <v>8.5999999999999993E-2</v>
      </c>
      <c r="R695">
        <v>1.2999999999999999E-4</v>
      </c>
    </row>
    <row r="696" spans="1:18" ht="13.8" outlineLevel="2" x14ac:dyDescent="0.25">
      <c r="A696">
        <v>108594</v>
      </c>
      <c r="B696" t="s">
        <v>797</v>
      </c>
      <c r="C696" t="s">
        <v>800</v>
      </c>
      <c r="D696" s="14" t="s">
        <v>791</v>
      </c>
      <c r="E696" s="12" t="s">
        <v>28</v>
      </c>
      <c r="F696" s="13" t="s">
        <v>29</v>
      </c>
      <c r="G696">
        <v>1</v>
      </c>
      <c r="H696" t="s">
        <v>420</v>
      </c>
      <c r="I696">
        <v>5</v>
      </c>
      <c r="J696" s="15"/>
      <c r="K696" s="16">
        <f>612 - (612 * $E$1)</f>
        <v>612</v>
      </c>
      <c r="L696" s="16">
        <f>501.64 - (501.64 * $E$1)</f>
        <v>501.64</v>
      </c>
      <c r="M696" s="1">
        <v>612</v>
      </c>
      <c r="N696" s="1">
        <v>501.64</v>
      </c>
      <c r="O696" s="1">
        <v>520.20000000000005</v>
      </c>
      <c r="P696" s="1">
        <v>426.39</v>
      </c>
      <c r="Q696">
        <v>0.112</v>
      </c>
      <c r="R696">
        <v>1.9799999999999999E-4</v>
      </c>
    </row>
    <row r="697" spans="1:18" ht="13.8" outlineLevel="2" x14ac:dyDescent="0.25">
      <c r="A697">
        <v>108595</v>
      </c>
      <c r="B697" t="s">
        <v>797</v>
      </c>
      <c r="C697" t="s">
        <v>801</v>
      </c>
      <c r="D697" s="14" t="s">
        <v>791</v>
      </c>
      <c r="E697" s="12" t="s">
        <v>28</v>
      </c>
      <c r="F697" s="13" t="s">
        <v>29</v>
      </c>
      <c r="G697">
        <v>1</v>
      </c>
      <c r="H697" t="s">
        <v>420</v>
      </c>
      <c r="I697">
        <v>5</v>
      </c>
      <c r="J697" s="15"/>
      <c r="K697" s="16">
        <f>583 - (583 * $E$1)</f>
        <v>583</v>
      </c>
      <c r="L697" s="16">
        <f>477.87 - (477.87 * $E$1)</f>
        <v>477.87</v>
      </c>
      <c r="M697" s="1">
        <v>583</v>
      </c>
      <c r="N697" s="1">
        <v>477.87</v>
      </c>
      <c r="O697" s="1">
        <v>495.55</v>
      </c>
      <c r="P697" s="1">
        <v>406.19</v>
      </c>
      <c r="Q697">
        <v>0.08</v>
      </c>
      <c r="R697">
        <v>1.6200000000000001E-4</v>
      </c>
    </row>
    <row r="698" spans="1:18" ht="13.8" outlineLevel="2" x14ac:dyDescent="0.25">
      <c r="A698">
        <v>108596</v>
      </c>
      <c r="B698" t="s">
        <v>797</v>
      </c>
      <c r="C698" t="s">
        <v>802</v>
      </c>
      <c r="D698" s="14" t="s">
        <v>791</v>
      </c>
      <c r="E698" s="12" t="s">
        <v>28</v>
      </c>
      <c r="F698" s="13" t="s">
        <v>29</v>
      </c>
      <c r="G698">
        <v>1</v>
      </c>
      <c r="H698" t="s">
        <v>420</v>
      </c>
      <c r="I698">
        <v>5</v>
      </c>
      <c r="J698" s="15"/>
      <c r="K698" s="16">
        <f>638 - (638 * $E$1)</f>
        <v>638</v>
      </c>
      <c r="L698" s="16">
        <f>522.95 - (522.95 * $E$1)</f>
        <v>522.95000000000005</v>
      </c>
      <c r="M698" s="1">
        <v>638</v>
      </c>
      <c r="N698" s="1">
        <v>522.95000000000005</v>
      </c>
      <c r="O698" s="1">
        <v>542.29999999999995</v>
      </c>
      <c r="P698" s="1">
        <v>444.51</v>
      </c>
      <c r="Q698">
        <v>0.10199999999999999</v>
      </c>
      <c r="R698">
        <v>1.6799999999999999E-4</v>
      </c>
    </row>
    <row r="699" spans="1:18" ht="13.8" outlineLevel="2" x14ac:dyDescent="0.25">
      <c r="A699">
        <v>108597</v>
      </c>
      <c r="B699" t="s">
        <v>797</v>
      </c>
      <c r="C699" t="s">
        <v>803</v>
      </c>
      <c r="D699" s="14" t="s">
        <v>791</v>
      </c>
      <c r="E699" s="12" t="s">
        <v>28</v>
      </c>
      <c r="F699" s="13" t="s">
        <v>29</v>
      </c>
      <c r="G699">
        <v>1</v>
      </c>
      <c r="H699" t="s">
        <v>420</v>
      </c>
      <c r="I699">
        <v>5</v>
      </c>
      <c r="J699" s="15"/>
      <c r="K699" s="16">
        <f>767 - (767 * $E$1)</f>
        <v>767</v>
      </c>
      <c r="L699" s="16">
        <f>628.69 - (628.69 * $E$1)</f>
        <v>628.69000000000005</v>
      </c>
      <c r="M699" s="1">
        <v>767</v>
      </c>
      <c r="N699" s="1">
        <v>628.69000000000005</v>
      </c>
      <c r="O699" s="1">
        <v>651.95000000000005</v>
      </c>
      <c r="P699" s="1">
        <v>534.39</v>
      </c>
      <c r="Q699">
        <v>0.12</v>
      </c>
      <c r="R699">
        <v>2.4600000000000002E-4</v>
      </c>
    </row>
    <row r="700" spans="1:18" ht="13.8" outlineLevel="2" x14ac:dyDescent="0.25">
      <c r="A700">
        <v>48866</v>
      </c>
      <c r="B700" t="s">
        <v>804</v>
      </c>
      <c r="C700" t="s">
        <v>805</v>
      </c>
      <c r="D700" s="14" t="s">
        <v>806</v>
      </c>
      <c r="E700" s="12" t="s">
        <v>28</v>
      </c>
      <c r="F700" s="17" t="s">
        <v>549</v>
      </c>
      <c r="G700">
        <v>100</v>
      </c>
      <c r="H700" t="s">
        <v>30</v>
      </c>
      <c r="I700">
        <v>100</v>
      </c>
      <c r="J700" s="15"/>
      <c r="K700" s="16">
        <f>6.73 - (6.73 * $E$1)</f>
        <v>6.73</v>
      </c>
      <c r="L700" s="16">
        <f>5.52 - (5.52 * $E$1)</f>
        <v>5.52</v>
      </c>
      <c r="M700" s="1">
        <v>6.73</v>
      </c>
      <c r="N700" s="1">
        <v>5.52</v>
      </c>
      <c r="O700" s="1">
        <v>5.72</v>
      </c>
      <c r="P700" s="1">
        <v>4.6900000000000004</v>
      </c>
      <c r="Q700">
        <v>1.1199999999999999E-3</v>
      </c>
      <c r="R700">
        <v>1.4899999999999999E-6</v>
      </c>
    </row>
    <row r="701" spans="1:18" ht="13.8" outlineLevel="2" x14ac:dyDescent="0.25">
      <c r="A701">
        <v>48867</v>
      </c>
      <c r="B701" t="s">
        <v>804</v>
      </c>
      <c r="C701" t="s">
        <v>807</v>
      </c>
      <c r="D701" s="14" t="s">
        <v>806</v>
      </c>
      <c r="E701" s="12" t="s">
        <v>28</v>
      </c>
      <c r="F701" s="17" t="s">
        <v>549</v>
      </c>
      <c r="G701">
        <v>100</v>
      </c>
      <c r="H701" t="s">
        <v>30</v>
      </c>
      <c r="I701">
        <v>100</v>
      </c>
      <c r="J701" s="15"/>
      <c r="K701" s="16">
        <f>7.1 - (7.1 * $E$1)</f>
        <v>7.1</v>
      </c>
      <c r="L701" s="16">
        <f>5.82 - (5.82 * $E$1)</f>
        <v>5.82</v>
      </c>
      <c r="M701" s="1">
        <v>7.1</v>
      </c>
      <c r="N701" s="1">
        <v>5.82</v>
      </c>
      <c r="O701" s="1">
        <v>6.04</v>
      </c>
      <c r="P701" s="1">
        <v>4.95</v>
      </c>
      <c r="Q701">
        <v>1.1800000000000001E-3</v>
      </c>
      <c r="R701">
        <v>1.5799999999999999E-6</v>
      </c>
    </row>
    <row r="702" spans="1:18" ht="13.8" outlineLevel="2" x14ac:dyDescent="0.25">
      <c r="A702">
        <v>108598</v>
      </c>
      <c r="B702" t="s">
        <v>808</v>
      </c>
      <c r="C702" t="s">
        <v>809</v>
      </c>
      <c r="D702" s="14" t="s">
        <v>806</v>
      </c>
      <c r="E702" s="12" t="s">
        <v>28</v>
      </c>
      <c r="F702" s="13" t="s">
        <v>29</v>
      </c>
      <c r="G702">
        <v>1</v>
      </c>
      <c r="H702" t="s">
        <v>420</v>
      </c>
      <c r="I702">
        <v>1</v>
      </c>
      <c r="J702" s="15"/>
      <c r="K702" s="16">
        <f>673 - (673 * $E$1)</f>
        <v>673</v>
      </c>
      <c r="L702" s="16">
        <f>551.64 - (551.64 * $E$1)</f>
        <v>551.64</v>
      </c>
      <c r="M702" s="1">
        <v>673</v>
      </c>
      <c r="N702" s="1">
        <v>551.64</v>
      </c>
      <c r="O702" s="1">
        <v>572.04999999999995</v>
      </c>
      <c r="P702" s="1">
        <v>468.89</v>
      </c>
      <c r="Q702">
        <v>0.112</v>
      </c>
      <c r="R702">
        <v>1.4899999999999999E-4</v>
      </c>
    </row>
    <row r="703" spans="1:18" ht="13.8" outlineLevel="2" x14ac:dyDescent="0.25">
      <c r="A703">
        <v>108599</v>
      </c>
      <c r="B703" t="s">
        <v>808</v>
      </c>
      <c r="C703" t="s">
        <v>810</v>
      </c>
      <c r="D703" s="14" t="s">
        <v>806</v>
      </c>
      <c r="E703" s="12" t="s">
        <v>28</v>
      </c>
      <c r="F703" s="13" t="s">
        <v>29</v>
      </c>
      <c r="G703">
        <v>1</v>
      </c>
      <c r="H703" t="s">
        <v>420</v>
      </c>
      <c r="I703">
        <v>1</v>
      </c>
      <c r="J703" s="15"/>
      <c r="K703" s="16">
        <f>710 - (710 * $E$1)</f>
        <v>710</v>
      </c>
      <c r="L703" s="16">
        <f>581.97 - (581.97 * $E$1)</f>
        <v>581.97</v>
      </c>
      <c r="M703" s="1">
        <v>710</v>
      </c>
      <c r="N703" s="1">
        <v>581.97</v>
      </c>
      <c r="O703" s="1">
        <v>603.5</v>
      </c>
      <c r="P703" s="1">
        <v>494.67</v>
      </c>
      <c r="Q703">
        <v>0.11799999999999999</v>
      </c>
      <c r="R703">
        <v>1.5799999999999999E-4</v>
      </c>
    </row>
    <row r="704" spans="1:18" ht="13.8" outlineLevel="2" x14ac:dyDescent="0.25">
      <c r="A704">
        <v>59131</v>
      </c>
      <c r="B704" t="s">
        <v>759</v>
      </c>
      <c r="C704" t="s">
        <v>811</v>
      </c>
      <c r="D704" s="14" t="s">
        <v>812</v>
      </c>
      <c r="E704" s="12" t="s">
        <v>28</v>
      </c>
      <c r="F704" s="17" t="s">
        <v>549</v>
      </c>
      <c r="G704">
        <v>100</v>
      </c>
      <c r="H704" t="s">
        <v>30</v>
      </c>
      <c r="I704">
        <v>100</v>
      </c>
      <c r="J704" s="15"/>
      <c r="K704" s="16">
        <f>6.3 - (6.3 * $E$1)</f>
        <v>6.3</v>
      </c>
      <c r="L704" s="16">
        <f>5.16 - (5.16 * $E$1)</f>
        <v>5.16</v>
      </c>
      <c r="M704" s="1">
        <v>6.3</v>
      </c>
      <c r="N704" s="1">
        <v>5.16</v>
      </c>
      <c r="O704" s="1">
        <v>5.35</v>
      </c>
      <c r="P704" s="1">
        <v>4.3899999999999997</v>
      </c>
      <c r="Q704">
        <v>8.5999999999999998E-4</v>
      </c>
      <c r="R704">
        <v>1.1999999999999999E-6</v>
      </c>
    </row>
    <row r="705" spans="1:18" ht="13.8" outlineLevel="2" x14ac:dyDescent="0.25">
      <c r="A705">
        <v>59132</v>
      </c>
      <c r="B705" t="s">
        <v>759</v>
      </c>
      <c r="C705" t="s">
        <v>813</v>
      </c>
      <c r="D705" s="14" t="s">
        <v>812</v>
      </c>
      <c r="E705" s="12" t="s">
        <v>28</v>
      </c>
      <c r="F705" s="17" t="s">
        <v>549</v>
      </c>
      <c r="G705">
        <v>100</v>
      </c>
      <c r="H705" t="s">
        <v>30</v>
      </c>
      <c r="I705">
        <v>100</v>
      </c>
      <c r="J705" s="15"/>
      <c r="K705" s="16">
        <f>7.19 - (7.19 * $E$1)</f>
        <v>7.19</v>
      </c>
      <c r="L705" s="16">
        <f>5.89 - (5.89 * $E$1)</f>
        <v>5.89</v>
      </c>
      <c r="M705" s="1">
        <v>7.19</v>
      </c>
      <c r="N705" s="1">
        <v>5.89</v>
      </c>
      <c r="O705" s="1">
        <v>6.11</v>
      </c>
      <c r="P705" s="1">
        <v>5.01</v>
      </c>
      <c r="Q705">
        <v>1E-3</v>
      </c>
      <c r="R705">
        <v>1.3200000000000001E-6</v>
      </c>
    </row>
    <row r="706" spans="1:18" ht="13.8" outlineLevel="2" x14ac:dyDescent="0.25">
      <c r="A706">
        <v>59133</v>
      </c>
      <c r="B706" t="s">
        <v>759</v>
      </c>
      <c r="C706" t="s">
        <v>814</v>
      </c>
      <c r="D706" s="14" t="s">
        <v>812</v>
      </c>
      <c r="E706" s="12" t="s">
        <v>28</v>
      </c>
      <c r="F706" s="13" t="s">
        <v>29</v>
      </c>
      <c r="G706">
        <v>100</v>
      </c>
      <c r="H706" t="s">
        <v>30</v>
      </c>
      <c r="I706">
        <v>100</v>
      </c>
      <c r="J706" s="15"/>
      <c r="K706" s="16">
        <f>12.29 - (12.29 * $E$1)</f>
        <v>12.29</v>
      </c>
      <c r="L706" s="16">
        <f>10.07 - (10.07 * $E$1)</f>
        <v>10.07</v>
      </c>
      <c r="M706" s="1">
        <v>12.29</v>
      </c>
      <c r="N706" s="1">
        <v>10.07</v>
      </c>
      <c r="O706" s="1">
        <v>10.44</v>
      </c>
      <c r="P706" s="1">
        <v>8.56</v>
      </c>
      <c r="Q706">
        <v>1.6800000000000001E-3</v>
      </c>
      <c r="R706">
        <v>1.9300000000000002E-6</v>
      </c>
    </row>
    <row r="707" spans="1:18" ht="13.8" outlineLevel="2" x14ac:dyDescent="0.25">
      <c r="A707">
        <v>108619</v>
      </c>
      <c r="B707" t="s">
        <v>767</v>
      </c>
      <c r="C707" t="s">
        <v>815</v>
      </c>
      <c r="D707" s="14" t="s">
        <v>812</v>
      </c>
      <c r="E707" s="12" t="s">
        <v>28</v>
      </c>
      <c r="F707" s="13" t="s">
        <v>29</v>
      </c>
      <c r="G707">
        <v>1</v>
      </c>
      <c r="H707" t="s">
        <v>420</v>
      </c>
      <c r="I707">
        <v>1</v>
      </c>
      <c r="J707" s="15"/>
      <c r="K707" s="16">
        <f>630 - (630 * $E$1)</f>
        <v>630</v>
      </c>
      <c r="L707" s="16">
        <f>516.39 - (516.39 * $E$1)</f>
        <v>516.39</v>
      </c>
      <c r="M707" s="1">
        <v>630</v>
      </c>
      <c r="N707" s="1">
        <v>516.39</v>
      </c>
      <c r="O707" s="1">
        <v>535.5</v>
      </c>
      <c r="P707" s="1">
        <v>438.93</v>
      </c>
      <c r="Q707">
        <v>8.5999999999999993E-2</v>
      </c>
      <c r="R707">
        <v>1.2E-4</v>
      </c>
    </row>
    <row r="708" spans="1:18" ht="13.8" outlineLevel="2" x14ac:dyDescent="0.25">
      <c r="A708">
        <v>108620</v>
      </c>
      <c r="B708" t="s">
        <v>767</v>
      </c>
      <c r="C708" t="s">
        <v>816</v>
      </c>
      <c r="D708" s="14" t="s">
        <v>812</v>
      </c>
      <c r="E708" s="12" t="s">
        <v>28</v>
      </c>
      <c r="F708" s="13" t="s">
        <v>29</v>
      </c>
      <c r="G708">
        <v>1</v>
      </c>
      <c r="H708" t="s">
        <v>420</v>
      </c>
      <c r="I708">
        <v>1</v>
      </c>
      <c r="J708" s="15"/>
      <c r="K708" s="16">
        <f>718.99 - (718.99 * $E$1)</f>
        <v>718.99</v>
      </c>
      <c r="L708" s="16">
        <f>589.34 - (589.34 * $E$1)</f>
        <v>589.34</v>
      </c>
      <c r="M708" s="1">
        <v>718.99</v>
      </c>
      <c r="N708" s="1">
        <v>589.34</v>
      </c>
      <c r="O708" s="1">
        <v>611.15</v>
      </c>
      <c r="P708" s="1">
        <v>500.94</v>
      </c>
      <c r="Q708">
        <v>0.1</v>
      </c>
      <c r="R708">
        <v>1.3200000000000001E-4</v>
      </c>
    </row>
    <row r="709" spans="1:18" ht="13.8" outlineLevel="2" x14ac:dyDescent="0.25">
      <c r="A709">
        <v>108621</v>
      </c>
      <c r="B709" t="s">
        <v>767</v>
      </c>
      <c r="C709" t="s">
        <v>817</v>
      </c>
      <c r="D709" s="14" t="s">
        <v>812</v>
      </c>
      <c r="E709" s="12" t="s">
        <v>28</v>
      </c>
      <c r="F709" s="13" t="s">
        <v>29</v>
      </c>
      <c r="G709">
        <v>1</v>
      </c>
      <c r="H709" t="s">
        <v>420</v>
      </c>
      <c r="I709">
        <v>1</v>
      </c>
      <c r="J709" s="15"/>
      <c r="K709" s="16">
        <f>1229 - (1229 * $E$1)</f>
        <v>1229</v>
      </c>
      <c r="L709" s="16">
        <f>1007.38 - (1007.38 * $E$1)</f>
        <v>1007.38</v>
      </c>
      <c r="M709" s="1">
        <v>1229</v>
      </c>
      <c r="N709" s="1">
        <v>1007.38</v>
      </c>
      <c r="O709" s="1">
        <v>1044.6500000000001</v>
      </c>
      <c r="P709" s="1">
        <v>856.27</v>
      </c>
      <c r="Q709">
        <v>0.16800000000000001</v>
      </c>
      <c r="R709">
        <v>1.93E-4</v>
      </c>
    </row>
    <row r="710" spans="1:18" ht="13.8" outlineLevel="2" x14ac:dyDescent="0.25">
      <c r="A710">
        <v>59128</v>
      </c>
      <c r="B710" t="s">
        <v>774</v>
      </c>
      <c r="C710" t="s">
        <v>818</v>
      </c>
      <c r="D710" s="14" t="s">
        <v>819</v>
      </c>
      <c r="E710" s="12" t="s">
        <v>28</v>
      </c>
      <c r="F710" s="17" t="s">
        <v>549</v>
      </c>
      <c r="G710">
        <v>100</v>
      </c>
      <c r="H710" t="s">
        <v>30</v>
      </c>
      <c r="I710">
        <v>100</v>
      </c>
      <c r="J710" s="15"/>
      <c r="K710" s="16">
        <f>7.1 - (7.1 * $E$1)</f>
        <v>7.1</v>
      </c>
      <c r="L710" s="16">
        <f>5.82 - (5.82 * $E$1)</f>
        <v>5.82</v>
      </c>
      <c r="M710" s="1">
        <v>7.1</v>
      </c>
      <c r="N710" s="1">
        <v>5.82</v>
      </c>
      <c r="O710" s="1">
        <v>6.04</v>
      </c>
      <c r="P710" s="1">
        <v>4.95</v>
      </c>
      <c r="Q710">
        <v>9.2000000000000003E-4</v>
      </c>
      <c r="R710">
        <v>1.15E-6</v>
      </c>
    </row>
    <row r="711" spans="1:18" ht="13.8" outlineLevel="2" x14ac:dyDescent="0.25">
      <c r="A711">
        <v>59129</v>
      </c>
      <c r="B711" t="s">
        <v>774</v>
      </c>
      <c r="C711" t="s">
        <v>820</v>
      </c>
      <c r="D711" s="14" t="s">
        <v>819</v>
      </c>
      <c r="E711" s="12" t="s">
        <v>28</v>
      </c>
      <c r="F711" s="17" t="s">
        <v>549</v>
      </c>
      <c r="G711">
        <v>100</v>
      </c>
      <c r="H711" t="s">
        <v>30</v>
      </c>
      <c r="I711">
        <v>100</v>
      </c>
      <c r="J711" s="15"/>
      <c r="K711" s="16">
        <f>8.22 - (8.22 * $E$1)</f>
        <v>8.2200000000000006</v>
      </c>
      <c r="L711" s="16">
        <f>6.74 - (6.74 * $E$1)</f>
        <v>6.74</v>
      </c>
      <c r="M711" s="1">
        <v>8.2200000000000006</v>
      </c>
      <c r="N711" s="1">
        <v>6.74</v>
      </c>
      <c r="O711" s="1">
        <v>6.99</v>
      </c>
      <c r="P711" s="1">
        <v>5.73</v>
      </c>
      <c r="Q711">
        <v>1.08E-3</v>
      </c>
      <c r="R711">
        <v>1.7999999999999999E-6</v>
      </c>
    </row>
    <row r="712" spans="1:18" ht="13.8" outlineLevel="2" x14ac:dyDescent="0.25">
      <c r="A712">
        <v>59130</v>
      </c>
      <c r="B712" t="s">
        <v>774</v>
      </c>
      <c r="C712" t="s">
        <v>821</v>
      </c>
      <c r="D712" s="14" t="s">
        <v>819</v>
      </c>
      <c r="E712" s="12" t="s">
        <v>28</v>
      </c>
      <c r="F712" s="13" t="s">
        <v>29</v>
      </c>
      <c r="G712">
        <v>100</v>
      </c>
      <c r="H712" t="s">
        <v>30</v>
      </c>
      <c r="I712">
        <v>100</v>
      </c>
      <c r="J712" s="15"/>
      <c r="K712" s="16">
        <f>12.87 - (12.87 * $E$1)</f>
        <v>12.87</v>
      </c>
      <c r="L712" s="16">
        <f>10.55 - (10.55 * $E$1)</f>
        <v>10.55</v>
      </c>
      <c r="M712" s="1">
        <v>12.87</v>
      </c>
      <c r="N712" s="1">
        <v>10.55</v>
      </c>
      <c r="O712" s="1">
        <v>10.94</v>
      </c>
      <c r="P712" s="1">
        <v>8.9700000000000006</v>
      </c>
      <c r="Q712">
        <v>1.72E-3</v>
      </c>
      <c r="R712">
        <v>1.9999999999999999E-6</v>
      </c>
    </row>
    <row r="713" spans="1:18" ht="13.8" outlineLevel="2" x14ac:dyDescent="0.25">
      <c r="A713">
        <v>108616</v>
      </c>
      <c r="B713" t="s">
        <v>782</v>
      </c>
      <c r="C713" t="s">
        <v>822</v>
      </c>
      <c r="D713" s="14" t="s">
        <v>819</v>
      </c>
      <c r="E713" s="12" t="s">
        <v>28</v>
      </c>
      <c r="F713" s="13" t="s">
        <v>29</v>
      </c>
      <c r="G713">
        <v>1</v>
      </c>
      <c r="H713" t="s">
        <v>420</v>
      </c>
      <c r="I713">
        <v>1</v>
      </c>
      <c r="J713" s="15"/>
      <c r="K713" s="16">
        <f>710 - (710 * $E$1)</f>
        <v>710</v>
      </c>
      <c r="L713" s="16">
        <f>581.97 - (581.97 * $E$1)</f>
        <v>581.97</v>
      </c>
      <c r="M713" s="1">
        <v>710</v>
      </c>
      <c r="N713" s="1">
        <v>581.97</v>
      </c>
      <c r="O713" s="1">
        <v>603.5</v>
      </c>
      <c r="P713" s="1">
        <v>494.67</v>
      </c>
      <c r="Q713">
        <v>9.1999999999999998E-2</v>
      </c>
      <c r="R713">
        <v>1.15E-4</v>
      </c>
    </row>
    <row r="714" spans="1:18" ht="13.8" outlineLevel="2" x14ac:dyDescent="0.25">
      <c r="A714">
        <v>108617</v>
      </c>
      <c r="B714" t="s">
        <v>782</v>
      </c>
      <c r="C714" t="s">
        <v>823</v>
      </c>
      <c r="D714" s="14" t="s">
        <v>819</v>
      </c>
      <c r="E714" s="12" t="s">
        <v>28</v>
      </c>
      <c r="F714" s="13" t="s">
        <v>29</v>
      </c>
      <c r="G714">
        <v>1</v>
      </c>
      <c r="H714" t="s">
        <v>420</v>
      </c>
      <c r="I714">
        <v>1</v>
      </c>
      <c r="J714" s="15"/>
      <c r="K714" s="16">
        <f>822 - (822 * $E$1)</f>
        <v>822</v>
      </c>
      <c r="L714" s="16">
        <f>673.77 - (673.77 * $E$1)</f>
        <v>673.77</v>
      </c>
      <c r="M714" s="1">
        <v>822</v>
      </c>
      <c r="N714" s="1">
        <v>673.77</v>
      </c>
      <c r="O714" s="1">
        <v>698.7</v>
      </c>
      <c r="P714" s="1">
        <v>572.70000000000005</v>
      </c>
      <c r="Q714">
        <v>0.108</v>
      </c>
      <c r="R714">
        <v>1.8000000000000001E-4</v>
      </c>
    </row>
    <row r="715" spans="1:18" ht="13.8" outlineLevel="2" x14ac:dyDescent="0.25">
      <c r="A715">
        <v>108618</v>
      </c>
      <c r="B715" t="s">
        <v>782</v>
      </c>
      <c r="C715" t="s">
        <v>824</v>
      </c>
      <c r="D715" s="14" t="s">
        <v>819</v>
      </c>
      <c r="E715" s="12" t="s">
        <v>28</v>
      </c>
      <c r="F715" s="13" t="s">
        <v>29</v>
      </c>
      <c r="G715">
        <v>1</v>
      </c>
      <c r="H715" t="s">
        <v>420</v>
      </c>
      <c r="I715">
        <v>1</v>
      </c>
      <c r="J715" s="15"/>
      <c r="K715" s="16">
        <f>1287 - (1287 * $E$1)</f>
        <v>1287</v>
      </c>
      <c r="L715" s="16">
        <f>1054.92 - (1054.92 * $E$1)</f>
        <v>1054.92</v>
      </c>
      <c r="M715" s="1">
        <v>1287</v>
      </c>
      <c r="N715" s="1">
        <v>1054.92</v>
      </c>
      <c r="O715" s="1">
        <v>1093.95</v>
      </c>
      <c r="P715" s="1">
        <v>896.68</v>
      </c>
      <c r="Q715">
        <v>0.17199999999999999</v>
      </c>
      <c r="R715">
        <v>2.0000000000000001E-4</v>
      </c>
    </row>
    <row r="716" spans="1:18" ht="13.8" outlineLevel="2" x14ac:dyDescent="0.25">
      <c r="A716">
        <v>56746</v>
      </c>
      <c r="B716" t="s">
        <v>825</v>
      </c>
      <c r="C716" t="s">
        <v>826</v>
      </c>
      <c r="D716" s="14" t="s">
        <v>827</v>
      </c>
      <c r="E716" s="12" t="s">
        <v>28</v>
      </c>
      <c r="F716" s="17" t="s">
        <v>549</v>
      </c>
      <c r="G716">
        <v>100</v>
      </c>
      <c r="H716" t="s">
        <v>30</v>
      </c>
      <c r="I716">
        <v>100</v>
      </c>
      <c r="J716" s="15"/>
      <c r="K716" s="16">
        <f>8.8 - (8.8 * $E$1)</f>
        <v>8.8000000000000007</v>
      </c>
      <c r="L716" s="16">
        <f>7.21 - (7.21 * $E$1)</f>
        <v>7.21</v>
      </c>
      <c r="M716" s="1">
        <v>8.8000000000000007</v>
      </c>
      <c r="N716" s="1">
        <v>7.21</v>
      </c>
      <c r="O716" s="1">
        <v>7.48</v>
      </c>
      <c r="P716" s="1">
        <v>6.13</v>
      </c>
      <c r="Q716">
        <v>1.2600000000000001E-3</v>
      </c>
      <c r="R716">
        <v>2.8600000000000001E-6</v>
      </c>
    </row>
    <row r="717" spans="1:18" ht="13.8" outlineLevel="2" x14ac:dyDescent="0.25">
      <c r="A717">
        <v>56747</v>
      </c>
      <c r="B717" t="s">
        <v>825</v>
      </c>
      <c r="C717" t="s">
        <v>828</v>
      </c>
      <c r="D717" s="14" t="s">
        <v>827</v>
      </c>
      <c r="E717" s="12" t="s">
        <v>28</v>
      </c>
      <c r="F717" s="17" t="s">
        <v>549</v>
      </c>
      <c r="G717">
        <v>100</v>
      </c>
      <c r="H717" t="s">
        <v>30</v>
      </c>
      <c r="I717">
        <v>100</v>
      </c>
      <c r="J717" s="15"/>
      <c r="K717" s="16">
        <f>9.48 - (9.48 * $E$1)</f>
        <v>9.48</v>
      </c>
      <c r="L717" s="16">
        <f>7.77 - (7.77 * $E$1)</f>
        <v>7.77</v>
      </c>
      <c r="M717" s="1">
        <v>9.48</v>
      </c>
      <c r="N717" s="1">
        <v>7.77</v>
      </c>
      <c r="O717" s="1">
        <v>8.06</v>
      </c>
      <c r="P717" s="1">
        <v>6.6</v>
      </c>
      <c r="Q717">
        <v>1.2999999999999999E-3</v>
      </c>
      <c r="R717">
        <v>2.8600000000000001E-6</v>
      </c>
    </row>
    <row r="718" spans="1:18" ht="13.8" outlineLevel="2" x14ac:dyDescent="0.25">
      <c r="A718">
        <v>56748</v>
      </c>
      <c r="B718" t="s">
        <v>825</v>
      </c>
      <c r="C718" t="s">
        <v>829</v>
      </c>
      <c r="D718" s="14" t="s">
        <v>827</v>
      </c>
      <c r="E718" s="12" t="s">
        <v>28</v>
      </c>
      <c r="F718" s="13" t="s">
        <v>29</v>
      </c>
      <c r="G718">
        <v>100</v>
      </c>
      <c r="H718" t="s">
        <v>30</v>
      </c>
      <c r="I718">
        <v>100</v>
      </c>
      <c r="J718" s="15"/>
      <c r="K718" s="16">
        <f>12.72 - (12.72 * $E$1)</f>
        <v>12.72</v>
      </c>
      <c r="L718" s="16">
        <f>10.43 - (10.43 * $E$1)</f>
        <v>10.43</v>
      </c>
      <c r="M718" s="1">
        <v>12.72</v>
      </c>
      <c r="N718" s="1">
        <v>10.43</v>
      </c>
      <c r="O718" s="1">
        <v>10.82</v>
      </c>
      <c r="P718" s="1">
        <v>8.8699999999999992</v>
      </c>
      <c r="Q718">
        <v>1.82E-3</v>
      </c>
      <c r="R718">
        <v>4.0400000000000003E-6</v>
      </c>
    </row>
    <row r="719" spans="1:18" ht="13.8" outlineLevel="2" x14ac:dyDescent="0.25">
      <c r="A719">
        <v>108600</v>
      </c>
      <c r="B719" t="s">
        <v>830</v>
      </c>
      <c r="C719" t="s">
        <v>831</v>
      </c>
      <c r="D719" s="14" t="s">
        <v>827</v>
      </c>
      <c r="E719" s="12" t="s">
        <v>28</v>
      </c>
      <c r="F719" s="13" t="s">
        <v>29</v>
      </c>
      <c r="G719">
        <v>1</v>
      </c>
      <c r="H719" t="s">
        <v>420</v>
      </c>
      <c r="I719">
        <v>1</v>
      </c>
      <c r="J719" s="15"/>
      <c r="K719" s="16">
        <f>880 - (880 * $E$1)</f>
        <v>880</v>
      </c>
      <c r="L719" s="16">
        <f>721.31 - (721.31 * $E$1)</f>
        <v>721.31</v>
      </c>
      <c r="M719" s="1">
        <v>880</v>
      </c>
      <c r="N719" s="1">
        <v>721.31</v>
      </c>
      <c r="O719" s="1">
        <v>748</v>
      </c>
      <c r="P719" s="1">
        <v>613.11</v>
      </c>
      <c r="Q719">
        <v>0.126</v>
      </c>
      <c r="R719">
        <v>2.8600000000000001E-4</v>
      </c>
    </row>
    <row r="720" spans="1:18" ht="13.8" outlineLevel="2" x14ac:dyDescent="0.25">
      <c r="A720">
        <v>108601</v>
      </c>
      <c r="B720" t="s">
        <v>830</v>
      </c>
      <c r="C720" t="s">
        <v>832</v>
      </c>
      <c r="D720" s="14" t="s">
        <v>827</v>
      </c>
      <c r="E720" s="12" t="s">
        <v>28</v>
      </c>
      <c r="F720" s="13" t="s">
        <v>29</v>
      </c>
      <c r="G720">
        <v>1</v>
      </c>
      <c r="H720" t="s">
        <v>420</v>
      </c>
      <c r="I720">
        <v>1</v>
      </c>
      <c r="J720" s="15"/>
      <c r="K720" s="16">
        <f>948 - (948 * $E$1)</f>
        <v>948</v>
      </c>
      <c r="L720" s="16">
        <f>777.05 - (777.05 * $E$1)</f>
        <v>777.05</v>
      </c>
      <c r="M720" s="1">
        <v>948</v>
      </c>
      <c r="N720" s="1">
        <v>777.05</v>
      </c>
      <c r="O720" s="1">
        <v>805.8</v>
      </c>
      <c r="P720" s="1">
        <v>660.49</v>
      </c>
      <c r="Q720">
        <v>0.13</v>
      </c>
      <c r="R720">
        <v>2.8600000000000001E-4</v>
      </c>
    </row>
    <row r="721" spans="1:18" ht="13.8" outlineLevel="2" x14ac:dyDescent="0.25">
      <c r="A721">
        <v>108602</v>
      </c>
      <c r="B721" t="s">
        <v>830</v>
      </c>
      <c r="C721" t="s">
        <v>833</v>
      </c>
      <c r="D721" s="14" t="s">
        <v>827</v>
      </c>
      <c r="E721" s="12" t="s">
        <v>28</v>
      </c>
      <c r="F721" s="13" t="s">
        <v>29</v>
      </c>
      <c r="G721">
        <v>1</v>
      </c>
      <c r="H721" t="s">
        <v>420</v>
      </c>
      <c r="I721">
        <v>1</v>
      </c>
      <c r="J721" s="15"/>
      <c r="K721" s="16">
        <f>1272 - (1272 * $E$1)</f>
        <v>1272</v>
      </c>
      <c r="L721" s="16">
        <f>1042.62 - (1042.62 * $E$1)</f>
        <v>1042.6199999999999</v>
      </c>
      <c r="M721" s="1">
        <v>1272</v>
      </c>
      <c r="N721" s="1">
        <v>1042.6199999999999</v>
      </c>
      <c r="O721" s="1">
        <v>1081.2</v>
      </c>
      <c r="P721" s="1">
        <v>886.23</v>
      </c>
      <c r="Q721">
        <v>0.182</v>
      </c>
      <c r="R721">
        <v>4.0400000000000001E-4</v>
      </c>
    </row>
    <row r="722" spans="1:18" ht="13.8" outlineLevel="2" x14ac:dyDescent="0.25">
      <c r="A722">
        <v>56743</v>
      </c>
      <c r="B722" t="s">
        <v>834</v>
      </c>
      <c r="C722" t="s">
        <v>835</v>
      </c>
      <c r="D722" s="14" t="s">
        <v>836</v>
      </c>
      <c r="E722" s="12" t="s">
        <v>28</v>
      </c>
      <c r="F722" s="17" t="s">
        <v>549</v>
      </c>
      <c r="G722">
        <v>100</v>
      </c>
      <c r="H722" t="s">
        <v>30</v>
      </c>
      <c r="I722">
        <v>100</v>
      </c>
      <c r="J722" s="15"/>
      <c r="K722" s="16">
        <f>7.49 - (7.49 * $E$1)</f>
        <v>7.49</v>
      </c>
      <c r="L722" s="16">
        <f>6.14 - (6.14 * $E$1)</f>
        <v>6.14</v>
      </c>
      <c r="M722" s="1">
        <v>7.49</v>
      </c>
      <c r="N722" s="1">
        <v>6.14</v>
      </c>
      <c r="O722" s="1">
        <v>6.37</v>
      </c>
      <c r="P722" s="1">
        <v>5.22</v>
      </c>
      <c r="Q722">
        <v>8.8000000000000003E-4</v>
      </c>
      <c r="R722">
        <v>1.73E-6</v>
      </c>
    </row>
    <row r="723" spans="1:18" ht="13.8" outlineLevel="2" x14ac:dyDescent="0.25">
      <c r="A723">
        <v>56744</v>
      </c>
      <c r="B723" t="s">
        <v>834</v>
      </c>
      <c r="C723" t="s">
        <v>837</v>
      </c>
      <c r="D723" s="14" t="s">
        <v>836</v>
      </c>
      <c r="E723" s="12" t="s">
        <v>28</v>
      </c>
      <c r="F723" s="17" t="s">
        <v>549</v>
      </c>
      <c r="G723">
        <v>100</v>
      </c>
      <c r="H723" t="s">
        <v>30</v>
      </c>
      <c r="I723">
        <v>100</v>
      </c>
      <c r="J723" s="15"/>
      <c r="K723" s="16">
        <f>7.5 - (7.5 * $E$1)</f>
        <v>7.5</v>
      </c>
      <c r="L723" s="16">
        <f>6.15 - (6.15 * $E$1)</f>
        <v>6.15</v>
      </c>
      <c r="M723" s="1">
        <v>7.5</v>
      </c>
      <c r="N723" s="1">
        <v>6.15</v>
      </c>
      <c r="O723" s="1">
        <v>6.38</v>
      </c>
      <c r="P723" s="1">
        <v>5.23</v>
      </c>
      <c r="Q723">
        <v>9.6000000000000002E-4</v>
      </c>
      <c r="R723">
        <v>1.68E-6</v>
      </c>
    </row>
    <row r="724" spans="1:18" ht="13.8" outlineLevel="2" x14ac:dyDescent="0.25">
      <c r="A724">
        <v>56745</v>
      </c>
      <c r="B724" t="s">
        <v>834</v>
      </c>
      <c r="C724" t="s">
        <v>838</v>
      </c>
      <c r="D724" s="14" t="s">
        <v>836</v>
      </c>
      <c r="E724" s="12" t="s">
        <v>28</v>
      </c>
      <c r="F724" s="13" t="s">
        <v>29</v>
      </c>
      <c r="G724">
        <v>100</v>
      </c>
      <c r="H724" t="s">
        <v>30</v>
      </c>
      <c r="I724">
        <v>100</v>
      </c>
      <c r="J724" s="15"/>
      <c r="K724" s="16">
        <f>9.21 - (9.21 * $E$1)</f>
        <v>9.2100000000000009</v>
      </c>
      <c r="L724" s="16">
        <f>7.55 - (7.55 * $E$1)</f>
        <v>7.55</v>
      </c>
      <c r="M724" s="1">
        <v>9.2100000000000009</v>
      </c>
      <c r="N724" s="1">
        <v>7.55</v>
      </c>
      <c r="O724" s="1">
        <v>7.83</v>
      </c>
      <c r="P724" s="1">
        <v>6.42</v>
      </c>
      <c r="Q724">
        <v>1.2999999999999999E-3</v>
      </c>
      <c r="R724">
        <v>2.2900000000000001E-6</v>
      </c>
    </row>
    <row r="725" spans="1:18" ht="13.8" outlineLevel="2" x14ac:dyDescent="0.25">
      <c r="A725">
        <v>108603</v>
      </c>
      <c r="B725" t="s">
        <v>839</v>
      </c>
      <c r="C725" t="s">
        <v>840</v>
      </c>
      <c r="D725" s="14" t="s">
        <v>836</v>
      </c>
      <c r="E725" s="12" t="s">
        <v>28</v>
      </c>
      <c r="F725" s="13" t="s">
        <v>29</v>
      </c>
      <c r="G725">
        <v>1</v>
      </c>
      <c r="H725" t="s">
        <v>420</v>
      </c>
      <c r="I725">
        <v>1</v>
      </c>
      <c r="J725" s="15"/>
      <c r="K725" s="16">
        <f>748.99 - (748.99 * $E$1)</f>
        <v>748.99</v>
      </c>
      <c r="L725" s="16">
        <f>613.93 - (613.93 * $E$1)</f>
        <v>613.92999999999995</v>
      </c>
      <c r="M725" s="1">
        <v>748.99</v>
      </c>
      <c r="N725" s="1">
        <v>613.92999999999995</v>
      </c>
      <c r="O725" s="1">
        <v>636.65</v>
      </c>
      <c r="P725" s="1">
        <v>521.84</v>
      </c>
      <c r="Q725">
        <v>8.7999999999999995E-2</v>
      </c>
      <c r="R725">
        <v>1.73E-4</v>
      </c>
    </row>
    <row r="726" spans="1:18" ht="13.8" outlineLevel="2" x14ac:dyDescent="0.25">
      <c r="A726">
        <v>108604</v>
      </c>
      <c r="B726" t="s">
        <v>839</v>
      </c>
      <c r="C726" t="s">
        <v>841</v>
      </c>
      <c r="D726" s="14" t="s">
        <v>836</v>
      </c>
      <c r="E726" s="12" t="s">
        <v>28</v>
      </c>
      <c r="F726" s="13" t="s">
        <v>29</v>
      </c>
      <c r="G726">
        <v>1</v>
      </c>
      <c r="H726" t="s">
        <v>420</v>
      </c>
      <c r="I726">
        <v>1</v>
      </c>
      <c r="J726" s="15"/>
      <c r="K726" s="16">
        <f>750 - (750 * $E$1)</f>
        <v>750</v>
      </c>
      <c r="L726" s="16">
        <f>614.75 - (614.75 * $E$1)</f>
        <v>614.75</v>
      </c>
      <c r="M726" s="1">
        <v>750</v>
      </c>
      <c r="N726" s="1">
        <v>614.75</v>
      </c>
      <c r="O726" s="1">
        <v>637.5</v>
      </c>
      <c r="P726" s="1">
        <v>522.54</v>
      </c>
      <c r="Q726">
        <v>9.6000000000000002E-2</v>
      </c>
      <c r="R726">
        <v>1.6799999999999999E-4</v>
      </c>
    </row>
    <row r="727" spans="1:18" ht="13.8" outlineLevel="2" x14ac:dyDescent="0.25">
      <c r="A727">
        <v>108605</v>
      </c>
      <c r="B727" t="s">
        <v>839</v>
      </c>
      <c r="C727" t="s">
        <v>842</v>
      </c>
      <c r="D727" s="14" t="s">
        <v>836</v>
      </c>
      <c r="E727" s="12" t="s">
        <v>28</v>
      </c>
      <c r="F727" s="13" t="s">
        <v>29</v>
      </c>
      <c r="G727">
        <v>1</v>
      </c>
      <c r="H727" t="s">
        <v>420</v>
      </c>
      <c r="I727">
        <v>1</v>
      </c>
      <c r="J727" s="15"/>
      <c r="K727" s="16">
        <f>921 - (921 * $E$1)</f>
        <v>921</v>
      </c>
      <c r="L727" s="16">
        <f>754.92 - (754.92 * $E$1)</f>
        <v>754.92</v>
      </c>
      <c r="M727" s="1">
        <v>921</v>
      </c>
      <c r="N727" s="1">
        <v>754.92</v>
      </c>
      <c r="O727" s="1">
        <v>782.85</v>
      </c>
      <c r="P727" s="1">
        <v>641.67999999999995</v>
      </c>
      <c r="Q727">
        <v>0.13</v>
      </c>
      <c r="R727">
        <v>2.2900000000000001E-4</v>
      </c>
    </row>
    <row r="728" spans="1:18" ht="13.8" outlineLevel="2" x14ac:dyDescent="0.25">
      <c r="A728">
        <v>57925</v>
      </c>
      <c r="B728" t="s">
        <v>843</v>
      </c>
      <c r="C728" t="s">
        <v>844</v>
      </c>
      <c r="D728" s="14" t="s">
        <v>845</v>
      </c>
      <c r="E728" s="12" t="s">
        <v>28</v>
      </c>
      <c r="F728" s="17" t="s">
        <v>549</v>
      </c>
      <c r="G728">
        <v>100</v>
      </c>
      <c r="H728" t="s">
        <v>30</v>
      </c>
      <c r="I728">
        <v>100</v>
      </c>
      <c r="J728" s="15"/>
      <c r="K728" s="16">
        <f>9.56 - (9.56 * $E$1)</f>
        <v>9.56</v>
      </c>
      <c r="L728" s="16">
        <f>7.84 - (7.84 * $E$1)</f>
        <v>7.84</v>
      </c>
      <c r="M728" s="1">
        <v>9.56</v>
      </c>
      <c r="N728" s="1">
        <v>7.84</v>
      </c>
      <c r="O728" s="1">
        <v>8.1300000000000008</v>
      </c>
      <c r="P728" s="1">
        <v>6.66</v>
      </c>
      <c r="Q728">
        <v>1.14E-3</v>
      </c>
      <c r="R728">
        <v>2.2400000000000002E-6</v>
      </c>
    </row>
    <row r="729" spans="1:18" ht="13.8" outlineLevel="2" x14ac:dyDescent="0.25">
      <c r="A729">
        <v>57926</v>
      </c>
      <c r="B729" t="s">
        <v>843</v>
      </c>
      <c r="C729" t="s">
        <v>846</v>
      </c>
      <c r="D729" s="14" t="s">
        <v>845</v>
      </c>
      <c r="E729" s="12" t="s">
        <v>28</v>
      </c>
      <c r="F729" s="17" t="s">
        <v>549</v>
      </c>
      <c r="G729">
        <v>100</v>
      </c>
      <c r="H729" t="s">
        <v>30</v>
      </c>
      <c r="I729">
        <v>100</v>
      </c>
      <c r="J729" s="15"/>
      <c r="K729" s="16">
        <f>9.6 - (9.6 * $E$1)</f>
        <v>9.6</v>
      </c>
      <c r="L729" s="16">
        <f>7.87 - (7.87 * $E$1)</f>
        <v>7.87</v>
      </c>
      <c r="M729" s="1">
        <v>9.6</v>
      </c>
      <c r="N729" s="1">
        <v>7.87</v>
      </c>
      <c r="O729" s="1">
        <v>8.16</v>
      </c>
      <c r="P729" s="1">
        <v>6.69</v>
      </c>
      <c r="Q729">
        <v>1.16E-3</v>
      </c>
      <c r="R729">
        <v>2.9900000000000002E-6</v>
      </c>
    </row>
    <row r="730" spans="1:18" ht="13.8" outlineLevel="2" x14ac:dyDescent="0.25">
      <c r="A730">
        <v>108606</v>
      </c>
      <c r="B730" t="s">
        <v>847</v>
      </c>
      <c r="C730" t="s">
        <v>848</v>
      </c>
      <c r="D730" s="14" t="s">
        <v>845</v>
      </c>
      <c r="E730" s="12" t="s">
        <v>28</v>
      </c>
      <c r="F730" s="13" t="s">
        <v>29</v>
      </c>
      <c r="G730">
        <v>1</v>
      </c>
      <c r="H730" t="s">
        <v>420</v>
      </c>
      <c r="I730">
        <v>1</v>
      </c>
      <c r="J730" s="15"/>
      <c r="K730" s="16">
        <f>956 - (956 * $E$1)</f>
        <v>956</v>
      </c>
      <c r="L730" s="16">
        <f>783.61 - (783.61 * $E$1)</f>
        <v>783.61</v>
      </c>
      <c r="M730" s="1">
        <v>956</v>
      </c>
      <c r="N730" s="1">
        <v>783.61</v>
      </c>
      <c r="O730" s="1">
        <v>812.6</v>
      </c>
      <c r="P730" s="1">
        <v>666.07</v>
      </c>
      <c r="Q730">
        <v>0.114</v>
      </c>
      <c r="R730">
        <v>2.24E-4</v>
      </c>
    </row>
    <row r="731" spans="1:18" ht="13.8" outlineLevel="2" x14ac:dyDescent="0.25">
      <c r="A731">
        <v>108607</v>
      </c>
      <c r="B731" t="s">
        <v>847</v>
      </c>
      <c r="C731" t="s">
        <v>849</v>
      </c>
      <c r="D731" s="14" t="s">
        <v>845</v>
      </c>
      <c r="E731" s="12" t="s">
        <v>28</v>
      </c>
      <c r="F731" s="13" t="s">
        <v>29</v>
      </c>
      <c r="G731">
        <v>1</v>
      </c>
      <c r="H731" t="s">
        <v>420</v>
      </c>
      <c r="I731">
        <v>1</v>
      </c>
      <c r="J731" s="15"/>
      <c r="K731" s="16">
        <f>960.01 - (960.01 * $E$1)</f>
        <v>960.01</v>
      </c>
      <c r="L731" s="16">
        <f>786.89 - (786.89 * $E$1)</f>
        <v>786.89</v>
      </c>
      <c r="M731" s="1">
        <v>960.01</v>
      </c>
      <c r="N731" s="1">
        <v>786.89</v>
      </c>
      <c r="O731" s="1">
        <v>816</v>
      </c>
      <c r="P731" s="1">
        <v>668.86</v>
      </c>
      <c r="Q731">
        <v>0.11600000000000001</v>
      </c>
      <c r="R731">
        <v>2.99E-4</v>
      </c>
    </row>
    <row r="732" spans="1:18" ht="13.8" outlineLevel="2" x14ac:dyDescent="0.25">
      <c r="A732">
        <v>47464</v>
      </c>
      <c r="B732" t="s">
        <v>850</v>
      </c>
      <c r="C732" t="s">
        <v>851</v>
      </c>
      <c r="D732" s="14" t="s">
        <v>852</v>
      </c>
      <c r="E732" s="12" t="s">
        <v>28</v>
      </c>
      <c r="F732" s="17" t="s">
        <v>549</v>
      </c>
      <c r="G732">
        <v>100</v>
      </c>
      <c r="H732" t="s">
        <v>30</v>
      </c>
      <c r="I732">
        <v>500</v>
      </c>
      <c r="J732" s="15"/>
      <c r="K732" s="16">
        <f>4.12 - (4.12 * $E$1)</f>
        <v>4.12</v>
      </c>
      <c r="L732" s="16">
        <f>3.38 - (3.38 * $E$1)</f>
        <v>3.38</v>
      </c>
      <c r="M732" s="1">
        <v>4.12</v>
      </c>
      <c r="N732" s="1">
        <v>3.38</v>
      </c>
      <c r="O732" s="1">
        <v>3.51</v>
      </c>
      <c r="P732" s="1">
        <v>2.87</v>
      </c>
      <c r="Q732">
        <v>6.2E-4</v>
      </c>
      <c r="R732">
        <v>7.6000000000000003E-7</v>
      </c>
    </row>
    <row r="733" spans="1:18" ht="13.8" outlineLevel="2" x14ac:dyDescent="0.25">
      <c r="A733">
        <v>47515</v>
      </c>
      <c r="B733" t="s">
        <v>850</v>
      </c>
      <c r="C733" t="s">
        <v>853</v>
      </c>
      <c r="D733" s="14" t="s">
        <v>852</v>
      </c>
      <c r="E733" s="12" t="s">
        <v>28</v>
      </c>
      <c r="F733" s="13" t="s">
        <v>29</v>
      </c>
      <c r="G733">
        <v>100</v>
      </c>
      <c r="H733" t="s">
        <v>30</v>
      </c>
      <c r="I733">
        <v>500</v>
      </c>
      <c r="J733" s="15"/>
      <c r="K733" s="16">
        <f>4.47 - (4.47 * $E$1)</f>
        <v>4.47</v>
      </c>
      <c r="L733" s="16">
        <f>3.66 - (3.66 * $E$1)</f>
        <v>3.66</v>
      </c>
      <c r="M733" s="1">
        <v>4.47</v>
      </c>
      <c r="N733" s="1">
        <v>3.66</v>
      </c>
      <c r="O733" s="1">
        <v>3.8</v>
      </c>
      <c r="P733" s="1">
        <v>3.11</v>
      </c>
      <c r="Q733">
        <v>6.8000000000000005E-4</v>
      </c>
      <c r="R733">
        <v>1.15E-6</v>
      </c>
    </row>
    <row r="734" spans="1:18" ht="13.8" outlineLevel="2" x14ac:dyDescent="0.25">
      <c r="A734">
        <v>108624</v>
      </c>
      <c r="B734" t="s">
        <v>854</v>
      </c>
      <c r="C734" t="s">
        <v>855</v>
      </c>
      <c r="D734" s="14" t="s">
        <v>852</v>
      </c>
      <c r="E734" s="12" t="s">
        <v>28</v>
      </c>
      <c r="F734" s="13" t="s">
        <v>29</v>
      </c>
      <c r="G734">
        <v>1</v>
      </c>
      <c r="H734" t="s">
        <v>420</v>
      </c>
      <c r="I734">
        <v>5</v>
      </c>
      <c r="J734" s="15"/>
      <c r="K734" s="16">
        <f>411.99 - (411.99 * $E$1)</f>
        <v>411.99</v>
      </c>
      <c r="L734" s="16">
        <f>337.7 - (337.7 * $E$1)</f>
        <v>337.7</v>
      </c>
      <c r="M734" s="1">
        <v>411.99</v>
      </c>
      <c r="N734" s="1">
        <v>337.7</v>
      </c>
      <c r="O734" s="1">
        <v>350.19</v>
      </c>
      <c r="P734" s="1">
        <v>287.05</v>
      </c>
      <c r="Q734">
        <v>6.2E-2</v>
      </c>
      <c r="R734">
        <v>7.6000000000000004E-5</v>
      </c>
    </row>
    <row r="735" spans="1:18" ht="13.8" outlineLevel="2" x14ac:dyDescent="0.25">
      <c r="A735">
        <v>108625</v>
      </c>
      <c r="B735" t="s">
        <v>854</v>
      </c>
      <c r="C735" t="s">
        <v>856</v>
      </c>
      <c r="D735" s="14" t="s">
        <v>852</v>
      </c>
      <c r="E735" s="12" t="s">
        <v>28</v>
      </c>
      <c r="F735" s="13" t="s">
        <v>29</v>
      </c>
      <c r="G735">
        <v>1</v>
      </c>
      <c r="H735" t="s">
        <v>420</v>
      </c>
      <c r="I735">
        <v>5</v>
      </c>
      <c r="J735" s="15"/>
      <c r="K735" s="16">
        <f>447 - (447 * $E$1)</f>
        <v>447</v>
      </c>
      <c r="L735" s="16">
        <f>366.39 - (366.39 * $E$1)</f>
        <v>366.39</v>
      </c>
      <c r="M735" s="1">
        <v>447</v>
      </c>
      <c r="N735" s="1">
        <v>366.39</v>
      </c>
      <c r="O735" s="1">
        <v>379.95</v>
      </c>
      <c r="P735" s="1">
        <v>311.43</v>
      </c>
      <c r="Q735">
        <v>6.8000000000000005E-2</v>
      </c>
      <c r="R735">
        <v>1.15E-4</v>
      </c>
    </row>
    <row r="736" spans="1:18" ht="13.8" outlineLevel="2" x14ac:dyDescent="0.25">
      <c r="A736">
        <v>47465</v>
      </c>
      <c r="B736" t="s">
        <v>857</v>
      </c>
      <c r="C736" t="s">
        <v>858</v>
      </c>
      <c r="D736" s="14" t="s">
        <v>859</v>
      </c>
      <c r="E736" s="12" t="s">
        <v>28</v>
      </c>
      <c r="F736" s="17" t="s">
        <v>549</v>
      </c>
      <c r="G736">
        <v>100</v>
      </c>
      <c r="H736" t="s">
        <v>30</v>
      </c>
      <c r="I736">
        <v>500</v>
      </c>
      <c r="J736" s="15"/>
      <c r="K736" s="16">
        <f>5.1 - (5.1 * $E$1)</f>
        <v>5.0999999999999996</v>
      </c>
      <c r="L736" s="16">
        <f>4.18 - (4.18 * $E$1)</f>
        <v>4.18</v>
      </c>
      <c r="M736" s="1">
        <v>5.0999999999999996</v>
      </c>
      <c r="N736" s="1">
        <v>4.18</v>
      </c>
      <c r="O736" s="1">
        <v>4.33</v>
      </c>
      <c r="P736" s="1">
        <v>3.55</v>
      </c>
      <c r="Q736">
        <v>1E-3</v>
      </c>
      <c r="R736">
        <v>1.9800000000000001E-6</v>
      </c>
    </row>
    <row r="737" spans="1:18" ht="13.8" outlineLevel="2" x14ac:dyDescent="0.25">
      <c r="A737">
        <v>47517</v>
      </c>
      <c r="B737" t="s">
        <v>857</v>
      </c>
      <c r="C737" t="s">
        <v>860</v>
      </c>
      <c r="D737" s="14" t="s">
        <v>859</v>
      </c>
      <c r="E737" s="12" t="s">
        <v>28</v>
      </c>
      <c r="F737" s="13" t="s">
        <v>29</v>
      </c>
      <c r="G737">
        <v>100</v>
      </c>
      <c r="H737" t="s">
        <v>30</v>
      </c>
      <c r="I737">
        <v>500</v>
      </c>
      <c r="J737" s="15"/>
      <c r="K737" s="16">
        <f>5.36 - (5.36 * $E$1)</f>
        <v>5.36</v>
      </c>
      <c r="L737" s="16">
        <f>4.39 - (4.39 * $E$1)</f>
        <v>4.3899999999999997</v>
      </c>
      <c r="M737" s="1">
        <v>5.36</v>
      </c>
      <c r="N737" s="1">
        <v>4.3899999999999997</v>
      </c>
      <c r="O737" s="1">
        <v>4.55</v>
      </c>
      <c r="P737" s="1">
        <v>3.73</v>
      </c>
      <c r="Q737">
        <v>9.6000000000000002E-4</v>
      </c>
      <c r="R737">
        <v>1.7600000000000001E-6</v>
      </c>
    </row>
    <row r="738" spans="1:18" ht="13.8" outlineLevel="2" x14ac:dyDescent="0.25">
      <c r="A738">
        <v>108626</v>
      </c>
      <c r="B738" t="s">
        <v>861</v>
      </c>
      <c r="C738" t="s">
        <v>862</v>
      </c>
      <c r="D738" s="14" t="s">
        <v>859</v>
      </c>
      <c r="E738" s="12" t="s">
        <v>28</v>
      </c>
      <c r="F738" s="13" t="s">
        <v>29</v>
      </c>
      <c r="G738">
        <v>1</v>
      </c>
      <c r="H738" t="s">
        <v>420</v>
      </c>
      <c r="I738">
        <v>5</v>
      </c>
      <c r="J738" s="15"/>
      <c r="K738" s="16">
        <f>510 - (510 * $E$1)</f>
        <v>510</v>
      </c>
      <c r="L738" s="16">
        <f>418.03 - (418.03 * $E$1)</f>
        <v>418.03</v>
      </c>
      <c r="M738" s="1">
        <v>510</v>
      </c>
      <c r="N738" s="1">
        <v>418.03</v>
      </c>
      <c r="O738" s="1">
        <v>433.5</v>
      </c>
      <c r="P738" s="1">
        <v>355.33</v>
      </c>
      <c r="Q738">
        <v>0.1</v>
      </c>
      <c r="R738">
        <v>1.9799999999999999E-4</v>
      </c>
    </row>
    <row r="739" spans="1:18" ht="13.8" outlineLevel="2" x14ac:dyDescent="0.25">
      <c r="A739">
        <v>108627</v>
      </c>
      <c r="B739" t="s">
        <v>861</v>
      </c>
      <c r="C739" t="s">
        <v>863</v>
      </c>
      <c r="D739" s="14" t="s">
        <v>859</v>
      </c>
      <c r="E739" s="12" t="s">
        <v>28</v>
      </c>
      <c r="F739" s="13" t="s">
        <v>29</v>
      </c>
      <c r="G739">
        <v>1</v>
      </c>
      <c r="H739" t="s">
        <v>420</v>
      </c>
      <c r="I739">
        <v>5</v>
      </c>
      <c r="J739" s="15"/>
      <c r="K739" s="16">
        <f>535.99 - (535.99 * $E$1)</f>
        <v>535.99</v>
      </c>
      <c r="L739" s="16">
        <f>439.34 - (439.34 * $E$1)</f>
        <v>439.34</v>
      </c>
      <c r="M739" s="1">
        <v>535.99</v>
      </c>
      <c r="N739" s="1">
        <v>439.34</v>
      </c>
      <c r="O739" s="1">
        <v>455.6</v>
      </c>
      <c r="P739" s="1">
        <v>373.44</v>
      </c>
      <c r="Q739">
        <v>9.6000000000000002E-2</v>
      </c>
      <c r="R739">
        <v>1.76E-4</v>
      </c>
    </row>
    <row r="740" spans="1:18" ht="13.8" outlineLevel="2" x14ac:dyDescent="0.25">
      <c r="A740">
        <v>66674</v>
      </c>
      <c r="B740" t="s">
        <v>850</v>
      </c>
      <c r="C740" t="s">
        <v>864</v>
      </c>
      <c r="D740" s="14" t="s">
        <v>865</v>
      </c>
      <c r="E740" s="12" t="s">
        <v>28</v>
      </c>
      <c r="F740" s="17" t="s">
        <v>549</v>
      </c>
      <c r="G740">
        <v>100</v>
      </c>
      <c r="H740" t="s">
        <v>30</v>
      </c>
      <c r="I740">
        <v>100</v>
      </c>
      <c r="J740" s="15"/>
      <c r="K740" s="16">
        <f>21.83 - (21.83 * $E$1)</f>
        <v>21.83</v>
      </c>
      <c r="L740" s="16">
        <f>17.89 - (17.89 * $E$1)</f>
        <v>17.89</v>
      </c>
      <c r="M740" s="1">
        <v>21.83</v>
      </c>
      <c r="N740" s="1">
        <v>17.89</v>
      </c>
      <c r="O740" s="1">
        <v>18.55</v>
      </c>
      <c r="P740" s="1">
        <v>15.21</v>
      </c>
      <c r="Q740">
        <v>1.1999999999999999E-3</v>
      </c>
      <c r="R740">
        <v>3.58E-6</v>
      </c>
    </row>
    <row r="741" spans="1:18" ht="13.8" outlineLevel="2" x14ac:dyDescent="0.25">
      <c r="A741">
        <v>66675</v>
      </c>
      <c r="B741" t="s">
        <v>850</v>
      </c>
      <c r="C741" t="s">
        <v>866</v>
      </c>
      <c r="D741" s="14" t="s">
        <v>865</v>
      </c>
      <c r="E741" s="12" t="s">
        <v>28</v>
      </c>
      <c r="F741" s="13" t="s">
        <v>29</v>
      </c>
      <c r="G741">
        <v>100</v>
      </c>
      <c r="H741" t="s">
        <v>30</v>
      </c>
      <c r="I741">
        <v>100</v>
      </c>
      <c r="J741" s="15"/>
      <c r="K741" s="16">
        <f>22.74 - (22.74 * $E$1)</f>
        <v>22.74</v>
      </c>
      <c r="L741" s="16">
        <f>18.64 - (18.64 * $E$1)</f>
        <v>18.64</v>
      </c>
      <c r="M741" s="1">
        <v>22.74</v>
      </c>
      <c r="N741" s="1">
        <v>18.64</v>
      </c>
      <c r="O741" s="1">
        <v>19.329999999999998</v>
      </c>
      <c r="P741" s="1">
        <v>15.84</v>
      </c>
      <c r="Q741">
        <v>1.34E-3</v>
      </c>
      <c r="R741">
        <v>3.58E-6</v>
      </c>
    </row>
    <row r="742" spans="1:18" ht="13.8" outlineLevel="2" x14ac:dyDescent="0.25">
      <c r="A742">
        <v>108623</v>
      </c>
      <c r="B742" t="s">
        <v>854</v>
      </c>
      <c r="C742" t="s">
        <v>867</v>
      </c>
      <c r="D742" s="14" t="s">
        <v>865</v>
      </c>
      <c r="E742" s="12" t="s">
        <v>28</v>
      </c>
      <c r="F742" s="13" t="s">
        <v>29</v>
      </c>
      <c r="G742">
        <v>1</v>
      </c>
      <c r="H742" t="s">
        <v>420</v>
      </c>
      <c r="I742">
        <v>1</v>
      </c>
      <c r="J742" s="15"/>
      <c r="K742" s="16">
        <f>2182.99 - (2182.99 * $E$1)</f>
        <v>2182.9899999999998</v>
      </c>
      <c r="L742" s="16">
        <f>1789.34 - (1789.34 * $E$1)</f>
        <v>1789.34</v>
      </c>
      <c r="M742" s="1">
        <v>2182.9899999999998</v>
      </c>
      <c r="N742" s="1">
        <v>1789.34</v>
      </c>
      <c r="O742" s="1">
        <v>1855.55</v>
      </c>
      <c r="P742" s="1">
        <v>1520.94</v>
      </c>
      <c r="Q742">
        <v>0.12</v>
      </c>
      <c r="R742">
        <v>3.5799999999999997E-4</v>
      </c>
    </row>
    <row r="743" spans="1:18" ht="13.8" outlineLevel="2" x14ac:dyDescent="0.25">
      <c r="A743">
        <v>66676</v>
      </c>
      <c r="B743" t="s">
        <v>857</v>
      </c>
      <c r="C743" t="s">
        <v>868</v>
      </c>
      <c r="D743" s="14" t="s">
        <v>869</v>
      </c>
      <c r="E743" s="12" t="s">
        <v>28</v>
      </c>
      <c r="F743" s="17" t="s">
        <v>549</v>
      </c>
      <c r="G743">
        <v>100</v>
      </c>
      <c r="H743" t="s">
        <v>30</v>
      </c>
      <c r="I743">
        <v>100</v>
      </c>
      <c r="J743" s="15"/>
      <c r="K743" s="16">
        <f>18.95 - (18.95 * $E$1)</f>
        <v>18.95</v>
      </c>
      <c r="L743" s="16">
        <f>15.53 - (15.53 * $E$1)</f>
        <v>15.53</v>
      </c>
      <c r="M743" s="1">
        <v>18.95</v>
      </c>
      <c r="N743" s="1">
        <v>15.53</v>
      </c>
      <c r="O743" s="1">
        <v>16.100000000000001</v>
      </c>
      <c r="P743" s="1">
        <v>13.2</v>
      </c>
      <c r="Q743">
        <v>1.1199999999999999E-3</v>
      </c>
      <c r="R743">
        <v>1.5600000000000001E-6</v>
      </c>
    </row>
    <row r="744" spans="1:18" ht="13.8" outlineLevel="2" x14ac:dyDescent="0.25">
      <c r="A744">
        <v>108622</v>
      </c>
      <c r="B744" t="s">
        <v>861</v>
      </c>
      <c r="C744" t="s">
        <v>870</v>
      </c>
      <c r="D744" s="14" t="s">
        <v>869</v>
      </c>
      <c r="E744" s="12" t="s">
        <v>28</v>
      </c>
      <c r="F744" s="13" t="s">
        <v>29</v>
      </c>
      <c r="G744">
        <v>1</v>
      </c>
      <c r="H744" t="s">
        <v>420</v>
      </c>
      <c r="I744">
        <v>1</v>
      </c>
      <c r="J744" s="15"/>
      <c r="K744" s="16">
        <f>1895 - (1895 * $E$1)</f>
        <v>1895</v>
      </c>
      <c r="L744" s="16">
        <f>1553.28 - (1553.28 * $E$1)</f>
        <v>1553.28</v>
      </c>
      <c r="M744" s="1">
        <v>1895</v>
      </c>
      <c r="N744" s="1">
        <v>1553.28</v>
      </c>
      <c r="O744" s="1">
        <v>1610.75</v>
      </c>
      <c r="P744" s="1">
        <v>1320.29</v>
      </c>
      <c r="Q744">
        <v>0.112</v>
      </c>
      <c r="R744">
        <v>1.56E-4</v>
      </c>
    </row>
    <row r="745" spans="1:18" ht="13.8" outlineLevel="2" x14ac:dyDescent="0.25">
      <c r="A745">
        <v>47468</v>
      </c>
      <c r="B745" t="s">
        <v>871</v>
      </c>
      <c r="C745" t="s">
        <v>872</v>
      </c>
      <c r="D745" s="14" t="s">
        <v>873</v>
      </c>
      <c r="E745" s="12" t="s">
        <v>28</v>
      </c>
      <c r="F745" s="17" t="s">
        <v>549</v>
      </c>
      <c r="G745">
        <v>100</v>
      </c>
      <c r="H745" t="s">
        <v>30</v>
      </c>
      <c r="I745">
        <v>100</v>
      </c>
      <c r="J745" s="15"/>
      <c r="K745" s="16">
        <f>6.58 - (6.58 * $E$1)</f>
        <v>6.58</v>
      </c>
      <c r="L745" s="16">
        <f>5.39 - (5.39 * $E$1)</f>
        <v>5.39</v>
      </c>
      <c r="M745" s="1">
        <v>6.58</v>
      </c>
      <c r="N745" s="1">
        <v>5.39</v>
      </c>
      <c r="O745" s="1">
        <v>5.59</v>
      </c>
      <c r="P745" s="1">
        <v>4.58</v>
      </c>
      <c r="Q745">
        <v>1.2999999999999999E-3</v>
      </c>
      <c r="R745">
        <v>6.2999999999999998E-6</v>
      </c>
    </row>
    <row r="746" spans="1:18" ht="13.8" outlineLevel="2" x14ac:dyDescent="0.25">
      <c r="A746">
        <v>47523</v>
      </c>
      <c r="B746" t="s">
        <v>871</v>
      </c>
      <c r="C746" t="s">
        <v>874</v>
      </c>
      <c r="D746" s="14" t="s">
        <v>873</v>
      </c>
      <c r="E746" s="12" t="s">
        <v>28</v>
      </c>
      <c r="F746" s="17" t="s">
        <v>549</v>
      </c>
      <c r="G746">
        <v>100</v>
      </c>
      <c r="H746" t="s">
        <v>30</v>
      </c>
      <c r="I746">
        <v>100</v>
      </c>
      <c r="J746" s="15"/>
      <c r="K746" s="16">
        <f>6.59 - (6.59 * $E$1)</f>
        <v>6.59</v>
      </c>
      <c r="L746" s="16">
        <f>5.4 - (5.4 * $E$1)</f>
        <v>5.4</v>
      </c>
      <c r="M746" s="1">
        <v>6.59</v>
      </c>
      <c r="N746" s="1">
        <v>5.4</v>
      </c>
      <c r="O746" s="1">
        <v>5.6</v>
      </c>
      <c r="P746" s="1">
        <v>4.59</v>
      </c>
      <c r="Q746">
        <v>1.1999999999999999E-3</v>
      </c>
      <c r="R746">
        <v>6.2999999999999998E-6</v>
      </c>
    </row>
    <row r="747" spans="1:18" ht="13.8" outlineLevel="2" x14ac:dyDescent="0.25">
      <c r="A747">
        <v>47524</v>
      </c>
      <c r="B747" t="s">
        <v>871</v>
      </c>
      <c r="C747" t="s">
        <v>875</v>
      </c>
      <c r="D747" s="14" t="s">
        <v>873</v>
      </c>
      <c r="E747" s="12" t="s">
        <v>28</v>
      </c>
      <c r="F747" s="17" t="s">
        <v>549</v>
      </c>
      <c r="G747">
        <v>100</v>
      </c>
      <c r="H747" t="s">
        <v>30</v>
      </c>
      <c r="I747">
        <v>100</v>
      </c>
      <c r="J747" s="15"/>
      <c r="K747" s="16">
        <f>11.24 - (11.24 * $E$1)</f>
        <v>11.24</v>
      </c>
      <c r="L747" s="16">
        <f>9.21 - (9.21 * $E$1)</f>
        <v>9.2100000000000009</v>
      </c>
      <c r="M747" s="1">
        <v>11.24</v>
      </c>
      <c r="N747" s="1">
        <v>9.2100000000000009</v>
      </c>
      <c r="O747" s="1">
        <v>9.5500000000000007</v>
      </c>
      <c r="P747" s="1">
        <v>7.83</v>
      </c>
      <c r="Q747">
        <v>3.0000000000000001E-3</v>
      </c>
      <c r="R747">
        <v>2.0400000000000001E-5</v>
      </c>
    </row>
    <row r="748" spans="1:18" ht="13.8" outlineLevel="2" x14ac:dyDescent="0.25">
      <c r="A748">
        <v>108487</v>
      </c>
      <c r="B748" t="s">
        <v>876</v>
      </c>
      <c r="C748" t="s">
        <v>877</v>
      </c>
      <c r="D748" s="14" t="s">
        <v>873</v>
      </c>
      <c r="E748" s="12" t="s">
        <v>28</v>
      </c>
      <c r="F748" s="13" t="s">
        <v>29</v>
      </c>
      <c r="G748">
        <v>1</v>
      </c>
      <c r="H748" t="s">
        <v>420</v>
      </c>
      <c r="I748">
        <v>5</v>
      </c>
      <c r="J748" s="15"/>
      <c r="K748" s="16">
        <f>657.99 - (657.99 * $E$1)</f>
        <v>657.99</v>
      </c>
      <c r="L748" s="16">
        <f>539.34 - (539.34 * $E$1)</f>
        <v>539.34</v>
      </c>
      <c r="M748" s="1">
        <v>657.99</v>
      </c>
      <c r="N748" s="1">
        <v>539.34</v>
      </c>
      <c r="O748" s="1">
        <v>559.29999999999995</v>
      </c>
      <c r="P748" s="1">
        <v>458.44</v>
      </c>
      <c r="Q748">
        <v>0.13</v>
      </c>
      <c r="R748">
        <v>6.3000000000000003E-4</v>
      </c>
    </row>
    <row r="749" spans="1:18" ht="13.8" outlineLevel="2" x14ac:dyDescent="0.25">
      <c r="A749">
        <v>108488</v>
      </c>
      <c r="B749" t="s">
        <v>876</v>
      </c>
      <c r="C749" t="s">
        <v>878</v>
      </c>
      <c r="D749" s="14" t="s">
        <v>873</v>
      </c>
      <c r="E749" s="12" t="s">
        <v>28</v>
      </c>
      <c r="F749" s="13" t="s">
        <v>29</v>
      </c>
      <c r="G749">
        <v>1</v>
      </c>
      <c r="H749" t="s">
        <v>420</v>
      </c>
      <c r="I749">
        <v>5</v>
      </c>
      <c r="J749" s="15"/>
      <c r="K749" s="16">
        <f>659 - (659 * $E$1)</f>
        <v>659</v>
      </c>
      <c r="L749" s="16">
        <f>540.16 - (540.16 * $E$1)</f>
        <v>540.16</v>
      </c>
      <c r="M749" s="1">
        <v>659</v>
      </c>
      <c r="N749" s="1">
        <v>540.16</v>
      </c>
      <c r="O749" s="1">
        <v>560.15</v>
      </c>
      <c r="P749" s="1">
        <v>459.14</v>
      </c>
      <c r="Q749">
        <v>0.12</v>
      </c>
      <c r="R749">
        <v>6.3000000000000003E-4</v>
      </c>
    </row>
    <row r="750" spans="1:18" ht="13.8" outlineLevel="2" x14ac:dyDescent="0.25">
      <c r="A750">
        <v>108489</v>
      </c>
      <c r="B750" t="s">
        <v>876</v>
      </c>
      <c r="C750" t="s">
        <v>879</v>
      </c>
      <c r="D750" s="14" t="s">
        <v>873</v>
      </c>
      <c r="E750" s="12" t="s">
        <v>28</v>
      </c>
      <c r="F750" s="13" t="s">
        <v>29</v>
      </c>
      <c r="G750">
        <v>1</v>
      </c>
      <c r="H750" t="s">
        <v>420</v>
      </c>
      <c r="I750">
        <v>1</v>
      </c>
      <c r="J750" s="15"/>
      <c r="K750" s="16">
        <f>1124 - (1124 * $E$1)</f>
        <v>1124</v>
      </c>
      <c r="L750" s="16">
        <f>921.31 - (921.31 * $E$1)</f>
        <v>921.31</v>
      </c>
      <c r="M750" s="1">
        <v>1124</v>
      </c>
      <c r="N750" s="1">
        <v>921.31</v>
      </c>
      <c r="O750" s="1">
        <v>955.4</v>
      </c>
      <c r="P750" s="1">
        <v>783.11</v>
      </c>
      <c r="Q750">
        <v>0.3</v>
      </c>
      <c r="R750">
        <v>2.0400000000000001E-3</v>
      </c>
    </row>
    <row r="751" spans="1:18" ht="13.8" outlineLevel="2" x14ac:dyDescent="0.25">
      <c r="A751">
        <v>59125</v>
      </c>
      <c r="B751" t="s">
        <v>880</v>
      </c>
      <c r="C751" t="s">
        <v>881</v>
      </c>
      <c r="D751" s="14" t="s">
        <v>882</v>
      </c>
      <c r="E751" s="12" t="s">
        <v>28</v>
      </c>
      <c r="F751" s="17" t="s">
        <v>549</v>
      </c>
      <c r="G751">
        <v>100</v>
      </c>
      <c r="H751" t="s">
        <v>30</v>
      </c>
      <c r="I751">
        <v>100</v>
      </c>
      <c r="J751" s="15"/>
      <c r="K751" s="16">
        <f>8.24 - (8.24 * $E$1)</f>
        <v>8.24</v>
      </c>
      <c r="L751" s="16">
        <f>6.75 - (6.75 * $E$1)</f>
        <v>6.75</v>
      </c>
      <c r="M751" s="1">
        <v>8.24</v>
      </c>
      <c r="N751" s="1">
        <v>6.75</v>
      </c>
      <c r="O751" s="1">
        <v>7</v>
      </c>
      <c r="P751" s="1">
        <v>5.74</v>
      </c>
      <c r="Q751">
        <v>1.1000000000000001E-3</v>
      </c>
      <c r="R751">
        <v>5.4E-6</v>
      </c>
    </row>
    <row r="752" spans="1:18" ht="13.8" outlineLevel="2" x14ac:dyDescent="0.25">
      <c r="A752">
        <v>59126</v>
      </c>
      <c r="B752" t="s">
        <v>880</v>
      </c>
      <c r="C752" t="s">
        <v>883</v>
      </c>
      <c r="D752" s="14" t="s">
        <v>882</v>
      </c>
      <c r="E752" s="12" t="s">
        <v>28</v>
      </c>
      <c r="F752" s="13" t="s">
        <v>29</v>
      </c>
      <c r="G752">
        <v>100</v>
      </c>
      <c r="H752" t="s">
        <v>30</v>
      </c>
      <c r="I752">
        <v>100</v>
      </c>
      <c r="J752" s="15"/>
      <c r="K752" s="16">
        <f>8.19 - (8.19 * $E$1)</f>
        <v>8.19</v>
      </c>
      <c r="L752" s="16">
        <f>6.71 - (6.71 * $E$1)</f>
        <v>6.71</v>
      </c>
      <c r="M752" s="1">
        <v>8.19</v>
      </c>
      <c r="N752" s="1">
        <v>6.71</v>
      </c>
      <c r="O752" s="1">
        <v>6.96</v>
      </c>
      <c r="P752" s="1">
        <v>5.7</v>
      </c>
      <c r="Q752">
        <v>1E-3</v>
      </c>
      <c r="R752">
        <v>6.5599999999999999E-6</v>
      </c>
    </row>
    <row r="753" spans="1:18" ht="13.8" outlineLevel="2" x14ac:dyDescent="0.25">
      <c r="A753">
        <v>59127</v>
      </c>
      <c r="B753" t="s">
        <v>880</v>
      </c>
      <c r="C753" t="s">
        <v>884</v>
      </c>
      <c r="D753" s="14" t="s">
        <v>882</v>
      </c>
      <c r="E753" s="12" t="s">
        <v>28</v>
      </c>
      <c r="F753" s="17" t="s">
        <v>549</v>
      </c>
      <c r="G753">
        <v>100</v>
      </c>
      <c r="H753" t="s">
        <v>30</v>
      </c>
      <c r="I753">
        <v>100</v>
      </c>
      <c r="J753" s="15"/>
      <c r="K753" s="16">
        <f>8.11 - (8.11 * $E$1)</f>
        <v>8.11</v>
      </c>
      <c r="L753" s="16">
        <f>6.65 - (6.65 * $E$1)</f>
        <v>6.65</v>
      </c>
      <c r="M753" s="1">
        <v>8.11</v>
      </c>
      <c r="N753" s="1">
        <v>6.65</v>
      </c>
      <c r="O753" s="1">
        <v>6.9</v>
      </c>
      <c r="P753" s="1">
        <v>5.65</v>
      </c>
      <c r="Q753">
        <v>1E-3</v>
      </c>
      <c r="R753">
        <v>5.7599999999999999E-6</v>
      </c>
    </row>
    <row r="754" spans="1:18" ht="13.8" outlineLevel="2" x14ac:dyDescent="0.25">
      <c r="A754">
        <v>108490</v>
      </c>
      <c r="B754" t="s">
        <v>885</v>
      </c>
      <c r="C754" t="s">
        <v>886</v>
      </c>
      <c r="D754" s="14" t="s">
        <v>882</v>
      </c>
      <c r="E754" s="12" t="s">
        <v>28</v>
      </c>
      <c r="F754" s="13" t="s">
        <v>29</v>
      </c>
      <c r="G754">
        <v>1</v>
      </c>
      <c r="H754" t="s">
        <v>420</v>
      </c>
      <c r="I754">
        <v>1</v>
      </c>
      <c r="J754" s="15"/>
      <c r="K754" s="16">
        <f>824 - (824 * $E$1)</f>
        <v>824</v>
      </c>
      <c r="L754" s="16">
        <f>675.41 - (675.41 * $E$1)</f>
        <v>675.41</v>
      </c>
      <c r="M754" s="1">
        <v>824</v>
      </c>
      <c r="N754" s="1">
        <v>675.41</v>
      </c>
      <c r="O754" s="1">
        <v>700.4</v>
      </c>
      <c r="P754" s="1">
        <v>574.1</v>
      </c>
      <c r="Q754">
        <v>0.11</v>
      </c>
      <c r="R754">
        <v>5.4000000000000001E-4</v>
      </c>
    </row>
    <row r="755" spans="1:18" ht="13.8" outlineLevel="2" x14ac:dyDescent="0.25">
      <c r="A755">
        <v>108491</v>
      </c>
      <c r="B755" t="s">
        <v>885</v>
      </c>
      <c r="C755" t="s">
        <v>887</v>
      </c>
      <c r="D755" s="14" t="s">
        <v>882</v>
      </c>
      <c r="E755" s="12" t="s">
        <v>28</v>
      </c>
      <c r="F755" s="13" t="s">
        <v>29</v>
      </c>
      <c r="G755">
        <v>1</v>
      </c>
      <c r="H755" t="s">
        <v>420</v>
      </c>
      <c r="I755">
        <v>1</v>
      </c>
      <c r="J755" s="15"/>
      <c r="K755" s="16">
        <f>819 - (819 * $E$1)</f>
        <v>819</v>
      </c>
      <c r="L755" s="16">
        <f>671.31 - (671.31 * $E$1)</f>
        <v>671.31</v>
      </c>
      <c r="M755" s="1">
        <v>819</v>
      </c>
      <c r="N755" s="1">
        <v>671.31</v>
      </c>
      <c r="O755" s="1">
        <v>696.15</v>
      </c>
      <c r="P755" s="1">
        <v>570.61</v>
      </c>
      <c r="Q755">
        <v>0.1</v>
      </c>
      <c r="R755">
        <v>6.5600000000000001E-4</v>
      </c>
    </row>
    <row r="756" spans="1:18" ht="13.8" outlineLevel="2" x14ac:dyDescent="0.25">
      <c r="A756">
        <v>108492</v>
      </c>
      <c r="B756" t="s">
        <v>885</v>
      </c>
      <c r="C756" t="s">
        <v>888</v>
      </c>
      <c r="D756" s="14" t="s">
        <v>882</v>
      </c>
      <c r="E756" s="12" t="s">
        <v>28</v>
      </c>
      <c r="F756" s="13" t="s">
        <v>29</v>
      </c>
      <c r="G756">
        <v>1</v>
      </c>
      <c r="H756" t="s">
        <v>420</v>
      </c>
      <c r="I756">
        <v>1</v>
      </c>
      <c r="J756" s="15"/>
      <c r="K756" s="16">
        <f>811 - (811 * $E$1)</f>
        <v>811</v>
      </c>
      <c r="L756" s="16">
        <f>664.75 - (664.75 * $E$1)</f>
        <v>664.75</v>
      </c>
      <c r="M756" s="1">
        <v>811</v>
      </c>
      <c r="N756" s="1">
        <v>664.75</v>
      </c>
      <c r="O756" s="1">
        <v>689.35</v>
      </c>
      <c r="P756" s="1">
        <v>565.04</v>
      </c>
      <c r="Q756">
        <v>0.1</v>
      </c>
      <c r="R756">
        <v>5.7600000000000001E-4</v>
      </c>
    </row>
    <row r="757" spans="1:18" ht="13.8" outlineLevel="2" x14ac:dyDescent="0.25">
      <c r="A757">
        <v>79431</v>
      </c>
      <c r="B757" t="s">
        <v>889</v>
      </c>
      <c r="C757" t="s">
        <v>890</v>
      </c>
      <c r="D757" s="14" t="s">
        <v>890</v>
      </c>
      <c r="E757" s="12" t="s">
        <v>28</v>
      </c>
      <c r="F757" s="13" t="s">
        <v>29</v>
      </c>
      <c r="G757">
        <v>1</v>
      </c>
      <c r="H757" t="s">
        <v>30</v>
      </c>
      <c r="I757">
        <v>1</v>
      </c>
      <c r="J757" s="15"/>
      <c r="K757" s="16">
        <f>2466 - (2466 * $E$1)</f>
        <v>2466</v>
      </c>
      <c r="L757" s="16">
        <f>2021.31 - (2021.31 * $E$1)</f>
        <v>2021.31</v>
      </c>
      <c r="M757" s="1">
        <v>2466</v>
      </c>
      <c r="N757" s="1">
        <v>2021.31</v>
      </c>
      <c r="O757" s="1">
        <v>2096.1</v>
      </c>
      <c r="P757" s="1">
        <v>1718.11</v>
      </c>
      <c r="Q757">
        <v>0.15</v>
      </c>
      <c r="R757">
        <v>9.6599999999999995E-4</v>
      </c>
    </row>
    <row r="758" spans="1:18" ht="13.8" outlineLevel="2" x14ac:dyDescent="0.25">
      <c r="A758">
        <v>91022</v>
      </c>
      <c r="B758" t="s">
        <v>767</v>
      </c>
      <c r="C758" t="s">
        <v>891</v>
      </c>
      <c r="D758" s="14" t="s">
        <v>892</v>
      </c>
      <c r="E758" s="12" t="s">
        <v>28</v>
      </c>
      <c r="F758" s="13" t="s">
        <v>29</v>
      </c>
      <c r="G758">
        <v>1</v>
      </c>
      <c r="H758" t="s">
        <v>420</v>
      </c>
      <c r="I758">
        <v>1</v>
      </c>
      <c r="J758" s="15"/>
      <c r="K758" s="16">
        <f>180.67 - (180.67 * $E$1)</f>
        <v>180.67</v>
      </c>
      <c r="L758" s="16">
        <f>148.09 - (148.09 * $E$1)</f>
        <v>148.09</v>
      </c>
      <c r="M758" s="1">
        <v>180.67</v>
      </c>
      <c r="N758" s="1">
        <v>148.09</v>
      </c>
      <c r="O758" s="1">
        <v>153.57</v>
      </c>
      <c r="P758" s="1">
        <v>125.88</v>
      </c>
      <c r="Q758">
        <v>0.02</v>
      </c>
      <c r="R758">
        <v>1.2E-4</v>
      </c>
    </row>
    <row r="759" spans="1:18" ht="13.8" outlineLevel="2" x14ac:dyDescent="0.25">
      <c r="A759">
        <v>91023</v>
      </c>
      <c r="B759" t="s">
        <v>767</v>
      </c>
      <c r="C759" t="s">
        <v>893</v>
      </c>
      <c r="D759" s="14" t="s">
        <v>892</v>
      </c>
      <c r="E759" s="12" t="s">
        <v>28</v>
      </c>
      <c r="F759" s="13" t="s">
        <v>29</v>
      </c>
      <c r="G759">
        <v>1</v>
      </c>
      <c r="H759" t="s">
        <v>420</v>
      </c>
      <c r="I759">
        <v>1</v>
      </c>
      <c r="J759" s="15"/>
      <c r="K759" s="16">
        <f>186.84 - (186.84 * $E$1)</f>
        <v>186.84</v>
      </c>
      <c r="L759" s="16">
        <f>153.15 - (153.15 * $E$1)</f>
        <v>153.15</v>
      </c>
      <c r="M759" s="1">
        <v>186.84</v>
      </c>
      <c r="N759" s="1">
        <v>153.15</v>
      </c>
      <c r="O759" s="1">
        <v>158.82</v>
      </c>
      <c r="P759" s="1">
        <v>130.18</v>
      </c>
      <c r="Q759">
        <v>0.02</v>
      </c>
      <c r="R759">
        <v>1.2E-4</v>
      </c>
    </row>
    <row r="760" spans="1:18" ht="13.8" outlineLevel="2" x14ac:dyDescent="0.25">
      <c r="A760">
        <v>91025</v>
      </c>
      <c r="B760" t="s">
        <v>782</v>
      </c>
      <c r="C760" t="s">
        <v>894</v>
      </c>
      <c r="D760" s="14" t="s">
        <v>895</v>
      </c>
      <c r="E760" s="12" t="s">
        <v>28</v>
      </c>
      <c r="F760" s="13" t="s">
        <v>29</v>
      </c>
      <c r="G760">
        <v>1</v>
      </c>
      <c r="H760" t="s">
        <v>420</v>
      </c>
      <c r="I760">
        <v>1</v>
      </c>
      <c r="J760" s="15"/>
      <c r="K760" s="16">
        <f>192.52 - (192.52 * $E$1)</f>
        <v>192.52</v>
      </c>
      <c r="L760" s="16">
        <f>157.8 - (157.8 * $E$1)</f>
        <v>157.80000000000001</v>
      </c>
      <c r="M760" s="1">
        <v>192.52</v>
      </c>
      <c r="N760" s="1">
        <v>157.80000000000001</v>
      </c>
      <c r="O760" s="1">
        <v>163.63999999999999</v>
      </c>
      <c r="P760" s="1">
        <v>134.13</v>
      </c>
      <c r="Q760">
        <v>2.3E-2</v>
      </c>
      <c r="R760">
        <v>1.2E-4</v>
      </c>
    </row>
    <row r="761" spans="1:18" ht="13.8" outlineLevel="2" x14ac:dyDescent="0.25">
      <c r="A761">
        <v>91026</v>
      </c>
      <c r="B761" t="s">
        <v>782</v>
      </c>
      <c r="C761" t="s">
        <v>896</v>
      </c>
      <c r="D761" s="14" t="s">
        <v>895</v>
      </c>
      <c r="E761" s="12" t="s">
        <v>28</v>
      </c>
      <c r="F761" s="13" t="s">
        <v>29</v>
      </c>
      <c r="G761">
        <v>1</v>
      </c>
      <c r="H761" t="s">
        <v>420</v>
      </c>
      <c r="I761">
        <v>1</v>
      </c>
      <c r="J761" s="15"/>
      <c r="K761" s="16">
        <f>204.58 - (204.58 * $E$1)</f>
        <v>204.58</v>
      </c>
      <c r="L761" s="16">
        <f>167.69 - (167.69 * $E$1)</f>
        <v>167.69</v>
      </c>
      <c r="M761" s="1">
        <v>204.58</v>
      </c>
      <c r="N761" s="1">
        <v>167.69</v>
      </c>
      <c r="O761" s="1">
        <v>173.89</v>
      </c>
      <c r="P761" s="1">
        <v>142.54</v>
      </c>
      <c r="Q761">
        <v>2.5000000000000001E-2</v>
      </c>
      <c r="R761">
        <v>1.2E-4</v>
      </c>
    </row>
    <row r="762" spans="1:18" ht="13.8" outlineLevel="2" x14ac:dyDescent="0.25">
      <c r="A762">
        <v>91028</v>
      </c>
      <c r="B762" t="s">
        <v>797</v>
      </c>
      <c r="C762" t="s">
        <v>897</v>
      </c>
      <c r="D762" s="14" t="s">
        <v>898</v>
      </c>
      <c r="E762" s="12" t="s">
        <v>28</v>
      </c>
      <c r="F762" s="13" t="s">
        <v>29</v>
      </c>
      <c r="G762">
        <v>1</v>
      </c>
      <c r="H762" t="s">
        <v>420</v>
      </c>
      <c r="I762">
        <v>1</v>
      </c>
      <c r="J762" s="15"/>
      <c r="K762" s="16">
        <f>206.79 - (206.79 * $E$1)</f>
        <v>206.79</v>
      </c>
      <c r="L762" s="16">
        <f>169.5 - (169.5 * $E$1)</f>
        <v>169.5</v>
      </c>
      <c r="M762" s="1">
        <v>206.79</v>
      </c>
      <c r="N762" s="1">
        <v>169.5</v>
      </c>
      <c r="O762" s="1">
        <v>175.77</v>
      </c>
      <c r="P762" s="1">
        <v>144.08000000000001</v>
      </c>
      <c r="Q762">
        <v>2.5000000000000001E-2</v>
      </c>
      <c r="R762">
        <v>1.2E-4</v>
      </c>
    </row>
    <row r="763" spans="1:18" ht="13.8" outlineLevel="2" x14ac:dyDescent="0.25">
      <c r="A763">
        <v>91029</v>
      </c>
      <c r="B763" t="s">
        <v>797</v>
      </c>
      <c r="C763" t="s">
        <v>899</v>
      </c>
      <c r="D763" s="14" t="s">
        <v>898</v>
      </c>
      <c r="E763" s="12" t="s">
        <v>28</v>
      </c>
      <c r="F763" s="13" t="s">
        <v>29</v>
      </c>
      <c r="G763">
        <v>1</v>
      </c>
      <c r="H763" t="s">
        <v>420</v>
      </c>
      <c r="I763">
        <v>1</v>
      </c>
      <c r="J763" s="15"/>
      <c r="K763" s="16">
        <f>213.72 - (213.72 * $E$1)</f>
        <v>213.72</v>
      </c>
      <c r="L763" s="16">
        <f>175.18 - (175.18 * $E$1)</f>
        <v>175.18</v>
      </c>
      <c r="M763" s="1">
        <v>213.72</v>
      </c>
      <c r="N763" s="1">
        <v>175.18</v>
      </c>
      <c r="O763" s="1">
        <v>181.66</v>
      </c>
      <c r="P763" s="1">
        <v>148.9</v>
      </c>
      <c r="Q763">
        <v>2.4E-2</v>
      </c>
      <c r="R763">
        <v>1.2E-4</v>
      </c>
    </row>
    <row r="764" spans="1:18" ht="13.8" outlineLevel="2" x14ac:dyDescent="0.25">
      <c r="A764">
        <v>91030</v>
      </c>
      <c r="B764" t="s">
        <v>797</v>
      </c>
      <c r="C764" t="s">
        <v>900</v>
      </c>
      <c r="D764" s="14" t="s">
        <v>898</v>
      </c>
      <c r="E764" s="12" t="s">
        <v>28</v>
      </c>
      <c r="F764" s="13" t="s">
        <v>29</v>
      </c>
      <c r="G764">
        <v>1</v>
      </c>
      <c r="H764" t="s">
        <v>420</v>
      </c>
      <c r="I764">
        <v>1</v>
      </c>
      <c r="J764" s="15"/>
      <c r="K764" s="16">
        <f>142.46 - (142.46 * $E$1)</f>
        <v>142.46</v>
      </c>
      <c r="L764" s="16">
        <f>116.77 - (116.77 * $E$1)</f>
        <v>116.77</v>
      </c>
      <c r="M764" s="1">
        <v>142.46</v>
      </c>
      <c r="N764" s="1">
        <v>116.77</v>
      </c>
      <c r="O764" s="1">
        <v>121.09</v>
      </c>
      <c r="P764" s="1">
        <v>99.25</v>
      </c>
      <c r="Q764">
        <v>1.4999999999999999E-2</v>
      </c>
      <c r="R764">
        <v>1.2E-4</v>
      </c>
    </row>
    <row r="765" spans="1:18" ht="13.8" outlineLevel="2" x14ac:dyDescent="0.25">
      <c r="A765">
        <v>91031</v>
      </c>
      <c r="B765" t="s">
        <v>830</v>
      </c>
      <c r="C765" t="s">
        <v>901</v>
      </c>
      <c r="D765" s="14" t="s">
        <v>902</v>
      </c>
      <c r="E765" s="12" t="s">
        <v>28</v>
      </c>
      <c r="F765" s="13" t="s">
        <v>29</v>
      </c>
      <c r="G765">
        <v>1</v>
      </c>
      <c r="H765" t="s">
        <v>420</v>
      </c>
      <c r="I765">
        <v>1</v>
      </c>
      <c r="J765" s="15"/>
      <c r="K765" s="16">
        <f>223.16 - (223.16 * $E$1)</f>
        <v>223.16</v>
      </c>
      <c r="L765" s="16">
        <f>182.92 - (182.92 * $E$1)</f>
        <v>182.92</v>
      </c>
      <c r="M765" s="1">
        <v>223.16</v>
      </c>
      <c r="N765" s="1">
        <v>182.92</v>
      </c>
      <c r="O765" s="1">
        <v>189.69</v>
      </c>
      <c r="P765" s="1">
        <v>155.47999999999999</v>
      </c>
      <c r="Q765">
        <v>0.02</v>
      </c>
      <c r="R765">
        <v>1.2E-4</v>
      </c>
    </row>
    <row r="766" spans="1:18" ht="13.8" outlineLevel="2" x14ac:dyDescent="0.25">
      <c r="A766">
        <v>91032</v>
      </c>
      <c r="B766" t="s">
        <v>830</v>
      </c>
      <c r="C766" t="s">
        <v>903</v>
      </c>
      <c r="D766" s="14" t="s">
        <v>902</v>
      </c>
      <c r="E766" s="12" t="s">
        <v>28</v>
      </c>
      <c r="F766" s="13" t="s">
        <v>29</v>
      </c>
      <c r="G766">
        <v>1</v>
      </c>
      <c r="H766" t="s">
        <v>420</v>
      </c>
      <c r="I766">
        <v>1</v>
      </c>
      <c r="J766" s="15"/>
      <c r="K766" s="16">
        <f>237.58 - (237.58 * $E$1)</f>
        <v>237.58</v>
      </c>
      <c r="L766" s="16">
        <f>194.74 - (194.74 * $E$1)</f>
        <v>194.74</v>
      </c>
      <c r="M766" s="1">
        <v>237.58</v>
      </c>
      <c r="N766" s="1">
        <v>194.74</v>
      </c>
      <c r="O766" s="1">
        <v>201.95</v>
      </c>
      <c r="P766" s="1">
        <v>165.53</v>
      </c>
      <c r="Q766">
        <v>0.02</v>
      </c>
      <c r="R766">
        <v>1.2E-4</v>
      </c>
    </row>
    <row r="767" spans="1:18" ht="13.8" outlineLevel="2" x14ac:dyDescent="0.25">
      <c r="A767">
        <v>91033</v>
      </c>
      <c r="B767" t="s">
        <v>839</v>
      </c>
      <c r="C767" t="s">
        <v>904</v>
      </c>
      <c r="D767" s="14" t="s">
        <v>905</v>
      </c>
      <c r="E767" s="12" t="s">
        <v>28</v>
      </c>
      <c r="F767" s="13" t="s">
        <v>29</v>
      </c>
      <c r="G767">
        <v>1</v>
      </c>
      <c r="H767" t="s">
        <v>420</v>
      </c>
      <c r="I767">
        <v>1</v>
      </c>
      <c r="J767" s="15"/>
      <c r="K767" s="16">
        <f>244.06 - (244.06 * $E$1)</f>
        <v>244.06</v>
      </c>
      <c r="L767" s="16">
        <f>200.05 - (200.05 * $E$1)</f>
        <v>200.05</v>
      </c>
      <c r="M767" s="1">
        <v>244.06</v>
      </c>
      <c r="N767" s="1">
        <v>200.05</v>
      </c>
      <c r="O767" s="1">
        <v>207.45</v>
      </c>
      <c r="P767" s="1">
        <v>170.04</v>
      </c>
      <c r="Q767">
        <v>0.02</v>
      </c>
      <c r="R767">
        <v>1.2E-4</v>
      </c>
    </row>
    <row r="768" spans="1:18" ht="13.8" outlineLevel="2" x14ac:dyDescent="0.25">
      <c r="A768">
        <v>91034</v>
      </c>
      <c r="B768" t="s">
        <v>839</v>
      </c>
      <c r="C768" t="s">
        <v>906</v>
      </c>
      <c r="D768" s="14" t="s">
        <v>905</v>
      </c>
      <c r="E768" s="12" t="s">
        <v>28</v>
      </c>
      <c r="F768" s="13" t="s">
        <v>29</v>
      </c>
      <c r="G768">
        <v>1</v>
      </c>
      <c r="H768" t="s">
        <v>420</v>
      </c>
      <c r="I768">
        <v>1</v>
      </c>
      <c r="J768" s="15"/>
      <c r="K768" s="16">
        <f>245.65 - (245.65 * $E$1)</f>
        <v>245.65</v>
      </c>
      <c r="L768" s="16">
        <f>201.35 - (201.35 * $E$1)</f>
        <v>201.35</v>
      </c>
      <c r="M768" s="1">
        <v>245.65</v>
      </c>
      <c r="N768" s="1">
        <v>201.35</v>
      </c>
      <c r="O768" s="1">
        <v>208.8</v>
      </c>
      <c r="P768" s="1">
        <v>171.15</v>
      </c>
      <c r="Q768">
        <v>2.1999999999999999E-2</v>
      </c>
      <c r="R768">
        <v>1.2E-4</v>
      </c>
    </row>
    <row r="769" spans="1:18" ht="16.5" customHeight="1" outlineLevel="1" x14ac:dyDescent="0.35">
      <c r="A769" s="9"/>
      <c r="B769" s="10" t="s">
        <v>907</v>
      </c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1"/>
    </row>
    <row r="770" spans="1:18" ht="13.8" outlineLevel="2" x14ac:dyDescent="0.25">
      <c r="A770">
        <v>47466</v>
      </c>
      <c r="B770" t="s">
        <v>908</v>
      </c>
      <c r="C770" t="s">
        <v>909</v>
      </c>
      <c r="D770" s="14" t="s">
        <v>910</v>
      </c>
      <c r="E770" s="12" t="s">
        <v>28</v>
      </c>
      <c r="F770" s="17" t="s">
        <v>549</v>
      </c>
      <c r="G770">
        <v>100</v>
      </c>
      <c r="H770" t="s">
        <v>30</v>
      </c>
      <c r="I770">
        <v>500</v>
      </c>
      <c r="J770" s="15"/>
      <c r="K770" s="16">
        <f>7.52 - (7.52 * $E$1)</f>
        <v>7.52</v>
      </c>
      <c r="L770" s="16">
        <f>6.16 - (6.16 * $E$1)</f>
        <v>6.16</v>
      </c>
      <c r="M770" s="1">
        <v>7.52</v>
      </c>
      <c r="N770" s="1">
        <v>6.16</v>
      </c>
      <c r="O770" s="1">
        <v>6.39</v>
      </c>
      <c r="P770" s="1">
        <v>5.24</v>
      </c>
      <c r="Q770">
        <v>1.24E-3</v>
      </c>
      <c r="R770">
        <v>1.55E-6</v>
      </c>
    </row>
    <row r="771" spans="1:18" ht="13.8" outlineLevel="2" x14ac:dyDescent="0.25">
      <c r="A771">
        <v>47519</v>
      </c>
      <c r="B771" t="s">
        <v>908</v>
      </c>
      <c r="C771" t="s">
        <v>911</v>
      </c>
      <c r="D771" s="14" t="s">
        <v>910</v>
      </c>
      <c r="E771" s="12" t="s">
        <v>28</v>
      </c>
      <c r="F771" s="17" t="s">
        <v>549</v>
      </c>
      <c r="G771">
        <v>100</v>
      </c>
      <c r="H771" t="s">
        <v>30</v>
      </c>
      <c r="I771">
        <v>500</v>
      </c>
      <c r="J771" s="15"/>
      <c r="K771" s="16">
        <f>9.13 - (9.13 * $E$1)</f>
        <v>9.1300000000000008</v>
      </c>
      <c r="L771" s="16">
        <f>7.48 - (7.48 * $E$1)</f>
        <v>7.48</v>
      </c>
      <c r="M771" s="1">
        <v>9.1300000000000008</v>
      </c>
      <c r="N771" s="1">
        <v>7.48</v>
      </c>
      <c r="O771" s="1">
        <v>7.76</v>
      </c>
      <c r="P771" s="1">
        <v>6.36</v>
      </c>
      <c r="Q771">
        <v>1.42E-3</v>
      </c>
      <c r="R771">
        <v>1.6500000000000001E-6</v>
      </c>
    </row>
    <row r="772" spans="1:18" ht="13.8" outlineLevel="2" x14ac:dyDescent="0.25">
      <c r="A772">
        <v>47520</v>
      </c>
      <c r="B772" t="s">
        <v>908</v>
      </c>
      <c r="C772" t="s">
        <v>912</v>
      </c>
      <c r="D772" s="14" t="s">
        <v>910</v>
      </c>
      <c r="E772" s="12" t="s">
        <v>28</v>
      </c>
      <c r="F772" s="17" t="s">
        <v>549</v>
      </c>
      <c r="G772">
        <v>100</v>
      </c>
      <c r="H772" t="s">
        <v>30</v>
      </c>
      <c r="I772">
        <v>500</v>
      </c>
      <c r="J772" s="15"/>
      <c r="K772" s="16">
        <f>15.51 - (15.51 * $E$1)</f>
        <v>15.51</v>
      </c>
      <c r="L772" s="16">
        <f>12.71 - (12.71 * $E$1)</f>
        <v>12.71</v>
      </c>
      <c r="M772" s="1">
        <v>15.51</v>
      </c>
      <c r="N772" s="1">
        <v>12.71</v>
      </c>
      <c r="O772" s="1">
        <v>13.18</v>
      </c>
      <c r="P772" s="1">
        <v>10.8</v>
      </c>
      <c r="Q772">
        <v>2.2200000000000002E-3</v>
      </c>
      <c r="R772">
        <v>3.7400000000000002E-6</v>
      </c>
    </row>
    <row r="773" spans="1:18" ht="13.8" outlineLevel="2" x14ac:dyDescent="0.25">
      <c r="A773">
        <v>61785</v>
      </c>
      <c r="B773" t="s">
        <v>908</v>
      </c>
      <c r="C773" t="s">
        <v>913</v>
      </c>
      <c r="D773" s="14" t="s">
        <v>910</v>
      </c>
      <c r="E773" s="12" t="s">
        <v>28</v>
      </c>
      <c r="F773" s="13" t="s">
        <v>29</v>
      </c>
      <c r="G773">
        <v>100</v>
      </c>
      <c r="H773" t="s">
        <v>30</v>
      </c>
      <c r="I773">
        <v>100</v>
      </c>
      <c r="J773" s="15"/>
      <c r="K773" s="16">
        <f>35.25 - (35.25 * $E$1)</f>
        <v>35.25</v>
      </c>
      <c r="L773" s="16">
        <f>28.89 - (28.89 * $E$1)</f>
        <v>28.89</v>
      </c>
      <c r="M773" s="1">
        <v>35.25</v>
      </c>
      <c r="N773" s="1">
        <v>28.89</v>
      </c>
      <c r="O773" s="1">
        <v>29.96</v>
      </c>
      <c r="P773" s="1">
        <v>24.56</v>
      </c>
      <c r="Q773">
        <v>5.3E-3</v>
      </c>
      <c r="R773">
        <v>5.7799999999999997E-6</v>
      </c>
    </row>
    <row r="774" spans="1:18" ht="13.8" outlineLevel="2" x14ac:dyDescent="0.25">
      <c r="A774">
        <v>61786</v>
      </c>
      <c r="B774" t="s">
        <v>908</v>
      </c>
      <c r="C774" t="s">
        <v>914</v>
      </c>
      <c r="D774" s="14" t="s">
        <v>910</v>
      </c>
      <c r="E774" s="12" t="s">
        <v>28</v>
      </c>
      <c r="F774" s="13" t="s">
        <v>29</v>
      </c>
      <c r="G774">
        <v>100</v>
      </c>
      <c r="H774" t="s">
        <v>30</v>
      </c>
      <c r="I774">
        <v>100</v>
      </c>
      <c r="J774" s="15"/>
      <c r="K774" s="16">
        <f>66.01 - (66.01 * $E$1)</f>
        <v>66.010000000000005</v>
      </c>
      <c r="L774" s="16">
        <f>54.11 - (54.11 * $E$1)</f>
        <v>54.11</v>
      </c>
      <c r="M774" s="1">
        <v>66.010000000000005</v>
      </c>
      <c r="N774" s="1">
        <v>54.11</v>
      </c>
      <c r="O774" s="1">
        <v>56.11</v>
      </c>
      <c r="P774" s="1">
        <v>45.99</v>
      </c>
      <c r="Q774">
        <v>9.6200000000000001E-3</v>
      </c>
      <c r="R774">
        <v>1.008E-5</v>
      </c>
    </row>
    <row r="775" spans="1:18" ht="13.8" outlineLevel="2" x14ac:dyDescent="0.25">
      <c r="A775">
        <v>108955</v>
      </c>
      <c r="B775" t="s">
        <v>915</v>
      </c>
      <c r="C775" t="s">
        <v>916</v>
      </c>
      <c r="D775" s="14" t="s">
        <v>910</v>
      </c>
      <c r="E775" s="12" t="s">
        <v>28</v>
      </c>
      <c r="F775" s="13" t="s">
        <v>29</v>
      </c>
      <c r="G775">
        <v>1</v>
      </c>
      <c r="H775" t="s">
        <v>420</v>
      </c>
      <c r="I775">
        <v>5</v>
      </c>
      <c r="J775" s="15"/>
      <c r="K775" s="16">
        <f>752 - (752 * $E$1)</f>
        <v>752</v>
      </c>
      <c r="L775" s="16">
        <f>616.39 - (616.39 * $E$1)</f>
        <v>616.39</v>
      </c>
      <c r="M775" s="1">
        <v>752</v>
      </c>
      <c r="N775" s="1">
        <v>616.39</v>
      </c>
      <c r="O775" s="1">
        <v>639.20000000000005</v>
      </c>
      <c r="P775" s="1">
        <v>523.92999999999995</v>
      </c>
      <c r="Q775">
        <v>0.124</v>
      </c>
      <c r="R775">
        <v>1.55E-4</v>
      </c>
    </row>
    <row r="776" spans="1:18" ht="13.8" outlineLevel="2" x14ac:dyDescent="0.25">
      <c r="A776">
        <v>108956</v>
      </c>
      <c r="B776" t="s">
        <v>915</v>
      </c>
      <c r="C776" t="s">
        <v>917</v>
      </c>
      <c r="D776" s="14" t="s">
        <v>910</v>
      </c>
      <c r="E776" s="12" t="s">
        <v>28</v>
      </c>
      <c r="F776" s="13" t="s">
        <v>29</v>
      </c>
      <c r="G776">
        <v>1</v>
      </c>
      <c r="H776" t="s">
        <v>420</v>
      </c>
      <c r="I776">
        <v>5</v>
      </c>
      <c r="J776" s="15"/>
      <c r="K776" s="16">
        <f>912 - (912 * $E$1)</f>
        <v>912</v>
      </c>
      <c r="L776" s="16">
        <f>747.54 - (747.54 * $E$1)</f>
        <v>747.54</v>
      </c>
      <c r="M776" s="1">
        <v>912</v>
      </c>
      <c r="N776" s="1">
        <v>747.54</v>
      </c>
      <c r="O776" s="1">
        <v>775.2</v>
      </c>
      <c r="P776" s="1">
        <v>635.41</v>
      </c>
      <c r="Q776">
        <v>0.14199999999999999</v>
      </c>
      <c r="R776">
        <v>1.65E-4</v>
      </c>
    </row>
    <row r="777" spans="1:18" ht="13.8" outlineLevel="2" x14ac:dyDescent="0.25">
      <c r="A777">
        <v>108957</v>
      </c>
      <c r="B777" t="s">
        <v>915</v>
      </c>
      <c r="C777" t="s">
        <v>918</v>
      </c>
      <c r="D777" s="14" t="s">
        <v>910</v>
      </c>
      <c r="E777" s="12" t="s">
        <v>28</v>
      </c>
      <c r="F777" s="13" t="s">
        <v>29</v>
      </c>
      <c r="G777">
        <v>1</v>
      </c>
      <c r="H777" t="s">
        <v>420</v>
      </c>
      <c r="I777">
        <v>5</v>
      </c>
      <c r="J777" s="15"/>
      <c r="K777" s="16">
        <f>1551 - (1551 * $E$1)</f>
        <v>1551</v>
      </c>
      <c r="L777" s="16">
        <f>1271.31 - (1271.31 * $E$1)</f>
        <v>1271.31</v>
      </c>
      <c r="M777" s="1">
        <v>1551</v>
      </c>
      <c r="N777" s="1">
        <v>1271.31</v>
      </c>
      <c r="O777" s="1">
        <v>1318.35</v>
      </c>
      <c r="P777" s="1">
        <v>1080.6099999999999</v>
      </c>
      <c r="Q777">
        <v>0.222</v>
      </c>
      <c r="R777">
        <v>3.7399999999999998E-4</v>
      </c>
    </row>
    <row r="778" spans="1:18" ht="13.8" outlineLevel="2" x14ac:dyDescent="0.25">
      <c r="A778">
        <v>90906</v>
      </c>
      <c r="B778" t="s">
        <v>915</v>
      </c>
      <c r="C778" t="s">
        <v>919</v>
      </c>
      <c r="D778" s="14" t="s">
        <v>920</v>
      </c>
      <c r="E778" s="12" t="s">
        <v>28</v>
      </c>
      <c r="F778" s="17" t="s">
        <v>549</v>
      </c>
      <c r="G778">
        <v>100</v>
      </c>
      <c r="H778" t="s">
        <v>30</v>
      </c>
      <c r="I778">
        <v>100</v>
      </c>
      <c r="J778" s="15"/>
      <c r="K778" s="16">
        <f>5.87 - (5.87 * $E$1)</f>
        <v>5.87</v>
      </c>
      <c r="L778" s="16">
        <f>4.81 - (4.81 * $E$1)</f>
        <v>4.8099999999999996</v>
      </c>
      <c r="M778" s="1">
        <v>5.87</v>
      </c>
      <c r="N778" s="1">
        <v>4.8099999999999996</v>
      </c>
      <c r="O778" s="1">
        <v>4.99</v>
      </c>
      <c r="P778" s="1">
        <v>4.09</v>
      </c>
      <c r="Q778">
        <v>1.1999999999999999E-3</v>
      </c>
      <c r="R778">
        <v>1.55E-6</v>
      </c>
    </row>
    <row r="779" spans="1:18" ht="13.8" outlineLevel="2" x14ac:dyDescent="0.25">
      <c r="A779">
        <v>90907</v>
      </c>
      <c r="B779" t="s">
        <v>915</v>
      </c>
      <c r="C779" t="s">
        <v>921</v>
      </c>
      <c r="D779" s="14" t="s">
        <v>920</v>
      </c>
      <c r="E779" s="12" t="s">
        <v>28</v>
      </c>
      <c r="F779" s="17" t="s">
        <v>549</v>
      </c>
      <c r="G779">
        <v>100</v>
      </c>
      <c r="H779" t="s">
        <v>30</v>
      </c>
      <c r="I779">
        <v>100</v>
      </c>
      <c r="J779" s="15"/>
      <c r="K779" s="16">
        <f>7.16 - (7.16 * $E$1)</f>
        <v>7.16</v>
      </c>
      <c r="L779" s="16">
        <f>5.87 - (5.87 * $E$1)</f>
        <v>5.87</v>
      </c>
      <c r="M779" s="1">
        <v>7.16</v>
      </c>
      <c r="N779" s="1">
        <v>5.87</v>
      </c>
      <c r="O779" s="1">
        <v>6.09</v>
      </c>
      <c r="P779" s="1">
        <v>4.99</v>
      </c>
      <c r="Q779">
        <v>1.4E-3</v>
      </c>
      <c r="R779">
        <v>1.6500000000000001E-6</v>
      </c>
    </row>
    <row r="780" spans="1:18" ht="13.8" outlineLevel="2" x14ac:dyDescent="0.25">
      <c r="A780">
        <v>90908</v>
      </c>
      <c r="B780" t="s">
        <v>915</v>
      </c>
      <c r="C780" t="s">
        <v>922</v>
      </c>
      <c r="D780" s="14" t="s">
        <v>920</v>
      </c>
      <c r="E780" s="12" t="s">
        <v>28</v>
      </c>
      <c r="F780" s="13" t="s">
        <v>29</v>
      </c>
      <c r="G780">
        <v>100</v>
      </c>
      <c r="H780" t="s">
        <v>30</v>
      </c>
      <c r="I780">
        <v>100</v>
      </c>
      <c r="J780" s="15"/>
      <c r="K780" s="16">
        <f>12.11 - (12.11 * $E$1)</f>
        <v>12.11</v>
      </c>
      <c r="L780" s="16">
        <f>9.93 - (9.93 * $E$1)</f>
        <v>9.93</v>
      </c>
      <c r="M780" s="1">
        <v>12.11</v>
      </c>
      <c r="N780" s="1">
        <v>9.93</v>
      </c>
      <c r="O780" s="1">
        <v>10.3</v>
      </c>
      <c r="P780" s="1">
        <v>8.44</v>
      </c>
      <c r="Q780">
        <v>2.2000000000000001E-3</v>
      </c>
      <c r="R780">
        <v>3.7400000000000002E-6</v>
      </c>
    </row>
    <row r="781" spans="1:18" ht="13.8" outlineLevel="2" x14ac:dyDescent="0.25">
      <c r="A781">
        <v>108631</v>
      </c>
      <c r="B781" t="s">
        <v>915</v>
      </c>
      <c r="C781" t="s">
        <v>923</v>
      </c>
      <c r="D781" s="14" t="s">
        <v>920</v>
      </c>
      <c r="E781" s="12" t="s">
        <v>28</v>
      </c>
      <c r="F781" s="13" t="s">
        <v>29</v>
      </c>
      <c r="G781">
        <v>1</v>
      </c>
      <c r="H781" t="s">
        <v>420</v>
      </c>
      <c r="I781">
        <v>5</v>
      </c>
      <c r="J781" s="15"/>
      <c r="K781" s="16">
        <f>587 - (587 * $E$1)</f>
        <v>587</v>
      </c>
      <c r="L781" s="16">
        <f>481.15 - (481.15 * $E$1)</f>
        <v>481.15</v>
      </c>
      <c r="M781" s="1">
        <v>587</v>
      </c>
      <c r="N781" s="1">
        <v>481.15</v>
      </c>
      <c r="O781" s="1">
        <v>498.95</v>
      </c>
      <c r="P781" s="1">
        <v>408.98</v>
      </c>
      <c r="Q781">
        <v>0.12</v>
      </c>
      <c r="R781">
        <v>1.55E-4</v>
      </c>
    </row>
    <row r="782" spans="1:18" ht="13.8" outlineLevel="2" x14ac:dyDescent="0.25">
      <c r="A782">
        <v>108632</v>
      </c>
      <c r="B782" t="s">
        <v>915</v>
      </c>
      <c r="C782" t="s">
        <v>924</v>
      </c>
      <c r="D782" s="14" t="s">
        <v>920</v>
      </c>
      <c r="E782" s="12" t="s">
        <v>28</v>
      </c>
      <c r="F782" s="13" t="s">
        <v>29</v>
      </c>
      <c r="G782">
        <v>1</v>
      </c>
      <c r="H782" t="s">
        <v>420</v>
      </c>
      <c r="I782">
        <v>5</v>
      </c>
      <c r="J782" s="15"/>
      <c r="K782" s="16">
        <f>716.01 - (716.01 * $E$1)</f>
        <v>716.01</v>
      </c>
      <c r="L782" s="16">
        <f>586.89 - (586.89 * $E$1)</f>
        <v>586.89</v>
      </c>
      <c r="M782" s="1">
        <v>716.01</v>
      </c>
      <c r="N782" s="1">
        <v>586.89</v>
      </c>
      <c r="O782" s="1">
        <v>608.6</v>
      </c>
      <c r="P782" s="1">
        <v>498.86</v>
      </c>
      <c r="Q782">
        <v>0.14000000000000001</v>
      </c>
      <c r="R782">
        <v>1.65E-4</v>
      </c>
    </row>
    <row r="783" spans="1:18" ht="13.8" outlineLevel="2" x14ac:dyDescent="0.25">
      <c r="A783">
        <v>108486</v>
      </c>
      <c r="B783" t="s">
        <v>915</v>
      </c>
      <c r="C783" t="s">
        <v>925</v>
      </c>
      <c r="D783" s="14" t="s">
        <v>920</v>
      </c>
      <c r="E783" s="12" t="s">
        <v>28</v>
      </c>
      <c r="F783" s="13" t="s">
        <v>29</v>
      </c>
      <c r="G783">
        <v>1</v>
      </c>
      <c r="H783" t="s">
        <v>420</v>
      </c>
      <c r="I783">
        <v>5</v>
      </c>
      <c r="J783" s="15"/>
      <c r="K783" s="16">
        <f>1211 - (1211 * $E$1)</f>
        <v>1211</v>
      </c>
      <c r="L783" s="16">
        <f>992.62 - (992.62 * $E$1)</f>
        <v>992.62</v>
      </c>
      <c r="M783" s="1">
        <v>1211</v>
      </c>
      <c r="N783" s="1">
        <v>992.62</v>
      </c>
      <c r="O783" s="1">
        <v>1029.3499999999999</v>
      </c>
      <c r="P783" s="1">
        <v>843.73</v>
      </c>
      <c r="Q783">
        <v>0.22</v>
      </c>
      <c r="R783">
        <v>3.7399999999999998E-4</v>
      </c>
    </row>
    <row r="784" spans="1:18" ht="13.8" outlineLevel="2" x14ac:dyDescent="0.25">
      <c r="A784">
        <v>57922</v>
      </c>
      <c r="B784" t="s">
        <v>908</v>
      </c>
      <c r="C784" t="s">
        <v>926</v>
      </c>
      <c r="D784" s="14" t="s">
        <v>927</v>
      </c>
      <c r="E784" s="12" t="s">
        <v>28</v>
      </c>
      <c r="F784" s="17" t="s">
        <v>549</v>
      </c>
      <c r="G784">
        <v>100</v>
      </c>
      <c r="H784" t="s">
        <v>30</v>
      </c>
      <c r="I784">
        <v>100</v>
      </c>
      <c r="J784" s="15"/>
      <c r="K784" s="16">
        <f>8.31 - (8.31 * $E$1)</f>
        <v>8.31</v>
      </c>
      <c r="L784" s="16">
        <f>6.81 - (6.81 * $E$1)</f>
        <v>6.81</v>
      </c>
      <c r="M784" s="1">
        <v>8.31</v>
      </c>
      <c r="N784" s="1">
        <v>6.81</v>
      </c>
      <c r="O784" s="1">
        <v>7.06</v>
      </c>
      <c r="P784" s="1">
        <v>5.79</v>
      </c>
      <c r="Q784">
        <v>1.08E-3</v>
      </c>
      <c r="R784">
        <v>1.15E-6</v>
      </c>
    </row>
    <row r="785" spans="1:18" ht="13.8" outlineLevel="2" x14ac:dyDescent="0.25">
      <c r="A785">
        <v>57923</v>
      </c>
      <c r="B785" t="s">
        <v>908</v>
      </c>
      <c r="C785" t="s">
        <v>928</v>
      </c>
      <c r="D785" s="14" t="s">
        <v>927</v>
      </c>
      <c r="E785" s="12" t="s">
        <v>28</v>
      </c>
      <c r="F785" s="13" t="s">
        <v>29</v>
      </c>
      <c r="G785">
        <v>100</v>
      </c>
      <c r="H785" t="s">
        <v>30</v>
      </c>
      <c r="I785">
        <v>100</v>
      </c>
      <c r="J785" s="15"/>
      <c r="K785" s="16">
        <f>10 - (10 * $E$1)</f>
        <v>10</v>
      </c>
      <c r="L785" s="16">
        <f>8.2 - (8.2 * $E$1)</f>
        <v>8.1999999999999993</v>
      </c>
      <c r="M785" s="1">
        <v>10</v>
      </c>
      <c r="N785" s="1">
        <v>8.1999999999999993</v>
      </c>
      <c r="O785" s="1">
        <v>8.5</v>
      </c>
      <c r="P785" s="1">
        <v>6.97</v>
      </c>
      <c r="Q785">
        <v>1.34E-3</v>
      </c>
      <c r="R785">
        <v>1.7999999999999999E-6</v>
      </c>
    </row>
    <row r="786" spans="1:18" ht="13.8" outlineLevel="2" x14ac:dyDescent="0.25">
      <c r="A786">
        <v>57924</v>
      </c>
      <c r="B786" t="s">
        <v>908</v>
      </c>
      <c r="C786" t="s">
        <v>929</v>
      </c>
      <c r="D786" s="14" t="s">
        <v>927</v>
      </c>
      <c r="E786" s="12" t="s">
        <v>28</v>
      </c>
      <c r="F786" s="13" t="s">
        <v>29</v>
      </c>
      <c r="G786">
        <v>100</v>
      </c>
      <c r="H786" t="s">
        <v>30</v>
      </c>
      <c r="I786">
        <v>100</v>
      </c>
      <c r="J786" s="15"/>
      <c r="K786" s="16">
        <f>16.75 - (16.75 * $E$1)</f>
        <v>16.75</v>
      </c>
      <c r="L786" s="16">
        <f>13.73 - (13.73 * $E$1)</f>
        <v>13.73</v>
      </c>
      <c r="M786" s="1">
        <v>16.75</v>
      </c>
      <c r="N786" s="1">
        <v>13.73</v>
      </c>
      <c r="O786" s="1">
        <v>14.24</v>
      </c>
      <c r="P786" s="1">
        <v>11.67</v>
      </c>
      <c r="Q786">
        <v>2.2399999999999998E-3</v>
      </c>
      <c r="R786">
        <v>3.58E-6</v>
      </c>
    </row>
    <row r="787" spans="1:18" ht="13.8" outlineLevel="2" x14ac:dyDescent="0.25">
      <c r="A787">
        <v>108628</v>
      </c>
      <c r="B787" t="s">
        <v>915</v>
      </c>
      <c r="C787" t="s">
        <v>930</v>
      </c>
      <c r="D787" s="14" t="s">
        <v>927</v>
      </c>
      <c r="E787" s="12" t="s">
        <v>28</v>
      </c>
      <c r="F787" s="13" t="s">
        <v>29</v>
      </c>
      <c r="G787">
        <v>1</v>
      </c>
      <c r="H787" t="s">
        <v>420</v>
      </c>
      <c r="I787">
        <v>1</v>
      </c>
      <c r="J787" s="15"/>
      <c r="K787" s="16">
        <f>831 - (831 * $E$1)</f>
        <v>831</v>
      </c>
      <c r="L787" s="16">
        <f>681.15 - (681.15 * $E$1)</f>
        <v>681.15</v>
      </c>
      <c r="M787" s="1">
        <v>831</v>
      </c>
      <c r="N787" s="1">
        <v>681.15</v>
      </c>
      <c r="O787" s="1">
        <v>706.35</v>
      </c>
      <c r="P787" s="1">
        <v>578.98</v>
      </c>
      <c r="Q787">
        <v>0.108</v>
      </c>
      <c r="R787">
        <v>1.15E-4</v>
      </c>
    </row>
    <row r="788" spans="1:18" ht="13.8" outlineLevel="2" x14ac:dyDescent="0.25">
      <c r="A788">
        <v>108629</v>
      </c>
      <c r="B788" t="s">
        <v>915</v>
      </c>
      <c r="C788" t="s">
        <v>931</v>
      </c>
      <c r="D788" s="14" t="s">
        <v>927</v>
      </c>
      <c r="E788" s="12" t="s">
        <v>28</v>
      </c>
      <c r="F788" s="13" t="s">
        <v>29</v>
      </c>
      <c r="G788">
        <v>1</v>
      </c>
      <c r="H788" t="s">
        <v>420</v>
      </c>
      <c r="I788">
        <v>1</v>
      </c>
      <c r="J788" s="15"/>
      <c r="K788" s="16">
        <f>1000 - (1000 * $E$1)</f>
        <v>1000</v>
      </c>
      <c r="L788" s="16">
        <f>819.67 - (819.67 * $E$1)</f>
        <v>819.67</v>
      </c>
      <c r="M788" s="1">
        <v>1000</v>
      </c>
      <c r="N788" s="1">
        <v>819.67</v>
      </c>
      <c r="O788" s="1">
        <v>850</v>
      </c>
      <c r="P788" s="1">
        <v>696.72</v>
      </c>
      <c r="Q788">
        <v>0.13400000000000001</v>
      </c>
      <c r="R788">
        <v>1.8000000000000001E-4</v>
      </c>
    </row>
    <row r="789" spans="1:18" ht="13.8" outlineLevel="2" x14ac:dyDescent="0.25">
      <c r="A789">
        <v>108630</v>
      </c>
      <c r="B789" t="s">
        <v>915</v>
      </c>
      <c r="C789" t="s">
        <v>932</v>
      </c>
      <c r="D789" s="14" t="s">
        <v>927</v>
      </c>
      <c r="E789" s="12" t="s">
        <v>28</v>
      </c>
      <c r="F789" s="13" t="s">
        <v>29</v>
      </c>
      <c r="G789">
        <v>1</v>
      </c>
      <c r="H789" t="s">
        <v>420</v>
      </c>
      <c r="I789">
        <v>1</v>
      </c>
      <c r="J789" s="15"/>
      <c r="K789" s="16">
        <f>1675 - (1675 * $E$1)</f>
        <v>1675</v>
      </c>
      <c r="L789" s="16">
        <f>1372.95 - (1372.95 * $E$1)</f>
        <v>1372.95</v>
      </c>
      <c r="M789" s="1">
        <v>1675</v>
      </c>
      <c r="N789" s="1">
        <v>1372.95</v>
      </c>
      <c r="O789" s="1">
        <v>1423.75</v>
      </c>
      <c r="P789" s="1">
        <v>1167.01</v>
      </c>
      <c r="Q789">
        <v>0.224</v>
      </c>
      <c r="R789">
        <v>3.5799999999999997E-4</v>
      </c>
    </row>
    <row r="790" spans="1:18" ht="13.8" outlineLevel="2" x14ac:dyDescent="0.25">
      <c r="A790">
        <v>59122</v>
      </c>
      <c r="B790" t="s">
        <v>908</v>
      </c>
      <c r="C790" t="s">
        <v>933</v>
      </c>
      <c r="D790" s="14" t="s">
        <v>934</v>
      </c>
      <c r="E790" s="12" t="s">
        <v>28</v>
      </c>
      <c r="F790" s="17" t="s">
        <v>549</v>
      </c>
      <c r="G790">
        <v>100</v>
      </c>
      <c r="H790" t="s">
        <v>30</v>
      </c>
      <c r="I790">
        <v>100</v>
      </c>
      <c r="J790" s="15"/>
      <c r="K790" s="16">
        <f>17.12 - (17.12 * $E$1)</f>
        <v>17.12</v>
      </c>
      <c r="L790" s="16">
        <f>14.03 - (14.03 * $E$1)</f>
        <v>14.03</v>
      </c>
      <c r="M790" s="1">
        <v>17.12</v>
      </c>
      <c r="N790" s="1">
        <v>14.03</v>
      </c>
      <c r="O790" s="1">
        <v>14.55</v>
      </c>
      <c r="P790" s="1">
        <v>11.93</v>
      </c>
      <c r="Q790">
        <v>1.14E-3</v>
      </c>
      <c r="R790">
        <v>2.3099999999999999E-6</v>
      </c>
    </row>
    <row r="791" spans="1:18" ht="13.8" outlineLevel="2" x14ac:dyDescent="0.25">
      <c r="A791">
        <v>59123</v>
      </c>
      <c r="B791" t="s">
        <v>908</v>
      </c>
      <c r="C791" t="s">
        <v>935</v>
      </c>
      <c r="D791" s="14" t="s">
        <v>934</v>
      </c>
      <c r="E791" s="12" t="s">
        <v>28</v>
      </c>
      <c r="F791" s="17" t="s">
        <v>549</v>
      </c>
      <c r="G791">
        <v>100</v>
      </c>
      <c r="H791" t="s">
        <v>30</v>
      </c>
      <c r="I791">
        <v>100</v>
      </c>
      <c r="J791" s="15"/>
      <c r="K791" s="16">
        <f>21.46 - (21.46 * $E$1)</f>
        <v>21.46</v>
      </c>
      <c r="L791" s="16">
        <f>17.59 - (17.59 * $E$1)</f>
        <v>17.59</v>
      </c>
      <c r="M791" s="1">
        <v>21.46</v>
      </c>
      <c r="N791" s="1">
        <v>17.59</v>
      </c>
      <c r="O791" s="1">
        <v>18.239999999999998</v>
      </c>
      <c r="P791" s="1">
        <v>14.95</v>
      </c>
      <c r="Q791">
        <v>1.4E-3</v>
      </c>
      <c r="R791">
        <v>2.3099999999999999E-6</v>
      </c>
    </row>
    <row r="792" spans="1:18" ht="13.8" outlineLevel="2" x14ac:dyDescent="0.25">
      <c r="A792">
        <v>59124</v>
      </c>
      <c r="B792" t="s">
        <v>908</v>
      </c>
      <c r="C792" t="s">
        <v>936</v>
      </c>
      <c r="D792" s="14" t="s">
        <v>934</v>
      </c>
      <c r="E792" s="12" t="s">
        <v>28</v>
      </c>
      <c r="F792" s="17" t="s">
        <v>549</v>
      </c>
      <c r="G792">
        <v>100</v>
      </c>
      <c r="H792" t="s">
        <v>30</v>
      </c>
      <c r="I792">
        <v>100</v>
      </c>
      <c r="J792" s="15"/>
      <c r="K792" s="16">
        <f>30.12 - (30.12 * $E$1)</f>
        <v>30.12</v>
      </c>
      <c r="L792" s="16">
        <f>24.69 - (24.69 * $E$1)</f>
        <v>24.69</v>
      </c>
      <c r="M792" s="1">
        <v>30.12</v>
      </c>
      <c r="N792" s="1">
        <v>24.69</v>
      </c>
      <c r="O792" s="1">
        <v>25.6</v>
      </c>
      <c r="P792" s="1">
        <v>20.99</v>
      </c>
      <c r="Q792">
        <v>2.32E-3</v>
      </c>
      <c r="R792">
        <v>4.16E-6</v>
      </c>
    </row>
    <row r="793" spans="1:18" ht="13.8" outlineLevel="2" x14ac:dyDescent="0.25">
      <c r="A793">
        <v>108958</v>
      </c>
      <c r="B793" t="s">
        <v>915</v>
      </c>
      <c r="C793" t="s">
        <v>937</v>
      </c>
      <c r="D793" s="14" t="s">
        <v>934</v>
      </c>
      <c r="E793" s="12" t="s">
        <v>28</v>
      </c>
      <c r="F793" s="13" t="s">
        <v>29</v>
      </c>
      <c r="G793">
        <v>1</v>
      </c>
      <c r="H793" t="s">
        <v>420</v>
      </c>
      <c r="I793">
        <v>1</v>
      </c>
      <c r="J793" s="15"/>
      <c r="K793" s="16">
        <f>1712 - (1712 * $E$1)</f>
        <v>1712</v>
      </c>
      <c r="L793" s="16">
        <f>1403.28 - (1403.28 * $E$1)</f>
        <v>1403.28</v>
      </c>
      <c r="M793" s="1">
        <v>1712</v>
      </c>
      <c r="N793" s="1">
        <v>1403.28</v>
      </c>
      <c r="O793" s="1">
        <v>1455.2</v>
      </c>
      <c r="P793" s="1">
        <v>1192.79</v>
      </c>
      <c r="Q793">
        <v>0.114</v>
      </c>
      <c r="R793">
        <v>2.31E-4</v>
      </c>
    </row>
    <row r="794" spans="1:18" ht="13.8" outlineLevel="2" x14ac:dyDescent="0.25">
      <c r="A794">
        <v>108959</v>
      </c>
      <c r="B794" t="s">
        <v>915</v>
      </c>
      <c r="C794" t="s">
        <v>938</v>
      </c>
      <c r="D794" s="14" t="s">
        <v>934</v>
      </c>
      <c r="E794" s="12" t="s">
        <v>28</v>
      </c>
      <c r="F794" s="13" t="s">
        <v>29</v>
      </c>
      <c r="G794">
        <v>1</v>
      </c>
      <c r="H794" t="s">
        <v>420</v>
      </c>
      <c r="I794">
        <v>1</v>
      </c>
      <c r="J794" s="15"/>
      <c r="K794" s="16">
        <f>2146 - (2146 * $E$1)</f>
        <v>2146</v>
      </c>
      <c r="L794" s="16">
        <f>1759.02 - (1759.02 * $E$1)</f>
        <v>1759.02</v>
      </c>
      <c r="M794" s="1">
        <v>2146</v>
      </c>
      <c r="N794" s="1">
        <v>1759.02</v>
      </c>
      <c r="O794" s="1">
        <v>1824.1</v>
      </c>
      <c r="P794" s="1">
        <v>1495.17</v>
      </c>
      <c r="Q794">
        <v>0.14000000000000001</v>
      </c>
      <c r="R794">
        <v>2.31E-4</v>
      </c>
    </row>
    <row r="795" spans="1:18" ht="13.8" outlineLevel="2" x14ac:dyDescent="0.25">
      <c r="A795">
        <v>108960</v>
      </c>
      <c r="B795" t="s">
        <v>915</v>
      </c>
      <c r="C795" t="s">
        <v>939</v>
      </c>
      <c r="D795" s="14" t="s">
        <v>934</v>
      </c>
      <c r="E795" s="12" t="s">
        <v>28</v>
      </c>
      <c r="F795" s="13" t="s">
        <v>29</v>
      </c>
      <c r="G795">
        <v>1</v>
      </c>
      <c r="H795" t="s">
        <v>420</v>
      </c>
      <c r="I795">
        <v>1</v>
      </c>
      <c r="J795" s="15"/>
      <c r="K795" s="16">
        <f>3012 - (3012 * $E$1)</f>
        <v>3012</v>
      </c>
      <c r="L795" s="16">
        <f>2468.85 - (2468.85 * $E$1)</f>
        <v>2468.85</v>
      </c>
      <c r="M795" s="1">
        <v>3012</v>
      </c>
      <c r="N795" s="1">
        <v>2468.85</v>
      </c>
      <c r="O795" s="1">
        <v>2560.1999999999998</v>
      </c>
      <c r="P795" s="1">
        <v>2098.52</v>
      </c>
      <c r="Q795">
        <v>0.23200000000000001</v>
      </c>
      <c r="R795">
        <v>4.1599999999999997E-4</v>
      </c>
    </row>
    <row r="796" spans="1:18" ht="13.8" outlineLevel="2" x14ac:dyDescent="0.25">
      <c r="A796">
        <v>83601</v>
      </c>
      <c r="B796" t="s">
        <v>940</v>
      </c>
      <c r="C796" t="s">
        <v>941</v>
      </c>
      <c r="D796" s="14" t="s">
        <v>942</v>
      </c>
      <c r="E796" s="12" t="s">
        <v>28</v>
      </c>
      <c r="F796" s="13" t="s">
        <v>29</v>
      </c>
      <c r="G796">
        <v>20</v>
      </c>
      <c r="H796" t="s">
        <v>30</v>
      </c>
      <c r="I796">
        <v>20</v>
      </c>
      <c r="J796" s="15"/>
      <c r="K796" s="16">
        <f>20.94 - (20.94 * $E$1)</f>
        <v>20.94</v>
      </c>
      <c r="L796" s="16">
        <f>17.16 - (17.16 * $E$1)</f>
        <v>17.16</v>
      </c>
      <c r="M796" s="1">
        <v>20.94</v>
      </c>
      <c r="N796" s="1">
        <v>17.16</v>
      </c>
      <c r="O796" s="1">
        <v>17.79</v>
      </c>
      <c r="P796" s="1">
        <v>14.59</v>
      </c>
      <c r="Q796">
        <v>5.0000000000000001E-3</v>
      </c>
      <c r="R796">
        <v>3.1999999999999999E-6</v>
      </c>
    </row>
    <row r="797" spans="1:18" ht="13.8" outlineLevel="2" x14ac:dyDescent="0.25">
      <c r="A797">
        <v>79879</v>
      </c>
      <c r="B797" t="s">
        <v>940</v>
      </c>
      <c r="C797" t="s">
        <v>943</v>
      </c>
      <c r="D797" s="14" t="s">
        <v>942</v>
      </c>
      <c r="E797" s="12" t="s">
        <v>28</v>
      </c>
      <c r="F797" s="17" t="s">
        <v>549</v>
      </c>
      <c r="G797">
        <v>20</v>
      </c>
      <c r="H797" t="s">
        <v>30</v>
      </c>
      <c r="I797">
        <v>20</v>
      </c>
      <c r="J797" s="15"/>
      <c r="K797" s="16">
        <f>26.07 - (26.07 * $E$1)</f>
        <v>26.07</v>
      </c>
      <c r="L797" s="16">
        <f>21.37 - (21.37 * $E$1)</f>
        <v>21.37</v>
      </c>
      <c r="M797" s="1">
        <v>26.07</v>
      </c>
      <c r="N797" s="1">
        <v>21.37</v>
      </c>
      <c r="O797" s="1">
        <v>22.16</v>
      </c>
      <c r="P797" s="1">
        <v>18.16</v>
      </c>
      <c r="Q797">
        <v>4.0000000000000002E-4</v>
      </c>
      <c r="R797">
        <v>3.5999999999999998E-6</v>
      </c>
    </row>
    <row r="798" spans="1:18" ht="13.8" outlineLevel="2" x14ac:dyDescent="0.25">
      <c r="A798">
        <v>79880</v>
      </c>
      <c r="B798" t="s">
        <v>940</v>
      </c>
      <c r="C798" t="s">
        <v>944</v>
      </c>
      <c r="D798" s="14" t="s">
        <v>942</v>
      </c>
      <c r="E798" s="12" t="s">
        <v>28</v>
      </c>
      <c r="F798" s="17" t="s">
        <v>549</v>
      </c>
      <c r="G798">
        <v>20</v>
      </c>
      <c r="H798" t="s">
        <v>30</v>
      </c>
      <c r="I798">
        <v>20</v>
      </c>
      <c r="J798" s="15"/>
      <c r="K798" s="16">
        <f>31.74 - (31.74 * $E$1)</f>
        <v>31.74</v>
      </c>
      <c r="L798" s="16">
        <f>26.02 - (26.02 * $E$1)</f>
        <v>26.02</v>
      </c>
      <c r="M798" s="1">
        <v>31.74</v>
      </c>
      <c r="N798" s="1">
        <v>26.02</v>
      </c>
      <c r="O798" s="1">
        <v>26.98</v>
      </c>
      <c r="P798" s="1">
        <v>22.12</v>
      </c>
      <c r="Q798">
        <v>6.9999999999999999E-4</v>
      </c>
      <c r="R798">
        <v>5.0499999999999999E-6</v>
      </c>
    </row>
    <row r="799" spans="1:18" ht="13.8" outlineLevel="2" x14ac:dyDescent="0.25">
      <c r="A799">
        <v>79881</v>
      </c>
      <c r="B799" t="s">
        <v>940</v>
      </c>
      <c r="C799" t="s">
        <v>945</v>
      </c>
      <c r="D799" s="14" t="s">
        <v>942</v>
      </c>
      <c r="E799" s="12" t="s">
        <v>28</v>
      </c>
      <c r="F799" s="13" t="s">
        <v>29</v>
      </c>
      <c r="G799">
        <v>20</v>
      </c>
      <c r="H799" t="s">
        <v>30</v>
      </c>
      <c r="I799">
        <v>20</v>
      </c>
      <c r="J799" s="15"/>
      <c r="K799" s="16">
        <f>34.76 - (34.76 * $E$1)</f>
        <v>34.76</v>
      </c>
      <c r="L799" s="16">
        <f>28.49 - (28.49 * $E$1)</f>
        <v>28.49</v>
      </c>
      <c r="M799" s="1">
        <v>34.76</v>
      </c>
      <c r="N799" s="1">
        <v>28.49</v>
      </c>
      <c r="O799" s="1">
        <v>29.54</v>
      </c>
      <c r="P799" s="1">
        <v>24.22</v>
      </c>
      <c r="Q799">
        <v>8.9999999999999998E-4</v>
      </c>
      <c r="R799">
        <v>9.9999999999999995E-7</v>
      </c>
    </row>
    <row r="800" spans="1:18" ht="13.8" outlineLevel="2" x14ac:dyDescent="0.25">
      <c r="A800">
        <v>108961</v>
      </c>
      <c r="B800" t="s">
        <v>946</v>
      </c>
      <c r="C800" t="s">
        <v>947</v>
      </c>
      <c r="D800" s="14" t="s">
        <v>942</v>
      </c>
      <c r="E800" s="12" t="s">
        <v>28</v>
      </c>
      <c r="F800" s="13" t="s">
        <v>29</v>
      </c>
      <c r="G800">
        <v>1</v>
      </c>
      <c r="H800" t="s">
        <v>420</v>
      </c>
      <c r="I800">
        <v>1</v>
      </c>
      <c r="J800" s="15"/>
      <c r="K800" s="16">
        <f>418.8 - (418.8 * $E$1)</f>
        <v>418.8</v>
      </c>
      <c r="L800" s="16">
        <f>343.28 - (343.28 * $E$1)</f>
        <v>343.28</v>
      </c>
      <c r="M800" s="1">
        <v>418.8</v>
      </c>
      <c r="N800" s="1">
        <v>343.28</v>
      </c>
      <c r="O800" s="1">
        <v>355.98</v>
      </c>
      <c r="P800" s="1">
        <v>291.79000000000002</v>
      </c>
      <c r="Q800">
        <v>0.1</v>
      </c>
      <c r="R800">
        <v>6.3999999999999997E-5</v>
      </c>
    </row>
    <row r="801" spans="1:18" ht="13.8" outlineLevel="2" x14ac:dyDescent="0.25">
      <c r="A801">
        <v>108962</v>
      </c>
      <c r="B801" t="s">
        <v>946</v>
      </c>
      <c r="C801" t="s">
        <v>948</v>
      </c>
      <c r="D801" s="14" t="s">
        <v>942</v>
      </c>
      <c r="E801" s="12" t="s">
        <v>28</v>
      </c>
      <c r="F801" s="13" t="s">
        <v>29</v>
      </c>
      <c r="G801">
        <v>1</v>
      </c>
      <c r="H801" t="s">
        <v>420</v>
      </c>
      <c r="I801">
        <v>1</v>
      </c>
      <c r="J801" s="15"/>
      <c r="K801" s="16">
        <f>521.4 - (521.4 * $E$1)</f>
        <v>521.4</v>
      </c>
      <c r="L801" s="16">
        <f>427.38 - (427.38 * $E$1)</f>
        <v>427.38</v>
      </c>
      <c r="M801" s="1">
        <v>521.4</v>
      </c>
      <c r="N801" s="1">
        <v>427.38</v>
      </c>
      <c r="O801" s="1">
        <v>443.19</v>
      </c>
      <c r="P801" s="1">
        <v>363.27</v>
      </c>
      <c r="Q801">
        <v>8.0000000000000002E-3</v>
      </c>
      <c r="R801">
        <v>7.2000000000000002E-5</v>
      </c>
    </row>
    <row r="802" spans="1:18" ht="13.8" outlineLevel="2" x14ac:dyDescent="0.25">
      <c r="A802">
        <v>108963</v>
      </c>
      <c r="B802" t="s">
        <v>946</v>
      </c>
      <c r="C802" t="s">
        <v>949</v>
      </c>
      <c r="D802" s="14" t="s">
        <v>942</v>
      </c>
      <c r="E802" s="12" t="s">
        <v>28</v>
      </c>
      <c r="F802" s="13" t="s">
        <v>29</v>
      </c>
      <c r="G802">
        <v>1</v>
      </c>
      <c r="H802" t="s">
        <v>420</v>
      </c>
      <c r="I802">
        <v>1</v>
      </c>
      <c r="J802" s="15"/>
      <c r="K802" s="16">
        <f>634.8 - (634.8 * $E$1)</f>
        <v>634.79999999999995</v>
      </c>
      <c r="L802" s="16">
        <f>520.33 - (520.33 * $E$1)</f>
        <v>520.33000000000004</v>
      </c>
      <c r="M802" s="1">
        <v>634.79999999999995</v>
      </c>
      <c r="N802" s="1">
        <v>520.33000000000004</v>
      </c>
      <c r="O802" s="1">
        <v>539.58000000000004</v>
      </c>
      <c r="P802" s="1">
        <v>442.28</v>
      </c>
      <c r="Q802">
        <v>1.4E-2</v>
      </c>
      <c r="R802">
        <v>1.01E-4</v>
      </c>
    </row>
    <row r="803" spans="1:18" ht="13.8" outlineLevel="2" x14ac:dyDescent="0.25">
      <c r="A803">
        <v>108964</v>
      </c>
      <c r="B803" t="s">
        <v>946</v>
      </c>
      <c r="C803" t="s">
        <v>950</v>
      </c>
      <c r="D803" s="14" t="s">
        <v>942</v>
      </c>
      <c r="E803" s="12" t="s">
        <v>28</v>
      </c>
      <c r="F803" s="13" t="s">
        <v>29</v>
      </c>
      <c r="G803">
        <v>1</v>
      </c>
      <c r="H803" t="s">
        <v>420</v>
      </c>
      <c r="I803">
        <v>1</v>
      </c>
      <c r="J803" s="15"/>
      <c r="K803" s="16">
        <f>695.2 - (695.2 * $E$1)</f>
        <v>695.2</v>
      </c>
      <c r="L803" s="16">
        <f>569.84 - (569.84 * $E$1)</f>
        <v>569.84</v>
      </c>
      <c r="M803" s="1">
        <v>695.2</v>
      </c>
      <c r="N803" s="1">
        <v>569.84</v>
      </c>
      <c r="O803" s="1">
        <v>590.91999999999996</v>
      </c>
      <c r="P803" s="1">
        <v>484.36</v>
      </c>
      <c r="Q803">
        <v>1.7999999999999999E-2</v>
      </c>
      <c r="R803">
        <v>2.0000000000000002E-5</v>
      </c>
    </row>
    <row r="804" spans="1:18" ht="13.8" outlineLevel="2" x14ac:dyDescent="0.25">
      <c r="A804">
        <v>83608</v>
      </c>
      <c r="B804" t="s">
        <v>951</v>
      </c>
      <c r="C804" t="s">
        <v>952</v>
      </c>
      <c r="D804" s="14" t="s">
        <v>952</v>
      </c>
      <c r="E804" s="12" t="s">
        <v>28</v>
      </c>
      <c r="F804" s="13" t="s">
        <v>29</v>
      </c>
      <c r="G804">
        <v>1</v>
      </c>
      <c r="H804" t="s">
        <v>30</v>
      </c>
      <c r="I804">
        <v>1</v>
      </c>
      <c r="J804" s="15"/>
      <c r="K804" s="16">
        <f>1833.82 - (1833.82 * $E$1)</f>
        <v>1833.82</v>
      </c>
      <c r="L804" s="16">
        <f>1503.13 - (1503.13 * $E$1)</f>
        <v>1503.13</v>
      </c>
      <c r="M804" s="1">
        <v>1833.82</v>
      </c>
      <c r="N804" s="1">
        <v>1503.13</v>
      </c>
      <c r="O804" s="1">
        <v>1558.75</v>
      </c>
      <c r="P804" s="1">
        <v>1277.6600000000001</v>
      </c>
      <c r="Q804">
        <v>0.2</v>
      </c>
      <c r="R804">
        <v>4.3800000000000002E-4</v>
      </c>
    </row>
    <row r="805" spans="1:18" ht="13.8" outlineLevel="2" x14ac:dyDescent="0.25">
      <c r="A805">
        <v>83609</v>
      </c>
      <c r="B805" t="s">
        <v>951</v>
      </c>
      <c r="C805" t="s">
        <v>953</v>
      </c>
      <c r="D805" s="14" t="s">
        <v>953</v>
      </c>
      <c r="E805" s="12" t="s">
        <v>28</v>
      </c>
      <c r="F805" s="13" t="s">
        <v>29</v>
      </c>
      <c r="G805">
        <v>1</v>
      </c>
      <c r="H805" t="s">
        <v>30</v>
      </c>
      <c r="I805">
        <v>1</v>
      </c>
      <c r="J805" s="15"/>
      <c r="K805" s="16">
        <f>3684.88 - (3684.88 * $E$1)</f>
        <v>3684.88</v>
      </c>
      <c r="L805" s="16">
        <f>3020.39 - (3020.39 * $E$1)</f>
        <v>3020.39</v>
      </c>
      <c r="M805" s="1">
        <v>3684.88</v>
      </c>
      <c r="N805" s="1">
        <v>3020.39</v>
      </c>
      <c r="O805" s="1">
        <v>3132.14</v>
      </c>
      <c r="P805" s="1">
        <v>2567.33</v>
      </c>
      <c r="Q805">
        <v>0.4</v>
      </c>
      <c r="R805">
        <v>1.0399999999999999E-3</v>
      </c>
    </row>
    <row r="806" spans="1:18" ht="13.8" outlineLevel="2" x14ac:dyDescent="0.25">
      <c r="A806">
        <v>83605</v>
      </c>
      <c r="B806" t="s">
        <v>954</v>
      </c>
      <c r="C806" t="s">
        <v>955</v>
      </c>
      <c r="D806" s="14" t="s">
        <v>955</v>
      </c>
      <c r="E806" s="12" t="s">
        <v>28</v>
      </c>
      <c r="F806" s="13" t="s">
        <v>29</v>
      </c>
      <c r="G806">
        <v>1</v>
      </c>
      <c r="H806" t="s">
        <v>30</v>
      </c>
      <c r="I806">
        <v>1</v>
      </c>
      <c r="J806" s="15"/>
      <c r="K806" s="16">
        <f>1372.32 - (1372.32 * $E$1)</f>
        <v>1372.32</v>
      </c>
      <c r="L806" s="16">
        <f>1124.85 - (1124.85 * $E$1)</f>
        <v>1124.8499999999999</v>
      </c>
      <c r="M806" s="1">
        <v>1372.32</v>
      </c>
      <c r="N806" s="1">
        <v>1124.8499999999999</v>
      </c>
      <c r="O806" s="1">
        <v>1166.47</v>
      </c>
      <c r="P806" s="1">
        <v>956.12</v>
      </c>
      <c r="Q806">
        <v>0.1</v>
      </c>
      <c r="R806">
        <v>1.93E-4</v>
      </c>
    </row>
    <row r="807" spans="1:18" ht="13.8" outlineLevel="2" x14ac:dyDescent="0.25">
      <c r="A807">
        <v>83606</v>
      </c>
      <c r="B807" t="s">
        <v>954</v>
      </c>
      <c r="C807" t="s">
        <v>956</v>
      </c>
      <c r="D807" s="14" t="s">
        <v>956</v>
      </c>
      <c r="E807" s="12" t="s">
        <v>28</v>
      </c>
      <c r="F807" s="13" t="s">
        <v>29</v>
      </c>
      <c r="G807">
        <v>1</v>
      </c>
      <c r="H807" t="s">
        <v>30</v>
      </c>
      <c r="I807">
        <v>1</v>
      </c>
      <c r="J807" s="15"/>
      <c r="K807" s="16">
        <f>2610.32 - (2610.32 * $E$1)</f>
        <v>2610.3200000000002</v>
      </c>
      <c r="L807" s="16">
        <f>2139.61 - (2139.61 * $E$1)</f>
        <v>2139.61</v>
      </c>
      <c r="M807" s="1">
        <v>2610.3200000000002</v>
      </c>
      <c r="N807" s="1">
        <v>2139.61</v>
      </c>
      <c r="O807" s="1">
        <v>2218.7800000000002</v>
      </c>
      <c r="P807" s="1">
        <v>1818.67</v>
      </c>
      <c r="Q807">
        <v>0.1</v>
      </c>
      <c r="R807">
        <v>2.9399999999999999E-4</v>
      </c>
    </row>
    <row r="808" spans="1:18" ht="13.8" outlineLevel="2" x14ac:dyDescent="0.25">
      <c r="A808">
        <v>91016</v>
      </c>
      <c r="B808" t="s">
        <v>915</v>
      </c>
      <c r="C808" t="s">
        <v>957</v>
      </c>
      <c r="D808" s="14" t="s">
        <v>958</v>
      </c>
      <c r="E808" s="12" t="s">
        <v>28</v>
      </c>
      <c r="F808" s="13" t="s">
        <v>29</v>
      </c>
      <c r="G808">
        <v>1</v>
      </c>
      <c r="H808" t="s">
        <v>420</v>
      </c>
      <c r="I808">
        <v>1</v>
      </c>
      <c r="J808" s="15"/>
      <c r="K808" s="16">
        <f>274.41 - (274.41 * $E$1)</f>
        <v>274.41000000000003</v>
      </c>
      <c r="L808" s="16">
        <f>224.93 - (224.93 * $E$1)</f>
        <v>224.93</v>
      </c>
      <c r="M808" s="1">
        <v>274.41000000000003</v>
      </c>
      <c r="N808" s="1">
        <v>224.93</v>
      </c>
      <c r="O808" s="1">
        <v>233.25</v>
      </c>
      <c r="P808" s="1">
        <v>191.19</v>
      </c>
      <c r="Q808">
        <v>3.5999999999999997E-2</v>
      </c>
      <c r="R808">
        <v>1.2E-4</v>
      </c>
    </row>
    <row r="809" spans="1:18" ht="13.8" outlineLevel="2" x14ac:dyDescent="0.25">
      <c r="A809">
        <v>91017</v>
      </c>
      <c r="B809" t="s">
        <v>915</v>
      </c>
      <c r="C809" t="s">
        <v>959</v>
      </c>
      <c r="D809" s="14" t="s">
        <v>958</v>
      </c>
      <c r="E809" s="12" t="s">
        <v>28</v>
      </c>
      <c r="F809" s="13" t="s">
        <v>29</v>
      </c>
      <c r="G809">
        <v>1</v>
      </c>
      <c r="H809" t="s">
        <v>420</v>
      </c>
      <c r="I809">
        <v>1</v>
      </c>
      <c r="J809" s="15"/>
      <c r="K809" s="16">
        <f>222.93 - (222.93 * $E$1)</f>
        <v>222.93</v>
      </c>
      <c r="L809" s="16">
        <f>182.73 - (182.73 * $E$1)</f>
        <v>182.73</v>
      </c>
      <c r="M809" s="1">
        <v>222.93</v>
      </c>
      <c r="N809" s="1">
        <v>182.73</v>
      </c>
      <c r="O809" s="1">
        <v>189.49</v>
      </c>
      <c r="P809" s="1">
        <v>155.32</v>
      </c>
      <c r="Q809">
        <v>0.03</v>
      </c>
      <c r="R809">
        <v>1.2E-4</v>
      </c>
    </row>
    <row r="810" spans="1:18" ht="13.8" outlineLevel="2" x14ac:dyDescent="0.25">
      <c r="A810">
        <v>91018</v>
      </c>
      <c r="B810" t="s">
        <v>915</v>
      </c>
      <c r="C810" t="s">
        <v>960</v>
      </c>
      <c r="D810" s="14" t="s">
        <v>958</v>
      </c>
      <c r="E810" s="12" t="s">
        <v>28</v>
      </c>
      <c r="F810" s="13" t="s">
        <v>29</v>
      </c>
      <c r="G810">
        <v>1</v>
      </c>
      <c r="H810" t="s">
        <v>420</v>
      </c>
      <c r="I810">
        <v>1</v>
      </c>
      <c r="J810" s="15"/>
      <c r="K810" s="16">
        <f>276.2 - (276.2 * $E$1)</f>
        <v>276.2</v>
      </c>
      <c r="L810" s="16">
        <f>226.39 - (226.39 * $E$1)</f>
        <v>226.39</v>
      </c>
      <c r="M810" s="1">
        <v>276.2</v>
      </c>
      <c r="N810" s="1">
        <v>226.39</v>
      </c>
      <c r="O810" s="1">
        <v>234.77</v>
      </c>
      <c r="P810" s="1">
        <v>192.43</v>
      </c>
      <c r="Q810">
        <v>3.5999999999999997E-2</v>
      </c>
      <c r="R810">
        <v>1.2E-4</v>
      </c>
    </row>
    <row r="811" spans="1:18" ht="13.8" outlineLevel="2" x14ac:dyDescent="0.25">
      <c r="A811">
        <v>91019</v>
      </c>
      <c r="B811" t="s">
        <v>915</v>
      </c>
      <c r="C811" t="s">
        <v>961</v>
      </c>
      <c r="D811" s="14" t="s">
        <v>962</v>
      </c>
      <c r="E811" s="12" t="s">
        <v>28</v>
      </c>
      <c r="F811" s="13" t="s">
        <v>29</v>
      </c>
      <c r="G811">
        <v>1</v>
      </c>
      <c r="H811" t="s">
        <v>420</v>
      </c>
      <c r="I811">
        <v>1</v>
      </c>
      <c r="J811" s="15"/>
      <c r="K811" s="16">
        <f>440.59 - (440.59 * $E$1)</f>
        <v>440.59</v>
      </c>
      <c r="L811" s="16">
        <f>361.14 - (361.14 * $E$1)</f>
        <v>361.14</v>
      </c>
      <c r="M811" s="1">
        <v>440.59</v>
      </c>
      <c r="N811" s="1">
        <v>361.14</v>
      </c>
      <c r="O811" s="1">
        <v>374.5</v>
      </c>
      <c r="P811" s="1">
        <v>306.97000000000003</v>
      </c>
      <c r="Q811">
        <v>0.03</v>
      </c>
      <c r="R811">
        <v>1.0399999999999999E-4</v>
      </c>
    </row>
    <row r="812" spans="1:18" ht="13.8" outlineLevel="2" x14ac:dyDescent="0.25">
      <c r="A812">
        <v>91020</v>
      </c>
      <c r="B812" t="s">
        <v>915</v>
      </c>
      <c r="C812" t="s">
        <v>963</v>
      </c>
      <c r="D812" s="14" t="s">
        <v>962</v>
      </c>
      <c r="E812" s="12" t="s">
        <v>28</v>
      </c>
      <c r="F812" s="13" t="s">
        <v>29</v>
      </c>
      <c r="G812">
        <v>1</v>
      </c>
      <c r="H812" t="s">
        <v>420</v>
      </c>
      <c r="I812">
        <v>1</v>
      </c>
      <c r="J812" s="15"/>
      <c r="K812" s="16">
        <f>551.1 - (551.1 * $E$1)</f>
        <v>551.1</v>
      </c>
      <c r="L812" s="16">
        <f>451.72 - (451.72 * $E$1)</f>
        <v>451.72</v>
      </c>
      <c r="M812" s="1">
        <v>551.1</v>
      </c>
      <c r="N812" s="1">
        <v>451.72</v>
      </c>
      <c r="O812" s="1">
        <v>468.43</v>
      </c>
      <c r="P812" s="1">
        <v>383.96</v>
      </c>
      <c r="Q812">
        <v>3.4000000000000002E-2</v>
      </c>
      <c r="R812">
        <v>5.7000000000000003E-5</v>
      </c>
    </row>
    <row r="813" spans="1:18" ht="13.8" outlineLevel="2" x14ac:dyDescent="0.25">
      <c r="A813">
        <v>91021</v>
      </c>
      <c r="B813" t="s">
        <v>915</v>
      </c>
      <c r="C813" t="s">
        <v>964</v>
      </c>
      <c r="D813" s="14" t="s">
        <v>962</v>
      </c>
      <c r="E813" s="12" t="s">
        <v>28</v>
      </c>
      <c r="F813" s="13" t="s">
        <v>29</v>
      </c>
      <c r="G813">
        <v>1</v>
      </c>
      <c r="H813" t="s">
        <v>420</v>
      </c>
      <c r="I813">
        <v>1</v>
      </c>
      <c r="J813" s="15"/>
      <c r="K813" s="16">
        <f>391.25 - (391.25 * $E$1)</f>
        <v>391.25</v>
      </c>
      <c r="L813" s="16">
        <f>320.7 - (320.7 * $E$1)</f>
        <v>320.7</v>
      </c>
      <c r="M813" s="1">
        <v>391.25</v>
      </c>
      <c r="N813" s="1">
        <v>320.7</v>
      </c>
      <c r="O813" s="1">
        <v>332.57</v>
      </c>
      <c r="P813" s="1">
        <v>272.60000000000002</v>
      </c>
      <c r="Q813">
        <v>3.3000000000000002E-2</v>
      </c>
      <c r="R813">
        <v>1.35E-4</v>
      </c>
    </row>
    <row r="814" spans="1:18" ht="13.8" outlineLevel="2" x14ac:dyDescent="0.25">
      <c r="A814">
        <v>91013</v>
      </c>
      <c r="B814" t="s">
        <v>946</v>
      </c>
      <c r="C814" t="s">
        <v>965</v>
      </c>
      <c r="D814" s="14" t="s">
        <v>966</v>
      </c>
      <c r="E814" s="12" t="s">
        <v>28</v>
      </c>
      <c r="F814" s="13" t="s">
        <v>29</v>
      </c>
      <c r="G814">
        <v>1</v>
      </c>
      <c r="H814" t="s">
        <v>420</v>
      </c>
      <c r="I814">
        <v>1</v>
      </c>
      <c r="J814" s="15"/>
      <c r="K814" s="16">
        <f>297.58 - (297.58 * $E$1)</f>
        <v>297.58</v>
      </c>
      <c r="L814" s="16">
        <f>243.92 - (243.92 * $E$1)</f>
        <v>243.92</v>
      </c>
      <c r="M814" s="1">
        <v>297.58</v>
      </c>
      <c r="N814" s="1">
        <v>243.92</v>
      </c>
      <c r="O814" s="1">
        <v>252.95</v>
      </c>
      <c r="P814" s="1">
        <v>207.33</v>
      </c>
      <c r="Q814">
        <v>8.0000000000000002E-3</v>
      </c>
      <c r="R814">
        <v>5.7000000000000003E-5</v>
      </c>
    </row>
    <row r="815" spans="1:18" ht="13.8" outlineLevel="2" x14ac:dyDescent="0.25">
      <c r="A815">
        <v>91014</v>
      </c>
      <c r="B815" t="s">
        <v>946</v>
      </c>
      <c r="C815" t="s">
        <v>967</v>
      </c>
      <c r="D815" s="14" t="s">
        <v>966</v>
      </c>
      <c r="E815" s="12" t="s">
        <v>28</v>
      </c>
      <c r="F815" s="13" t="s">
        <v>29</v>
      </c>
      <c r="G815">
        <v>1</v>
      </c>
      <c r="H815" t="s">
        <v>420</v>
      </c>
      <c r="I815">
        <v>1</v>
      </c>
      <c r="J815" s="15"/>
      <c r="K815" s="16">
        <f>360.46 - (360.46 * $E$1)</f>
        <v>360.46</v>
      </c>
      <c r="L815" s="16">
        <f>295.46 - (295.46 * $E$1)</f>
        <v>295.45999999999998</v>
      </c>
      <c r="M815" s="1">
        <v>360.46</v>
      </c>
      <c r="N815" s="1">
        <v>295.45999999999998</v>
      </c>
      <c r="O815" s="1">
        <v>306.39</v>
      </c>
      <c r="P815" s="1">
        <v>251.14</v>
      </c>
      <c r="Q815">
        <v>0.01</v>
      </c>
      <c r="R815">
        <v>5.7000000000000003E-5</v>
      </c>
    </row>
    <row r="816" spans="1:18" ht="13.8" outlineLevel="2" x14ac:dyDescent="0.25">
      <c r="A816">
        <v>91015</v>
      </c>
      <c r="B816" t="s">
        <v>946</v>
      </c>
      <c r="C816" t="s">
        <v>968</v>
      </c>
      <c r="D816" s="14" t="s">
        <v>966</v>
      </c>
      <c r="E816" s="12" t="s">
        <v>28</v>
      </c>
      <c r="F816" s="13" t="s">
        <v>29</v>
      </c>
      <c r="G816">
        <v>1</v>
      </c>
      <c r="H816" t="s">
        <v>420</v>
      </c>
      <c r="I816">
        <v>1</v>
      </c>
      <c r="J816" s="15"/>
      <c r="K816" s="16">
        <f>395.87 - (395.87 * $E$1)</f>
        <v>395.87</v>
      </c>
      <c r="L816" s="16">
        <f>324.48 - (324.48 * $E$1)</f>
        <v>324.48</v>
      </c>
      <c r="M816" s="1">
        <v>395.87</v>
      </c>
      <c r="N816" s="1">
        <v>324.48</v>
      </c>
      <c r="O816" s="1">
        <v>336.49</v>
      </c>
      <c r="P816" s="1">
        <v>275.81</v>
      </c>
      <c r="Q816">
        <v>1.2E-2</v>
      </c>
      <c r="R816">
        <v>5.7000000000000003E-5</v>
      </c>
    </row>
    <row r="817" spans="1:18" ht="16.5" customHeight="1" outlineLevel="1" x14ac:dyDescent="0.35">
      <c r="A817" s="9"/>
      <c r="B817" s="10" t="s">
        <v>969</v>
      </c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1"/>
    </row>
    <row r="818" spans="1:18" ht="13.8" outlineLevel="2" x14ac:dyDescent="0.25">
      <c r="A818">
        <v>79495</v>
      </c>
      <c r="B818" t="s">
        <v>970</v>
      </c>
      <c r="C818" t="s">
        <v>971</v>
      </c>
      <c r="D818" s="14" t="s">
        <v>972</v>
      </c>
      <c r="E818" s="12" t="s">
        <v>28</v>
      </c>
      <c r="F818" s="17" t="s">
        <v>549</v>
      </c>
      <c r="G818">
        <v>100</v>
      </c>
      <c r="H818" t="s">
        <v>30</v>
      </c>
      <c r="I818">
        <v>100</v>
      </c>
      <c r="J818" s="15"/>
      <c r="K818" s="16">
        <f>1.55 - (1.55 * $E$1)</f>
        <v>1.55</v>
      </c>
      <c r="L818" s="16">
        <f>1.27 - (1.27 * $E$1)</f>
        <v>1.27</v>
      </c>
      <c r="M818" s="1">
        <v>1.55</v>
      </c>
      <c r="N818" s="1">
        <v>1.27</v>
      </c>
      <c r="O818" s="1">
        <v>1.32</v>
      </c>
      <c r="P818" s="1">
        <v>1.08</v>
      </c>
      <c r="Q818">
        <v>3.6000000000000002E-4</v>
      </c>
      <c r="R818">
        <v>5.04E-6</v>
      </c>
    </row>
    <row r="819" spans="1:18" ht="13.8" outlineLevel="2" x14ac:dyDescent="0.25">
      <c r="A819">
        <v>79496</v>
      </c>
      <c r="B819" t="s">
        <v>970</v>
      </c>
      <c r="C819" t="s">
        <v>973</v>
      </c>
      <c r="D819" s="14" t="s">
        <v>972</v>
      </c>
      <c r="E819" s="12" t="s">
        <v>28</v>
      </c>
      <c r="F819" s="17" t="s">
        <v>549</v>
      </c>
      <c r="G819">
        <v>100</v>
      </c>
      <c r="H819" t="s">
        <v>30</v>
      </c>
      <c r="I819">
        <v>100</v>
      </c>
      <c r="J819" s="15"/>
      <c r="K819" s="16">
        <f>2.12 - (2.12 * $E$1)</f>
        <v>2.12</v>
      </c>
      <c r="L819" s="16">
        <f>1.74 - (1.74 * $E$1)</f>
        <v>1.74</v>
      </c>
      <c r="M819" s="1">
        <v>2.12</v>
      </c>
      <c r="N819" s="1">
        <v>1.74</v>
      </c>
      <c r="O819" s="1">
        <v>1.8</v>
      </c>
      <c r="P819" s="1">
        <v>1.48</v>
      </c>
      <c r="Q819">
        <v>7.2000000000000005E-4</v>
      </c>
      <c r="R819">
        <v>5.04E-6</v>
      </c>
    </row>
    <row r="820" spans="1:18" ht="13.8" outlineLevel="2" x14ac:dyDescent="0.25">
      <c r="A820">
        <v>79497</v>
      </c>
      <c r="B820" t="s">
        <v>970</v>
      </c>
      <c r="C820" t="s">
        <v>974</v>
      </c>
      <c r="D820" s="14" t="s">
        <v>972</v>
      </c>
      <c r="E820" s="12" t="s">
        <v>28</v>
      </c>
      <c r="F820" s="17" t="s">
        <v>549</v>
      </c>
      <c r="G820">
        <v>100</v>
      </c>
      <c r="H820" t="s">
        <v>30</v>
      </c>
      <c r="I820">
        <v>100</v>
      </c>
      <c r="J820" s="15"/>
      <c r="K820" s="16">
        <f>3.46 - (3.46 * $E$1)</f>
        <v>3.46</v>
      </c>
      <c r="L820" s="16">
        <f>2.84 - (2.84 * $E$1)</f>
        <v>2.84</v>
      </c>
      <c r="M820" s="1">
        <v>3.46</v>
      </c>
      <c r="N820" s="1">
        <v>2.84</v>
      </c>
      <c r="O820" s="1">
        <v>2.95</v>
      </c>
      <c r="P820" s="1">
        <v>2.41</v>
      </c>
      <c r="Q820">
        <v>1.16E-3</v>
      </c>
      <c r="R820">
        <v>1.131E-5</v>
      </c>
    </row>
    <row r="821" spans="1:18" ht="13.8" outlineLevel="2" x14ac:dyDescent="0.25">
      <c r="A821">
        <v>79498</v>
      </c>
      <c r="B821" t="s">
        <v>970</v>
      </c>
      <c r="C821" t="s">
        <v>975</v>
      </c>
      <c r="D821" s="14" t="s">
        <v>972</v>
      </c>
      <c r="E821" s="12" t="s">
        <v>28</v>
      </c>
      <c r="F821" s="17" t="s">
        <v>549</v>
      </c>
      <c r="G821">
        <v>100</v>
      </c>
      <c r="H821" t="s">
        <v>30</v>
      </c>
      <c r="I821">
        <v>100</v>
      </c>
      <c r="J821" s="15"/>
      <c r="K821" s="16">
        <f>4.44 - (4.44 * $E$1)</f>
        <v>4.4400000000000004</v>
      </c>
      <c r="L821" s="16">
        <f>3.64 - (3.64 * $E$1)</f>
        <v>3.64</v>
      </c>
      <c r="M821" s="1">
        <v>4.4400000000000004</v>
      </c>
      <c r="N821" s="1">
        <v>3.64</v>
      </c>
      <c r="O821" s="1">
        <v>3.77</v>
      </c>
      <c r="P821" s="1">
        <v>3.09</v>
      </c>
      <c r="Q821">
        <v>1.24E-3</v>
      </c>
      <c r="R821">
        <v>1.092E-5</v>
      </c>
    </row>
    <row r="822" spans="1:18" ht="13.8" outlineLevel="2" x14ac:dyDescent="0.25">
      <c r="A822">
        <v>79499</v>
      </c>
      <c r="B822" t="s">
        <v>970</v>
      </c>
      <c r="C822" t="s">
        <v>976</v>
      </c>
      <c r="D822" s="14" t="s">
        <v>972</v>
      </c>
      <c r="E822" s="12" t="s">
        <v>28</v>
      </c>
      <c r="F822" s="17" t="s">
        <v>549</v>
      </c>
      <c r="G822">
        <v>100</v>
      </c>
      <c r="H822" t="s">
        <v>30</v>
      </c>
      <c r="I822">
        <v>100</v>
      </c>
      <c r="J822" s="15"/>
      <c r="K822" s="16">
        <f>6.33 - (6.33 * $E$1)</f>
        <v>6.33</v>
      </c>
      <c r="L822" s="16">
        <f>5.19 - (5.19 * $E$1)</f>
        <v>5.19</v>
      </c>
      <c r="M822" s="1">
        <v>6.33</v>
      </c>
      <c r="N822" s="1">
        <v>5.19</v>
      </c>
      <c r="O822" s="1">
        <v>5.38</v>
      </c>
      <c r="P822" s="1">
        <v>4.41</v>
      </c>
      <c r="Q822">
        <v>2E-3</v>
      </c>
      <c r="R822">
        <v>1.8749999999999998E-5</v>
      </c>
    </row>
    <row r="823" spans="1:18" ht="13.8" outlineLevel="2" x14ac:dyDescent="0.25">
      <c r="A823">
        <v>108947</v>
      </c>
      <c r="B823" t="s">
        <v>977</v>
      </c>
      <c r="C823" t="s">
        <v>978</v>
      </c>
      <c r="D823" s="14" t="s">
        <v>972</v>
      </c>
      <c r="E823" s="12" t="s">
        <v>28</v>
      </c>
      <c r="F823" s="13" t="s">
        <v>29</v>
      </c>
      <c r="G823">
        <v>1</v>
      </c>
      <c r="H823" t="s">
        <v>420</v>
      </c>
      <c r="I823">
        <v>1</v>
      </c>
      <c r="J823" s="15"/>
      <c r="K823" s="16">
        <f>155 - (155 * $E$1)</f>
        <v>155</v>
      </c>
      <c r="L823" s="16">
        <f>127.05 - (127.05 * $E$1)</f>
        <v>127.05</v>
      </c>
      <c r="M823" s="1">
        <v>155</v>
      </c>
      <c r="N823" s="1">
        <v>127.05</v>
      </c>
      <c r="O823" s="1">
        <v>131.75</v>
      </c>
      <c r="P823" s="1">
        <v>107.99</v>
      </c>
      <c r="Q823">
        <v>3.5999999999999997E-2</v>
      </c>
      <c r="R823">
        <v>5.04E-4</v>
      </c>
    </row>
    <row r="824" spans="1:18" ht="13.8" outlineLevel="2" x14ac:dyDescent="0.25">
      <c r="A824">
        <v>108948</v>
      </c>
      <c r="B824" t="s">
        <v>977</v>
      </c>
      <c r="C824" t="s">
        <v>979</v>
      </c>
      <c r="D824" s="14" t="s">
        <v>972</v>
      </c>
      <c r="E824" s="12" t="s">
        <v>28</v>
      </c>
      <c r="F824" s="13" t="s">
        <v>29</v>
      </c>
      <c r="G824">
        <v>1</v>
      </c>
      <c r="H824" t="s">
        <v>420</v>
      </c>
      <c r="I824">
        <v>1</v>
      </c>
      <c r="J824" s="15"/>
      <c r="K824" s="16">
        <f>212 - (212 * $E$1)</f>
        <v>212</v>
      </c>
      <c r="L824" s="16">
        <f>173.77 - (173.77 * $E$1)</f>
        <v>173.77</v>
      </c>
      <c r="M824" s="1">
        <v>212</v>
      </c>
      <c r="N824" s="1">
        <v>173.77</v>
      </c>
      <c r="O824" s="1">
        <v>180.2</v>
      </c>
      <c r="P824" s="1">
        <v>147.69999999999999</v>
      </c>
      <c r="Q824">
        <v>7.1999999999999995E-2</v>
      </c>
      <c r="R824">
        <v>5.04E-4</v>
      </c>
    </row>
    <row r="825" spans="1:18" ht="13.8" outlineLevel="2" x14ac:dyDescent="0.25">
      <c r="A825">
        <v>108949</v>
      </c>
      <c r="B825" t="s">
        <v>977</v>
      </c>
      <c r="C825" t="s">
        <v>980</v>
      </c>
      <c r="D825" s="14" t="s">
        <v>972</v>
      </c>
      <c r="E825" s="12" t="s">
        <v>28</v>
      </c>
      <c r="F825" s="13" t="s">
        <v>29</v>
      </c>
      <c r="G825">
        <v>1</v>
      </c>
      <c r="H825" t="s">
        <v>420</v>
      </c>
      <c r="I825">
        <v>1</v>
      </c>
      <c r="J825" s="15"/>
      <c r="K825" s="16">
        <f>347 - (347 * $E$1)</f>
        <v>347</v>
      </c>
      <c r="L825" s="16">
        <f>284.43 - (284.43 * $E$1)</f>
        <v>284.43</v>
      </c>
      <c r="M825" s="1">
        <v>347</v>
      </c>
      <c r="N825" s="1">
        <v>284.43</v>
      </c>
      <c r="O825" s="1">
        <v>294.95</v>
      </c>
      <c r="P825" s="1">
        <v>241.77</v>
      </c>
      <c r="Q825">
        <v>0.11600000000000001</v>
      </c>
      <c r="R825">
        <v>1.1310000000000001E-3</v>
      </c>
    </row>
    <row r="826" spans="1:18" ht="13.8" outlineLevel="2" x14ac:dyDescent="0.25">
      <c r="A826">
        <v>108950</v>
      </c>
      <c r="B826" t="s">
        <v>977</v>
      </c>
      <c r="C826" t="s">
        <v>981</v>
      </c>
      <c r="D826" s="14" t="s">
        <v>972</v>
      </c>
      <c r="E826" s="12" t="s">
        <v>28</v>
      </c>
      <c r="F826" s="13" t="s">
        <v>29</v>
      </c>
      <c r="G826">
        <v>1</v>
      </c>
      <c r="H826" t="s">
        <v>420</v>
      </c>
      <c r="I826">
        <v>1</v>
      </c>
      <c r="J826" s="15"/>
      <c r="K826" s="16">
        <f>443.99 - (443.99 * $E$1)</f>
        <v>443.99</v>
      </c>
      <c r="L826" s="16">
        <f>363.93 - (363.93 * $E$1)</f>
        <v>363.93</v>
      </c>
      <c r="M826" s="1">
        <v>443.99</v>
      </c>
      <c r="N826" s="1">
        <v>363.93</v>
      </c>
      <c r="O826" s="1">
        <v>377.4</v>
      </c>
      <c r="P826" s="1">
        <v>309.33999999999997</v>
      </c>
      <c r="Q826">
        <v>0.124</v>
      </c>
      <c r="R826">
        <v>1.0920000000000001E-3</v>
      </c>
    </row>
    <row r="827" spans="1:18" ht="13.8" outlineLevel="2" x14ac:dyDescent="0.25">
      <c r="A827">
        <v>108951</v>
      </c>
      <c r="B827" t="s">
        <v>977</v>
      </c>
      <c r="C827" t="s">
        <v>982</v>
      </c>
      <c r="D827" s="14" t="s">
        <v>972</v>
      </c>
      <c r="E827" s="12" t="s">
        <v>28</v>
      </c>
      <c r="F827" s="13" t="s">
        <v>29</v>
      </c>
      <c r="G827">
        <v>1</v>
      </c>
      <c r="H827" t="s">
        <v>420</v>
      </c>
      <c r="I827">
        <v>1</v>
      </c>
      <c r="J827" s="15"/>
      <c r="K827" s="16">
        <f>633 - (633 * $E$1)</f>
        <v>633</v>
      </c>
      <c r="L827" s="16">
        <f>518.85 - (518.85 * $E$1)</f>
        <v>518.85</v>
      </c>
      <c r="M827" s="1">
        <v>633</v>
      </c>
      <c r="N827" s="1">
        <v>518.85</v>
      </c>
      <c r="O827" s="1">
        <v>538.04999999999995</v>
      </c>
      <c r="P827" s="1">
        <v>441.02</v>
      </c>
      <c r="Q827">
        <v>0.2</v>
      </c>
      <c r="R827">
        <v>1.8749999999999999E-3</v>
      </c>
    </row>
    <row r="828" spans="1:18" ht="13.8" outlineLevel="2" x14ac:dyDescent="0.25">
      <c r="A828">
        <v>79501</v>
      </c>
      <c r="B828" t="s">
        <v>970</v>
      </c>
      <c r="C828" t="s">
        <v>983</v>
      </c>
      <c r="D828" s="14" t="s">
        <v>984</v>
      </c>
      <c r="E828" s="12" t="s">
        <v>28</v>
      </c>
      <c r="F828" s="17" t="s">
        <v>549</v>
      </c>
      <c r="G828">
        <v>100</v>
      </c>
      <c r="H828" t="s">
        <v>30</v>
      </c>
      <c r="I828">
        <v>100</v>
      </c>
      <c r="J828" s="15"/>
      <c r="K828" s="16">
        <f>6.22 - (6.22 * $E$1)</f>
        <v>6.22</v>
      </c>
      <c r="L828" s="16">
        <f>5.1 - (5.1 * $E$1)</f>
        <v>5.0999999999999996</v>
      </c>
      <c r="M828" s="1">
        <v>6.22</v>
      </c>
      <c r="N828" s="1">
        <v>5.0999999999999996</v>
      </c>
      <c r="O828" s="1">
        <v>5.29</v>
      </c>
      <c r="P828" s="1">
        <v>4.34</v>
      </c>
      <c r="Q828">
        <v>1.72E-3</v>
      </c>
      <c r="R828">
        <v>7.5399999999999998E-6</v>
      </c>
    </row>
    <row r="829" spans="1:18" ht="13.8" outlineLevel="2" x14ac:dyDescent="0.25">
      <c r="A829">
        <v>79502</v>
      </c>
      <c r="B829" t="s">
        <v>970</v>
      </c>
      <c r="C829" t="s">
        <v>985</v>
      </c>
      <c r="D829" s="14" t="s">
        <v>984</v>
      </c>
      <c r="E829" s="12" t="s">
        <v>28</v>
      </c>
      <c r="F829" s="17" t="s">
        <v>549</v>
      </c>
      <c r="G829">
        <v>100</v>
      </c>
      <c r="H829" t="s">
        <v>30</v>
      </c>
      <c r="I829">
        <v>100</v>
      </c>
      <c r="J829" s="15"/>
      <c r="K829" s="16">
        <f>6.49 - (6.49 * $E$1)</f>
        <v>6.49</v>
      </c>
      <c r="L829" s="16">
        <f>5.32 - (5.32 * $E$1)</f>
        <v>5.32</v>
      </c>
      <c r="M829" s="1">
        <v>6.49</v>
      </c>
      <c r="N829" s="1">
        <v>5.32</v>
      </c>
      <c r="O829" s="1">
        <v>5.52</v>
      </c>
      <c r="P829" s="1">
        <v>4.5199999999999996</v>
      </c>
      <c r="Q829">
        <v>1.7600000000000001E-3</v>
      </c>
      <c r="R829">
        <v>7.2799999999999998E-6</v>
      </c>
    </row>
    <row r="830" spans="1:18" ht="13.8" outlineLevel="2" x14ac:dyDescent="0.25">
      <c r="A830">
        <v>79503</v>
      </c>
      <c r="B830" t="s">
        <v>970</v>
      </c>
      <c r="C830" t="s">
        <v>986</v>
      </c>
      <c r="D830" s="14" t="s">
        <v>984</v>
      </c>
      <c r="E830" s="12" t="s">
        <v>28</v>
      </c>
      <c r="F830" s="17" t="s">
        <v>549</v>
      </c>
      <c r="G830">
        <v>100</v>
      </c>
      <c r="H830" t="s">
        <v>30</v>
      </c>
      <c r="I830">
        <v>100</v>
      </c>
      <c r="J830" s="15"/>
      <c r="K830" s="16">
        <f>8.43 - (8.43 * $E$1)</f>
        <v>8.43</v>
      </c>
      <c r="L830" s="16">
        <f>6.91 - (6.91 * $E$1)</f>
        <v>6.91</v>
      </c>
      <c r="M830" s="1">
        <v>8.43</v>
      </c>
      <c r="N830" s="1">
        <v>6.91</v>
      </c>
      <c r="O830" s="1">
        <v>7.17</v>
      </c>
      <c r="P830" s="1">
        <v>5.87</v>
      </c>
      <c r="Q830">
        <v>3.48E-3</v>
      </c>
      <c r="R830">
        <v>5.6000000000000004E-7</v>
      </c>
    </row>
    <row r="831" spans="1:18" ht="13.8" outlineLevel="2" x14ac:dyDescent="0.25">
      <c r="A831">
        <v>108952</v>
      </c>
      <c r="B831" t="s">
        <v>977</v>
      </c>
      <c r="C831" t="s">
        <v>987</v>
      </c>
      <c r="D831" s="14" t="s">
        <v>984</v>
      </c>
      <c r="E831" s="12" t="s">
        <v>28</v>
      </c>
      <c r="F831" s="13" t="s">
        <v>29</v>
      </c>
      <c r="G831">
        <v>1</v>
      </c>
      <c r="H831" t="s">
        <v>420</v>
      </c>
      <c r="I831">
        <v>1</v>
      </c>
      <c r="J831" s="15"/>
      <c r="K831" s="16">
        <f>622 - (622 * $E$1)</f>
        <v>622</v>
      </c>
      <c r="L831" s="16">
        <f>509.84 - (509.84 * $E$1)</f>
        <v>509.84</v>
      </c>
      <c r="M831" s="1">
        <v>622</v>
      </c>
      <c r="N831" s="1">
        <v>509.84</v>
      </c>
      <c r="O831" s="1">
        <v>528.70000000000005</v>
      </c>
      <c r="P831" s="1">
        <v>433.36</v>
      </c>
      <c r="Q831">
        <v>0.17199999999999999</v>
      </c>
      <c r="R831">
        <v>7.54E-4</v>
      </c>
    </row>
    <row r="832" spans="1:18" ht="13.8" outlineLevel="2" x14ac:dyDescent="0.25">
      <c r="A832">
        <v>108953</v>
      </c>
      <c r="B832" t="s">
        <v>977</v>
      </c>
      <c r="C832" t="s">
        <v>988</v>
      </c>
      <c r="D832" s="14" t="s">
        <v>984</v>
      </c>
      <c r="E832" s="12" t="s">
        <v>28</v>
      </c>
      <c r="F832" s="13" t="s">
        <v>29</v>
      </c>
      <c r="G832">
        <v>1</v>
      </c>
      <c r="H832" t="s">
        <v>420</v>
      </c>
      <c r="I832">
        <v>1</v>
      </c>
      <c r="J832" s="15"/>
      <c r="K832" s="16">
        <f>649 - (649 * $E$1)</f>
        <v>649</v>
      </c>
      <c r="L832" s="16">
        <f>531.97 - (531.97 * $E$1)</f>
        <v>531.97</v>
      </c>
      <c r="M832" s="1">
        <v>649</v>
      </c>
      <c r="N832" s="1">
        <v>531.97</v>
      </c>
      <c r="O832" s="1">
        <v>551.65</v>
      </c>
      <c r="P832" s="1">
        <v>452.17</v>
      </c>
      <c r="Q832">
        <v>0.17599999999999999</v>
      </c>
      <c r="R832">
        <v>7.2800000000000002E-4</v>
      </c>
    </row>
    <row r="833" spans="1:18" ht="13.8" outlineLevel="2" x14ac:dyDescent="0.25">
      <c r="A833">
        <v>108954</v>
      </c>
      <c r="B833" t="s">
        <v>977</v>
      </c>
      <c r="C833" t="s">
        <v>989</v>
      </c>
      <c r="D833" s="14" t="s">
        <v>984</v>
      </c>
      <c r="E833" s="12" t="s">
        <v>28</v>
      </c>
      <c r="F833" s="13" t="s">
        <v>29</v>
      </c>
      <c r="G833">
        <v>1</v>
      </c>
      <c r="H833" t="s">
        <v>420</v>
      </c>
      <c r="I833">
        <v>1</v>
      </c>
      <c r="J833" s="15"/>
      <c r="K833" s="16">
        <f>843 - (843 * $E$1)</f>
        <v>843</v>
      </c>
      <c r="L833" s="16">
        <f>690.98 - (690.98 * $E$1)</f>
        <v>690.98</v>
      </c>
      <c r="M833" s="1">
        <v>843</v>
      </c>
      <c r="N833" s="1">
        <v>690.98</v>
      </c>
      <c r="O833" s="1">
        <v>716.55</v>
      </c>
      <c r="P833" s="1">
        <v>587.33000000000004</v>
      </c>
      <c r="Q833">
        <v>0.34799999999999998</v>
      </c>
      <c r="R833">
        <v>5.5999999999999999E-5</v>
      </c>
    </row>
    <row r="834" spans="1:18" ht="13.8" outlineLevel="2" x14ac:dyDescent="0.25">
      <c r="A834">
        <v>47467</v>
      </c>
      <c r="B834" t="s">
        <v>990</v>
      </c>
      <c r="C834" t="s">
        <v>991</v>
      </c>
      <c r="D834" s="14" t="s">
        <v>992</v>
      </c>
      <c r="E834" s="12" t="s">
        <v>28</v>
      </c>
      <c r="F834" s="17" t="s">
        <v>549</v>
      </c>
      <c r="G834">
        <v>100</v>
      </c>
      <c r="H834" t="s">
        <v>30</v>
      </c>
      <c r="I834">
        <v>100</v>
      </c>
      <c r="J834" s="15"/>
      <c r="K834" s="16">
        <f>3.05 - (3.05 * $E$1)</f>
        <v>3.05</v>
      </c>
      <c r="L834" s="16">
        <f>2.5 - (2.5 * $E$1)</f>
        <v>2.5</v>
      </c>
      <c r="M834" s="1">
        <v>3.05</v>
      </c>
      <c r="N834" s="1">
        <v>2.5</v>
      </c>
      <c r="O834" s="1">
        <v>2.59</v>
      </c>
      <c r="P834" s="1">
        <v>2.13</v>
      </c>
      <c r="Q834">
        <v>5.0000000000000001E-4</v>
      </c>
      <c r="R834">
        <v>1.1999999999999999E-6</v>
      </c>
    </row>
    <row r="835" spans="1:18" ht="13.8" outlineLevel="2" x14ac:dyDescent="0.25">
      <c r="A835">
        <v>47521</v>
      </c>
      <c r="B835" t="s">
        <v>990</v>
      </c>
      <c r="C835" t="s">
        <v>993</v>
      </c>
      <c r="D835" s="14" t="s">
        <v>992</v>
      </c>
      <c r="E835" s="12" t="s">
        <v>28</v>
      </c>
      <c r="F835" s="17" t="s">
        <v>549</v>
      </c>
      <c r="G835">
        <v>100</v>
      </c>
      <c r="H835" t="s">
        <v>30</v>
      </c>
      <c r="I835">
        <v>100</v>
      </c>
      <c r="J835" s="15"/>
      <c r="K835" s="16">
        <f>3.94 - (3.94 * $E$1)</f>
        <v>3.94</v>
      </c>
      <c r="L835" s="16">
        <f>3.23 - (3.23 * $E$1)</f>
        <v>3.23</v>
      </c>
      <c r="M835" s="1">
        <v>3.94</v>
      </c>
      <c r="N835" s="1">
        <v>3.23</v>
      </c>
      <c r="O835" s="1">
        <v>3.35</v>
      </c>
      <c r="P835" s="1">
        <v>2.75</v>
      </c>
      <c r="Q835">
        <v>5.9999999999999995E-4</v>
      </c>
      <c r="R835">
        <v>1.5999999999999999E-6</v>
      </c>
    </row>
    <row r="836" spans="1:18" ht="13.8" outlineLevel="2" x14ac:dyDescent="0.25">
      <c r="A836">
        <v>47522</v>
      </c>
      <c r="B836" t="s">
        <v>990</v>
      </c>
      <c r="C836" t="s">
        <v>994</v>
      </c>
      <c r="D836" s="14" t="s">
        <v>992</v>
      </c>
      <c r="E836" s="12" t="s">
        <v>28</v>
      </c>
      <c r="F836" s="17" t="s">
        <v>549</v>
      </c>
      <c r="G836">
        <v>100</v>
      </c>
      <c r="H836" t="s">
        <v>30</v>
      </c>
      <c r="I836">
        <v>100</v>
      </c>
      <c r="J836" s="15"/>
      <c r="K836" s="16">
        <f>7.93 - (7.93 * $E$1)</f>
        <v>7.93</v>
      </c>
      <c r="L836" s="16">
        <f>6.5 - (6.5 * $E$1)</f>
        <v>6.5</v>
      </c>
      <c r="M836" s="1">
        <v>7.93</v>
      </c>
      <c r="N836" s="1">
        <v>6.5</v>
      </c>
      <c r="O836" s="1">
        <v>6.74</v>
      </c>
      <c r="P836" s="1">
        <v>5.53</v>
      </c>
      <c r="Q836">
        <v>1.1999999999999999E-3</v>
      </c>
      <c r="R836">
        <v>3.8399999999999997E-6</v>
      </c>
    </row>
    <row r="837" spans="1:18" ht="13.8" outlineLevel="2" x14ac:dyDescent="0.25">
      <c r="A837">
        <v>108493</v>
      </c>
      <c r="B837" t="s">
        <v>995</v>
      </c>
      <c r="C837" t="s">
        <v>996</v>
      </c>
      <c r="D837" s="14" t="s">
        <v>992</v>
      </c>
      <c r="E837" s="12" t="s">
        <v>28</v>
      </c>
      <c r="F837" s="13" t="s">
        <v>29</v>
      </c>
      <c r="G837">
        <v>1</v>
      </c>
      <c r="H837" t="s">
        <v>420</v>
      </c>
      <c r="I837">
        <v>1</v>
      </c>
      <c r="J837" s="15"/>
      <c r="K837" s="16">
        <f>305 - (305 * $E$1)</f>
        <v>305</v>
      </c>
      <c r="L837" s="16">
        <f>250 - (250 * $E$1)</f>
        <v>250</v>
      </c>
      <c r="M837" s="1">
        <v>305</v>
      </c>
      <c r="N837" s="1">
        <v>250</v>
      </c>
      <c r="O837" s="1">
        <v>259.25</v>
      </c>
      <c r="P837" s="1">
        <v>212.5</v>
      </c>
      <c r="Q837">
        <v>0.05</v>
      </c>
      <c r="R837">
        <v>1.2E-4</v>
      </c>
    </row>
    <row r="838" spans="1:18" ht="13.8" outlineLevel="2" x14ac:dyDescent="0.25">
      <c r="A838">
        <v>108494</v>
      </c>
      <c r="B838" t="s">
        <v>995</v>
      </c>
      <c r="C838" t="s">
        <v>997</v>
      </c>
      <c r="D838" s="14" t="s">
        <v>992</v>
      </c>
      <c r="E838" s="12" t="s">
        <v>28</v>
      </c>
      <c r="F838" s="13" t="s">
        <v>29</v>
      </c>
      <c r="G838">
        <v>1</v>
      </c>
      <c r="H838" t="s">
        <v>420</v>
      </c>
      <c r="I838">
        <v>1</v>
      </c>
      <c r="J838" s="15"/>
      <c r="K838" s="16">
        <f>394 - (394 * $E$1)</f>
        <v>394</v>
      </c>
      <c r="L838" s="16">
        <f>322.95 - (322.95 * $E$1)</f>
        <v>322.95</v>
      </c>
      <c r="M838" s="1">
        <v>394</v>
      </c>
      <c r="N838" s="1">
        <v>322.95</v>
      </c>
      <c r="O838" s="1">
        <v>334.9</v>
      </c>
      <c r="P838" s="1">
        <v>274.51</v>
      </c>
      <c r="Q838">
        <v>0.06</v>
      </c>
      <c r="R838">
        <v>1.6000000000000001E-4</v>
      </c>
    </row>
    <row r="839" spans="1:18" ht="13.8" outlineLevel="2" x14ac:dyDescent="0.25">
      <c r="A839">
        <v>108495</v>
      </c>
      <c r="B839" t="s">
        <v>995</v>
      </c>
      <c r="C839" t="s">
        <v>998</v>
      </c>
      <c r="D839" s="14" t="s">
        <v>992</v>
      </c>
      <c r="E839" s="12" t="s">
        <v>28</v>
      </c>
      <c r="F839" s="13" t="s">
        <v>29</v>
      </c>
      <c r="G839">
        <v>1</v>
      </c>
      <c r="H839" t="s">
        <v>420</v>
      </c>
      <c r="I839">
        <v>1</v>
      </c>
      <c r="J839" s="15"/>
      <c r="K839" s="16">
        <f>793 - (793 * $E$1)</f>
        <v>793</v>
      </c>
      <c r="L839" s="16">
        <f>650 - (650 * $E$1)</f>
        <v>650</v>
      </c>
      <c r="M839" s="1">
        <v>793</v>
      </c>
      <c r="N839" s="1">
        <v>650</v>
      </c>
      <c r="O839" s="1">
        <v>674.05</v>
      </c>
      <c r="P839" s="1">
        <v>552.5</v>
      </c>
      <c r="Q839">
        <v>0.12</v>
      </c>
      <c r="R839">
        <v>3.8400000000000001E-4</v>
      </c>
    </row>
    <row r="840" spans="1:18" ht="13.8" outlineLevel="2" x14ac:dyDescent="0.25">
      <c r="A840">
        <v>79507</v>
      </c>
      <c r="C840" t="s">
        <v>999</v>
      </c>
      <c r="D840" s="14" t="s">
        <v>999</v>
      </c>
      <c r="E840" s="12" t="s">
        <v>28</v>
      </c>
      <c r="F840" s="13" t="s">
        <v>29</v>
      </c>
      <c r="G840">
        <v>1</v>
      </c>
      <c r="H840" t="s">
        <v>30</v>
      </c>
      <c r="I840">
        <v>1</v>
      </c>
      <c r="J840" s="15"/>
      <c r="K840" s="16">
        <f>843.56 - (843.56 * $E$1)</f>
        <v>843.56</v>
      </c>
      <c r="L840" s="16">
        <f>691.44 - (691.44 * $E$1)</f>
        <v>691.44</v>
      </c>
      <c r="M840" s="1">
        <v>843.56</v>
      </c>
      <c r="N840" s="1">
        <v>691.44</v>
      </c>
      <c r="O840" s="1">
        <v>717.02</v>
      </c>
      <c r="P840" s="1">
        <v>587.72</v>
      </c>
      <c r="Q840">
        <v>0.124</v>
      </c>
      <c r="R840">
        <v>6.6200000000000005E-4</v>
      </c>
    </row>
    <row r="841" spans="1:18" ht="16.5" customHeight="1" outlineLevel="1" x14ac:dyDescent="0.35">
      <c r="A841" s="9"/>
      <c r="B841" s="10" t="s">
        <v>1000</v>
      </c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1"/>
    </row>
    <row r="842" spans="1:18" ht="13.8" outlineLevel="2" x14ac:dyDescent="0.25">
      <c r="A842">
        <v>87151</v>
      </c>
      <c r="B842" t="s">
        <v>1001</v>
      </c>
      <c r="C842" t="s">
        <v>1002</v>
      </c>
      <c r="D842" s="14" t="s">
        <v>1003</v>
      </c>
      <c r="E842" s="12" t="s">
        <v>28</v>
      </c>
      <c r="F842" s="17" t="s">
        <v>549</v>
      </c>
      <c r="G842">
        <v>10</v>
      </c>
      <c r="H842" t="s">
        <v>30</v>
      </c>
      <c r="I842">
        <v>10</v>
      </c>
      <c r="J842" s="15"/>
      <c r="K842" s="16">
        <f>64.14 - (64.14 * $E$1)</f>
        <v>64.14</v>
      </c>
      <c r="L842" s="16">
        <f>52.57 - (52.57 * $E$1)</f>
        <v>52.57</v>
      </c>
      <c r="M842" s="1">
        <v>64.14</v>
      </c>
      <c r="N842" s="1">
        <v>52.57</v>
      </c>
      <c r="O842" s="1">
        <v>54.52</v>
      </c>
      <c r="P842" s="1">
        <v>44.68</v>
      </c>
      <c r="Q842">
        <v>1.44E-2</v>
      </c>
      <c r="R842">
        <v>1.91E-5</v>
      </c>
    </row>
    <row r="843" spans="1:18" ht="13.8" outlineLevel="2" x14ac:dyDescent="0.25">
      <c r="A843">
        <v>87152</v>
      </c>
      <c r="B843" t="s">
        <v>1001</v>
      </c>
      <c r="C843" t="s">
        <v>1004</v>
      </c>
      <c r="D843" s="14" t="s">
        <v>1003</v>
      </c>
      <c r="E843" s="12" t="s">
        <v>28</v>
      </c>
      <c r="F843" s="17" t="s">
        <v>549</v>
      </c>
      <c r="G843">
        <v>10</v>
      </c>
      <c r="H843" t="s">
        <v>30</v>
      </c>
      <c r="I843">
        <v>10</v>
      </c>
      <c r="J843" s="15"/>
      <c r="K843" s="16">
        <f>66.23 - (66.23 * $E$1)</f>
        <v>66.23</v>
      </c>
      <c r="L843" s="16">
        <f>54.29 - (54.29 * $E$1)</f>
        <v>54.29</v>
      </c>
      <c r="M843" s="1">
        <v>66.23</v>
      </c>
      <c r="N843" s="1">
        <v>54.29</v>
      </c>
      <c r="O843" s="1">
        <v>56.3</v>
      </c>
      <c r="P843" s="1">
        <v>46.15</v>
      </c>
      <c r="Q843">
        <v>1.5599999999999999E-2</v>
      </c>
      <c r="R843">
        <v>2.3600000000000001E-5</v>
      </c>
    </row>
    <row r="844" spans="1:18" ht="13.8" outlineLevel="2" x14ac:dyDescent="0.25">
      <c r="A844">
        <v>87153</v>
      </c>
      <c r="B844" t="s">
        <v>1001</v>
      </c>
      <c r="C844" t="s">
        <v>1005</v>
      </c>
      <c r="D844" s="14" t="s">
        <v>1003</v>
      </c>
      <c r="E844" s="12" t="s">
        <v>28</v>
      </c>
      <c r="F844" s="17" t="s">
        <v>549</v>
      </c>
      <c r="G844">
        <v>10</v>
      </c>
      <c r="H844" t="s">
        <v>30</v>
      </c>
      <c r="I844">
        <v>10</v>
      </c>
      <c r="J844" s="15"/>
      <c r="K844" s="16">
        <f>98.54 - (98.54 * $E$1)</f>
        <v>98.54</v>
      </c>
      <c r="L844" s="16">
        <f>80.77 - (80.77 * $E$1)</f>
        <v>80.77</v>
      </c>
      <c r="M844" s="1">
        <v>98.54</v>
      </c>
      <c r="N844" s="1">
        <v>80.77</v>
      </c>
      <c r="O844" s="1">
        <v>83.76</v>
      </c>
      <c r="P844" s="1">
        <v>68.650000000000006</v>
      </c>
      <c r="Q844">
        <v>2.52E-2</v>
      </c>
      <c r="R844">
        <v>3.3800000000000002E-5</v>
      </c>
    </row>
    <row r="845" spans="1:18" ht="13.8" outlineLevel="2" x14ac:dyDescent="0.25">
      <c r="A845">
        <v>87154</v>
      </c>
      <c r="B845" t="s">
        <v>1001</v>
      </c>
      <c r="C845" t="s">
        <v>1006</v>
      </c>
      <c r="D845" s="14" t="s">
        <v>1003</v>
      </c>
      <c r="E845" s="12" t="s">
        <v>28</v>
      </c>
      <c r="F845" s="17" t="s">
        <v>549</v>
      </c>
      <c r="G845">
        <v>10</v>
      </c>
      <c r="H845" t="s">
        <v>30</v>
      </c>
      <c r="I845">
        <v>10</v>
      </c>
      <c r="J845" s="15"/>
      <c r="K845" s="16">
        <f>105.07 - (105.07 * $E$1)</f>
        <v>105.07</v>
      </c>
      <c r="L845" s="16">
        <f>86.12 - (86.12 * $E$1)</f>
        <v>86.12</v>
      </c>
      <c r="M845" s="1">
        <v>105.07</v>
      </c>
      <c r="N845" s="1">
        <v>86.12</v>
      </c>
      <c r="O845" s="1">
        <v>89.31</v>
      </c>
      <c r="P845" s="1">
        <v>73.2</v>
      </c>
      <c r="Q845">
        <v>2.8000000000000001E-2</v>
      </c>
      <c r="R845">
        <v>4.0500000000000002E-5</v>
      </c>
    </row>
    <row r="846" spans="1:18" ht="13.8" outlineLevel="2" x14ac:dyDescent="0.25">
      <c r="A846">
        <v>87155</v>
      </c>
      <c r="B846" t="s">
        <v>1001</v>
      </c>
      <c r="C846" t="s">
        <v>1007</v>
      </c>
      <c r="D846" s="14" t="s">
        <v>1003</v>
      </c>
      <c r="E846" s="12" t="s">
        <v>28</v>
      </c>
      <c r="F846" s="17" t="s">
        <v>549</v>
      </c>
      <c r="G846">
        <v>10</v>
      </c>
      <c r="H846" t="s">
        <v>30</v>
      </c>
      <c r="I846">
        <v>10</v>
      </c>
      <c r="J846" s="15"/>
      <c r="K846" s="16">
        <f>114.69 - (114.69 * $E$1)</f>
        <v>114.69</v>
      </c>
      <c r="L846" s="16">
        <f>94.01 - (94.01 * $E$1)</f>
        <v>94.01</v>
      </c>
      <c r="M846" s="1">
        <v>114.69</v>
      </c>
      <c r="N846" s="1">
        <v>94.01</v>
      </c>
      <c r="O846" s="1">
        <v>97.49</v>
      </c>
      <c r="P846" s="1">
        <v>79.91</v>
      </c>
      <c r="Q846">
        <v>3.3000000000000002E-2</v>
      </c>
      <c r="R846">
        <v>4.7299999999999998E-5</v>
      </c>
    </row>
    <row r="847" spans="1:18" ht="13.8" outlineLevel="2" x14ac:dyDescent="0.25">
      <c r="A847">
        <v>87156</v>
      </c>
      <c r="B847" t="s">
        <v>1001</v>
      </c>
      <c r="C847" t="s">
        <v>1008</v>
      </c>
      <c r="D847" s="14" t="s">
        <v>1003</v>
      </c>
      <c r="E847" s="12" t="s">
        <v>28</v>
      </c>
      <c r="F847" s="17" t="s">
        <v>549</v>
      </c>
      <c r="G847">
        <v>10</v>
      </c>
      <c r="H847" t="s">
        <v>30</v>
      </c>
      <c r="I847">
        <v>10</v>
      </c>
      <c r="J847" s="15"/>
      <c r="K847" s="16">
        <f>149.23 - (149.23 * $E$1)</f>
        <v>149.22999999999999</v>
      </c>
      <c r="L847" s="16">
        <f>122.32 - (122.32 * $E$1)</f>
        <v>122.32</v>
      </c>
      <c r="M847" s="1">
        <v>149.22999999999999</v>
      </c>
      <c r="N847" s="1">
        <v>122.32</v>
      </c>
      <c r="O847" s="1">
        <v>126.85</v>
      </c>
      <c r="P847" s="1">
        <v>103.97</v>
      </c>
      <c r="Q847">
        <v>4.7600000000000003E-2</v>
      </c>
      <c r="R847">
        <v>7.2600000000000003E-5</v>
      </c>
    </row>
    <row r="848" spans="1:18" ht="13.8" outlineLevel="2" x14ac:dyDescent="0.25">
      <c r="A848">
        <v>87157</v>
      </c>
      <c r="B848" t="s">
        <v>1001</v>
      </c>
      <c r="C848" t="s">
        <v>1009</v>
      </c>
      <c r="D848" s="14" t="s">
        <v>1003</v>
      </c>
      <c r="E848" s="12" t="s">
        <v>28</v>
      </c>
      <c r="F848" s="17" t="s">
        <v>549</v>
      </c>
      <c r="G848">
        <v>10</v>
      </c>
      <c r="H848" t="s">
        <v>30</v>
      </c>
      <c r="I848">
        <v>10</v>
      </c>
      <c r="J848" s="15"/>
      <c r="K848" s="16">
        <f>255.75 - (255.75 * $E$1)</f>
        <v>255.75</v>
      </c>
      <c r="L848" s="16">
        <f>209.63 - (209.63 * $E$1)</f>
        <v>209.63</v>
      </c>
      <c r="M848" s="1">
        <v>255.75</v>
      </c>
      <c r="N848" s="1">
        <v>209.63</v>
      </c>
      <c r="O848" s="1">
        <v>217.39</v>
      </c>
      <c r="P848" s="1">
        <v>178.19</v>
      </c>
      <c r="Q848">
        <v>7.3200000000000001E-2</v>
      </c>
      <c r="R848">
        <v>1.082E-4</v>
      </c>
    </row>
    <row r="849" spans="1:18" ht="13.8" outlineLevel="2" x14ac:dyDescent="0.25">
      <c r="A849">
        <v>87158</v>
      </c>
      <c r="B849" t="s">
        <v>1001</v>
      </c>
      <c r="C849" t="s">
        <v>1010</v>
      </c>
      <c r="D849" s="14" t="s">
        <v>1003</v>
      </c>
      <c r="E849" s="12" t="s">
        <v>28</v>
      </c>
      <c r="F849" s="17" t="s">
        <v>549</v>
      </c>
      <c r="G849">
        <v>10</v>
      </c>
      <c r="H849" t="s">
        <v>30</v>
      </c>
      <c r="I849">
        <v>10</v>
      </c>
      <c r="J849" s="15"/>
      <c r="K849" s="16">
        <f>457.74 - (457.74 * $E$1)</f>
        <v>457.74</v>
      </c>
      <c r="L849" s="16">
        <f>375.2 - (375.2 * $E$1)</f>
        <v>375.2</v>
      </c>
      <c r="M849" s="1">
        <v>457.74</v>
      </c>
      <c r="N849" s="1">
        <v>375.2</v>
      </c>
      <c r="O849" s="1">
        <v>389.08</v>
      </c>
      <c r="P849" s="1">
        <v>318.92</v>
      </c>
      <c r="Q849">
        <v>0.13819999999999999</v>
      </c>
      <c r="R849">
        <v>1.9680000000000001E-4</v>
      </c>
    </row>
    <row r="850" spans="1:18" ht="13.8" outlineLevel="2" x14ac:dyDescent="0.25">
      <c r="A850">
        <v>87159</v>
      </c>
      <c r="B850" t="s">
        <v>1001</v>
      </c>
      <c r="C850" t="s">
        <v>1011</v>
      </c>
      <c r="D850" s="14" t="s">
        <v>1003</v>
      </c>
      <c r="E850" s="12" t="s">
        <v>28</v>
      </c>
      <c r="F850" s="17" t="s">
        <v>549</v>
      </c>
      <c r="G850">
        <v>10</v>
      </c>
      <c r="H850" t="s">
        <v>30</v>
      </c>
      <c r="I850">
        <v>10</v>
      </c>
      <c r="J850" s="15"/>
      <c r="K850" s="16">
        <f>610.56 - (610.56 * $E$1)</f>
        <v>610.55999999999995</v>
      </c>
      <c r="L850" s="16">
        <f>500.46 - (500.46 * $E$1)</f>
        <v>500.46</v>
      </c>
      <c r="M850" s="1">
        <v>610.55999999999995</v>
      </c>
      <c r="N850" s="1">
        <v>500.46</v>
      </c>
      <c r="O850" s="1">
        <v>518.98</v>
      </c>
      <c r="P850" s="1">
        <v>425.39</v>
      </c>
      <c r="Q850">
        <v>0.18240000000000001</v>
      </c>
      <c r="R850">
        <v>2.2770000000000001E-4</v>
      </c>
    </row>
    <row r="851" spans="1:18" ht="13.8" outlineLevel="2" x14ac:dyDescent="0.25">
      <c r="A851">
        <v>109253</v>
      </c>
      <c r="B851" t="s">
        <v>1012</v>
      </c>
      <c r="C851" t="s">
        <v>1013</v>
      </c>
      <c r="D851" s="14" t="s">
        <v>1003</v>
      </c>
      <c r="E851" s="12" t="s">
        <v>28</v>
      </c>
      <c r="F851" s="13" t="s">
        <v>29</v>
      </c>
      <c r="G851">
        <v>1</v>
      </c>
      <c r="H851" t="s">
        <v>420</v>
      </c>
      <c r="I851">
        <v>1</v>
      </c>
      <c r="J851" s="15"/>
      <c r="K851" s="16">
        <f>641.4 - (641.4 * $E$1)</f>
        <v>641.4</v>
      </c>
      <c r="L851" s="16">
        <f>525.74 - (525.74 * $E$1)</f>
        <v>525.74</v>
      </c>
      <c r="M851" s="1">
        <v>641.4</v>
      </c>
      <c r="N851" s="1">
        <v>525.74</v>
      </c>
      <c r="O851" s="1">
        <v>545.19000000000005</v>
      </c>
      <c r="P851" s="1">
        <v>446.88</v>
      </c>
      <c r="Q851">
        <v>0.14399999999999999</v>
      </c>
      <c r="R851">
        <v>1.9100000000000001E-4</v>
      </c>
    </row>
    <row r="852" spans="1:18" ht="13.8" outlineLevel="2" x14ac:dyDescent="0.25">
      <c r="A852">
        <v>109254</v>
      </c>
      <c r="B852" t="s">
        <v>1012</v>
      </c>
      <c r="C852" t="s">
        <v>1014</v>
      </c>
      <c r="D852" s="14" t="s">
        <v>1003</v>
      </c>
      <c r="E852" s="12" t="s">
        <v>28</v>
      </c>
      <c r="F852" s="13" t="s">
        <v>29</v>
      </c>
      <c r="G852">
        <v>1</v>
      </c>
      <c r="H852" t="s">
        <v>420</v>
      </c>
      <c r="I852">
        <v>1</v>
      </c>
      <c r="J852" s="15"/>
      <c r="K852" s="16">
        <f>662.3 - (662.3 * $E$1)</f>
        <v>662.3</v>
      </c>
      <c r="L852" s="16">
        <f>542.87 - (542.87 * $E$1)</f>
        <v>542.87</v>
      </c>
      <c r="M852" s="1">
        <v>662.3</v>
      </c>
      <c r="N852" s="1">
        <v>542.87</v>
      </c>
      <c r="O852" s="1">
        <v>562.96</v>
      </c>
      <c r="P852" s="1">
        <v>461.44</v>
      </c>
      <c r="Q852">
        <v>0.156</v>
      </c>
      <c r="R852">
        <v>2.3599999999999999E-4</v>
      </c>
    </row>
    <row r="853" spans="1:18" ht="13.8" outlineLevel="2" x14ac:dyDescent="0.25">
      <c r="A853">
        <v>109255</v>
      </c>
      <c r="B853" t="s">
        <v>1012</v>
      </c>
      <c r="C853" t="s">
        <v>1015</v>
      </c>
      <c r="D853" s="14" t="s">
        <v>1003</v>
      </c>
      <c r="E853" s="12" t="s">
        <v>28</v>
      </c>
      <c r="F853" s="13" t="s">
        <v>29</v>
      </c>
      <c r="G853">
        <v>1</v>
      </c>
      <c r="H853" t="s">
        <v>420</v>
      </c>
      <c r="I853">
        <v>1</v>
      </c>
      <c r="J853" s="15"/>
      <c r="K853" s="16">
        <f>985.39 - (985.39 * $E$1)</f>
        <v>985.39</v>
      </c>
      <c r="L853" s="16">
        <f>807.7 - (807.7 * $E$1)</f>
        <v>807.7</v>
      </c>
      <c r="M853" s="1">
        <v>985.39</v>
      </c>
      <c r="N853" s="1">
        <v>807.7</v>
      </c>
      <c r="O853" s="1">
        <v>837.58</v>
      </c>
      <c r="P853" s="1">
        <v>686.55</v>
      </c>
      <c r="Q853">
        <v>0.252</v>
      </c>
      <c r="R853">
        <v>3.3799999999999998E-4</v>
      </c>
    </row>
    <row r="854" spans="1:18" ht="13.8" outlineLevel="2" x14ac:dyDescent="0.25">
      <c r="A854">
        <v>109256</v>
      </c>
      <c r="B854" t="s">
        <v>1012</v>
      </c>
      <c r="C854" t="s">
        <v>1016</v>
      </c>
      <c r="D854" s="14" t="s">
        <v>1003</v>
      </c>
      <c r="E854" s="12" t="s">
        <v>28</v>
      </c>
      <c r="F854" s="13" t="s">
        <v>29</v>
      </c>
      <c r="G854">
        <v>1</v>
      </c>
      <c r="H854" t="s">
        <v>420</v>
      </c>
      <c r="I854">
        <v>1</v>
      </c>
      <c r="J854" s="15"/>
      <c r="K854" s="16">
        <f>1050.7 - (1050.7 * $E$1)</f>
        <v>1050.7</v>
      </c>
      <c r="L854" s="16">
        <f>861.23 - (861.23 * $E$1)</f>
        <v>861.23</v>
      </c>
      <c r="M854" s="1">
        <v>1050.7</v>
      </c>
      <c r="N854" s="1">
        <v>861.23</v>
      </c>
      <c r="O854" s="1">
        <v>893.1</v>
      </c>
      <c r="P854" s="1">
        <v>732.05</v>
      </c>
      <c r="Q854">
        <v>0.28000000000000003</v>
      </c>
      <c r="R854">
        <v>4.0499999999999998E-4</v>
      </c>
    </row>
    <row r="855" spans="1:18" ht="13.8" outlineLevel="2" x14ac:dyDescent="0.25">
      <c r="A855">
        <v>109257</v>
      </c>
      <c r="B855" t="s">
        <v>1012</v>
      </c>
      <c r="C855" t="s">
        <v>1017</v>
      </c>
      <c r="D855" s="14" t="s">
        <v>1003</v>
      </c>
      <c r="E855" s="12" t="s">
        <v>28</v>
      </c>
      <c r="F855" s="13" t="s">
        <v>29</v>
      </c>
      <c r="G855">
        <v>1</v>
      </c>
      <c r="H855" t="s">
        <v>420</v>
      </c>
      <c r="I855">
        <v>1</v>
      </c>
      <c r="J855" s="15"/>
      <c r="K855" s="16">
        <f>1146.9 - (1146.9 * $E$1)</f>
        <v>1146.9000000000001</v>
      </c>
      <c r="L855" s="16">
        <f>940.08 - (940.08 * $E$1)</f>
        <v>940.08</v>
      </c>
      <c r="M855" s="1">
        <v>1146.9000000000001</v>
      </c>
      <c r="N855" s="1">
        <v>940.08</v>
      </c>
      <c r="O855" s="1">
        <v>974.86</v>
      </c>
      <c r="P855" s="1">
        <v>799.07</v>
      </c>
      <c r="Q855">
        <v>0.33</v>
      </c>
      <c r="R855">
        <v>4.73E-4</v>
      </c>
    </row>
    <row r="856" spans="1:18" ht="13.8" outlineLevel="2" x14ac:dyDescent="0.25">
      <c r="A856">
        <v>109258</v>
      </c>
      <c r="B856" t="s">
        <v>1012</v>
      </c>
      <c r="C856" t="s">
        <v>1018</v>
      </c>
      <c r="D856" s="14" t="s">
        <v>1003</v>
      </c>
      <c r="E856" s="12" t="s">
        <v>28</v>
      </c>
      <c r="F856" s="13" t="s">
        <v>29</v>
      </c>
      <c r="G856">
        <v>1</v>
      </c>
      <c r="H856" t="s">
        <v>420</v>
      </c>
      <c r="I856">
        <v>1</v>
      </c>
      <c r="J856" s="15"/>
      <c r="K856" s="16">
        <f>1492.3 - (1492.3 * $E$1)</f>
        <v>1492.3</v>
      </c>
      <c r="L856" s="16">
        <f>1223.2 - (1223.2 * $E$1)</f>
        <v>1223.2</v>
      </c>
      <c r="M856" s="1">
        <v>1492.3</v>
      </c>
      <c r="N856" s="1">
        <v>1223.2</v>
      </c>
      <c r="O856" s="1">
        <v>1268.46</v>
      </c>
      <c r="P856" s="1">
        <v>1039.72</v>
      </c>
      <c r="Q856">
        <v>0.47599999999999998</v>
      </c>
      <c r="R856">
        <v>7.2599999999999997E-4</v>
      </c>
    </row>
    <row r="857" spans="1:18" ht="13.8" outlineLevel="2" x14ac:dyDescent="0.25">
      <c r="A857">
        <v>109259</v>
      </c>
      <c r="B857" t="s">
        <v>1012</v>
      </c>
      <c r="C857" t="s">
        <v>1019</v>
      </c>
      <c r="D857" s="14" t="s">
        <v>1003</v>
      </c>
      <c r="E857" s="12" t="s">
        <v>28</v>
      </c>
      <c r="F857" s="13" t="s">
        <v>29</v>
      </c>
      <c r="G857">
        <v>1</v>
      </c>
      <c r="H857" t="s">
        <v>420</v>
      </c>
      <c r="I857">
        <v>1</v>
      </c>
      <c r="J857" s="15"/>
      <c r="K857" s="16">
        <f>2557.5 - (2557.5 * $E$1)</f>
        <v>2557.5</v>
      </c>
      <c r="L857" s="16">
        <f>2096.31 - (2096.31 * $E$1)</f>
        <v>2096.31</v>
      </c>
      <c r="M857" s="1">
        <v>2557.5</v>
      </c>
      <c r="N857" s="1">
        <v>2096.31</v>
      </c>
      <c r="O857" s="1">
        <v>2173.87</v>
      </c>
      <c r="P857" s="1">
        <v>1781.86</v>
      </c>
      <c r="Q857">
        <v>0.73199999999999998</v>
      </c>
      <c r="R857">
        <v>1.0820000000000001E-3</v>
      </c>
    </row>
    <row r="858" spans="1:18" ht="13.8" outlineLevel="2" x14ac:dyDescent="0.25">
      <c r="A858">
        <v>109260</v>
      </c>
      <c r="B858" t="s">
        <v>1012</v>
      </c>
      <c r="C858" t="s">
        <v>1020</v>
      </c>
      <c r="D858" s="14" t="s">
        <v>1003</v>
      </c>
      <c r="E858" s="12" t="s">
        <v>28</v>
      </c>
      <c r="F858" s="13" t="s">
        <v>29</v>
      </c>
      <c r="G858">
        <v>1</v>
      </c>
      <c r="H858" t="s">
        <v>420</v>
      </c>
      <c r="I858">
        <v>1</v>
      </c>
      <c r="J858" s="15"/>
      <c r="K858" s="16">
        <f>4577.4 - (4577.4 * $E$1)</f>
        <v>4577.3999999999996</v>
      </c>
      <c r="L858" s="16">
        <f>3751.97 - (3751.97 * $E$1)</f>
        <v>3751.97</v>
      </c>
      <c r="M858" s="1">
        <v>4577.3999999999996</v>
      </c>
      <c r="N858" s="1">
        <v>3751.97</v>
      </c>
      <c r="O858" s="1">
        <v>3890.79</v>
      </c>
      <c r="P858" s="1">
        <v>3189.17</v>
      </c>
      <c r="Q858">
        <v>1.3819999999999999</v>
      </c>
      <c r="R858">
        <v>1.9680000000000001E-3</v>
      </c>
    </row>
    <row r="859" spans="1:18" ht="13.8" outlineLevel="2" x14ac:dyDescent="0.25">
      <c r="A859">
        <v>109261</v>
      </c>
      <c r="B859" t="s">
        <v>1012</v>
      </c>
      <c r="C859" t="s">
        <v>1021</v>
      </c>
      <c r="D859" s="14" t="s">
        <v>1003</v>
      </c>
      <c r="E859" s="12" t="s">
        <v>28</v>
      </c>
      <c r="F859" s="13" t="s">
        <v>29</v>
      </c>
      <c r="G859">
        <v>1</v>
      </c>
      <c r="H859" t="s">
        <v>420</v>
      </c>
      <c r="I859">
        <v>1</v>
      </c>
      <c r="J859" s="15"/>
      <c r="K859" s="16">
        <f>6105.6 - (6105.6 * $E$1)</f>
        <v>6105.6</v>
      </c>
      <c r="L859" s="16">
        <f>5004.59 - (5004.59 * $E$1)</f>
        <v>5004.59</v>
      </c>
      <c r="M859" s="1">
        <v>6105.6</v>
      </c>
      <c r="N859" s="1">
        <v>5004.59</v>
      </c>
      <c r="O859" s="1">
        <v>5189.76</v>
      </c>
      <c r="P859" s="1">
        <v>4253.8999999999996</v>
      </c>
      <c r="Q859">
        <v>1.8240000000000001</v>
      </c>
      <c r="R859">
        <v>2.2769999999999999E-3</v>
      </c>
    </row>
    <row r="860" spans="1:18" ht="13.8" outlineLevel="2" x14ac:dyDescent="0.25">
      <c r="A860">
        <v>87169</v>
      </c>
      <c r="B860" t="s">
        <v>1001</v>
      </c>
      <c r="C860" t="s">
        <v>1022</v>
      </c>
      <c r="D860" s="14" t="s">
        <v>1023</v>
      </c>
      <c r="E860" s="12" t="s">
        <v>28</v>
      </c>
      <c r="F860" s="13" t="s">
        <v>29</v>
      </c>
      <c r="G860">
        <v>10</v>
      </c>
      <c r="H860" t="s">
        <v>30</v>
      </c>
      <c r="I860">
        <v>10</v>
      </c>
      <c r="J860" s="15"/>
      <c r="K860" s="16">
        <f>70.41 - (70.41 * $E$1)</f>
        <v>70.41</v>
      </c>
      <c r="L860" s="16">
        <f>57.71 - (57.71 * $E$1)</f>
        <v>57.71</v>
      </c>
      <c r="M860" s="1">
        <v>70.41</v>
      </c>
      <c r="N860" s="1">
        <v>57.71</v>
      </c>
      <c r="O860" s="1">
        <v>59.85</v>
      </c>
      <c r="P860" s="1">
        <v>49.05</v>
      </c>
      <c r="Q860">
        <v>1.44E-2</v>
      </c>
      <c r="R860">
        <v>2.02E-5</v>
      </c>
    </row>
    <row r="861" spans="1:18" ht="13.8" outlineLevel="2" x14ac:dyDescent="0.25">
      <c r="A861">
        <v>87170</v>
      </c>
      <c r="B861" t="s">
        <v>1001</v>
      </c>
      <c r="C861" t="s">
        <v>1024</v>
      </c>
      <c r="D861" s="14" t="s">
        <v>1023</v>
      </c>
      <c r="E861" s="12" t="s">
        <v>28</v>
      </c>
      <c r="F861" s="13" t="s">
        <v>29</v>
      </c>
      <c r="G861">
        <v>10</v>
      </c>
      <c r="H861" t="s">
        <v>30</v>
      </c>
      <c r="I861">
        <v>10</v>
      </c>
      <c r="J861" s="15"/>
      <c r="K861" s="16">
        <f>73.18 - (73.18 * $E$1)</f>
        <v>73.180000000000007</v>
      </c>
      <c r="L861" s="16">
        <f>59.98 - (59.98 * $E$1)</f>
        <v>59.98</v>
      </c>
      <c r="M861" s="1">
        <v>73.180000000000007</v>
      </c>
      <c r="N861" s="1">
        <v>59.98</v>
      </c>
      <c r="O861" s="1">
        <v>62.2</v>
      </c>
      <c r="P861" s="1">
        <v>50.98</v>
      </c>
      <c r="Q861">
        <v>1.54E-2</v>
      </c>
      <c r="R861">
        <v>1.9700000000000001E-5</v>
      </c>
    </row>
    <row r="862" spans="1:18" ht="13.8" outlineLevel="2" x14ac:dyDescent="0.25">
      <c r="A862">
        <v>87171</v>
      </c>
      <c r="B862" t="s">
        <v>1001</v>
      </c>
      <c r="C862" t="s">
        <v>1025</v>
      </c>
      <c r="D862" s="14" t="s">
        <v>1023</v>
      </c>
      <c r="E862" s="12" t="s">
        <v>28</v>
      </c>
      <c r="F862" s="13" t="s">
        <v>29</v>
      </c>
      <c r="G862">
        <v>10</v>
      </c>
      <c r="H862" t="s">
        <v>30</v>
      </c>
      <c r="I862">
        <v>10</v>
      </c>
      <c r="J862" s="15"/>
      <c r="K862" s="16">
        <f>107.97 - (107.97 * $E$1)</f>
        <v>107.97</v>
      </c>
      <c r="L862" s="16">
        <f>88.5 - (88.5 * $E$1)</f>
        <v>88.5</v>
      </c>
      <c r="M862" s="1">
        <v>107.97</v>
      </c>
      <c r="N862" s="1">
        <v>88.5</v>
      </c>
      <c r="O862" s="1">
        <v>91.77</v>
      </c>
      <c r="P862" s="1">
        <v>75.23</v>
      </c>
      <c r="Q862">
        <v>2.4799999999999999E-2</v>
      </c>
      <c r="R862">
        <v>3.3800000000000002E-5</v>
      </c>
    </row>
    <row r="863" spans="1:18" ht="13.8" outlineLevel="2" x14ac:dyDescent="0.25">
      <c r="A863">
        <v>87172</v>
      </c>
      <c r="B863" t="s">
        <v>1001</v>
      </c>
      <c r="C863" t="s">
        <v>1026</v>
      </c>
      <c r="D863" s="14" t="s">
        <v>1023</v>
      </c>
      <c r="E863" s="12" t="s">
        <v>28</v>
      </c>
      <c r="F863" s="13" t="s">
        <v>29</v>
      </c>
      <c r="G863">
        <v>10</v>
      </c>
      <c r="H863" t="s">
        <v>30</v>
      </c>
      <c r="I863">
        <v>10</v>
      </c>
      <c r="J863" s="15"/>
      <c r="K863" s="16">
        <f>115.09 - (115.09 * $E$1)</f>
        <v>115.09</v>
      </c>
      <c r="L863" s="16">
        <f>94.34 - (94.34 * $E$1)</f>
        <v>94.34</v>
      </c>
      <c r="M863" s="1">
        <v>115.09</v>
      </c>
      <c r="N863" s="1">
        <v>94.34</v>
      </c>
      <c r="O863" s="1">
        <v>97.83</v>
      </c>
      <c r="P863" s="1">
        <v>80.19</v>
      </c>
      <c r="Q863">
        <v>2.8400000000000002E-2</v>
      </c>
      <c r="R863">
        <v>4.7299999999999998E-5</v>
      </c>
    </row>
    <row r="864" spans="1:18" ht="13.8" outlineLevel="2" x14ac:dyDescent="0.25">
      <c r="A864">
        <v>87173</v>
      </c>
      <c r="B864" t="s">
        <v>1001</v>
      </c>
      <c r="C864" t="s">
        <v>1027</v>
      </c>
      <c r="D864" s="14" t="s">
        <v>1023</v>
      </c>
      <c r="E864" s="12" t="s">
        <v>28</v>
      </c>
      <c r="F864" s="13" t="s">
        <v>29</v>
      </c>
      <c r="G864">
        <v>10</v>
      </c>
      <c r="H864" t="s">
        <v>30</v>
      </c>
      <c r="I864">
        <v>10</v>
      </c>
      <c r="J864" s="15"/>
      <c r="K864" s="16">
        <f>126.03 - (126.03 * $E$1)</f>
        <v>126.03</v>
      </c>
      <c r="L864" s="16">
        <f>103.3 - (103.3 * $E$1)</f>
        <v>103.3</v>
      </c>
      <c r="M864" s="1">
        <v>126.03</v>
      </c>
      <c r="N864" s="1">
        <v>103.3</v>
      </c>
      <c r="O864" s="1">
        <v>107.12</v>
      </c>
      <c r="P864" s="1">
        <v>87.81</v>
      </c>
      <c r="Q864">
        <v>3.2599999999999997E-2</v>
      </c>
      <c r="R864">
        <v>4.7299999999999998E-5</v>
      </c>
    </row>
    <row r="865" spans="1:18" ht="13.8" outlineLevel="2" x14ac:dyDescent="0.25">
      <c r="A865">
        <v>87174</v>
      </c>
      <c r="B865" t="s">
        <v>1001</v>
      </c>
      <c r="C865" t="s">
        <v>1028</v>
      </c>
      <c r="D865" s="14" t="s">
        <v>1023</v>
      </c>
      <c r="E865" s="12" t="s">
        <v>28</v>
      </c>
      <c r="F865" s="13" t="s">
        <v>29</v>
      </c>
      <c r="G865">
        <v>10</v>
      </c>
      <c r="H865" t="s">
        <v>30</v>
      </c>
      <c r="I865">
        <v>10</v>
      </c>
      <c r="J865" s="15"/>
      <c r="K865" s="16">
        <f>163.05 - (163.05 * $E$1)</f>
        <v>163.05000000000001</v>
      </c>
      <c r="L865" s="16">
        <f>133.65 - (133.65 * $E$1)</f>
        <v>133.65</v>
      </c>
      <c r="M865" s="1">
        <v>163.05000000000001</v>
      </c>
      <c r="N865" s="1">
        <v>133.65</v>
      </c>
      <c r="O865" s="1">
        <v>138.6</v>
      </c>
      <c r="P865" s="1">
        <v>113.6</v>
      </c>
      <c r="Q865">
        <v>4.8800000000000003E-2</v>
      </c>
      <c r="R865">
        <v>7.4800000000000002E-5</v>
      </c>
    </row>
    <row r="866" spans="1:18" ht="13.8" outlineLevel="2" x14ac:dyDescent="0.25">
      <c r="A866">
        <v>87175</v>
      </c>
      <c r="B866" t="s">
        <v>1001</v>
      </c>
      <c r="C866" t="s">
        <v>1029</v>
      </c>
      <c r="D866" s="14" t="s">
        <v>1023</v>
      </c>
      <c r="E866" s="12" t="s">
        <v>28</v>
      </c>
      <c r="F866" s="13" t="s">
        <v>29</v>
      </c>
      <c r="G866">
        <v>10</v>
      </c>
      <c r="H866" t="s">
        <v>30</v>
      </c>
      <c r="I866">
        <v>10</v>
      </c>
      <c r="J866" s="15"/>
      <c r="K866" s="16">
        <f>280.21 - (280.21 * $E$1)</f>
        <v>280.20999999999998</v>
      </c>
      <c r="L866" s="16">
        <f>229.68 - (229.68 * $E$1)</f>
        <v>229.68</v>
      </c>
      <c r="M866" s="1">
        <v>280.20999999999998</v>
      </c>
      <c r="N866" s="1">
        <v>229.68</v>
      </c>
      <c r="O866" s="1">
        <v>238.18</v>
      </c>
      <c r="P866" s="1">
        <v>195.23</v>
      </c>
      <c r="Q866">
        <v>7.3200000000000001E-2</v>
      </c>
      <c r="R866">
        <v>1.2349999999999999E-4</v>
      </c>
    </row>
    <row r="867" spans="1:18" ht="13.8" outlineLevel="2" x14ac:dyDescent="0.25">
      <c r="A867">
        <v>87176</v>
      </c>
      <c r="B867" t="s">
        <v>1001</v>
      </c>
      <c r="C867" t="s">
        <v>1030</v>
      </c>
      <c r="D867" s="14" t="s">
        <v>1023</v>
      </c>
      <c r="E867" s="12" t="s">
        <v>28</v>
      </c>
      <c r="F867" s="13" t="s">
        <v>29</v>
      </c>
      <c r="G867">
        <v>10</v>
      </c>
      <c r="H867" t="s">
        <v>30</v>
      </c>
      <c r="I867">
        <v>10</v>
      </c>
      <c r="J867" s="15"/>
      <c r="K867" s="16">
        <f>501.66 - (501.66 * $E$1)</f>
        <v>501.66</v>
      </c>
      <c r="L867" s="16">
        <f>411.2 - (411.2 * $E$1)</f>
        <v>411.2</v>
      </c>
      <c r="M867" s="1">
        <v>501.66</v>
      </c>
      <c r="N867" s="1">
        <v>411.2</v>
      </c>
      <c r="O867" s="1">
        <v>426.41</v>
      </c>
      <c r="P867" s="1">
        <v>349.52</v>
      </c>
      <c r="Q867">
        <v>0.14000000000000001</v>
      </c>
      <c r="R867">
        <v>2.0790000000000001E-4</v>
      </c>
    </row>
    <row r="868" spans="1:18" ht="13.8" outlineLevel="2" x14ac:dyDescent="0.25">
      <c r="A868">
        <v>87177</v>
      </c>
      <c r="B868" t="s">
        <v>1001</v>
      </c>
      <c r="C868" t="s">
        <v>1031</v>
      </c>
      <c r="D868" s="14" t="s">
        <v>1023</v>
      </c>
      <c r="E868" s="12" t="s">
        <v>28</v>
      </c>
      <c r="F868" s="13" t="s">
        <v>29</v>
      </c>
      <c r="G868">
        <v>10</v>
      </c>
      <c r="H868" t="s">
        <v>30</v>
      </c>
      <c r="I868">
        <v>10</v>
      </c>
      <c r="J868" s="15"/>
      <c r="K868" s="16">
        <f>668.97 - (668.97 * $E$1)</f>
        <v>668.97</v>
      </c>
      <c r="L868" s="16">
        <f>548.34 - (548.34 * $E$1)</f>
        <v>548.34</v>
      </c>
      <c r="M868" s="1">
        <v>668.97</v>
      </c>
      <c r="N868" s="1">
        <v>548.34</v>
      </c>
      <c r="O868" s="1">
        <v>568.63</v>
      </c>
      <c r="P868" s="1">
        <v>466.09</v>
      </c>
      <c r="Q868">
        <v>0.185</v>
      </c>
      <c r="R868">
        <v>2.5530000000000003E-4</v>
      </c>
    </row>
    <row r="869" spans="1:18" ht="13.8" outlineLevel="2" x14ac:dyDescent="0.25">
      <c r="A869">
        <v>87163</v>
      </c>
      <c r="B869" t="s">
        <v>1001</v>
      </c>
      <c r="C869" t="s">
        <v>1032</v>
      </c>
      <c r="D869" s="14" t="s">
        <v>1033</v>
      </c>
      <c r="E869" s="12" t="s">
        <v>28</v>
      </c>
      <c r="F869" s="13" t="s">
        <v>29</v>
      </c>
      <c r="G869">
        <v>10</v>
      </c>
      <c r="H869" t="s">
        <v>30</v>
      </c>
      <c r="I869">
        <v>10</v>
      </c>
      <c r="J869" s="15"/>
      <c r="K869" s="16">
        <f>115.09 - (115.09 * $E$1)</f>
        <v>115.09</v>
      </c>
      <c r="L869" s="16">
        <f>94.34 - (94.34 * $E$1)</f>
        <v>94.34</v>
      </c>
      <c r="M869" s="1">
        <v>115.09</v>
      </c>
      <c r="N869" s="1">
        <v>94.34</v>
      </c>
      <c r="O869" s="1">
        <v>97.83</v>
      </c>
      <c r="P869" s="1">
        <v>80.19</v>
      </c>
      <c r="Q869">
        <v>2.8400000000000002E-2</v>
      </c>
      <c r="R869">
        <v>4.5500000000000001E-5</v>
      </c>
    </row>
    <row r="870" spans="1:18" ht="13.8" outlineLevel="2" x14ac:dyDescent="0.25">
      <c r="A870">
        <v>87164</v>
      </c>
      <c r="B870" t="s">
        <v>1001</v>
      </c>
      <c r="C870" t="s">
        <v>1034</v>
      </c>
      <c r="D870" s="14" t="s">
        <v>1033</v>
      </c>
      <c r="E870" s="12" t="s">
        <v>28</v>
      </c>
      <c r="F870" s="13" t="s">
        <v>29</v>
      </c>
      <c r="G870">
        <v>10</v>
      </c>
      <c r="H870" t="s">
        <v>30</v>
      </c>
      <c r="I870">
        <v>10</v>
      </c>
      <c r="J870" s="15"/>
      <c r="K870" s="16">
        <f>126.03 - (126.03 * $E$1)</f>
        <v>126.03</v>
      </c>
      <c r="L870" s="16">
        <f>103.3 - (103.3 * $E$1)</f>
        <v>103.3</v>
      </c>
      <c r="M870" s="1">
        <v>126.03</v>
      </c>
      <c r="N870" s="1">
        <v>103.3</v>
      </c>
      <c r="O870" s="1">
        <v>107.12</v>
      </c>
      <c r="P870" s="1">
        <v>87.81</v>
      </c>
      <c r="Q870">
        <v>3.3599999999999998E-2</v>
      </c>
      <c r="R870">
        <v>4.7299999999999998E-5</v>
      </c>
    </row>
    <row r="871" spans="1:18" ht="13.8" outlineLevel="2" x14ac:dyDescent="0.25">
      <c r="A871">
        <v>87167</v>
      </c>
      <c r="B871" t="s">
        <v>1001</v>
      </c>
      <c r="C871" t="s">
        <v>1035</v>
      </c>
      <c r="D871" s="14" t="s">
        <v>1033</v>
      </c>
      <c r="E871" s="12" t="s">
        <v>28</v>
      </c>
      <c r="F871" s="13" t="s">
        <v>29</v>
      </c>
      <c r="G871">
        <v>10</v>
      </c>
      <c r="H871" t="s">
        <v>30</v>
      </c>
      <c r="I871">
        <v>10</v>
      </c>
      <c r="J871" s="15"/>
      <c r="K871" s="16">
        <f>501.66 - (501.66 * $E$1)</f>
        <v>501.66</v>
      </c>
      <c r="L871" s="16">
        <f>411.2 - (411.2 * $E$1)</f>
        <v>411.2</v>
      </c>
      <c r="M871" s="1">
        <v>501.66</v>
      </c>
      <c r="N871" s="1">
        <v>411.2</v>
      </c>
      <c r="O871" s="1">
        <v>426.41</v>
      </c>
      <c r="P871" s="1">
        <v>349.52</v>
      </c>
      <c r="Q871">
        <v>0.14699999999999999</v>
      </c>
      <c r="R871">
        <v>1.906E-4</v>
      </c>
    </row>
    <row r="872" spans="1:18" ht="13.8" outlineLevel="2" x14ac:dyDescent="0.25">
      <c r="A872">
        <v>87168</v>
      </c>
      <c r="B872" t="s">
        <v>1001</v>
      </c>
      <c r="C872" t="s">
        <v>1036</v>
      </c>
      <c r="D872" s="14" t="s">
        <v>1033</v>
      </c>
      <c r="E872" s="12" t="s">
        <v>28</v>
      </c>
      <c r="F872" s="13" t="s">
        <v>29</v>
      </c>
      <c r="G872">
        <v>10</v>
      </c>
      <c r="H872" t="s">
        <v>30</v>
      </c>
      <c r="I872">
        <v>10</v>
      </c>
      <c r="J872" s="15"/>
      <c r="K872" s="16">
        <f>668.97 - (668.97 * $E$1)</f>
        <v>668.97</v>
      </c>
      <c r="L872" s="16">
        <f>548.34 - (548.34 * $E$1)</f>
        <v>548.34</v>
      </c>
      <c r="M872" s="1">
        <v>668.97</v>
      </c>
      <c r="N872" s="1">
        <v>548.34</v>
      </c>
      <c r="O872" s="1">
        <v>568.63</v>
      </c>
      <c r="P872" s="1">
        <v>466.09</v>
      </c>
      <c r="Q872">
        <v>0.193</v>
      </c>
      <c r="R872">
        <v>2.609E-4</v>
      </c>
    </row>
    <row r="873" spans="1:18" ht="13.8" outlineLevel="2" x14ac:dyDescent="0.25">
      <c r="A873">
        <v>87178</v>
      </c>
      <c r="B873" t="s">
        <v>1037</v>
      </c>
      <c r="C873" t="s">
        <v>1038</v>
      </c>
      <c r="D873" s="14" t="s">
        <v>1039</v>
      </c>
      <c r="E873" s="12" t="s">
        <v>28</v>
      </c>
      <c r="F873" s="17" t="s">
        <v>549</v>
      </c>
      <c r="G873">
        <v>20</v>
      </c>
      <c r="H873" t="s">
        <v>30</v>
      </c>
      <c r="I873">
        <v>20</v>
      </c>
      <c r="J873" s="15"/>
      <c r="K873" s="16">
        <f>53.55 - (53.55 * $E$1)</f>
        <v>53.55</v>
      </c>
      <c r="L873" s="16">
        <f>43.89 - (43.89 * $E$1)</f>
        <v>43.89</v>
      </c>
      <c r="M873" s="1">
        <v>53.55</v>
      </c>
      <c r="N873" s="1">
        <v>43.89</v>
      </c>
      <c r="O873" s="1">
        <v>45.51</v>
      </c>
      <c r="P873" s="1">
        <v>37.31</v>
      </c>
      <c r="Q873">
        <v>9.2999999999999992E-3</v>
      </c>
      <c r="R873">
        <v>1.49E-5</v>
      </c>
    </row>
    <row r="874" spans="1:18" ht="13.8" outlineLevel="2" x14ac:dyDescent="0.25">
      <c r="A874">
        <v>87179</v>
      </c>
      <c r="B874" t="s">
        <v>1037</v>
      </c>
      <c r="C874" t="s">
        <v>1040</v>
      </c>
      <c r="D874" s="14" t="s">
        <v>1039</v>
      </c>
      <c r="E874" s="12" t="s">
        <v>28</v>
      </c>
      <c r="F874" s="13" t="s">
        <v>29</v>
      </c>
      <c r="G874">
        <v>20</v>
      </c>
      <c r="H874" t="s">
        <v>30</v>
      </c>
      <c r="I874">
        <v>20</v>
      </c>
      <c r="J874" s="15"/>
      <c r="K874" s="16">
        <f>64.5 - (64.5 * $E$1)</f>
        <v>64.5</v>
      </c>
      <c r="L874" s="16">
        <f>52.87 - (52.87 * $E$1)</f>
        <v>52.87</v>
      </c>
      <c r="M874" s="1">
        <v>64.5</v>
      </c>
      <c r="N874" s="1">
        <v>52.87</v>
      </c>
      <c r="O874" s="1">
        <v>54.83</v>
      </c>
      <c r="P874" s="1">
        <v>44.94</v>
      </c>
      <c r="Q874">
        <v>1.2200000000000001E-2</v>
      </c>
      <c r="R874">
        <v>1.785E-5</v>
      </c>
    </row>
    <row r="875" spans="1:18" ht="13.8" outlineLevel="2" x14ac:dyDescent="0.25">
      <c r="A875">
        <v>87180</v>
      </c>
      <c r="B875" t="s">
        <v>1037</v>
      </c>
      <c r="C875" t="s">
        <v>1041</v>
      </c>
      <c r="D875" s="14" t="s">
        <v>1039</v>
      </c>
      <c r="E875" s="12" t="s">
        <v>28</v>
      </c>
      <c r="F875" s="17" t="s">
        <v>549</v>
      </c>
      <c r="G875">
        <v>10</v>
      </c>
      <c r="H875" t="s">
        <v>30</v>
      </c>
      <c r="I875">
        <v>10</v>
      </c>
      <c r="J875" s="15"/>
      <c r="K875" s="16">
        <f>93.42 - (93.42 * $E$1)</f>
        <v>93.42</v>
      </c>
      <c r="L875" s="16">
        <f>76.57 - (76.57 * $E$1)</f>
        <v>76.569999999999993</v>
      </c>
      <c r="M875" s="1">
        <v>93.42</v>
      </c>
      <c r="N875" s="1">
        <v>76.569999999999993</v>
      </c>
      <c r="O875" s="1">
        <v>79.400000000000006</v>
      </c>
      <c r="P875" s="1">
        <v>65.08</v>
      </c>
      <c r="Q875">
        <v>1.7999999999999999E-2</v>
      </c>
      <c r="R875">
        <v>2.8E-5</v>
      </c>
    </row>
    <row r="876" spans="1:18" ht="13.8" outlineLevel="2" x14ac:dyDescent="0.25">
      <c r="A876">
        <v>87181</v>
      </c>
      <c r="B876" t="s">
        <v>1037</v>
      </c>
      <c r="C876" t="s">
        <v>1042</v>
      </c>
      <c r="D876" s="14" t="s">
        <v>1039</v>
      </c>
      <c r="E876" s="12" t="s">
        <v>28</v>
      </c>
      <c r="F876" s="17" t="s">
        <v>549</v>
      </c>
      <c r="G876">
        <v>10</v>
      </c>
      <c r="H876" t="s">
        <v>30</v>
      </c>
      <c r="I876">
        <v>10</v>
      </c>
      <c r="J876" s="15"/>
      <c r="K876" s="16">
        <f>149.55 - (149.55 * $E$1)</f>
        <v>149.55000000000001</v>
      </c>
      <c r="L876" s="16">
        <f>122.58 - (122.58 * $E$1)</f>
        <v>122.58</v>
      </c>
      <c r="M876" s="1">
        <v>149.55000000000001</v>
      </c>
      <c r="N876" s="1">
        <v>122.58</v>
      </c>
      <c r="O876" s="1">
        <v>127.12</v>
      </c>
      <c r="P876" s="1">
        <v>104.19</v>
      </c>
      <c r="Q876">
        <v>3.3399999999999999E-2</v>
      </c>
      <c r="R876">
        <v>4.5899999999999998E-5</v>
      </c>
    </row>
    <row r="877" spans="1:18" ht="13.8" outlineLevel="2" x14ac:dyDescent="0.25">
      <c r="A877">
        <v>87182</v>
      </c>
      <c r="B877" t="s">
        <v>1037</v>
      </c>
      <c r="C877" t="s">
        <v>1043</v>
      </c>
      <c r="D877" s="14" t="s">
        <v>1039</v>
      </c>
      <c r="E877" s="12" t="s">
        <v>28</v>
      </c>
      <c r="F877" s="17" t="s">
        <v>549</v>
      </c>
      <c r="G877">
        <v>10</v>
      </c>
      <c r="H877" t="s">
        <v>30</v>
      </c>
      <c r="I877">
        <v>10</v>
      </c>
      <c r="J877" s="15"/>
      <c r="K877" s="16">
        <f>284.06 - (284.06 * $E$1)</f>
        <v>284.06</v>
      </c>
      <c r="L877" s="16">
        <f>232.84 - (232.84 * $E$1)</f>
        <v>232.84</v>
      </c>
      <c r="M877" s="1">
        <v>284.06</v>
      </c>
      <c r="N877" s="1">
        <v>232.84</v>
      </c>
      <c r="O877" s="1">
        <v>241.46</v>
      </c>
      <c r="P877" s="1">
        <v>197.91</v>
      </c>
      <c r="Q877">
        <v>7.46E-2</v>
      </c>
      <c r="R877">
        <v>7.7000000000000001E-5</v>
      </c>
    </row>
    <row r="878" spans="1:18" ht="13.8" outlineLevel="2" x14ac:dyDescent="0.25">
      <c r="A878">
        <v>109271</v>
      </c>
      <c r="B878" t="s">
        <v>1044</v>
      </c>
      <c r="C878" t="s">
        <v>1045</v>
      </c>
      <c r="D878" s="14" t="s">
        <v>1039</v>
      </c>
      <c r="E878" s="12" t="s">
        <v>28</v>
      </c>
      <c r="F878" s="13" t="s">
        <v>29</v>
      </c>
      <c r="G878">
        <v>1</v>
      </c>
      <c r="H878" t="s">
        <v>420</v>
      </c>
      <c r="I878">
        <v>1</v>
      </c>
      <c r="J878" s="15"/>
      <c r="K878" s="16">
        <f>535.49 - (535.49 * $E$1)</f>
        <v>535.49</v>
      </c>
      <c r="L878" s="16">
        <f>438.93 - (438.93 * $E$1)</f>
        <v>438.93</v>
      </c>
      <c r="M878" s="1">
        <v>535.49</v>
      </c>
      <c r="N878" s="1">
        <v>438.93</v>
      </c>
      <c r="O878" s="1">
        <v>455.17</v>
      </c>
      <c r="P878" s="1">
        <v>373.09</v>
      </c>
      <c r="Q878">
        <v>0.186</v>
      </c>
      <c r="R878">
        <v>2.9799999999999998E-4</v>
      </c>
    </row>
    <row r="879" spans="1:18" ht="13.8" outlineLevel="2" x14ac:dyDescent="0.25">
      <c r="A879">
        <v>109272</v>
      </c>
      <c r="B879" t="s">
        <v>1044</v>
      </c>
      <c r="C879" t="s">
        <v>1046</v>
      </c>
      <c r="D879" s="14" t="s">
        <v>1039</v>
      </c>
      <c r="E879" s="12" t="s">
        <v>28</v>
      </c>
      <c r="F879" s="13" t="s">
        <v>29</v>
      </c>
      <c r="G879">
        <v>1</v>
      </c>
      <c r="H879" t="s">
        <v>420</v>
      </c>
      <c r="I879">
        <v>1</v>
      </c>
      <c r="J879" s="15"/>
      <c r="K879" s="16">
        <f>645 - (645 * $E$1)</f>
        <v>645</v>
      </c>
      <c r="L879" s="16">
        <f>528.69 - (528.69 * $E$1)</f>
        <v>528.69000000000005</v>
      </c>
      <c r="M879" s="1">
        <v>645</v>
      </c>
      <c r="N879" s="1">
        <v>528.69000000000005</v>
      </c>
      <c r="O879" s="1">
        <v>548.25</v>
      </c>
      <c r="P879" s="1">
        <v>449.39</v>
      </c>
      <c r="Q879">
        <v>0.24399999999999999</v>
      </c>
      <c r="R879">
        <v>3.57E-4</v>
      </c>
    </row>
    <row r="880" spans="1:18" ht="13.8" outlineLevel="2" x14ac:dyDescent="0.25">
      <c r="A880">
        <v>109273</v>
      </c>
      <c r="B880" t="s">
        <v>1044</v>
      </c>
      <c r="C880" t="s">
        <v>1047</v>
      </c>
      <c r="D880" s="14" t="s">
        <v>1039</v>
      </c>
      <c r="E880" s="12" t="s">
        <v>28</v>
      </c>
      <c r="F880" s="13" t="s">
        <v>29</v>
      </c>
      <c r="G880">
        <v>1</v>
      </c>
      <c r="H880" t="s">
        <v>420</v>
      </c>
      <c r="I880">
        <v>1</v>
      </c>
      <c r="J880" s="15"/>
      <c r="K880" s="16">
        <f>934.2 - (934.2 * $E$1)</f>
        <v>934.2</v>
      </c>
      <c r="L880" s="16">
        <f>765.74 - (765.74 * $E$1)</f>
        <v>765.74</v>
      </c>
      <c r="M880" s="1">
        <v>934.2</v>
      </c>
      <c r="N880" s="1">
        <v>765.74</v>
      </c>
      <c r="O880" s="1">
        <v>794.07</v>
      </c>
      <c r="P880" s="1">
        <v>650.88</v>
      </c>
      <c r="Q880">
        <v>0.18</v>
      </c>
      <c r="R880">
        <v>2.7999999999999998E-4</v>
      </c>
    </row>
    <row r="881" spans="1:18" ht="13.8" outlineLevel="2" x14ac:dyDescent="0.25">
      <c r="A881">
        <v>109274</v>
      </c>
      <c r="B881" t="s">
        <v>1044</v>
      </c>
      <c r="C881" t="s">
        <v>1048</v>
      </c>
      <c r="D881" s="14" t="s">
        <v>1039</v>
      </c>
      <c r="E881" s="12" t="s">
        <v>28</v>
      </c>
      <c r="F881" s="13" t="s">
        <v>29</v>
      </c>
      <c r="G881">
        <v>1</v>
      </c>
      <c r="H881" t="s">
        <v>420</v>
      </c>
      <c r="I881">
        <v>1</v>
      </c>
      <c r="J881" s="15"/>
      <c r="K881" s="16">
        <f>1495.5 - (1495.5 * $E$1)</f>
        <v>1495.5</v>
      </c>
      <c r="L881" s="16">
        <f>1225.82 - (1225.82 * $E$1)</f>
        <v>1225.82</v>
      </c>
      <c r="M881" s="1">
        <v>1495.5</v>
      </c>
      <c r="N881" s="1">
        <v>1225.82</v>
      </c>
      <c r="O881" s="1">
        <v>1271.18</v>
      </c>
      <c r="P881" s="1">
        <v>1041.95</v>
      </c>
      <c r="Q881">
        <v>0.33400000000000002</v>
      </c>
      <c r="R881">
        <v>4.5899999999999999E-4</v>
      </c>
    </row>
    <row r="882" spans="1:18" ht="13.8" outlineLevel="2" x14ac:dyDescent="0.25">
      <c r="A882">
        <v>109275</v>
      </c>
      <c r="B882" t="s">
        <v>1044</v>
      </c>
      <c r="C882" t="s">
        <v>1049</v>
      </c>
      <c r="D882" s="14" t="s">
        <v>1039</v>
      </c>
      <c r="E882" s="12" t="s">
        <v>28</v>
      </c>
      <c r="F882" s="13" t="s">
        <v>29</v>
      </c>
      <c r="G882">
        <v>1</v>
      </c>
      <c r="H882" t="s">
        <v>420</v>
      </c>
      <c r="I882">
        <v>1</v>
      </c>
      <c r="J882" s="15"/>
      <c r="K882" s="16">
        <f>2840.6 - (2840.6 * $E$1)</f>
        <v>2840.6</v>
      </c>
      <c r="L882" s="16">
        <f>2328.36 - (2328.36 * $E$1)</f>
        <v>2328.36</v>
      </c>
      <c r="M882" s="1">
        <v>2840.6</v>
      </c>
      <c r="N882" s="1">
        <v>2328.36</v>
      </c>
      <c r="O882" s="1">
        <v>2414.5100000000002</v>
      </c>
      <c r="P882" s="1">
        <v>1979.11</v>
      </c>
      <c r="Q882">
        <v>0.746</v>
      </c>
      <c r="R882">
        <v>7.6999999999999996E-4</v>
      </c>
    </row>
    <row r="883" spans="1:18" ht="13.8" outlineLevel="2" x14ac:dyDescent="0.25">
      <c r="A883">
        <v>87183</v>
      </c>
      <c r="C883" t="s">
        <v>1050</v>
      </c>
      <c r="D883" s="14" t="s">
        <v>1051</v>
      </c>
      <c r="E883" s="12" t="s">
        <v>28</v>
      </c>
      <c r="F883" s="13" t="s">
        <v>29</v>
      </c>
      <c r="G883">
        <v>10</v>
      </c>
      <c r="H883" t="s">
        <v>30</v>
      </c>
      <c r="I883">
        <v>10</v>
      </c>
      <c r="J883" s="15"/>
      <c r="K883" s="16">
        <f>99.15 - (99.15 * $E$1)</f>
        <v>99.15</v>
      </c>
      <c r="L883" s="16">
        <f>81.27 - (81.27 * $E$1)</f>
        <v>81.27</v>
      </c>
      <c r="M883" s="1">
        <v>99.15</v>
      </c>
      <c r="N883" s="1">
        <v>81.27</v>
      </c>
      <c r="O883" s="1">
        <v>84.28</v>
      </c>
      <c r="P883" s="1">
        <v>69.08</v>
      </c>
      <c r="Q883">
        <v>2.8000000000000001E-2</v>
      </c>
      <c r="R883">
        <v>3.6000000000000001E-5</v>
      </c>
    </row>
    <row r="884" spans="1:18" ht="13.8" outlineLevel="2" x14ac:dyDescent="0.25">
      <c r="A884">
        <v>87184</v>
      </c>
      <c r="C884" t="s">
        <v>1052</v>
      </c>
      <c r="D884" s="14" t="s">
        <v>1051</v>
      </c>
      <c r="E884" s="12" t="s">
        <v>28</v>
      </c>
      <c r="F884" s="13" t="s">
        <v>29</v>
      </c>
      <c r="G884">
        <v>10</v>
      </c>
      <c r="H884" t="s">
        <v>30</v>
      </c>
      <c r="I884">
        <v>10</v>
      </c>
      <c r="J884" s="15"/>
      <c r="K884" s="16">
        <f>122.26 - (122.26 * $E$1)</f>
        <v>122.26</v>
      </c>
      <c r="L884" s="16">
        <f>100.21 - (100.21 * $E$1)</f>
        <v>100.21</v>
      </c>
      <c r="M884" s="1">
        <v>122.26</v>
      </c>
      <c r="N884" s="1">
        <v>100.21</v>
      </c>
      <c r="O884" s="1">
        <v>103.92</v>
      </c>
      <c r="P884" s="1">
        <v>85.18</v>
      </c>
      <c r="Q884">
        <v>3.4000000000000002E-2</v>
      </c>
      <c r="R884">
        <v>3.8000000000000002E-5</v>
      </c>
    </row>
    <row r="885" spans="1:18" ht="13.8" outlineLevel="2" x14ac:dyDescent="0.25">
      <c r="A885">
        <v>87186</v>
      </c>
      <c r="C885" t="s">
        <v>1053</v>
      </c>
      <c r="D885" s="14" t="s">
        <v>1051</v>
      </c>
      <c r="E885" s="12" t="s">
        <v>28</v>
      </c>
      <c r="F885" s="13" t="s">
        <v>29</v>
      </c>
      <c r="G885">
        <v>10</v>
      </c>
      <c r="H885" t="s">
        <v>30</v>
      </c>
      <c r="I885">
        <v>10</v>
      </c>
      <c r="J885" s="15"/>
      <c r="K885" s="16">
        <f>163.98 - (163.98 * $E$1)</f>
        <v>163.98</v>
      </c>
      <c r="L885" s="16">
        <f>134.41 - (134.41 * $E$1)</f>
        <v>134.41</v>
      </c>
      <c r="M885" s="1">
        <v>163.98</v>
      </c>
      <c r="N885" s="1">
        <v>134.41</v>
      </c>
      <c r="O885" s="1">
        <v>139.38</v>
      </c>
      <c r="P885" s="1">
        <v>114.25</v>
      </c>
      <c r="Q885">
        <v>4.3999999999999997E-2</v>
      </c>
      <c r="R885">
        <v>5.0399999999999999E-5</v>
      </c>
    </row>
    <row r="886" spans="1:18" ht="13.8" outlineLevel="2" x14ac:dyDescent="0.25">
      <c r="A886">
        <v>87187</v>
      </c>
      <c r="C886" t="s">
        <v>1054</v>
      </c>
      <c r="D886" s="14" t="s">
        <v>1051</v>
      </c>
      <c r="E886" s="12" t="s">
        <v>28</v>
      </c>
      <c r="F886" s="13" t="s">
        <v>29</v>
      </c>
      <c r="G886">
        <v>10</v>
      </c>
      <c r="H886" t="s">
        <v>30</v>
      </c>
      <c r="I886">
        <v>10</v>
      </c>
      <c r="J886" s="15"/>
      <c r="K886" s="16">
        <f>181.24 - (181.24 * $E$1)</f>
        <v>181.24</v>
      </c>
      <c r="L886" s="16">
        <f>148.56 - (148.56 * $E$1)</f>
        <v>148.56</v>
      </c>
      <c r="M886" s="1">
        <v>181.24</v>
      </c>
      <c r="N886" s="1">
        <v>148.56</v>
      </c>
      <c r="O886" s="1">
        <v>154.06</v>
      </c>
      <c r="P886" s="1">
        <v>126.28</v>
      </c>
      <c r="Q886">
        <v>0.05</v>
      </c>
      <c r="R886">
        <v>5.0399999999999999E-5</v>
      </c>
    </row>
    <row r="887" spans="1:18" ht="13.8" outlineLevel="2" x14ac:dyDescent="0.25">
      <c r="A887">
        <v>87188</v>
      </c>
      <c r="C887" t="s">
        <v>1055</v>
      </c>
      <c r="D887" s="14" t="s">
        <v>1056</v>
      </c>
      <c r="E887" s="12" t="s">
        <v>28</v>
      </c>
      <c r="F887" s="13" t="s">
        <v>29</v>
      </c>
      <c r="G887">
        <v>10</v>
      </c>
      <c r="H887" t="s">
        <v>30</v>
      </c>
      <c r="I887">
        <v>10</v>
      </c>
      <c r="J887" s="15"/>
      <c r="K887" s="16">
        <f>100.41 - (100.41 * $E$1)</f>
        <v>100.41</v>
      </c>
      <c r="L887" s="16">
        <f>82.3 - (82.3 * $E$1)</f>
        <v>82.3</v>
      </c>
      <c r="M887" s="1">
        <v>100.41</v>
      </c>
      <c r="N887" s="1">
        <v>82.3</v>
      </c>
      <c r="O887" s="1">
        <v>85.35</v>
      </c>
      <c r="P887" s="1">
        <v>69.959999999999994</v>
      </c>
      <c r="Q887">
        <v>2.6599999999999999E-2</v>
      </c>
      <c r="R887">
        <v>3.1999999999999999E-5</v>
      </c>
    </row>
    <row r="888" spans="1:18" ht="13.8" outlineLevel="2" x14ac:dyDescent="0.25">
      <c r="A888">
        <v>87189</v>
      </c>
      <c r="C888" t="s">
        <v>1057</v>
      </c>
      <c r="D888" s="14" t="s">
        <v>1056</v>
      </c>
      <c r="E888" s="12" t="s">
        <v>28</v>
      </c>
      <c r="F888" s="13" t="s">
        <v>29</v>
      </c>
      <c r="G888">
        <v>10</v>
      </c>
      <c r="H888" t="s">
        <v>30</v>
      </c>
      <c r="I888">
        <v>10</v>
      </c>
      <c r="J888" s="15"/>
      <c r="K888" s="16">
        <f>123.5 - (123.5 * $E$1)</f>
        <v>123.5</v>
      </c>
      <c r="L888" s="16">
        <f>101.23 - (101.23 * $E$1)</f>
        <v>101.23</v>
      </c>
      <c r="M888" s="1">
        <v>123.5</v>
      </c>
      <c r="N888" s="1">
        <v>101.23</v>
      </c>
      <c r="O888" s="1">
        <v>104.98</v>
      </c>
      <c r="P888" s="1">
        <v>86.05</v>
      </c>
      <c r="Q888">
        <v>3.2300000000000002E-2</v>
      </c>
      <c r="R888">
        <v>3.1999999999999999E-5</v>
      </c>
    </row>
    <row r="889" spans="1:18" ht="13.8" outlineLevel="2" x14ac:dyDescent="0.25">
      <c r="A889">
        <v>87190</v>
      </c>
      <c r="C889" t="s">
        <v>1058</v>
      </c>
      <c r="D889" s="14" t="s">
        <v>1056</v>
      </c>
      <c r="E889" s="12" t="s">
        <v>28</v>
      </c>
      <c r="F889" s="13" t="s">
        <v>29</v>
      </c>
      <c r="G889">
        <v>10</v>
      </c>
      <c r="H889" t="s">
        <v>30</v>
      </c>
      <c r="I889">
        <v>10</v>
      </c>
      <c r="J889" s="15"/>
      <c r="K889" s="16">
        <f>144.94 - (144.94 * $E$1)</f>
        <v>144.94</v>
      </c>
      <c r="L889" s="16">
        <f>118.8 - (118.8 * $E$1)</f>
        <v>118.8</v>
      </c>
      <c r="M889" s="1">
        <v>144.94</v>
      </c>
      <c r="N889" s="1">
        <v>118.8</v>
      </c>
      <c r="O889" s="1">
        <v>123.2</v>
      </c>
      <c r="P889" s="1">
        <v>100.98</v>
      </c>
      <c r="Q889">
        <v>3.5400000000000001E-2</v>
      </c>
      <c r="R889">
        <v>3.6600000000000002E-5</v>
      </c>
    </row>
    <row r="890" spans="1:18" ht="13.8" outlineLevel="2" x14ac:dyDescent="0.25">
      <c r="A890">
        <v>87191</v>
      </c>
      <c r="C890" t="s">
        <v>1059</v>
      </c>
      <c r="D890" s="14" t="s">
        <v>1056</v>
      </c>
      <c r="E890" s="12" t="s">
        <v>28</v>
      </c>
      <c r="F890" s="13" t="s">
        <v>29</v>
      </c>
      <c r="G890">
        <v>10</v>
      </c>
      <c r="H890" t="s">
        <v>30</v>
      </c>
      <c r="I890">
        <v>10</v>
      </c>
      <c r="J890" s="15"/>
      <c r="K890" s="16">
        <f>165.83 - (165.83 * $E$1)</f>
        <v>165.83</v>
      </c>
      <c r="L890" s="16">
        <f>135.93 - (135.93 * $E$1)</f>
        <v>135.93</v>
      </c>
      <c r="M890" s="1">
        <v>165.83</v>
      </c>
      <c r="N890" s="1">
        <v>135.93</v>
      </c>
      <c r="O890" s="1">
        <v>140.96</v>
      </c>
      <c r="P890" s="1">
        <v>115.54</v>
      </c>
      <c r="Q890">
        <v>4.1599999999999998E-2</v>
      </c>
      <c r="R890">
        <v>3.57E-5</v>
      </c>
    </row>
    <row r="891" spans="1:18" ht="13.8" outlineLevel="2" x14ac:dyDescent="0.25">
      <c r="A891">
        <v>87192</v>
      </c>
      <c r="C891" t="s">
        <v>1060</v>
      </c>
      <c r="D891" s="14" t="s">
        <v>1056</v>
      </c>
      <c r="E891" s="12" t="s">
        <v>28</v>
      </c>
      <c r="F891" s="13" t="s">
        <v>29</v>
      </c>
      <c r="G891">
        <v>10</v>
      </c>
      <c r="H891" t="s">
        <v>30</v>
      </c>
      <c r="I891">
        <v>10</v>
      </c>
      <c r="J891" s="15"/>
      <c r="K891" s="16">
        <f>183.13 - (183.13 * $E$1)</f>
        <v>183.13</v>
      </c>
      <c r="L891" s="16">
        <f>150.11 - (150.11 * $E$1)</f>
        <v>150.11000000000001</v>
      </c>
      <c r="M891" s="1">
        <v>183.13</v>
      </c>
      <c r="N891" s="1">
        <v>150.11000000000001</v>
      </c>
      <c r="O891" s="1">
        <v>155.66</v>
      </c>
      <c r="P891" s="1">
        <v>127.59</v>
      </c>
      <c r="Q891">
        <v>4.6399999999999997E-2</v>
      </c>
      <c r="R891">
        <v>4.1999999999999998E-5</v>
      </c>
    </row>
    <row r="892" spans="1:18" ht="16.5" customHeight="1" outlineLevel="1" x14ac:dyDescent="0.35">
      <c r="A892" s="9"/>
      <c r="B892" s="10" t="s">
        <v>1061</v>
      </c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1"/>
    </row>
    <row r="893" spans="1:18" ht="13.8" outlineLevel="2" x14ac:dyDescent="0.25">
      <c r="A893">
        <v>78360</v>
      </c>
      <c r="B893" t="s">
        <v>1062</v>
      </c>
      <c r="C893" t="s">
        <v>1063</v>
      </c>
      <c r="D893" s="14" t="s">
        <v>1064</v>
      </c>
      <c r="E893" s="12" t="s">
        <v>28</v>
      </c>
      <c r="F893" s="13" t="s">
        <v>29</v>
      </c>
      <c r="G893">
        <v>1</v>
      </c>
      <c r="H893" t="s">
        <v>30</v>
      </c>
      <c r="I893">
        <v>1</v>
      </c>
      <c r="J893" s="15"/>
      <c r="K893" s="16">
        <f>1561.48 - (1561.48 * $E$1)</f>
        <v>1561.48</v>
      </c>
      <c r="L893" s="16">
        <f>1279.9 - (1279.9 * $E$1)</f>
        <v>1279.9000000000001</v>
      </c>
      <c r="M893" s="1">
        <v>1561.48</v>
      </c>
      <c r="N893" s="1">
        <v>1279.9000000000001</v>
      </c>
      <c r="O893" s="1">
        <v>1327.26</v>
      </c>
      <c r="P893" s="1">
        <v>1087.92</v>
      </c>
      <c r="Q893">
        <v>0.27</v>
      </c>
      <c r="R893">
        <v>1.008E-3</v>
      </c>
    </row>
    <row r="894" spans="1:18" ht="13.8" outlineLevel="2" x14ac:dyDescent="0.25">
      <c r="A894">
        <v>88978</v>
      </c>
      <c r="B894" t="s">
        <v>1062</v>
      </c>
      <c r="C894" t="s">
        <v>1065</v>
      </c>
      <c r="D894" s="14" t="s">
        <v>1066</v>
      </c>
      <c r="E894" s="12" t="s">
        <v>28</v>
      </c>
      <c r="F894" s="13" t="s">
        <v>29</v>
      </c>
      <c r="G894">
        <v>1</v>
      </c>
      <c r="H894" t="s">
        <v>30</v>
      </c>
      <c r="I894">
        <v>1</v>
      </c>
      <c r="J894" s="15"/>
      <c r="K894" s="16">
        <f>1808.08 - (1808.08 * $E$1)</f>
        <v>1808.08</v>
      </c>
      <c r="L894" s="16">
        <f>1482.03 - (1482.03 * $E$1)</f>
        <v>1482.03</v>
      </c>
      <c r="M894" s="1">
        <v>1808.08</v>
      </c>
      <c r="N894" s="1">
        <v>1482.03</v>
      </c>
      <c r="O894" s="1">
        <v>1536.87</v>
      </c>
      <c r="P894" s="1">
        <v>1259.73</v>
      </c>
      <c r="Q894">
        <v>0.38</v>
      </c>
      <c r="R894">
        <v>5.4000000000000001E-4</v>
      </c>
    </row>
    <row r="895" spans="1:18" ht="13.8" outlineLevel="2" x14ac:dyDescent="0.25">
      <c r="A895">
        <v>92040</v>
      </c>
      <c r="B895" t="s">
        <v>1067</v>
      </c>
      <c r="C895" t="s">
        <v>1068</v>
      </c>
      <c r="D895" s="14" t="s">
        <v>1068</v>
      </c>
      <c r="E895" s="12" t="s">
        <v>28</v>
      </c>
      <c r="F895" s="13" t="s">
        <v>29</v>
      </c>
      <c r="G895">
        <v>1</v>
      </c>
      <c r="H895" t="s">
        <v>30</v>
      </c>
      <c r="I895">
        <v>1</v>
      </c>
      <c r="J895" s="15"/>
      <c r="K895" s="16">
        <f>2888.25 - (2888.25 * $E$1)</f>
        <v>2888.25</v>
      </c>
      <c r="L895" s="16">
        <f>2367.42 - (2367.42 * $E$1)</f>
        <v>2367.42</v>
      </c>
      <c r="M895" s="1">
        <v>2888.25</v>
      </c>
      <c r="N895" s="1">
        <v>2367.42</v>
      </c>
      <c r="O895" s="1">
        <v>2455.0100000000002</v>
      </c>
      <c r="P895" s="1">
        <v>2012.31</v>
      </c>
      <c r="Q895">
        <v>0.48399999999999999</v>
      </c>
      <c r="R895">
        <v>4.1580000000000002E-3</v>
      </c>
    </row>
    <row r="896" spans="1:18" ht="13.8" outlineLevel="2" x14ac:dyDescent="0.25">
      <c r="A896">
        <v>78361</v>
      </c>
      <c r="B896" t="s">
        <v>1062</v>
      </c>
      <c r="C896" t="s">
        <v>1069</v>
      </c>
      <c r="D896" s="14" t="s">
        <v>1070</v>
      </c>
      <c r="E896" s="12" t="s">
        <v>28</v>
      </c>
      <c r="F896" s="13" t="s">
        <v>29</v>
      </c>
      <c r="G896">
        <v>1</v>
      </c>
      <c r="H896" t="s">
        <v>30</v>
      </c>
      <c r="I896">
        <v>1</v>
      </c>
      <c r="J896" s="15"/>
      <c r="K896" s="16">
        <f>1728.96 - (1728.96 * $E$1)</f>
        <v>1728.96</v>
      </c>
      <c r="L896" s="16">
        <f>1417.18 - (1417.18 * $E$1)</f>
        <v>1417.18</v>
      </c>
      <c r="M896" s="1">
        <v>1728.96</v>
      </c>
      <c r="N896" s="1">
        <v>1417.18</v>
      </c>
      <c r="O896" s="1">
        <v>1469.62</v>
      </c>
      <c r="P896" s="1">
        <v>1204.5999999999999</v>
      </c>
      <c r="Q896">
        <v>0.314</v>
      </c>
      <c r="R896">
        <v>1.008E-3</v>
      </c>
    </row>
    <row r="897" spans="1:18" ht="13.8" outlineLevel="2" x14ac:dyDescent="0.25">
      <c r="A897">
        <v>78362</v>
      </c>
      <c r="B897" t="s">
        <v>1062</v>
      </c>
      <c r="C897" t="s">
        <v>1071</v>
      </c>
      <c r="D897" s="14" t="s">
        <v>1072</v>
      </c>
      <c r="E897" s="12" t="s">
        <v>28</v>
      </c>
      <c r="F897" s="13" t="s">
        <v>29</v>
      </c>
      <c r="G897">
        <v>1</v>
      </c>
      <c r="H897" t="s">
        <v>30</v>
      </c>
      <c r="I897">
        <v>1</v>
      </c>
      <c r="J897" s="15"/>
      <c r="K897" s="16">
        <f>1971.63 - (1971.63 * $E$1)</f>
        <v>1971.63</v>
      </c>
      <c r="L897" s="16">
        <f>1616.09 - (1616.09 * $E$1)</f>
        <v>1616.09</v>
      </c>
      <c r="M897" s="1">
        <v>1971.63</v>
      </c>
      <c r="N897" s="1">
        <v>1616.09</v>
      </c>
      <c r="O897" s="1">
        <v>1675.89</v>
      </c>
      <c r="P897" s="1">
        <v>1373.68</v>
      </c>
      <c r="Q897">
        <v>0.29599999999999999</v>
      </c>
      <c r="R897">
        <v>1.2160000000000001E-3</v>
      </c>
    </row>
    <row r="898" spans="1:18" ht="13.8" outlineLevel="2" x14ac:dyDescent="0.25">
      <c r="A898">
        <v>83391</v>
      </c>
      <c r="B898" t="s">
        <v>1073</v>
      </c>
      <c r="C898" t="s">
        <v>1074</v>
      </c>
      <c r="D898" s="14" t="s">
        <v>1074</v>
      </c>
      <c r="E898" s="12" t="s">
        <v>28</v>
      </c>
      <c r="F898" s="13" t="s">
        <v>29</v>
      </c>
      <c r="G898">
        <v>40</v>
      </c>
      <c r="H898" t="s">
        <v>30</v>
      </c>
      <c r="I898">
        <v>40</v>
      </c>
      <c r="J898" s="15"/>
      <c r="K898" s="16">
        <f>82.28 - (82.28 * $E$1)</f>
        <v>82.28</v>
      </c>
      <c r="L898" s="16">
        <f>67.44 - (67.44 * $E$1)</f>
        <v>67.44</v>
      </c>
      <c r="M898" s="1">
        <v>82.28</v>
      </c>
      <c r="N898" s="1">
        <v>67.44</v>
      </c>
      <c r="O898" s="1">
        <v>69.94</v>
      </c>
      <c r="P898" s="1">
        <v>57.32</v>
      </c>
      <c r="Q898">
        <v>2.9100000000000001E-2</v>
      </c>
      <c r="R898">
        <v>1.7765000000000001E-4</v>
      </c>
    </row>
    <row r="899" spans="1:18" ht="13.8" outlineLevel="2" x14ac:dyDescent="0.25">
      <c r="A899">
        <v>88974</v>
      </c>
      <c r="B899" t="s">
        <v>1075</v>
      </c>
      <c r="C899" t="s">
        <v>1076</v>
      </c>
      <c r="D899" s="14" t="s">
        <v>1077</v>
      </c>
      <c r="E899" s="12" t="s">
        <v>28</v>
      </c>
      <c r="F899" s="17" t="s">
        <v>549</v>
      </c>
      <c r="G899">
        <v>10</v>
      </c>
      <c r="H899" t="s">
        <v>30</v>
      </c>
      <c r="I899">
        <v>10</v>
      </c>
      <c r="J899" s="15"/>
      <c r="K899" s="16">
        <f>251.75 - (251.75 * $E$1)</f>
        <v>251.75</v>
      </c>
      <c r="L899" s="16">
        <f>206.35 - (206.35 * $E$1)</f>
        <v>206.35</v>
      </c>
      <c r="M899" s="1">
        <v>251.75</v>
      </c>
      <c r="N899" s="1">
        <v>206.35</v>
      </c>
      <c r="O899" s="1">
        <v>213.98</v>
      </c>
      <c r="P899" s="1">
        <v>175.4</v>
      </c>
      <c r="Q899">
        <v>5.28E-2</v>
      </c>
      <c r="R899">
        <v>9.6799999999999995E-5</v>
      </c>
    </row>
    <row r="900" spans="1:18" ht="13.8" outlineLevel="2" x14ac:dyDescent="0.25">
      <c r="A900">
        <v>109234</v>
      </c>
      <c r="B900" t="s">
        <v>1078</v>
      </c>
      <c r="C900" t="s">
        <v>1079</v>
      </c>
      <c r="D900" s="14" t="s">
        <v>1077</v>
      </c>
      <c r="E900" s="12" t="s">
        <v>28</v>
      </c>
      <c r="F900" s="13" t="s">
        <v>29</v>
      </c>
      <c r="G900">
        <v>1</v>
      </c>
      <c r="H900" t="s">
        <v>420</v>
      </c>
      <c r="I900">
        <v>1</v>
      </c>
      <c r="J900" s="15"/>
      <c r="K900" s="16">
        <f>2517.49 - (2517.49 * $E$1)</f>
        <v>2517.4899999999998</v>
      </c>
      <c r="L900" s="16">
        <f>2063.52 - (2063.52 * $E$1)</f>
        <v>2063.52</v>
      </c>
      <c r="M900" s="1">
        <v>2517.4899999999998</v>
      </c>
      <c r="N900" s="1">
        <v>2063.52</v>
      </c>
      <c r="O900" s="1">
        <v>2139.87</v>
      </c>
      <c r="P900" s="1">
        <v>1753.99</v>
      </c>
      <c r="Q900">
        <v>0.52800000000000002</v>
      </c>
      <c r="R900">
        <v>9.68E-4</v>
      </c>
    </row>
    <row r="901" spans="1:18" ht="13.8" outlineLevel="2" x14ac:dyDescent="0.25">
      <c r="A901">
        <v>88975</v>
      </c>
      <c r="B901" t="s">
        <v>1075</v>
      </c>
      <c r="C901" t="s">
        <v>1080</v>
      </c>
      <c r="D901" s="14" t="s">
        <v>1081</v>
      </c>
      <c r="E901" s="12" t="s">
        <v>28</v>
      </c>
      <c r="F901" s="17" t="s">
        <v>549</v>
      </c>
      <c r="G901">
        <v>10</v>
      </c>
      <c r="H901" t="s">
        <v>30</v>
      </c>
      <c r="I901">
        <v>10</v>
      </c>
      <c r="J901" s="15"/>
      <c r="K901" s="16">
        <f>353.58 - (353.58 * $E$1)</f>
        <v>353.58</v>
      </c>
      <c r="L901" s="16">
        <f>289.82 - (289.82 * $E$1)</f>
        <v>289.82</v>
      </c>
      <c r="M901" s="1">
        <v>353.58</v>
      </c>
      <c r="N901" s="1">
        <v>289.82</v>
      </c>
      <c r="O901" s="1">
        <v>300.54000000000002</v>
      </c>
      <c r="P901" s="1">
        <v>246.35</v>
      </c>
      <c r="Q901">
        <v>7.6399999999999996E-2</v>
      </c>
      <c r="R901">
        <v>1.2520000000000001E-4</v>
      </c>
    </row>
    <row r="902" spans="1:18" ht="13.8" outlineLevel="2" x14ac:dyDescent="0.25">
      <c r="A902">
        <v>109235</v>
      </c>
      <c r="B902" t="s">
        <v>1078</v>
      </c>
      <c r="C902" t="s">
        <v>1082</v>
      </c>
      <c r="D902" s="14" t="s">
        <v>1081</v>
      </c>
      <c r="E902" s="12" t="s">
        <v>28</v>
      </c>
      <c r="F902" s="13" t="s">
        <v>29</v>
      </c>
      <c r="G902">
        <v>1</v>
      </c>
      <c r="H902" t="s">
        <v>420</v>
      </c>
      <c r="I902">
        <v>1</v>
      </c>
      <c r="J902" s="15"/>
      <c r="K902" s="16">
        <f>3535.8 - (3535.8 * $E$1)</f>
        <v>3535.8</v>
      </c>
      <c r="L902" s="16">
        <f>2898.2 - (2898.2 * $E$1)</f>
        <v>2898.2</v>
      </c>
      <c r="M902" s="1">
        <v>3535.8</v>
      </c>
      <c r="N902" s="1">
        <v>2898.2</v>
      </c>
      <c r="O902" s="1">
        <v>3005.43</v>
      </c>
      <c r="P902" s="1">
        <v>2463.4699999999998</v>
      </c>
      <c r="Q902">
        <v>0.76400000000000001</v>
      </c>
      <c r="R902">
        <v>1.2520000000000001E-3</v>
      </c>
    </row>
    <row r="903" spans="1:18" ht="13.8" outlineLevel="2" x14ac:dyDescent="0.25">
      <c r="A903">
        <v>88976</v>
      </c>
      <c r="B903" t="s">
        <v>1075</v>
      </c>
      <c r="C903" t="s">
        <v>1083</v>
      </c>
      <c r="D903" s="14" t="s">
        <v>1084</v>
      </c>
      <c r="E903" s="12" t="s">
        <v>28</v>
      </c>
      <c r="F903" s="17" t="s">
        <v>549</v>
      </c>
      <c r="G903">
        <v>10</v>
      </c>
      <c r="H903" t="s">
        <v>30</v>
      </c>
      <c r="I903">
        <v>10</v>
      </c>
      <c r="J903" s="15"/>
      <c r="K903" s="16">
        <f>289.93 - (289.93 * $E$1)</f>
        <v>289.93</v>
      </c>
      <c r="L903" s="16">
        <f>237.65 - (237.65 * $E$1)</f>
        <v>237.65</v>
      </c>
      <c r="M903" s="1">
        <v>289.93</v>
      </c>
      <c r="N903" s="1">
        <v>237.65</v>
      </c>
      <c r="O903" s="1">
        <v>246.44</v>
      </c>
      <c r="P903" s="1">
        <v>202</v>
      </c>
      <c r="Q903">
        <v>6.0400000000000002E-2</v>
      </c>
      <c r="R903">
        <v>1.064E-4</v>
      </c>
    </row>
    <row r="904" spans="1:18" ht="13.8" outlineLevel="2" x14ac:dyDescent="0.25">
      <c r="A904">
        <v>109236</v>
      </c>
      <c r="B904" t="s">
        <v>1078</v>
      </c>
      <c r="C904" t="s">
        <v>1085</v>
      </c>
      <c r="D904" s="14" t="s">
        <v>1084</v>
      </c>
      <c r="E904" s="12" t="s">
        <v>28</v>
      </c>
      <c r="F904" s="13" t="s">
        <v>29</v>
      </c>
      <c r="G904">
        <v>1</v>
      </c>
      <c r="H904" t="s">
        <v>420</v>
      </c>
      <c r="I904">
        <v>1</v>
      </c>
      <c r="J904" s="15"/>
      <c r="K904" s="16">
        <f>2899.37 - (2899.37 * $E$1)</f>
        <v>2899.37</v>
      </c>
      <c r="L904" s="16">
        <f>2376.53 - (2376.53 * $E$1)</f>
        <v>2376.5300000000002</v>
      </c>
      <c r="M904" s="1">
        <v>2899.37</v>
      </c>
      <c r="N904" s="1">
        <v>2376.5300000000002</v>
      </c>
      <c r="O904" s="1">
        <v>2464.46</v>
      </c>
      <c r="P904" s="1">
        <v>2020.05</v>
      </c>
      <c r="Q904">
        <v>0.60399999999999998</v>
      </c>
      <c r="R904">
        <v>1.0640000000000001E-3</v>
      </c>
    </row>
    <row r="905" spans="1:18" ht="13.8" outlineLevel="2" x14ac:dyDescent="0.25">
      <c r="A905">
        <v>88977</v>
      </c>
      <c r="B905" t="s">
        <v>1075</v>
      </c>
      <c r="C905" t="s">
        <v>1086</v>
      </c>
      <c r="D905" s="14" t="s">
        <v>1087</v>
      </c>
      <c r="E905" s="12" t="s">
        <v>28</v>
      </c>
      <c r="F905" s="17" t="s">
        <v>549</v>
      </c>
      <c r="G905">
        <v>10</v>
      </c>
      <c r="H905" t="s">
        <v>30</v>
      </c>
      <c r="I905">
        <v>10</v>
      </c>
      <c r="J905" s="15"/>
      <c r="K905" s="16">
        <f>397.43 - (397.43 * $E$1)</f>
        <v>397.43</v>
      </c>
      <c r="L905" s="16">
        <f>325.76 - (325.76 * $E$1)</f>
        <v>325.76</v>
      </c>
      <c r="M905" s="1">
        <v>397.43</v>
      </c>
      <c r="N905" s="1">
        <v>325.76</v>
      </c>
      <c r="O905" s="1">
        <v>337.81</v>
      </c>
      <c r="P905" s="1">
        <v>276.89999999999998</v>
      </c>
      <c r="Q905">
        <v>8.5400000000000004E-2</v>
      </c>
      <c r="R905">
        <v>2.0909999999999999E-4</v>
      </c>
    </row>
    <row r="906" spans="1:18" ht="13.8" outlineLevel="2" x14ac:dyDescent="0.25">
      <c r="A906">
        <v>109237</v>
      </c>
      <c r="B906" t="s">
        <v>1078</v>
      </c>
      <c r="C906" t="s">
        <v>1088</v>
      </c>
      <c r="D906" s="14" t="s">
        <v>1087</v>
      </c>
      <c r="E906" s="12" t="s">
        <v>28</v>
      </c>
      <c r="F906" s="13" t="s">
        <v>29</v>
      </c>
      <c r="G906">
        <v>1</v>
      </c>
      <c r="H906" t="s">
        <v>420</v>
      </c>
      <c r="I906">
        <v>1</v>
      </c>
      <c r="J906" s="15"/>
      <c r="K906" s="16">
        <f>3974.25 - (3974.25 * $E$1)</f>
        <v>3974.25</v>
      </c>
      <c r="L906" s="16">
        <f>3257.58 - (3257.58 * $E$1)</f>
        <v>3257.58</v>
      </c>
      <c r="M906" s="1">
        <v>3974.25</v>
      </c>
      <c r="N906" s="1">
        <v>3257.58</v>
      </c>
      <c r="O906" s="1">
        <v>3378.11</v>
      </c>
      <c r="P906" s="1">
        <v>2768.94</v>
      </c>
      <c r="Q906">
        <v>0.85399999999999998</v>
      </c>
      <c r="R906">
        <v>2.091E-3</v>
      </c>
    </row>
    <row r="907" spans="1:18" ht="16.5" customHeight="1" outlineLevel="1" x14ac:dyDescent="0.35">
      <c r="A907" s="9"/>
      <c r="B907" s="10" t="s">
        <v>1089</v>
      </c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1"/>
    </row>
    <row r="908" spans="1:18" ht="13.8" outlineLevel="2" x14ac:dyDescent="0.25">
      <c r="A908">
        <v>85670</v>
      </c>
      <c r="B908" t="s">
        <v>1090</v>
      </c>
      <c r="C908" t="s">
        <v>1091</v>
      </c>
      <c r="D908" s="14" t="s">
        <v>1091</v>
      </c>
      <c r="E908" s="12" t="s">
        <v>28</v>
      </c>
      <c r="F908" s="17" t="s">
        <v>549</v>
      </c>
      <c r="G908">
        <v>100</v>
      </c>
      <c r="H908" t="s">
        <v>30</v>
      </c>
      <c r="I908">
        <v>500</v>
      </c>
      <c r="J908" s="15"/>
      <c r="K908" s="16">
        <f>1.81 - (1.81 * $E$1)</f>
        <v>1.81</v>
      </c>
      <c r="L908" s="16">
        <f>1.48 - (1.48 * $E$1)</f>
        <v>1.48</v>
      </c>
      <c r="M908" s="1">
        <v>1.81</v>
      </c>
      <c r="N908" s="1">
        <v>1.48</v>
      </c>
      <c r="O908" s="1">
        <v>1.53</v>
      </c>
      <c r="P908" s="1">
        <v>1.26</v>
      </c>
      <c r="Q908">
        <v>2.2000000000000001E-4</v>
      </c>
      <c r="R908">
        <v>1.08E-6</v>
      </c>
    </row>
    <row r="909" spans="1:18" ht="13.8" outlineLevel="2" x14ac:dyDescent="0.25">
      <c r="A909">
        <v>109247</v>
      </c>
      <c r="B909" t="s">
        <v>1092</v>
      </c>
      <c r="C909" t="s">
        <v>1093</v>
      </c>
      <c r="D909" s="14" t="s">
        <v>1091</v>
      </c>
      <c r="E909" s="12" t="s">
        <v>28</v>
      </c>
      <c r="F909" s="13" t="s">
        <v>29</v>
      </c>
      <c r="G909">
        <v>1</v>
      </c>
      <c r="H909" t="s">
        <v>420</v>
      </c>
      <c r="I909">
        <v>5</v>
      </c>
      <c r="J909" s="15"/>
      <c r="K909" s="16">
        <f>180 - (180 * $E$1)</f>
        <v>180</v>
      </c>
      <c r="L909" s="16">
        <f>147.54 - (147.54 * $E$1)</f>
        <v>147.54</v>
      </c>
      <c r="M909" s="1">
        <v>180</v>
      </c>
      <c r="N909" s="1">
        <v>147.54</v>
      </c>
      <c r="O909" s="1">
        <v>153</v>
      </c>
      <c r="P909" s="1">
        <v>125.41</v>
      </c>
      <c r="Q909">
        <v>2.1999999999999999E-2</v>
      </c>
      <c r="R909">
        <v>1.08E-4</v>
      </c>
    </row>
    <row r="910" spans="1:18" ht="13.8" outlineLevel="2" x14ac:dyDescent="0.25">
      <c r="A910">
        <v>85671</v>
      </c>
      <c r="B910" t="s">
        <v>1090</v>
      </c>
      <c r="C910" t="s">
        <v>1094</v>
      </c>
      <c r="D910" s="14" t="s">
        <v>1094</v>
      </c>
      <c r="E910" s="12" t="s">
        <v>28</v>
      </c>
      <c r="F910" s="17" t="s">
        <v>549</v>
      </c>
      <c r="G910">
        <v>100</v>
      </c>
      <c r="H910" t="s">
        <v>30</v>
      </c>
      <c r="I910">
        <v>500</v>
      </c>
      <c r="J910" s="15"/>
      <c r="K910" s="16">
        <f>2.2 - (2.2 * $E$1)</f>
        <v>2.2000000000000002</v>
      </c>
      <c r="L910" s="16">
        <f>1.8 - (1.8 * $E$1)</f>
        <v>1.8</v>
      </c>
      <c r="M910" s="1">
        <v>2.2000000000000002</v>
      </c>
      <c r="N910" s="1">
        <v>1.8</v>
      </c>
      <c r="O910" s="1">
        <v>1.87</v>
      </c>
      <c r="P910" s="1">
        <v>1.53</v>
      </c>
      <c r="Q910">
        <v>2.9999999999999997E-4</v>
      </c>
      <c r="R910">
        <v>1.08E-6</v>
      </c>
    </row>
    <row r="911" spans="1:18" ht="13.8" outlineLevel="2" x14ac:dyDescent="0.25">
      <c r="A911">
        <v>109248</v>
      </c>
      <c r="B911" t="s">
        <v>1092</v>
      </c>
      <c r="C911" t="s">
        <v>1095</v>
      </c>
      <c r="D911" s="14" t="s">
        <v>1094</v>
      </c>
      <c r="E911" s="12" t="s">
        <v>28</v>
      </c>
      <c r="F911" s="13" t="s">
        <v>29</v>
      </c>
      <c r="G911">
        <v>1</v>
      </c>
      <c r="H911" t="s">
        <v>420</v>
      </c>
      <c r="I911">
        <v>5</v>
      </c>
      <c r="J911" s="15"/>
      <c r="K911" s="16">
        <f>220 - (220 * $E$1)</f>
        <v>220</v>
      </c>
      <c r="L911" s="16">
        <f>180.33 - (180.33 * $E$1)</f>
        <v>180.33</v>
      </c>
      <c r="M911" s="1">
        <v>220</v>
      </c>
      <c r="N911" s="1">
        <v>180.33</v>
      </c>
      <c r="O911" s="1">
        <v>187</v>
      </c>
      <c r="P911" s="1">
        <v>153.28</v>
      </c>
      <c r="Q911">
        <v>0.03</v>
      </c>
      <c r="R911">
        <v>1.08E-4</v>
      </c>
    </row>
    <row r="912" spans="1:18" ht="13.8" outlineLevel="2" x14ac:dyDescent="0.25">
      <c r="A912">
        <v>59138</v>
      </c>
      <c r="B912" t="s">
        <v>1090</v>
      </c>
      <c r="C912" t="s">
        <v>1096</v>
      </c>
      <c r="D912" s="14" t="s">
        <v>1096</v>
      </c>
      <c r="E912" s="12" t="s">
        <v>28</v>
      </c>
      <c r="F912" s="17" t="s">
        <v>549</v>
      </c>
      <c r="G912">
        <v>100</v>
      </c>
      <c r="H912" t="s">
        <v>30</v>
      </c>
      <c r="I912">
        <v>500</v>
      </c>
      <c r="J912" s="15"/>
      <c r="K912" s="16">
        <f>3.86 - (3.86 * $E$1)</f>
        <v>3.86</v>
      </c>
      <c r="L912" s="16">
        <f>3.16 - (3.16 * $E$1)</f>
        <v>3.16</v>
      </c>
      <c r="M912" s="1">
        <v>3.86</v>
      </c>
      <c r="N912" s="1">
        <v>3.16</v>
      </c>
      <c r="O912" s="1">
        <v>3.28</v>
      </c>
      <c r="P912" s="1">
        <v>2.69</v>
      </c>
      <c r="Q912">
        <v>4.8000000000000001E-4</v>
      </c>
      <c r="R912">
        <v>1.44E-6</v>
      </c>
    </row>
    <row r="913" spans="1:18" ht="13.8" outlineLevel="2" x14ac:dyDescent="0.25">
      <c r="A913">
        <v>109249</v>
      </c>
      <c r="B913" t="s">
        <v>1092</v>
      </c>
      <c r="C913" t="s">
        <v>1097</v>
      </c>
      <c r="D913" s="14" t="s">
        <v>1096</v>
      </c>
      <c r="E913" s="12" t="s">
        <v>28</v>
      </c>
      <c r="F913" s="13" t="s">
        <v>29</v>
      </c>
      <c r="G913">
        <v>1</v>
      </c>
      <c r="H913" t="s">
        <v>420</v>
      </c>
      <c r="I913">
        <v>5</v>
      </c>
      <c r="J913" s="15"/>
      <c r="K913" s="16">
        <f>385 - (385 * $E$1)</f>
        <v>385</v>
      </c>
      <c r="L913" s="16">
        <f>315.57 - (315.57 * $E$1)</f>
        <v>315.57</v>
      </c>
      <c r="M913" s="1">
        <v>385</v>
      </c>
      <c r="N913" s="1">
        <v>315.57</v>
      </c>
      <c r="O913" s="1">
        <v>327.25</v>
      </c>
      <c r="P913" s="1">
        <v>268.23</v>
      </c>
      <c r="Q913">
        <v>4.8000000000000001E-2</v>
      </c>
      <c r="R913">
        <v>1.44E-4</v>
      </c>
    </row>
    <row r="914" spans="1:18" ht="13.8" outlineLevel="2" x14ac:dyDescent="0.25">
      <c r="A914">
        <v>85665</v>
      </c>
      <c r="B914" t="s">
        <v>1098</v>
      </c>
      <c r="C914" t="s">
        <v>1099</v>
      </c>
      <c r="D914" s="14" t="s">
        <v>1099</v>
      </c>
      <c r="E914" s="12" t="s">
        <v>28</v>
      </c>
      <c r="F914" s="17" t="s">
        <v>549</v>
      </c>
      <c r="G914">
        <v>100</v>
      </c>
      <c r="H914" t="s">
        <v>30</v>
      </c>
      <c r="I914">
        <v>500</v>
      </c>
      <c r="J914" s="15"/>
      <c r="K914" s="16">
        <f>1.67 - (1.67 * $E$1)</f>
        <v>1.67</v>
      </c>
      <c r="L914" s="16">
        <f>1.37 - (1.37 * $E$1)</f>
        <v>1.37</v>
      </c>
      <c r="M914" s="1">
        <v>1.67</v>
      </c>
      <c r="N914" s="1">
        <v>1.37</v>
      </c>
      <c r="O914" s="1">
        <v>1.42</v>
      </c>
      <c r="P914" s="1">
        <v>1.1599999999999999</v>
      </c>
      <c r="Q914">
        <v>2.3000000000000001E-4</v>
      </c>
      <c r="R914">
        <v>1.08E-6</v>
      </c>
    </row>
    <row r="915" spans="1:18" ht="13.8" outlineLevel="2" x14ac:dyDescent="0.25">
      <c r="A915">
        <v>109244</v>
      </c>
      <c r="B915" t="s">
        <v>1100</v>
      </c>
      <c r="C915" t="s">
        <v>1101</v>
      </c>
      <c r="D915" s="14" t="s">
        <v>1099</v>
      </c>
      <c r="E915" s="12" t="s">
        <v>28</v>
      </c>
      <c r="F915" s="13" t="s">
        <v>29</v>
      </c>
      <c r="G915">
        <v>1</v>
      </c>
      <c r="H915" t="s">
        <v>420</v>
      </c>
      <c r="I915">
        <v>5</v>
      </c>
      <c r="J915" s="15"/>
      <c r="K915" s="16">
        <f>167.01 - (167.01 * $E$1)</f>
        <v>167.01</v>
      </c>
      <c r="L915" s="16">
        <f>136.89 - (136.89 * $E$1)</f>
        <v>136.88999999999999</v>
      </c>
      <c r="M915" s="1">
        <v>167.01</v>
      </c>
      <c r="N915" s="1">
        <v>136.88999999999999</v>
      </c>
      <c r="O915" s="1">
        <v>141.94999999999999</v>
      </c>
      <c r="P915" s="1">
        <v>116.36</v>
      </c>
      <c r="Q915">
        <v>2.3E-2</v>
      </c>
      <c r="R915">
        <v>1.08E-4</v>
      </c>
    </row>
    <row r="916" spans="1:18" ht="13.8" outlineLevel="2" x14ac:dyDescent="0.25">
      <c r="A916">
        <v>85669</v>
      </c>
      <c r="B916" t="s">
        <v>1098</v>
      </c>
      <c r="C916" t="s">
        <v>1102</v>
      </c>
      <c r="D916" s="14" t="s">
        <v>1102</v>
      </c>
      <c r="E916" s="12" t="s">
        <v>28</v>
      </c>
      <c r="F916" s="17" t="s">
        <v>549</v>
      </c>
      <c r="G916">
        <v>100</v>
      </c>
      <c r="H916" t="s">
        <v>30</v>
      </c>
      <c r="I916">
        <v>500</v>
      </c>
      <c r="J916" s="15"/>
      <c r="K916" s="16">
        <f>2.01 - (2.01 * $E$1)</f>
        <v>2.0099999999999998</v>
      </c>
      <c r="L916" s="16">
        <f>1.65 - (1.65 * $E$1)</f>
        <v>1.65</v>
      </c>
      <c r="M916" s="1">
        <v>2.0099999999999998</v>
      </c>
      <c r="N916" s="1">
        <v>1.65</v>
      </c>
      <c r="O916" s="1">
        <v>1.71</v>
      </c>
      <c r="P916" s="1">
        <v>1.4</v>
      </c>
      <c r="Q916">
        <v>2.0000000000000001E-4</v>
      </c>
      <c r="R916">
        <v>1.08E-6</v>
      </c>
    </row>
    <row r="917" spans="1:18" ht="13.8" outlineLevel="2" x14ac:dyDescent="0.25">
      <c r="A917">
        <v>109245</v>
      </c>
      <c r="B917" t="s">
        <v>1100</v>
      </c>
      <c r="C917" t="s">
        <v>1103</v>
      </c>
      <c r="D917" s="14" t="s">
        <v>1102</v>
      </c>
      <c r="E917" s="12" t="s">
        <v>28</v>
      </c>
      <c r="F917" s="13" t="s">
        <v>29</v>
      </c>
      <c r="G917">
        <v>1</v>
      </c>
      <c r="H917" t="s">
        <v>420</v>
      </c>
      <c r="I917">
        <v>5</v>
      </c>
      <c r="J917" s="15"/>
      <c r="K917" s="16">
        <f>201 - (201 * $E$1)</f>
        <v>201</v>
      </c>
      <c r="L917" s="16">
        <f>164.75 - (164.75 * $E$1)</f>
        <v>164.75</v>
      </c>
      <c r="M917" s="1">
        <v>201</v>
      </c>
      <c r="N917" s="1">
        <v>164.75</v>
      </c>
      <c r="O917" s="1">
        <v>170.85</v>
      </c>
      <c r="P917" s="1">
        <v>140.04</v>
      </c>
      <c r="Q917">
        <v>0.02</v>
      </c>
      <c r="R917">
        <v>1.08E-4</v>
      </c>
    </row>
    <row r="918" spans="1:18" ht="13.8" outlineLevel="2" x14ac:dyDescent="0.25">
      <c r="A918">
        <v>59139</v>
      </c>
      <c r="B918" t="s">
        <v>1098</v>
      </c>
      <c r="C918" t="s">
        <v>1104</v>
      </c>
      <c r="D918" s="14" t="s">
        <v>1104</v>
      </c>
      <c r="E918" s="12" t="s">
        <v>28</v>
      </c>
      <c r="F918" s="17" t="s">
        <v>549</v>
      </c>
      <c r="G918">
        <v>100</v>
      </c>
      <c r="H918" t="s">
        <v>30</v>
      </c>
      <c r="I918">
        <v>500</v>
      </c>
      <c r="J918" s="15"/>
      <c r="K918" s="16">
        <f>3.32 - (3.32 * $E$1)</f>
        <v>3.32</v>
      </c>
      <c r="L918" s="16">
        <f>2.72 - (2.72 * $E$1)</f>
        <v>2.72</v>
      </c>
      <c r="M918" s="1">
        <v>3.32</v>
      </c>
      <c r="N918" s="1">
        <v>2.72</v>
      </c>
      <c r="O918" s="1">
        <v>2.82</v>
      </c>
      <c r="P918" s="1">
        <v>2.31</v>
      </c>
      <c r="Q918">
        <v>4.6999999999999999E-4</v>
      </c>
      <c r="R918">
        <v>1.44E-6</v>
      </c>
    </row>
    <row r="919" spans="1:18" ht="13.8" outlineLevel="2" x14ac:dyDescent="0.25">
      <c r="A919">
        <v>109246</v>
      </c>
      <c r="B919" t="s">
        <v>1100</v>
      </c>
      <c r="C919" t="s">
        <v>1105</v>
      </c>
      <c r="D919" s="14" t="s">
        <v>1104</v>
      </c>
      <c r="E919" s="12" t="s">
        <v>28</v>
      </c>
      <c r="F919" s="13" t="s">
        <v>29</v>
      </c>
      <c r="G919">
        <v>1</v>
      </c>
      <c r="H919" t="s">
        <v>420</v>
      </c>
      <c r="I919">
        <v>5</v>
      </c>
      <c r="J919" s="15"/>
      <c r="K919" s="16">
        <f>332 - (332 * $E$1)</f>
        <v>332</v>
      </c>
      <c r="L919" s="16">
        <f>272.13 - (272.13 * $E$1)</f>
        <v>272.13</v>
      </c>
      <c r="M919" s="1">
        <v>332</v>
      </c>
      <c r="N919" s="1">
        <v>272.13</v>
      </c>
      <c r="O919" s="1">
        <v>282.2</v>
      </c>
      <c r="P919" s="1">
        <v>231.31</v>
      </c>
      <c r="Q919">
        <v>4.7E-2</v>
      </c>
      <c r="R919">
        <v>1.44E-4</v>
      </c>
    </row>
    <row r="920" spans="1:18" ht="13.8" outlineLevel="2" x14ac:dyDescent="0.25">
      <c r="A920">
        <v>85672</v>
      </c>
      <c r="B920" t="s">
        <v>1106</v>
      </c>
      <c r="C920" t="s">
        <v>1107</v>
      </c>
      <c r="D920" s="14" t="s">
        <v>1107</v>
      </c>
      <c r="E920" s="12" t="s">
        <v>28</v>
      </c>
      <c r="F920" s="17" t="s">
        <v>549</v>
      </c>
      <c r="G920">
        <v>100</v>
      </c>
      <c r="H920" t="s">
        <v>30</v>
      </c>
      <c r="I920">
        <v>500</v>
      </c>
      <c r="J920" s="15"/>
      <c r="K920" s="16">
        <f>2.22 - (2.22 * $E$1)</f>
        <v>2.2200000000000002</v>
      </c>
      <c r="L920" s="16">
        <f>1.82 - (1.82 * $E$1)</f>
        <v>1.82</v>
      </c>
      <c r="M920" s="1">
        <v>2.2200000000000002</v>
      </c>
      <c r="N920" s="1">
        <v>1.82</v>
      </c>
      <c r="O920" s="1">
        <v>1.89</v>
      </c>
      <c r="P920" s="1">
        <v>1.55</v>
      </c>
      <c r="Q920">
        <v>2.9999999999999997E-4</v>
      </c>
      <c r="R920">
        <v>1.08E-6</v>
      </c>
    </row>
    <row r="921" spans="1:18" ht="13.8" outlineLevel="2" x14ac:dyDescent="0.25">
      <c r="A921">
        <v>109241</v>
      </c>
      <c r="B921" t="s">
        <v>1108</v>
      </c>
      <c r="C921" t="s">
        <v>1109</v>
      </c>
      <c r="D921" s="14" t="s">
        <v>1107</v>
      </c>
      <c r="E921" s="12" t="s">
        <v>28</v>
      </c>
      <c r="F921" s="13" t="s">
        <v>29</v>
      </c>
      <c r="G921">
        <v>1</v>
      </c>
      <c r="H921" t="s">
        <v>420</v>
      </c>
      <c r="I921">
        <v>5</v>
      </c>
      <c r="J921" s="15"/>
      <c r="K921" s="16">
        <f>222 - (222 * $E$1)</f>
        <v>222</v>
      </c>
      <c r="L921" s="16">
        <f>181.97 - (181.97 * $E$1)</f>
        <v>181.97</v>
      </c>
      <c r="M921" s="1">
        <v>222</v>
      </c>
      <c r="N921" s="1">
        <v>181.97</v>
      </c>
      <c r="O921" s="1">
        <v>188.7</v>
      </c>
      <c r="P921" s="1">
        <v>154.66999999999999</v>
      </c>
      <c r="Q921">
        <v>0.03</v>
      </c>
      <c r="R921">
        <v>1.08E-4</v>
      </c>
    </row>
    <row r="922" spans="1:18" ht="13.8" outlineLevel="2" x14ac:dyDescent="0.25">
      <c r="A922">
        <v>85673</v>
      </c>
      <c r="B922" t="s">
        <v>1106</v>
      </c>
      <c r="C922" t="s">
        <v>1110</v>
      </c>
      <c r="D922" s="14" t="s">
        <v>1110</v>
      </c>
      <c r="E922" s="12" t="s">
        <v>28</v>
      </c>
      <c r="F922" s="17" t="s">
        <v>549</v>
      </c>
      <c r="G922">
        <v>100</v>
      </c>
      <c r="H922" t="s">
        <v>30</v>
      </c>
      <c r="I922">
        <v>500</v>
      </c>
      <c r="J922" s="15"/>
      <c r="K922" s="16">
        <f>3.32 - (3.32 * $E$1)</f>
        <v>3.32</v>
      </c>
      <c r="L922" s="16">
        <f>2.72 - (2.72 * $E$1)</f>
        <v>2.72</v>
      </c>
      <c r="M922" s="1">
        <v>3.32</v>
      </c>
      <c r="N922" s="1">
        <v>2.72</v>
      </c>
      <c r="O922" s="1">
        <v>2.82</v>
      </c>
      <c r="P922" s="1">
        <v>2.31</v>
      </c>
      <c r="Q922">
        <v>5.2999999999999998E-4</v>
      </c>
      <c r="R922">
        <v>1.08E-6</v>
      </c>
    </row>
    <row r="923" spans="1:18" ht="13.8" outlineLevel="2" x14ac:dyDescent="0.25">
      <c r="A923">
        <v>109242</v>
      </c>
      <c r="B923" t="s">
        <v>1108</v>
      </c>
      <c r="C923" t="s">
        <v>1111</v>
      </c>
      <c r="D923" s="14" t="s">
        <v>1110</v>
      </c>
      <c r="E923" s="12" t="s">
        <v>28</v>
      </c>
      <c r="F923" s="13" t="s">
        <v>29</v>
      </c>
      <c r="G923">
        <v>1</v>
      </c>
      <c r="H923" t="s">
        <v>420</v>
      </c>
      <c r="I923">
        <v>5</v>
      </c>
      <c r="J923" s="15"/>
      <c r="K923" s="16">
        <f>332 - (332 * $E$1)</f>
        <v>332</v>
      </c>
      <c r="L923" s="16">
        <f>272.13 - (272.13 * $E$1)</f>
        <v>272.13</v>
      </c>
      <c r="M923" s="1">
        <v>332</v>
      </c>
      <c r="N923" s="1">
        <v>272.13</v>
      </c>
      <c r="O923" s="1">
        <v>282.2</v>
      </c>
      <c r="P923" s="1">
        <v>231.31</v>
      </c>
      <c r="Q923">
        <v>5.2999999999999999E-2</v>
      </c>
      <c r="R923">
        <v>1.08E-4</v>
      </c>
    </row>
    <row r="924" spans="1:18" ht="13.8" outlineLevel="2" x14ac:dyDescent="0.25">
      <c r="A924">
        <v>85674</v>
      </c>
      <c r="B924" t="s">
        <v>1106</v>
      </c>
      <c r="C924" t="s">
        <v>1112</v>
      </c>
      <c r="D924" s="14" t="s">
        <v>1112</v>
      </c>
      <c r="E924" s="12" t="s">
        <v>28</v>
      </c>
      <c r="F924" s="17" t="s">
        <v>549</v>
      </c>
      <c r="G924">
        <v>100</v>
      </c>
      <c r="H924" t="s">
        <v>30</v>
      </c>
      <c r="I924">
        <v>500</v>
      </c>
      <c r="J924" s="15"/>
      <c r="K924" s="16">
        <f>3.55 - (3.55 * $E$1)</f>
        <v>3.55</v>
      </c>
      <c r="L924" s="16">
        <f>2.91 - (2.91 * $E$1)</f>
        <v>2.91</v>
      </c>
      <c r="M924" s="1">
        <v>3.55</v>
      </c>
      <c r="N924" s="1">
        <v>2.91</v>
      </c>
      <c r="O924" s="1">
        <v>3.02</v>
      </c>
      <c r="P924" s="1">
        <v>2.4700000000000002</v>
      </c>
      <c r="Q924">
        <v>5.0000000000000001E-4</v>
      </c>
      <c r="R924">
        <v>1.08E-6</v>
      </c>
    </row>
    <row r="925" spans="1:18" ht="13.8" outlineLevel="2" x14ac:dyDescent="0.25">
      <c r="A925">
        <v>109243</v>
      </c>
      <c r="B925" t="s">
        <v>1108</v>
      </c>
      <c r="C925" t="s">
        <v>1113</v>
      </c>
      <c r="D925" s="14" t="s">
        <v>1112</v>
      </c>
      <c r="E925" s="12" t="s">
        <v>28</v>
      </c>
      <c r="F925" s="13" t="s">
        <v>29</v>
      </c>
      <c r="G925">
        <v>1</v>
      </c>
      <c r="H925" t="s">
        <v>420</v>
      </c>
      <c r="I925">
        <v>5</v>
      </c>
      <c r="J925" s="15"/>
      <c r="K925" s="16">
        <f>355 - (355 * $E$1)</f>
        <v>355</v>
      </c>
      <c r="L925" s="16">
        <f>290.98 - (290.98 * $E$1)</f>
        <v>290.98</v>
      </c>
      <c r="M925" s="1">
        <v>355</v>
      </c>
      <c r="N925" s="1">
        <v>290.98</v>
      </c>
      <c r="O925" s="1">
        <v>301.75</v>
      </c>
      <c r="P925" s="1">
        <v>247.33</v>
      </c>
      <c r="Q925">
        <v>0.05</v>
      </c>
      <c r="R925">
        <v>1.08E-4</v>
      </c>
    </row>
    <row r="926" spans="1:18" ht="13.8" outlineLevel="2" x14ac:dyDescent="0.25">
      <c r="A926">
        <v>85675</v>
      </c>
      <c r="B926" t="s">
        <v>1114</v>
      </c>
      <c r="C926" t="s">
        <v>1115</v>
      </c>
      <c r="D926" s="14" t="s">
        <v>1115</v>
      </c>
      <c r="E926" s="12" t="s">
        <v>28</v>
      </c>
      <c r="F926" s="17" t="s">
        <v>549</v>
      </c>
      <c r="G926">
        <v>100</v>
      </c>
      <c r="H926" t="s">
        <v>30</v>
      </c>
      <c r="I926">
        <v>500</v>
      </c>
      <c r="J926" s="15"/>
      <c r="K926" s="16">
        <f>2.22 - (2.22 * $E$1)</f>
        <v>2.2200000000000002</v>
      </c>
      <c r="L926" s="16">
        <f>1.82 - (1.82 * $E$1)</f>
        <v>1.82</v>
      </c>
      <c r="M926" s="1">
        <v>2.2200000000000002</v>
      </c>
      <c r="N926" s="1">
        <v>1.82</v>
      </c>
      <c r="O926" s="1">
        <v>1.89</v>
      </c>
      <c r="P926" s="1">
        <v>1.55</v>
      </c>
      <c r="Q926">
        <v>2.4000000000000001E-4</v>
      </c>
      <c r="R926">
        <v>1.08E-6</v>
      </c>
    </row>
    <row r="927" spans="1:18" ht="13.8" outlineLevel="2" x14ac:dyDescent="0.25">
      <c r="A927">
        <v>109252</v>
      </c>
      <c r="B927" t="s">
        <v>1116</v>
      </c>
      <c r="C927" t="s">
        <v>1117</v>
      </c>
      <c r="D927" s="14" t="s">
        <v>1115</v>
      </c>
      <c r="E927" s="12" t="s">
        <v>28</v>
      </c>
      <c r="F927" s="13" t="s">
        <v>29</v>
      </c>
      <c r="G927">
        <v>1</v>
      </c>
      <c r="H927" t="s">
        <v>420</v>
      </c>
      <c r="I927">
        <v>5</v>
      </c>
      <c r="J927" s="15"/>
      <c r="K927" s="16">
        <f>222 - (222 * $E$1)</f>
        <v>222</v>
      </c>
      <c r="L927" s="16">
        <f>181.97 - (181.97 * $E$1)</f>
        <v>181.97</v>
      </c>
      <c r="M927" s="1">
        <v>222</v>
      </c>
      <c r="N927" s="1">
        <v>181.97</v>
      </c>
      <c r="O927" s="1">
        <v>188.7</v>
      </c>
      <c r="P927" s="1">
        <v>154.66999999999999</v>
      </c>
      <c r="Q927">
        <v>2.4E-2</v>
      </c>
      <c r="R927">
        <v>1.08E-4</v>
      </c>
    </row>
    <row r="928" spans="1:18" ht="13.8" outlineLevel="2" x14ac:dyDescent="0.25">
      <c r="A928">
        <v>85676</v>
      </c>
      <c r="B928" t="s">
        <v>1118</v>
      </c>
      <c r="C928" t="s">
        <v>1119</v>
      </c>
      <c r="D928" s="14" t="s">
        <v>1119</v>
      </c>
      <c r="E928" s="12" t="s">
        <v>28</v>
      </c>
      <c r="F928" s="13" t="s">
        <v>29</v>
      </c>
      <c r="G928">
        <v>1</v>
      </c>
      <c r="H928" t="s">
        <v>30</v>
      </c>
      <c r="I928">
        <v>1</v>
      </c>
      <c r="J928" s="15"/>
      <c r="K928" s="16">
        <f>1488.67 - (1488.67 * $E$1)</f>
        <v>1488.67</v>
      </c>
      <c r="L928" s="16">
        <f>1220.22 - (1220.22 * $E$1)</f>
        <v>1220.22</v>
      </c>
      <c r="M928" s="1">
        <v>1488.67</v>
      </c>
      <c r="N928" s="1">
        <v>1220.22</v>
      </c>
      <c r="O928" s="1">
        <v>1265.3699999999999</v>
      </c>
      <c r="P928" s="1">
        <v>1037.19</v>
      </c>
      <c r="Q928">
        <v>0.25</v>
      </c>
      <c r="R928">
        <v>7.5900000000000002E-4</v>
      </c>
    </row>
    <row r="929" spans="1:18" ht="13.8" outlineLevel="2" x14ac:dyDescent="0.25">
      <c r="A929">
        <v>89246</v>
      </c>
      <c r="B929" t="s">
        <v>1100</v>
      </c>
      <c r="C929" t="s">
        <v>1120</v>
      </c>
      <c r="D929" s="14" t="s">
        <v>1120</v>
      </c>
      <c r="E929" s="12" t="s">
        <v>28</v>
      </c>
      <c r="F929" s="17" t="s">
        <v>549</v>
      </c>
      <c r="G929">
        <v>100</v>
      </c>
      <c r="H929" t="s">
        <v>30</v>
      </c>
      <c r="I929">
        <v>500</v>
      </c>
      <c r="J929" s="15"/>
      <c r="K929" s="16">
        <f>4.22 - (4.22 * $E$1)</f>
        <v>4.22</v>
      </c>
      <c r="L929" s="16">
        <f>3.46 - (3.46 * $E$1)</f>
        <v>3.46</v>
      </c>
      <c r="M929" s="1">
        <v>4.22</v>
      </c>
      <c r="N929" s="1">
        <v>3.46</v>
      </c>
      <c r="O929" s="1">
        <v>3.59</v>
      </c>
      <c r="P929" s="1">
        <v>2.94</v>
      </c>
      <c r="Q929">
        <v>4.6999999999999999E-4</v>
      </c>
      <c r="R929">
        <v>2.88E-6</v>
      </c>
    </row>
    <row r="930" spans="1:18" ht="13.8" outlineLevel="2" x14ac:dyDescent="0.25">
      <c r="A930">
        <v>109250</v>
      </c>
      <c r="B930" t="s">
        <v>1100</v>
      </c>
      <c r="C930" t="s">
        <v>1121</v>
      </c>
      <c r="D930" s="14" t="s">
        <v>1120</v>
      </c>
      <c r="E930" s="12" t="s">
        <v>28</v>
      </c>
      <c r="F930" s="13" t="s">
        <v>29</v>
      </c>
      <c r="G930">
        <v>1</v>
      </c>
      <c r="H930" t="s">
        <v>420</v>
      </c>
      <c r="I930">
        <v>5</v>
      </c>
      <c r="J930" s="15"/>
      <c r="K930" s="16">
        <f>422 - (422 * $E$1)</f>
        <v>422</v>
      </c>
      <c r="L930" s="16">
        <f>345.9 - (345.9 * $E$1)</f>
        <v>345.9</v>
      </c>
      <c r="M930" s="1">
        <v>422</v>
      </c>
      <c r="N930" s="1">
        <v>345.9</v>
      </c>
      <c r="O930" s="1">
        <v>358.7</v>
      </c>
      <c r="P930" s="1">
        <v>294.02</v>
      </c>
      <c r="Q930">
        <v>4.7E-2</v>
      </c>
      <c r="R930">
        <v>2.8800000000000001E-4</v>
      </c>
    </row>
    <row r="931" spans="1:18" ht="13.8" outlineLevel="2" x14ac:dyDescent="0.25">
      <c r="A931">
        <v>89247</v>
      </c>
      <c r="B931" t="s">
        <v>1092</v>
      </c>
      <c r="C931" t="s">
        <v>1122</v>
      </c>
      <c r="D931" s="14" t="s">
        <v>1122</v>
      </c>
      <c r="E931" s="12" t="s">
        <v>28</v>
      </c>
      <c r="F931" s="17" t="s">
        <v>549</v>
      </c>
      <c r="G931">
        <v>100</v>
      </c>
      <c r="H931" t="s">
        <v>30</v>
      </c>
      <c r="I931">
        <v>500</v>
      </c>
      <c r="J931" s="15"/>
      <c r="K931" s="16">
        <f>3.9 - (3.9 * $E$1)</f>
        <v>3.9</v>
      </c>
      <c r="L931" s="16">
        <f>3.2 - (3.2 * $E$1)</f>
        <v>3.2</v>
      </c>
      <c r="M931" s="1">
        <v>3.9</v>
      </c>
      <c r="N931" s="1">
        <v>3.2</v>
      </c>
      <c r="O931" s="1">
        <v>3.32</v>
      </c>
      <c r="P931" s="1">
        <v>2.72</v>
      </c>
      <c r="Q931">
        <v>4.8000000000000001E-4</v>
      </c>
      <c r="R931">
        <v>2.88E-6</v>
      </c>
    </row>
    <row r="932" spans="1:18" ht="13.8" outlineLevel="2" x14ac:dyDescent="0.25">
      <c r="A932">
        <v>109251</v>
      </c>
      <c r="B932" t="s">
        <v>1092</v>
      </c>
      <c r="C932" t="s">
        <v>1123</v>
      </c>
      <c r="D932" s="14" t="s">
        <v>1122</v>
      </c>
      <c r="E932" s="12" t="s">
        <v>28</v>
      </c>
      <c r="F932" s="13" t="s">
        <v>29</v>
      </c>
      <c r="G932">
        <v>1</v>
      </c>
      <c r="H932" t="s">
        <v>420</v>
      </c>
      <c r="I932">
        <v>5</v>
      </c>
      <c r="J932" s="15"/>
      <c r="K932" s="16">
        <f>390 - (390 * $E$1)</f>
        <v>390</v>
      </c>
      <c r="L932" s="16">
        <f>319.67 - (319.67 * $E$1)</f>
        <v>319.67</v>
      </c>
      <c r="M932" s="1">
        <v>390</v>
      </c>
      <c r="N932" s="1">
        <v>319.67</v>
      </c>
      <c r="O932" s="1">
        <v>331.5</v>
      </c>
      <c r="P932" s="1">
        <v>271.72000000000003</v>
      </c>
      <c r="Q932">
        <v>4.8000000000000001E-2</v>
      </c>
      <c r="R932">
        <v>2.8800000000000001E-4</v>
      </c>
    </row>
    <row r="933" spans="1:18" ht="13.8" outlineLevel="2" x14ac:dyDescent="0.25">
      <c r="A933">
        <v>89248</v>
      </c>
      <c r="B933" t="s">
        <v>1124</v>
      </c>
      <c r="C933" t="s">
        <v>1125</v>
      </c>
      <c r="D933" s="14" t="s">
        <v>1125</v>
      </c>
      <c r="E933" s="12" t="s">
        <v>28</v>
      </c>
      <c r="F933" s="13" t="s">
        <v>29</v>
      </c>
      <c r="G933">
        <v>1</v>
      </c>
      <c r="H933" t="s">
        <v>30</v>
      </c>
      <c r="I933">
        <v>1</v>
      </c>
      <c r="J933" s="15"/>
      <c r="K933" s="16">
        <f>1729.72 - (1729.72 * $E$1)</f>
        <v>1729.72</v>
      </c>
      <c r="L933" s="16">
        <f>1417.8 - (1417.8 * $E$1)</f>
        <v>1417.8</v>
      </c>
      <c r="M933" s="1">
        <v>1729.72</v>
      </c>
      <c r="N933" s="1">
        <v>1417.8</v>
      </c>
      <c r="O933" s="1">
        <v>1470.26</v>
      </c>
      <c r="P933" s="1">
        <v>1205.1300000000001</v>
      </c>
      <c r="Q933">
        <v>0.25800000000000001</v>
      </c>
      <c r="R933">
        <v>8.61E-4</v>
      </c>
    </row>
    <row r="934" spans="1:18" ht="13.8" outlineLevel="2" x14ac:dyDescent="0.25">
      <c r="A934">
        <v>89503</v>
      </c>
      <c r="B934" t="s">
        <v>1126</v>
      </c>
      <c r="C934" t="s">
        <v>1127</v>
      </c>
      <c r="D934" s="14" t="s">
        <v>1128</v>
      </c>
      <c r="E934" s="12" t="s">
        <v>28</v>
      </c>
      <c r="F934" s="13" t="s">
        <v>29</v>
      </c>
      <c r="G934">
        <v>10</v>
      </c>
      <c r="H934" t="s">
        <v>1129</v>
      </c>
      <c r="I934">
        <v>10</v>
      </c>
      <c r="J934" s="15"/>
      <c r="K934" s="16">
        <f>58.96 - (58.96 * $E$1)</f>
        <v>58.96</v>
      </c>
      <c r="L934" s="16">
        <f>48.33 - (48.33 * $E$1)</f>
        <v>48.33</v>
      </c>
      <c r="M934" s="1">
        <v>58.96</v>
      </c>
      <c r="N934" s="1">
        <v>48.33</v>
      </c>
      <c r="O934" s="1">
        <v>50.12</v>
      </c>
      <c r="P934" s="1">
        <v>41.08</v>
      </c>
      <c r="Q934">
        <v>7.0000000000000001E-3</v>
      </c>
      <c r="R934">
        <v>4.3999999999999999E-5</v>
      </c>
    </row>
    <row r="935" spans="1:18" ht="13.8" outlineLevel="2" x14ac:dyDescent="0.25">
      <c r="A935">
        <v>89504</v>
      </c>
      <c r="B935" t="s">
        <v>1126</v>
      </c>
      <c r="C935" t="s">
        <v>1130</v>
      </c>
      <c r="D935" s="14" t="s">
        <v>1128</v>
      </c>
      <c r="E935" s="12" t="s">
        <v>28</v>
      </c>
      <c r="F935" s="17" t="s">
        <v>549</v>
      </c>
      <c r="G935">
        <v>10</v>
      </c>
      <c r="H935" t="s">
        <v>1129</v>
      </c>
      <c r="I935">
        <v>10</v>
      </c>
      <c r="J935" s="15"/>
      <c r="K935" s="16">
        <f>83.01 - (83.01 * $E$1)</f>
        <v>83.01</v>
      </c>
      <c r="L935" s="16">
        <f>68.04 - (68.04 * $E$1)</f>
        <v>68.040000000000006</v>
      </c>
      <c r="M935" s="1">
        <v>83.01</v>
      </c>
      <c r="N935" s="1">
        <v>68.040000000000006</v>
      </c>
      <c r="O935" s="1">
        <v>70.56</v>
      </c>
      <c r="P935" s="1">
        <v>57.83</v>
      </c>
      <c r="Q935">
        <v>0.01</v>
      </c>
      <c r="R935">
        <v>5.2800000000000003E-5</v>
      </c>
    </row>
    <row r="936" spans="1:18" ht="13.8" outlineLevel="2" x14ac:dyDescent="0.25">
      <c r="A936">
        <v>89505</v>
      </c>
      <c r="B936" t="s">
        <v>1126</v>
      </c>
      <c r="C936" t="s">
        <v>1131</v>
      </c>
      <c r="D936" s="14" t="s">
        <v>1128</v>
      </c>
      <c r="E936" s="12" t="s">
        <v>28</v>
      </c>
      <c r="F936" s="17" t="s">
        <v>549</v>
      </c>
      <c r="G936">
        <v>10</v>
      </c>
      <c r="H936" t="s">
        <v>1129</v>
      </c>
      <c r="I936">
        <v>10</v>
      </c>
      <c r="J936" s="15"/>
      <c r="K936" s="16">
        <f>121.95 - (121.95 * $E$1)</f>
        <v>121.95</v>
      </c>
      <c r="L936" s="16">
        <f>99.96 - (99.96 * $E$1)</f>
        <v>99.96</v>
      </c>
      <c r="M936" s="1">
        <v>121.95</v>
      </c>
      <c r="N936" s="1">
        <v>99.96</v>
      </c>
      <c r="O936" s="1">
        <v>103.66</v>
      </c>
      <c r="P936" s="1">
        <v>84.97</v>
      </c>
      <c r="Q936">
        <v>1.2999999999999999E-2</v>
      </c>
      <c r="R936">
        <v>6.2399999999999999E-5</v>
      </c>
    </row>
    <row r="937" spans="1:18" ht="13.8" outlineLevel="2" x14ac:dyDescent="0.25">
      <c r="A937">
        <v>89506</v>
      </c>
      <c r="B937" t="s">
        <v>1126</v>
      </c>
      <c r="C937" t="s">
        <v>1132</v>
      </c>
      <c r="D937" s="14" t="s">
        <v>1128</v>
      </c>
      <c r="E937" s="12" t="s">
        <v>28</v>
      </c>
      <c r="F937" s="17" t="s">
        <v>549</v>
      </c>
      <c r="G937">
        <v>10</v>
      </c>
      <c r="H937" t="s">
        <v>1129</v>
      </c>
      <c r="I937">
        <v>10</v>
      </c>
      <c r="J937" s="15"/>
      <c r="K937" s="16">
        <f>149.65 - (149.65 * $E$1)</f>
        <v>149.65</v>
      </c>
      <c r="L937" s="16">
        <f>122.66 - (122.66 * $E$1)</f>
        <v>122.66</v>
      </c>
      <c r="M937" s="1">
        <v>149.65</v>
      </c>
      <c r="N937" s="1">
        <v>122.66</v>
      </c>
      <c r="O937" s="1">
        <v>127.2</v>
      </c>
      <c r="P937" s="1">
        <v>104.26</v>
      </c>
      <c r="Q937">
        <v>1.6E-2</v>
      </c>
      <c r="R937">
        <v>7.2000000000000002E-5</v>
      </c>
    </row>
    <row r="938" spans="1:18" ht="13.8" outlineLevel="2" x14ac:dyDescent="0.25">
      <c r="A938">
        <v>109238</v>
      </c>
      <c r="B938" t="s">
        <v>1126</v>
      </c>
      <c r="C938" t="s">
        <v>1133</v>
      </c>
      <c r="D938" s="14" t="s">
        <v>1128</v>
      </c>
      <c r="E938" s="12" t="s">
        <v>28</v>
      </c>
      <c r="F938" s="13" t="s">
        <v>29</v>
      </c>
      <c r="G938">
        <v>1</v>
      </c>
      <c r="H938" t="s">
        <v>420</v>
      </c>
      <c r="I938">
        <v>1</v>
      </c>
      <c r="J938" s="15"/>
      <c r="K938" s="16">
        <f>830.1 - (830.1 * $E$1)</f>
        <v>830.1</v>
      </c>
      <c r="L938" s="16">
        <f>680.41 - (680.41 * $E$1)</f>
        <v>680.41</v>
      </c>
      <c r="M938" s="1">
        <v>830.1</v>
      </c>
      <c r="N938" s="1">
        <v>680.41</v>
      </c>
      <c r="O938" s="1">
        <v>705.59</v>
      </c>
      <c r="P938" s="1">
        <v>578.35</v>
      </c>
      <c r="Q938">
        <v>0.1</v>
      </c>
      <c r="R938">
        <v>5.2800000000000004E-4</v>
      </c>
    </row>
    <row r="939" spans="1:18" ht="13.8" outlineLevel="2" x14ac:dyDescent="0.25">
      <c r="A939">
        <v>109239</v>
      </c>
      <c r="B939" t="s">
        <v>1126</v>
      </c>
      <c r="C939" t="s">
        <v>1134</v>
      </c>
      <c r="D939" s="14" t="s">
        <v>1128</v>
      </c>
      <c r="E939" s="12" t="s">
        <v>28</v>
      </c>
      <c r="F939" s="13" t="s">
        <v>29</v>
      </c>
      <c r="G939">
        <v>1</v>
      </c>
      <c r="H939" t="s">
        <v>420</v>
      </c>
      <c r="I939">
        <v>1</v>
      </c>
      <c r="J939" s="15"/>
      <c r="K939" s="16">
        <f>1219.5 - (1219.5 * $E$1)</f>
        <v>1219.5</v>
      </c>
      <c r="L939" s="16">
        <f>999.59 - (999.59 * $E$1)</f>
        <v>999.59</v>
      </c>
      <c r="M939" s="1">
        <v>1219.5</v>
      </c>
      <c r="N939" s="1">
        <v>999.59</v>
      </c>
      <c r="O939" s="1">
        <v>1036.57</v>
      </c>
      <c r="P939" s="1">
        <v>849.65</v>
      </c>
      <c r="Q939">
        <v>0.13</v>
      </c>
      <c r="R939">
        <v>6.2399999999999999E-4</v>
      </c>
    </row>
    <row r="940" spans="1:18" ht="13.8" outlineLevel="2" x14ac:dyDescent="0.25">
      <c r="A940">
        <v>109240</v>
      </c>
      <c r="B940" t="s">
        <v>1126</v>
      </c>
      <c r="C940" t="s">
        <v>1135</v>
      </c>
      <c r="D940" s="14" t="s">
        <v>1128</v>
      </c>
      <c r="E940" s="12" t="s">
        <v>28</v>
      </c>
      <c r="F940" s="13" t="s">
        <v>29</v>
      </c>
      <c r="G940">
        <v>1</v>
      </c>
      <c r="H940" t="s">
        <v>420</v>
      </c>
      <c r="I940">
        <v>1</v>
      </c>
      <c r="J940" s="15"/>
      <c r="K940" s="16">
        <f>1496.5 - (1496.5 * $E$1)</f>
        <v>1496.5</v>
      </c>
      <c r="L940" s="16">
        <f>1226.64 - (1226.64 * $E$1)</f>
        <v>1226.6400000000001</v>
      </c>
      <c r="M940" s="1">
        <v>1496.5</v>
      </c>
      <c r="N940" s="1">
        <v>1226.6400000000001</v>
      </c>
      <c r="O940" s="1">
        <v>1272.03</v>
      </c>
      <c r="P940" s="1">
        <v>1042.6400000000001</v>
      </c>
      <c r="Q940">
        <v>0.16</v>
      </c>
      <c r="R940">
        <v>7.2000000000000005E-4</v>
      </c>
    </row>
    <row r="941" spans="1:18" ht="13.8" outlineLevel="2" x14ac:dyDescent="0.25">
      <c r="A941">
        <v>89507</v>
      </c>
      <c r="B941" t="s">
        <v>1126</v>
      </c>
      <c r="C941" t="s">
        <v>1136</v>
      </c>
      <c r="D941" s="14" t="s">
        <v>1137</v>
      </c>
      <c r="E941" s="12" t="s">
        <v>28</v>
      </c>
      <c r="F941" s="13" t="s">
        <v>29</v>
      </c>
      <c r="G941">
        <v>5</v>
      </c>
      <c r="H941" t="s">
        <v>30</v>
      </c>
      <c r="I941">
        <v>5</v>
      </c>
      <c r="J941" s="15"/>
      <c r="K941" s="16">
        <f>160.45 - (160.45 * $E$1)</f>
        <v>160.44999999999999</v>
      </c>
      <c r="L941" s="16">
        <f>131.52 - (131.52 * $E$1)</f>
        <v>131.52000000000001</v>
      </c>
      <c r="M941" s="1">
        <v>160.44999999999999</v>
      </c>
      <c r="N941" s="1">
        <v>131.52000000000001</v>
      </c>
      <c r="O941" s="1">
        <v>136.38999999999999</v>
      </c>
      <c r="P941" s="1">
        <v>111.79</v>
      </c>
      <c r="Q941">
        <v>0.02</v>
      </c>
      <c r="R941">
        <v>8.0000000000000007E-5</v>
      </c>
    </row>
    <row r="942" spans="1:18" ht="13.8" outlineLevel="2" x14ac:dyDescent="0.25">
      <c r="A942">
        <v>89508</v>
      </c>
      <c r="B942" t="s">
        <v>1126</v>
      </c>
      <c r="C942" t="s">
        <v>1138</v>
      </c>
      <c r="D942" s="14" t="s">
        <v>1137</v>
      </c>
      <c r="E942" s="12" t="s">
        <v>28</v>
      </c>
      <c r="F942" s="13" t="s">
        <v>29</v>
      </c>
      <c r="G942">
        <v>5</v>
      </c>
      <c r="H942" t="s">
        <v>30</v>
      </c>
      <c r="I942">
        <v>5</v>
      </c>
      <c r="J942" s="15"/>
      <c r="K942" s="16">
        <f>257.7 - (257.7 * $E$1)</f>
        <v>257.7</v>
      </c>
      <c r="L942" s="16">
        <f>211.23 - (211.23 * $E$1)</f>
        <v>211.23</v>
      </c>
      <c r="M942" s="1">
        <v>257.7</v>
      </c>
      <c r="N942" s="1">
        <v>211.23</v>
      </c>
      <c r="O942" s="1">
        <v>219.05</v>
      </c>
      <c r="P942" s="1">
        <v>179.55</v>
      </c>
      <c r="Q942">
        <v>2.8000000000000001E-2</v>
      </c>
      <c r="R942">
        <v>8.0000000000000007E-5</v>
      </c>
    </row>
    <row r="943" spans="1:18" ht="33.75" customHeight="1" x14ac:dyDescent="0.35">
      <c r="A943" s="9"/>
      <c r="B943" s="10" t="s">
        <v>1139</v>
      </c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1"/>
    </row>
    <row r="944" spans="1:18" ht="13.8" outlineLevel="1" x14ac:dyDescent="0.25">
      <c r="A944">
        <v>79433</v>
      </c>
      <c r="B944" t="s">
        <v>1140</v>
      </c>
      <c r="C944" t="s">
        <v>1141</v>
      </c>
      <c r="D944" s="14" t="s">
        <v>1142</v>
      </c>
      <c r="E944" s="12" t="s">
        <v>28</v>
      </c>
      <c r="F944" s="17" t="s">
        <v>549</v>
      </c>
      <c r="G944">
        <v>100</v>
      </c>
      <c r="H944" t="s">
        <v>30</v>
      </c>
      <c r="I944">
        <v>500</v>
      </c>
      <c r="J944" s="15"/>
      <c r="K944" s="16">
        <f>1.4 - (1.4 * $E$1)</f>
        <v>1.4</v>
      </c>
      <c r="L944" s="16">
        <f>1.15 - (1.15 * $E$1)</f>
        <v>1.1499999999999999</v>
      </c>
      <c r="M944" s="1">
        <v>1.4</v>
      </c>
      <c r="N944" s="1">
        <v>1.1499999999999999</v>
      </c>
      <c r="O944" s="1">
        <v>1.19</v>
      </c>
      <c r="P944" s="1">
        <v>0.98</v>
      </c>
      <c r="Q944">
        <v>1E-4</v>
      </c>
      <c r="R944">
        <v>5.2E-7</v>
      </c>
    </row>
    <row r="945" spans="1:18" ht="13.8" outlineLevel="1" x14ac:dyDescent="0.25">
      <c r="A945">
        <v>79434</v>
      </c>
      <c r="B945" t="s">
        <v>1143</v>
      </c>
      <c r="C945" t="s">
        <v>1144</v>
      </c>
      <c r="D945" s="14" t="s">
        <v>1142</v>
      </c>
      <c r="E945" s="12" t="s">
        <v>28</v>
      </c>
      <c r="F945" s="17" t="s">
        <v>549</v>
      </c>
      <c r="G945">
        <v>100</v>
      </c>
      <c r="H945" t="s">
        <v>30</v>
      </c>
      <c r="I945">
        <v>500</v>
      </c>
      <c r="J945" s="15"/>
      <c r="K945" s="16">
        <f>1.4 - (1.4 * $E$1)</f>
        <v>1.4</v>
      </c>
      <c r="L945" s="16">
        <f>1.15 - (1.15 * $E$1)</f>
        <v>1.1499999999999999</v>
      </c>
      <c r="M945" s="1">
        <v>1.4</v>
      </c>
      <c r="N945" s="1">
        <v>1.1499999999999999</v>
      </c>
      <c r="O945" s="1">
        <v>1.19</v>
      </c>
      <c r="P945" s="1">
        <v>0.98</v>
      </c>
      <c r="Q945">
        <v>6.0000000000000002E-5</v>
      </c>
      <c r="R945">
        <v>5.2E-7</v>
      </c>
    </row>
    <row r="946" spans="1:18" ht="13.8" outlineLevel="1" x14ac:dyDescent="0.25">
      <c r="A946">
        <v>79435</v>
      </c>
      <c r="B946" t="s">
        <v>1143</v>
      </c>
      <c r="C946" t="s">
        <v>1145</v>
      </c>
      <c r="D946" s="14" t="s">
        <v>1142</v>
      </c>
      <c r="E946" s="12" t="s">
        <v>28</v>
      </c>
      <c r="F946" s="17" t="s">
        <v>549</v>
      </c>
      <c r="G946">
        <v>100</v>
      </c>
      <c r="H946" t="s">
        <v>30</v>
      </c>
      <c r="I946">
        <v>500</v>
      </c>
      <c r="J946" s="15"/>
      <c r="K946" s="16">
        <f>0.84 - (0.84 * $E$1)</f>
        <v>0.84</v>
      </c>
      <c r="L946" s="16">
        <f>0.69 - (0.69 * $E$1)</f>
        <v>0.69</v>
      </c>
      <c r="M946" s="1">
        <v>0.84</v>
      </c>
      <c r="N946" s="1">
        <v>0.69</v>
      </c>
      <c r="O946" s="1">
        <v>0.72</v>
      </c>
      <c r="P946" s="1">
        <v>0.59</v>
      </c>
      <c r="Q946">
        <v>8.0000000000000007E-5</v>
      </c>
      <c r="R946">
        <v>5.2E-7</v>
      </c>
    </row>
    <row r="947" spans="1:18" ht="13.8" outlineLevel="1" x14ac:dyDescent="0.25">
      <c r="A947">
        <v>79436</v>
      </c>
      <c r="B947" t="s">
        <v>1143</v>
      </c>
      <c r="C947" t="s">
        <v>1146</v>
      </c>
      <c r="D947" s="14" t="s">
        <v>1142</v>
      </c>
      <c r="E947" s="12" t="s">
        <v>28</v>
      </c>
      <c r="F947" s="17" t="s">
        <v>549</v>
      </c>
      <c r="G947">
        <v>100</v>
      </c>
      <c r="H947" t="s">
        <v>30</v>
      </c>
      <c r="I947">
        <v>500</v>
      </c>
      <c r="J947" s="15"/>
      <c r="K947" s="16">
        <f>0.84 - (0.84 * $E$1)</f>
        <v>0.84</v>
      </c>
      <c r="L947" s="16">
        <f>0.69 - (0.69 * $E$1)</f>
        <v>0.69</v>
      </c>
      <c r="M947" s="1">
        <v>0.84</v>
      </c>
      <c r="N947" s="1">
        <v>0.69</v>
      </c>
      <c r="O947" s="1">
        <v>0.72</v>
      </c>
      <c r="P947" s="1">
        <v>0.59</v>
      </c>
      <c r="Q947">
        <v>8.0000000000000007E-5</v>
      </c>
      <c r="R947">
        <v>5.2E-7</v>
      </c>
    </row>
    <row r="948" spans="1:18" ht="13.8" outlineLevel="1" x14ac:dyDescent="0.25">
      <c r="A948">
        <v>79437</v>
      </c>
      <c r="B948" t="s">
        <v>1143</v>
      </c>
      <c r="C948" t="s">
        <v>1147</v>
      </c>
      <c r="D948" s="14" t="s">
        <v>1142</v>
      </c>
      <c r="E948" s="12" t="s">
        <v>28</v>
      </c>
      <c r="F948" s="17" t="s">
        <v>549</v>
      </c>
      <c r="G948">
        <v>100</v>
      </c>
      <c r="H948" t="s">
        <v>30</v>
      </c>
      <c r="I948">
        <v>500</v>
      </c>
      <c r="J948" s="15"/>
      <c r="K948" s="16">
        <f>1.09 - (1.09 * $E$1)</f>
        <v>1.0900000000000001</v>
      </c>
      <c r="L948" s="16">
        <f>0.89 - (0.89 * $E$1)</f>
        <v>0.89</v>
      </c>
      <c r="M948" s="1">
        <v>1.0900000000000001</v>
      </c>
      <c r="N948" s="1">
        <v>0.89</v>
      </c>
      <c r="O948" s="1">
        <v>0.92</v>
      </c>
      <c r="P948" s="1">
        <v>0.76</v>
      </c>
      <c r="Q948">
        <v>1E-4</v>
      </c>
      <c r="R948">
        <v>1.04E-6</v>
      </c>
    </row>
    <row r="949" spans="1:18" ht="13.8" outlineLevel="1" x14ac:dyDescent="0.25">
      <c r="A949">
        <v>79438</v>
      </c>
      <c r="B949" t="s">
        <v>1143</v>
      </c>
      <c r="C949" t="s">
        <v>1148</v>
      </c>
      <c r="D949" s="14" t="s">
        <v>1142</v>
      </c>
      <c r="E949" s="12" t="s">
        <v>28</v>
      </c>
      <c r="F949" s="17" t="s">
        <v>549</v>
      </c>
      <c r="G949">
        <v>100</v>
      </c>
      <c r="H949" t="s">
        <v>30</v>
      </c>
      <c r="I949">
        <v>500</v>
      </c>
      <c r="J949" s="15"/>
      <c r="K949" s="16">
        <f>0.95 - (0.95 * $E$1)</f>
        <v>0.95</v>
      </c>
      <c r="L949" s="16">
        <f>0.78 - (0.78 * $E$1)</f>
        <v>0.78</v>
      </c>
      <c r="M949" s="1">
        <v>0.95</v>
      </c>
      <c r="N949" s="1">
        <v>0.78</v>
      </c>
      <c r="O949" s="1">
        <v>0.81</v>
      </c>
      <c r="P949" s="1">
        <v>0.66</v>
      </c>
      <c r="Q949">
        <v>8.0000000000000007E-5</v>
      </c>
      <c r="R949">
        <v>2.08E-6</v>
      </c>
    </row>
    <row r="950" spans="1:18" ht="13.8" outlineLevel="1" x14ac:dyDescent="0.25">
      <c r="A950">
        <v>79439</v>
      </c>
      <c r="B950" t="s">
        <v>1143</v>
      </c>
      <c r="C950" t="s">
        <v>1149</v>
      </c>
      <c r="D950" s="14" t="s">
        <v>1142</v>
      </c>
      <c r="E950" s="12" t="s">
        <v>28</v>
      </c>
      <c r="F950" s="17" t="s">
        <v>549</v>
      </c>
      <c r="G950">
        <v>100</v>
      </c>
      <c r="H950" t="s">
        <v>30</v>
      </c>
      <c r="I950">
        <v>500</v>
      </c>
      <c r="J950" s="15"/>
      <c r="K950" s="16">
        <f>1.22 - (1.22 * $E$1)</f>
        <v>1.22</v>
      </c>
      <c r="L950" s="16">
        <f>1 - (1 * $E$1)</f>
        <v>1</v>
      </c>
      <c r="M950" s="1">
        <v>1.22</v>
      </c>
      <c r="N950" s="1">
        <v>1</v>
      </c>
      <c r="O950" s="1">
        <v>1.04</v>
      </c>
      <c r="P950" s="1">
        <v>0.85</v>
      </c>
      <c r="Q950">
        <v>1.2E-4</v>
      </c>
      <c r="R950">
        <v>2.08E-6</v>
      </c>
    </row>
    <row r="951" spans="1:18" ht="13.8" outlineLevel="1" x14ac:dyDescent="0.25">
      <c r="A951">
        <v>79440</v>
      </c>
      <c r="B951" t="s">
        <v>1143</v>
      </c>
      <c r="C951" t="s">
        <v>1150</v>
      </c>
      <c r="D951" s="14" t="s">
        <v>1142</v>
      </c>
      <c r="E951" s="12" t="s">
        <v>28</v>
      </c>
      <c r="F951" s="17" t="s">
        <v>549</v>
      </c>
      <c r="G951">
        <v>100</v>
      </c>
      <c r="H951" t="s">
        <v>30</v>
      </c>
      <c r="I951">
        <v>500</v>
      </c>
      <c r="J951" s="15"/>
      <c r="K951" s="16">
        <f>1.01 - (1.01 * $E$1)</f>
        <v>1.01</v>
      </c>
      <c r="L951" s="16">
        <f>0.83 - (0.83 * $E$1)</f>
        <v>0.83</v>
      </c>
      <c r="M951" s="1">
        <v>1.01</v>
      </c>
      <c r="N951" s="1">
        <v>0.83</v>
      </c>
      <c r="O951" s="1">
        <v>0.86</v>
      </c>
      <c r="P951" s="1">
        <v>0.71</v>
      </c>
      <c r="Q951">
        <v>1E-4</v>
      </c>
      <c r="R951">
        <v>2.08E-6</v>
      </c>
    </row>
    <row r="952" spans="1:18" ht="13.8" outlineLevel="1" x14ac:dyDescent="0.25">
      <c r="A952">
        <v>92304</v>
      </c>
      <c r="B952" t="s">
        <v>1140</v>
      </c>
      <c r="C952" t="s">
        <v>1151</v>
      </c>
      <c r="D952" s="14" t="s">
        <v>1142</v>
      </c>
      <c r="E952" s="12" t="s">
        <v>28</v>
      </c>
      <c r="F952" s="17" t="s">
        <v>549</v>
      </c>
      <c r="G952">
        <v>100</v>
      </c>
      <c r="H952" t="s">
        <v>30</v>
      </c>
      <c r="I952">
        <v>500</v>
      </c>
      <c r="J952" s="15"/>
      <c r="K952" s="16">
        <f>1.13 - (1.13 * $E$1)</f>
        <v>1.1299999999999999</v>
      </c>
      <c r="L952" s="16">
        <f>0.93 - (0.93 * $E$1)</f>
        <v>0.93</v>
      </c>
      <c r="M952" s="1">
        <v>1.1299999999999999</v>
      </c>
      <c r="N952" s="1">
        <v>0.93</v>
      </c>
      <c r="O952" s="1">
        <v>0.96</v>
      </c>
      <c r="P952" s="1">
        <v>0.79</v>
      </c>
      <c r="Q952">
        <v>1.6000000000000001E-4</v>
      </c>
      <c r="R952">
        <v>1.11E-6</v>
      </c>
    </row>
    <row r="953" spans="1:18" ht="13.8" outlineLevel="1" x14ac:dyDescent="0.25">
      <c r="A953">
        <v>79441</v>
      </c>
      <c r="B953" t="s">
        <v>1143</v>
      </c>
      <c r="C953" t="s">
        <v>1152</v>
      </c>
      <c r="D953" s="14" t="s">
        <v>1142</v>
      </c>
      <c r="E953" s="12" t="s">
        <v>28</v>
      </c>
      <c r="F953" s="17" t="s">
        <v>549</v>
      </c>
      <c r="G953">
        <v>100</v>
      </c>
      <c r="H953" t="s">
        <v>30</v>
      </c>
      <c r="I953">
        <v>500</v>
      </c>
      <c r="J953" s="15"/>
      <c r="K953" s="16">
        <f>1.29 - (1.29 * $E$1)</f>
        <v>1.29</v>
      </c>
      <c r="L953" s="16">
        <f>1.06 - (1.06 * $E$1)</f>
        <v>1.06</v>
      </c>
      <c r="M953" s="1">
        <v>1.29</v>
      </c>
      <c r="N953" s="1">
        <v>1.06</v>
      </c>
      <c r="O953" s="1">
        <v>1.1000000000000001</v>
      </c>
      <c r="P953" s="1">
        <v>0.9</v>
      </c>
      <c r="Q953">
        <v>1.3999999999999999E-4</v>
      </c>
      <c r="R953">
        <v>1.9199999999999998E-6</v>
      </c>
    </row>
    <row r="954" spans="1:18" ht="13.8" outlineLevel="1" x14ac:dyDescent="0.25">
      <c r="A954">
        <v>79442</v>
      </c>
      <c r="B954" t="s">
        <v>1143</v>
      </c>
      <c r="C954" t="s">
        <v>1153</v>
      </c>
      <c r="D954" s="14" t="s">
        <v>1142</v>
      </c>
      <c r="E954" s="12" t="s">
        <v>28</v>
      </c>
      <c r="F954" s="17" t="s">
        <v>549</v>
      </c>
      <c r="G954">
        <v>100</v>
      </c>
      <c r="H954" t="s">
        <v>30</v>
      </c>
      <c r="I954">
        <v>500</v>
      </c>
      <c r="J954" s="15"/>
      <c r="K954" s="16">
        <f>1.92 - (1.92 * $E$1)</f>
        <v>1.92</v>
      </c>
      <c r="L954" s="16">
        <f>1.57 - (1.57 * $E$1)</f>
        <v>1.57</v>
      </c>
      <c r="M954" s="1">
        <v>1.92</v>
      </c>
      <c r="N954" s="1">
        <v>1.57</v>
      </c>
      <c r="O954" s="1">
        <v>1.63</v>
      </c>
      <c r="P954" s="1">
        <v>1.33</v>
      </c>
      <c r="Q954">
        <v>1.3999999999999999E-4</v>
      </c>
      <c r="R954">
        <v>2.08E-6</v>
      </c>
    </row>
    <row r="955" spans="1:18" ht="13.8" outlineLevel="1" x14ac:dyDescent="0.25">
      <c r="A955">
        <v>79443</v>
      </c>
      <c r="B955" t="s">
        <v>1143</v>
      </c>
      <c r="C955" t="s">
        <v>1154</v>
      </c>
      <c r="D955" s="14" t="s">
        <v>1142</v>
      </c>
      <c r="E955" s="12" t="s">
        <v>28</v>
      </c>
      <c r="F955" s="17" t="s">
        <v>549</v>
      </c>
      <c r="G955">
        <v>100</v>
      </c>
      <c r="H955" t="s">
        <v>30</v>
      </c>
      <c r="I955">
        <v>500</v>
      </c>
      <c r="J955" s="15"/>
      <c r="K955" s="16">
        <f>1.29 - (1.29 * $E$1)</f>
        <v>1.29</v>
      </c>
      <c r="L955" s="16">
        <f>1.06 - (1.06 * $E$1)</f>
        <v>1.06</v>
      </c>
      <c r="M955" s="1">
        <v>1.29</v>
      </c>
      <c r="N955" s="1">
        <v>1.06</v>
      </c>
      <c r="O955" s="1">
        <v>1.1000000000000001</v>
      </c>
      <c r="P955" s="1">
        <v>0.9</v>
      </c>
      <c r="Q955">
        <v>1.3999999999999999E-4</v>
      </c>
      <c r="R955">
        <v>1.9199999999999998E-6</v>
      </c>
    </row>
    <row r="956" spans="1:18" ht="13.8" outlineLevel="1" x14ac:dyDescent="0.25">
      <c r="A956">
        <v>92305</v>
      </c>
      <c r="B956" t="s">
        <v>1140</v>
      </c>
      <c r="C956" t="s">
        <v>1155</v>
      </c>
      <c r="D956" s="14" t="s">
        <v>1142</v>
      </c>
      <c r="E956" s="12" t="s">
        <v>28</v>
      </c>
      <c r="F956" s="17" t="s">
        <v>549</v>
      </c>
      <c r="G956">
        <v>100</v>
      </c>
      <c r="H956" t="s">
        <v>30</v>
      </c>
      <c r="I956">
        <v>500</v>
      </c>
      <c r="J956" s="15"/>
      <c r="K956" s="16">
        <f>1.4 - (1.4 * $E$1)</f>
        <v>1.4</v>
      </c>
      <c r="L956" s="16">
        <f>1.15 - (1.15 * $E$1)</f>
        <v>1.1499999999999999</v>
      </c>
      <c r="M956" s="1">
        <v>1.4</v>
      </c>
      <c r="N956" s="1">
        <v>1.1499999999999999</v>
      </c>
      <c r="O956" s="1">
        <v>1.19</v>
      </c>
      <c r="P956" s="1">
        <v>0.98</v>
      </c>
      <c r="Q956">
        <v>2.2000000000000001E-4</v>
      </c>
      <c r="R956">
        <v>1.3999999999999999E-6</v>
      </c>
    </row>
    <row r="957" spans="1:18" ht="13.8" outlineLevel="1" x14ac:dyDescent="0.25">
      <c r="A957">
        <v>79444</v>
      </c>
      <c r="B957" t="s">
        <v>1143</v>
      </c>
      <c r="C957" t="s">
        <v>1156</v>
      </c>
      <c r="D957" s="14" t="s">
        <v>1142</v>
      </c>
      <c r="E957" s="12" t="s">
        <v>28</v>
      </c>
      <c r="F957" s="17" t="s">
        <v>549</v>
      </c>
      <c r="G957">
        <v>100</v>
      </c>
      <c r="H957" t="s">
        <v>30</v>
      </c>
      <c r="I957">
        <v>500</v>
      </c>
      <c r="J957" s="15"/>
      <c r="K957" s="16">
        <f>1.6 - (1.6 * $E$1)</f>
        <v>1.6</v>
      </c>
      <c r="L957" s="16">
        <f>1.31 - (1.31 * $E$1)</f>
        <v>1.31</v>
      </c>
      <c r="M957" s="1">
        <v>1.6</v>
      </c>
      <c r="N957" s="1">
        <v>1.31</v>
      </c>
      <c r="O957" s="1">
        <v>1.36</v>
      </c>
      <c r="P957" s="1">
        <v>1.1100000000000001</v>
      </c>
      <c r="Q957">
        <v>1.8000000000000001E-4</v>
      </c>
      <c r="R957">
        <v>2.7999999999999999E-6</v>
      </c>
    </row>
    <row r="958" spans="1:18" ht="13.8" outlineLevel="1" x14ac:dyDescent="0.25">
      <c r="A958">
        <v>79445</v>
      </c>
      <c r="B958" t="s">
        <v>1143</v>
      </c>
      <c r="C958" t="s">
        <v>1157</v>
      </c>
      <c r="D958" s="14" t="s">
        <v>1142</v>
      </c>
      <c r="E958" s="12" t="s">
        <v>28</v>
      </c>
      <c r="F958" s="17" t="s">
        <v>549</v>
      </c>
      <c r="G958">
        <v>100</v>
      </c>
      <c r="H958" t="s">
        <v>30</v>
      </c>
      <c r="I958">
        <v>500</v>
      </c>
      <c r="J958" s="15"/>
      <c r="K958" s="16">
        <f>2.12 - (2.12 * $E$1)</f>
        <v>2.12</v>
      </c>
      <c r="L958" s="16">
        <f>1.74 - (1.74 * $E$1)</f>
        <v>1.74</v>
      </c>
      <c r="M958" s="1">
        <v>2.12</v>
      </c>
      <c r="N958" s="1">
        <v>1.74</v>
      </c>
      <c r="O958" s="1">
        <v>1.8</v>
      </c>
      <c r="P958" s="1">
        <v>1.48</v>
      </c>
      <c r="Q958">
        <v>2.0000000000000001E-4</v>
      </c>
      <c r="R958">
        <v>2.52E-6</v>
      </c>
    </row>
    <row r="959" spans="1:18" ht="13.8" outlineLevel="1" x14ac:dyDescent="0.25">
      <c r="A959">
        <v>79446</v>
      </c>
      <c r="B959" t="s">
        <v>1143</v>
      </c>
      <c r="C959" t="s">
        <v>1158</v>
      </c>
      <c r="D959" s="14" t="s">
        <v>1142</v>
      </c>
      <c r="E959" s="12" t="s">
        <v>28</v>
      </c>
      <c r="F959" s="17" t="s">
        <v>549</v>
      </c>
      <c r="G959">
        <v>100</v>
      </c>
      <c r="H959" t="s">
        <v>30</v>
      </c>
      <c r="I959">
        <v>500</v>
      </c>
      <c r="J959" s="15"/>
      <c r="K959" s="16">
        <f>1.95 - (1.95 * $E$1)</f>
        <v>1.95</v>
      </c>
      <c r="L959" s="16">
        <f>1.6 - (1.6 * $E$1)</f>
        <v>1.6</v>
      </c>
      <c r="M959" s="1">
        <v>1.95</v>
      </c>
      <c r="N959" s="1">
        <v>1.6</v>
      </c>
      <c r="O959" s="1">
        <v>1.66</v>
      </c>
      <c r="P959" s="1">
        <v>1.36</v>
      </c>
      <c r="Q959">
        <v>2.4000000000000001E-4</v>
      </c>
      <c r="R959">
        <v>2.7999999999999999E-6</v>
      </c>
    </row>
    <row r="960" spans="1:18" ht="13.8" outlineLevel="1" x14ac:dyDescent="0.25">
      <c r="A960">
        <v>79447</v>
      </c>
      <c r="B960" t="s">
        <v>1143</v>
      </c>
      <c r="C960" t="s">
        <v>1159</v>
      </c>
      <c r="D960" s="14" t="s">
        <v>1142</v>
      </c>
      <c r="E960" s="12" t="s">
        <v>28</v>
      </c>
      <c r="F960" s="17" t="s">
        <v>549</v>
      </c>
      <c r="G960">
        <v>100</v>
      </c>
      <c r="H960" t="s">
        <v>30</v>
      </c>
      <c r="I960">
        <v>500</v>
      </c>
      <c r="J960" s="15"/>
      <c r="K960" s="16">
        <f>2.37 - (2.37 * $E$1)</f>
        <v>2.37</v>
      </c>
      <c r="L960" s="16">
        <f>1.94 - (1.94 * $E$1)</f>
        <v>1.94</v>
      </c>
      <c r="M960" s="1">
        <v>2.37</v>
      </c>
      <c r="N960" s="1">
        <v>1.94</v>
      </c>
      <c r="O960" s="1">
        <v>2.0099999999999998</v>
      </c>
      <c r="P960" s="1">
        <v>1.65</v>
      </c>
      <c r="Q960">
        <v>2.0000000000000001E-4</v>
      </c>
      <c r="R960">
        <v>2.7999999999999999E-6</v>
      </c>
    </row>
    <row r="961" spans="1:18" ht="13.8" outlineLevel="1" x14ac:dyDescent="0.25">
      <c r="A961">
        <v>79448</v>
      </c>
      <c r="B961" t="s">
        <v>1143</v>
      </c>
      <c r="C961" t="s">
        <v>1160</v>
      </c>
      <c r="D961" s="14" t="s">
        <v>1142</v>
      </c>
      <c r="E961" s="12" t="s">
        <v>28</v>
      </c>
      <c r="F961" s="17" t="s">
        <v>549</v>
      </c>
      <c r="G961">
        <v>100</v>
      </c>
      <c r="H961" t="s">
        <v>30</v>
      </c>
      <c r="I961">
        <v>500</v>
      </c>
      <c r="J961" s="15"/>
      <c r="K961" s="16">
        <f>2.98 - (2.98 * $E$1)</f>
        <v>2.98</v>
      </c>
      <c r="L961" s="16">
        <f>2.44 - (2.44 * $E$1)</f>
        <v>2.44</v>
      </c>
      <c r="M961" s="1">
        <v>2.98</v>
      </c>
      <c r="N961" s="1">
        <v>2.44</v>
      </c>
      <c r="O961" s="1">
        <v>2.5299999999999998</v>
      </c>
      <c r="P961" s="1">
        <v>2.0699999999999998</v>
      </c>
      <c r="Q961">
        <v>2.7999999999999998E-4</v>
      </c>
      <c r="R961">
        <v>3.5099999999999999E-6</v>
      </c>
    </row>
    <row r="962" spans="1:18" ht="13.8" outlineLevel="1" x14ac:dyDescent="0.25">
      <c r="A962">
        <v>92306</v>
      </c>
      <c r="B962" t="s">
        <v>1140</v>
      </c>
      <c r="C962" t="s">
        <v>1161</v>
      </c>
      <c r="D962" s="14" t="s">
        <v>1142</v>
      </c>
      <c r="E962" s="12" t="s">
        <v>28</v>
      </c>
      <c r="F962" s="17" t="s">
        <v>549</v>
      </c>
      <c r="G962">
        <v>100</v>
      </c>
      <c r="H962" t="s">
        <v>30</v>
      </c>
      <c r="I962">
        <v>100</v>
      </c>
      <c r="J962" s="15"/>
      <c r="K962" s="16">
        <f>2.59 - (2.59 * $E$1)</f>
        <v>2.59</v>
      </c>
      <c r="L962" s="16">
        <f>2.12 - (2.12 * $E$1)</f>
        <v>2.12</v>
      </c>
      <c r="M962" s="1">
        <v>2.59</v>
      </c>
      <c r="N962" s="1">
        <v>2.12</v>
      </c>
      <c r="O962" s="1">
        <v>2.2000000000000002</v>
      </c>
      <c r="P962" s="1">
        <v>1.8</v>
      </c>
      <c r="Q962">
        <v>4.2000000000000002E-4</v>
      </c>
      <c r="R962">
        <v>2.52E-6</v>
      </c>
    </row>
    <row r="963" spans="1:18" ht="13.8" outlineLevel="1" x14ac:dyDescent="0.25">
      <c r="A963">
        <v>79449</v>
      </c>
      <c r="B963" t="s">
        <v>1143</v>
      </c>
      <c r="C963" t="s">
        <v>1162</v>
      </c>
      <c r="D963" s="14" t="s">
        <v>1142</v>
      </c>
      <c r="E963" s="12" t="s">
        <v>28</v>
      </c>
      <c r="F963" s="17" t="s">
        <v>549</v>
      </c>
      <c r="G963">
        <v>100</v>
      </c>
      <c r="H963" t="s">
        <v>30</v>
      </c>
      <c r="I963">
        <v>100</v>
      </c>
      <c r="J963" s="15"/>
      <c r="K963" s="16">
        <f>2.98 - (2.98 * $E$1)</f>
        <v>2.98</v>
      </c>
      <c r="L963" s="16">
        <f>2.44 - (2.44 * $E$1)</f>
        <v>2.44</v>
      </c>
      <c r="M963" s="1">
        <v>2.98</v>
      </c>
      <c r="N963" s="1">
        <v>2.44</v>
      </c>
      <c r="O963" s="1">
        <v>2.5299999999999998</v>
      </c>
      <c r="P963" s="1">
        <v>2.0699999999999998</v>
      </c>
      <c r="Q963">
        <v>3.2000000000000003E-4</v>
      </c>
      <c r="R963">
        <v>5.04E-6</v>
      </c>
    </row>
    <row r="964" spans="1:18" ht="13.8" outlineLevel="1" x14ac:dyDescent="0.25">
      <c r="A964">
        <v>79450</v>
      </c>
      <c r="B964" t="s">
        <v>1143</v>
      </c>
      <c r="C964" t="s">
        <v>1163</v>
      </c>
      <c r="D964" s="14" t="s">
        <v>1142</v>
      </c>
      <c r="E964" s="12" t="s">
        <v>28</v>
      </c>
      <c r="F964" s="17" t="s">
        <v>549</v>
      </c>
      <c r="G964">
        <v>100</v>
      </c>
      <c r="H964" t="s">
        <v>30</v>
      </c>
      <c r="I964">
        <v>100</v>
      </c>
      <c r="J964" s="15"/>
      <c r="K964" s="16">
        <f>3.89 - (3.89 * $E$1)</f>
        <v>3.89</v>
      </c>
      <c r="L964" s="16">
        <f>3.19 - (3.19 * $E$1)</f>
        <v>3.19</v>
      </c>
      <c r="M964" s="1">
        <v>3.89</v>
      </c>
      <c r="N964" s="1">
        <v>3.19</v>
      </c>
      <c r="O964" s="1">
        <v>3.31</v>
      </c>
      <c r="P964" s="1">
        <v>2.71</v>
      </c>
      <c r="Q964">
        <v>2.7999999999999998E-4</v>
      </c>
      <c r="R964">
        <v>5.04E-6</v>
      </c>
    </row>
    <row r="965" spans="1:18" ht="13.8" outlineLevel="1" x14ac:dyDescent="0.25">
      <c r="A965">
        <v>79451</v>
      </c>
      <c r="B965" t="s">
        <v>1143</v>
      </c>
      <c r="C965" t="s">
        <v>1164</v>
      </c>
      <c r="D965" s="14" t="s">
        <v>1142</v>
      </c>
      <c r="E965" s="12" t="s">
        <v>28</v>
      </c>
      <c r="F965" s="17" t="s">
        <v>549</v>
      </c>
      <c r="G965">
        <v>100</v>
      </c>
      <c r="H965" t="s">
        <v>30</v>
      </c>
      <c r="I965">
        <v>100</v>
      </c>
      <c r="J965" s="15"/>
      <c r="K965" s="16">
        <f>3.72 - (3.72 * $E$1)</f>
        <v>3.72</v>
      </c>
      <c r="L965" s="16">
        <f>3.05 - (3.05 * $E$1)</f>
        <v>3.05</v>
      </c>
      <c r="M965" s="1">
        <v>3.72</v>
      </c>
      <c r="N965" s="1">
        <v>3.05</v>
      </c>
      <c r="O965" s="1">
        <v>3.16</v>
      </c>
      <c r="P965" s="1">
        <v>2.59</v>
      </c>
      <c r="Q965">
        <v>4.4000000000000002E-4</v>
      </c>
      <c r="R965">
        <v>5.04E-6</v>
      </c>
    </row>
    <row r="966" spans="1:18" ht="13.8" outlineLevel="1" x14ac:dyDescent="0.25">
      <c r="A966">
        <v>79452</v>
      </c>
      <c r="B966" t="s">
        <v>1143</v>
      </c>
      <c r="C966" t="s">
        <v>1165</v>
      </c>
      <c r="D966" s="14" t="s">
        <v>1142</v>
      </c>
      <c r="E966" s="12" t="s">
        <v>28</v>
      </c>
      <c r="F966" s="17" t="s">
        <v>549</v>
      </c>
      <c r="G966">
        <v>100</v>
      </c>
      <c r="H966" t="s">
        <v>30</v>
      </c>
      <c r="I966">
        <v>100</v>
      </c>
      <c r="J966" s="15"/>
      <c r="K966" s="16">
        <f>4.6 - (4.6 * $E$1)</f>
        <v>4.5999999999999996</v>
      </c>
      <c r="L966" s="16">
        <f>3.77 - (3.77 * $E$1)</f>
        <v>3.77</v>
      </c>
      <c r="M966" s="1">
        <v>4.5999999999999996</v>
      </c>
      <c r="N966" s="1">
        <v>3.77</v>
      </c>
      <c r="O966" s="1">
        <v>3.91</v>
      </c>
      <c r="P966" s="1">
        <v>3.2</v>
      </c>
      <c r="Q966">
        <v>5.1999999999999995E-4</v>
      </c>
      <c r="R966">
        <v>5.04E-6</v>
      </c>
    </row>
    <row r="967" spans="1:18" ht="13.8" outlineLevel="1" x14ac:dyDescent="0.25">
      <c r="A967">
        <v>79453</v>
      </c>
      <c r="B967" t="s">
        <v>1143</v>
      </c>
      <c r="C967" t="s">
        <v>1166</v>
      </c>
      <c r="D967" s="14" t="s">
        <v>1142</v>
      </c>
      <c r="E967" s="12" t="s">
        <v>28</v>
      </c>
      <c r="F967" s="17" t="s">
        <v>549</v>
      </c>
      <c r="G967">
        <v>100</v>
      </c>
      <c r="H967" t="s">
        <v>30</v>
      </c>
      <c r="I967">
        <v>100</v>
      </c>
      <c r="J967" s="15"/>
      <c r="K967" s="16">
        <f>7.86 - (7.86 * $E$1)</f>
        <v>7.86</v>
      </c>
      <c r="L967" s="16">
        <f>6.44 - (6.44 * $E$1)</f>
        <v>6.44</v>
      </c>
      <c r="M967" s="1">
        <v>7.86</v>
      </c>
      <c r="N967" s="1">
        <v>6.44</v>
      </c>
      <c r="O967" s="1">
        <v>6.68</v>
      </c>
      <c r="P967" s="1">
        <v>5.47</v>
      </c>
      <c r="Q967">
        <v>1.1999999999999999E-3</v>
      </c>
      <c r="R967">
        <v>1.755E-5</v>
      </c>
    </row>
    <row r="968" spans="1:18" ht="13.8" outlineLevel="1" x14ac:dyDescent="0.25">
      <c r="A968">
        <v>79454</v>
      </c>
      <c r="B968" t="s">
        <v>1143</v>
      </c>
      <c r="C968" t="s">
        <v>1167</v>
      </c>
      <c r="D968" s="14" t="s">
        <v>1142</v>
      </c>
      <c r="E968" s="12" t="s">
        <v>28</v>
      </c>
      <c r="F968" s="17" t="s">
        <v>549</v>
      </c>
      <c r="G968">
        <v>100</v>
      </c>
      <c r="H968" t="s">
        <v>30</v>
      </c>
      <c r="I968">
        <v>100</v>
      </c>
      <c r="J968" s="15"/>
      <c r="K968" s="16">
        <f>8.67 - (8.67 * $E$1)</f>
        <v>8.67</v>
      </c>
      <c r="L968" s="16">
        <f>7.11 - (7.11 * $E$1)</f>
        <v>7.11</v>
      </c>
      <c r="M968" s="1">
        <v>8.67</v>
      </c>
      <c r="N968" s="1">
        <v>7.11</v>
      </c>
      <c r="O968" s="1">
        <v>7.37</v>
      </c>
      <c r="P968" s="1">
        <v>6.04</v>
      </c>
      <c r="Q968">
        <v>1.16E-3</v>
      </c>
      <c r="R968">
        <v>1.456E-5</v>
      </c>
    </row>
    <row r="969" spans="1:18" ht="13.8" outlineLevel="1" x14ac:dyDescent="0.25">
      <c r="A969">
        <v>79455</v>
      </c>
      <c r="B969" t="s">
        <v>1143</v>
      </c>
      <c r="C969" t="s">
        <v>1168</v>
      </c>
      <c r="D969" s="14" t="s">
        <v>1142</v>
      </c>
      <c r="E969" s="12" t="s">
        <v>28</v>
      </c>
      <c r="F969" s="17" t="s">
        <v>549</v>
      </c>
      <c r="G969">
        <v>50</v>
      </c>
      <c r="H969" t="s">
        <v>30</v>
      </c>
      <c r="I969">
        <v>50</v>
      </c>
      <c r="J969" s="15"/>
      <c r="K969" s="16">
        <f>16.34 - (16.34 * $E$1)</f>
        <v>16.34</v>
      </c>
      <c r="L969" s="16">
        <f>13.39 - (13.39 * $E$1)</f>
        <v>13.39</v>
      </c>
      <c r="M969" s="1">
        <v>16.34</v>
      </c>
      <c r="N969" s="1">
        <v>13.39</v>
      </c>
      <c r="O969" s="1">
        <v>13.89</v>
      </c>
      <c r="P969" s="1">
        <v>11.38</v>
      </c>
      <c r="Q969">
        <v>2.6800000000000001E-3</v>
      </c>
      <c r="R969">
        <v>2.0999999999999999E-5</v>
      </c>
    </row>
    <row r="970" spans="1:18" ht="13.8" outlineLevel="1" x14ac:dyDescent="0.25">
      <c r="A970">
        <v>79456</v>
      </c>
      <c r="B970" t="s">
        <v>1143</v>
      </c>
      <c r="C970" t="s">
        <v>1169</v>
      </c>
      <c r="D970" s="14" t="s">
        <v>1142</v>
      </c>
      <c r="E970" s="12" t="s">
        <v>28</v>
      </c>
      <c r="F970" s="17" t="s">
        <v>549</v>
      </c>
      <c r="G970">
        <v>25</v>
      </c>
      <c r="H970" t="s">
        <v>30</v>
      </c>
      <c r="I970">
        <v>25</v>
      </c>
      <c r="J970" s="15"/>
      <c r="K970" s="16">
        <f>29.34 - (29.34 * $E$1)</f>
        <v>29.34</v>
      </c>
      <c r="L970" s="16">
        <f>24.05 - (24.05 * $E$1)</f>
        <v>24.05</v>
      </c>
      <c r="M970" s="1">
        <v>29.34</v>
      </c>
      <c r="N970" s="1">
        <v>24.05</v>
      </c>
      <c r="O970" s="1">
        <v>24.94</v>
      </c>
      <c r="P970" s="1">
        <v>20.440000000000001</v>
      </c>
      <c r="Q970">
        <v>4.64E-3</v>
      </c>
      <c r="R970">
        <v>2.8E-5</v>
      </c>
    </row>
    <row r="971" spans="1:18" ht="13.8" outlineLevel="1" x14ac:dyDescent="0.25">
      <c r="A971">
        <v>79457</v>
      </c>
      <c r="B971" t="s">
        <v>1143</v>
      </c>
      <c r="C971" t="s">
        <v>1170</v>
      </c>
      <c r="D971" s="14" t="s">
        <v>1142</v>
      </c>
      <c r="E971" s="12" t="s">
        <v>28</v>
      </c>
      <c r="F971" s="17" t="s">
        <v>549</v>
      </c>
      <c r="G971">
        <v>25</v>
      </c>
      <c r="H971" t="s">
        <v>30</v>
      </c>
      <c r="I971">
        <v>25</v>
      </c>
      <c r="J971" s="15"/>
      <c r="K971" s="16">
        <f>44.33 - (44.33 * $E$1)</f>
        <v>44.33</v>
      </c>
      <c r="L971" s="16">
        <f>36.34 - (36.34 * $E$1)</f>
        <v>36.340000000000003</v>
      </c>
      <c r="M971" s="1">
        <v>44.33</v>
      </c>
      <c r="N971" s="1">
        <v>36.340000000000003</v>
      </c>
      <c r="O971" s="1">
        <v>37.68</v>
      </c>
      <c r="P971" s="1">
        <v>30.89</v>
      </c>
      <c r="Q971">
        <v>3.5999999999999999E-3</v>
      </c>
      <c r="R971">
        <v>4.1999999999999998E-5</v>
      </c>
    </row>
    <row r="972" spans="1:18" ht="13.8" outlineLevel="1" x14ac:dyDescent="0.25">
      <c r="A972">
        <v>79458</v>
      </c>
      <c r="B972" t="s">
        <v>1143</v>
      </c>
      <c r="C972" t="s">
        <v>1171</v>
      </c>
      <c r="D972" s="14" t="s">
        <v>1142</v>
      </c>
      <c r="E972" s="12" t="s">
        <v>28</v>
      </c>
      <c r="F972" s="17" t="s">
        <v>549</v>
      </c>
      <c r="G972">
        <v>20</v>
      </c>
      <c r="H972" t="s">
        <v>30</v>
      </c>
      <c r="I972">
        <v>20</v>
      </c>
      <c r="J972" s="15"/>
      <c r="K972" s="16">
        <f>56.95 - (56.95 * $E$1)</f>
        <v>56.95</v>
      </c>
      <c r="L972" s="16">
        <f>46.68 - (46.68 * $E$1)</f>
        <v>46.68</v>
      </c>
      <c r="M972" s="1">
        <v>56.95</v>
      </c>
      <c r="N972" s="1">
        <v>46.68</v>
      </c>
      <c r="O972" s="1">
        <v>48.41</v>
      </c>
      <c r="P972" s="1">
        <v>39.68</v>
      </c>
      <c r="Q972">
        <v>8.6999999999999994E-3</v>
      </c>
      <c r="R972">
        <v>7.2799999999999994E-5</v>
      </c>
    </row>
    <row r="973" spans="1:18" ht="13.8" outlineLevel="1" x14ac:dyDescent="0.25">
      <c r="A973">
        <v>79459</v>
      </c>
      <c r="B973" t="s">
        <v>1143</v>
      </c>
      <c r="C973" t="s">
        <v>1172</v>
      </c>
      <c r="D973" s="14" t="s">
        <v>1142</v>
      </c>
      <c r="E973" s="12" t="s">
        <v>28</v>
      </c>
      <c r="F973" s="17" t="s">
        <v>549</v>
      </c>
      <c r="G973">
        <v>20</v>
      </c>
      <c r="H973" t="s">
        <v>30</v>
      </c>
      <c r="I973">
        <v>20</v>
      </c>
      <c r="J973" s="15"/>
      <c r="K973" s="16">
        <f>87.85 - (87.85 * $E$1)</f>
        <v>87.85</v>
      </c>
      <c r="L973" s="16">
        <f>72.01 - (72.01 * $E$1)</f>
        <v>72.010000000000005</v>
      </c>
      <c r="M973" s="1">
        <v>87.85</v>
      </c>
      <c r="N973" s="1">
        <v>72.010000000000005</v>
      </c>
      <c r="O973" s="1">
        <v>74.67</v>
      </c>
      <c r="P973" s="1">
        <v>61.21</v>
      </c>
      <c r="Q973">
        <v>1.0999999999999999E-2</v>
      </c>
      <c r="R973">
        <v>9.0000000000000006E-5</v>
      </c>
    </row>
    <row r="974" spans="1:18" ht="13.8" outlineLevel="1" x14ac:dyDescent="0.25">
      <c r="A974">
        <v>108894</v>
      </c>
      <c r="B974" t="s">
        <v>1140</v>
      </c>
      <c r="C974" t="s">
        <v>1173</v>
      </c>
      <c r="D974" s="14" t="s">
        <v>1142</v>
      </c>
      <c r="E974" s="12" t="s">
        <v>28</v>
      </c>
      <c r="F974" s="13" t="s">
        <v>29</v>
      </c>
      <c r="G974">
        <v>1</v>
      </c>
      <c r="H974" t="s">
        <v>420</v>
      </c>
      <c r="I974">
        <v>5</v>
      </c>
      <c r="J974" s="15"/>
      <c r="K974" s="16">
        <f>140 - (140 * $E$1)</f>
        <v>140</v>
      </c>
      <c r="L974" s="16">
        <f>114.75 - (114.75 * $E$1)</f>
        <v>114.75</v>
      </c>
      <c r="M974" s="1">
        <v>140</v>
      </c>
      <c r="N974" s="1">
        <v>114.75</v>
      </c>
      <c r="O974" s="1">
        <v>119</v>
      </c>
      <c r="P974" s="1">
        <v>97.54</v>
      </c>
      <c r="Q974">
        <v>0.01</v>
      </c>
      <c r="R974">
        <v>5.1999999999999997E-5</v>
      </c>
    </row>
    <row r="975" spans="1:18" ht="13.8" outlineLevel="1" x14ac:dyDescent="0.25">
      <c r="A975">
        <v>108895</v>
      </c>
      <c r="B975" t="s">
        <v>1140</v>
      </c>
      <c r="C975" t="s">
        <v>1174</v>
      </c>
      <c r="D975" s="14" t="s">
        <v>1142</v>
      </c>
      <c r="E975" s="12" t="s">
        <v>28</v>
      </c>
      <c r="F975" s="13" t="s">
        <v>29</v>
      </c>
      <c r="G975">
        <v>1</v>
      </c>
      <c r="H975" t="s">
        <v>420</v>
      </c>
      <c r="I975">
        <v>5</v>
      </c>
      <c r="J975" s="15"/>
      <c r="K975" s="16">
        <f>140 - (140 * $E$1)</f>
        <v>140</v>
      </c>
      <c r="L975" s="16">
        <f>114.75 - (114.75 * $E$1)</f>
        <v>114.75</v>
      </c>
      <c r="M975" s="1">
        <v>140</v>
      </c>
      <c r="N975" s="1">
        <v>114.75</v>
      </c>
      <c r="O975" s="1">
        <v>119</v>
      </c>
      <c r="P975" s="1">
        <v>97.54</v>
      </c>
      <c r="Q975">
        <v>6.0000000000000001E-3</v>
      </c>
      <c r="R975">
        <v>5.1999999999999997E-5</v>
      </c>
    </row>
    <row r="976" spans="1:18" ht="13.8" outlineLevel="1" x14ac:dyDescent="0.25">
      <c r="A976">
        <v>108896</v>
      </c>
      <c r="B976" t="s">
        <v>1140</v>
      </c>
      <c r="C976" t="s">
        <v>1175</v>
      </c>
      <c r="D976" s="14" t="s">
        <v>1142</v>
      </c>
      <c r="E976" s="12" t="s">
        <v>28</v>
      </c>
      <c r="F976" s="13" t="s">
        <v>29</v>
      </c>
      <c r="G976">
        <v>1</v>
      </c>
      <c r="H976" t="s">
        <v>420</v>
      </c>
      <c r="I976">
        <v>5</v>
      </c>
      <c r="J976" s="15"/>
      <c r="K976" s="16">
        <f>84 - (84 * $E$1)</f>
        <v>84</v>
      </c>
      <c r="L976" s="16">
        <f>68.85 - (68.85 * $E$1)</f>
        <v>68.849999999999994</v>
      </c>
      <c r="M976" s="1">
        <v>84</v>
      </c>
      <c r="N976" s="1">
        <v>68.849999999999994</v>
      </c>
      <c r="O976" s="1">
        <v>71.400000000000006</v>
      </c>
      <c r="P976" s="1">
        <v>58.52</v>
      </c>
      <c r="Q976">
        <v>8.0000000000000002E-3</v>
      </c>
      <c r="R976">
        <v>5.1999999999999997E-5</v>
      </c>
    </row>
    <row r="977" spans="1:18" ht="13.8" outlineLevel="1" x14ac:dyDescent="0.25">
      <c r="A977">
        <v>108897</v>
      </c>
      <c r="B977" t="s">
        <v>1140</v>
      </c>
      <c r="C977" t="s">
        <v>1176</v>
      </c>
      <c r="D977" s="14" t="s">
        <v>1142</v>
      </c>
      <c r="E977" s="12" t="s">
        <v>28</v>
      </c>
      <c r="F977" s="13" t="s">
        <v>29</v>
      </c>
      <c r="G977">
        <v>1</v>
      </c>
      <c r="H977" t="s">
        <v>420</v>
      </c>
      <c r="I977">
        <v>5</v>
      </c>
      <c r="J977" s="15"/>
      <c r="K977" s="16">
        <f>84 - (84 * $E$1)</f>
        <v>84</v>
      </c>
      <c r="L977" s="16">
        <f>68.85 - (68.85 * $E$1)</f>
        <v>68.849999999999994</v>
      </c>
      <c r="M977" s="1">
        <v>84</v>
      </c>
      <c r="N977" s="1">
        <v>68.849999999999994</v>
      </c>
      <c r="O977" s="1">
        <v>71.400000000000006</v>
      </c>
      <c r="P977" s="1">
        <v>58.52</v>
      </c>
      <c r="Q977">
        <v>8.0000000000000002E-3</v>
      </c>
      <c r="R977">
        <v>5.1999999999999997E-5</v>
      </c>
    </row>
    <row r="978" spans="1:18" ht="13.8" outlineLevel="1" x14ac:dyDescent="0.25">
      <c r="A978">
        <v>108898</v>
      </c>
      <c r="B978" t="s">
        <v>1140</v>
      </c>
      <c r="C978" t="s">
        <v>1177</v>
      </c>
      <c r="D978" s="14" t="s">
        <v>1142</v>
      </c>
      <c r="E978" s="12" t="s">
        <v>28</v>
      </c>
      <c r="F978" s="13" t="s">
        <v>29</v>
      </c>
      <c r="G978">
        <v>1</v>
      </c>
      <c r="H978" t="s">
        <v>420</v>
      </c>
      <c r="I978">
        <v>5</v>
      </c>
      <c r="J978" s="15"/>
      <c r="K978" s="16">
        <f>107.99 - (107.99 * $E$1)</f>
        <v>107.99</v>
      </c>
      <c r="L978" s="16">
        <f>88.52 - (88.52 * $E$1)</f>
        <v>88.52</v>
      </c>
      <c r="M978" s="1">
        <v>107.99</v>
      </c>
      <c r="N978" s="1">
        <v>88.52</v>
      </c>
      <c r="O978" s="1">
        <v>91.8</v>
      </c>
      <c r="P978" s="1">
        <v>75.239999999999995</v>
      </c>
      <c r="Q978">
        <v>0.01</v>
      </c>
      <c r="R978">
        <v>1.0399999999999999E-4</v>
      </c>
    </row>
    <row r="979" spans="1:18" ht="13.8" outlineLevel="1" x14ac:dyDescent="0.25">
      <c r="A979">
        <v>108899</v>
      </c>
      <c r="B979" t="s">
        <v>1140</v>
      </c>
      <c r="C979" t="s">
        <v>1178</v>
      </c>
      <c r="D979" s="14" t="s">
        <v>1142</v>
      </c>
      <c r="E979" s="12" t="s">
        <v>28</v>
      </c>
      <c r="F979" s="13" t="s">
        <v>29</v>
      </c>
      <c r="G979">
        <v>1</v>
      </c>
      <c r="H979" t="s">
        <v>420</v>
      </c>
      <c r="I979">
        <v>5</v>
      </c>
      <c r="J979" s="15"/>
      <c r="K979" s="16">
        <f>95 - (95 * $E$1)</f>
        <v>95</v>
      </c>
      <c r="L979" s="16">
        <f>77.87 - (77.87 * $E$1)</f>
        <v>77.87</v>
      </c>
      <c r="M979" s="1">
        <v>95</v>
      </c>
      <c r="N979" s="1">
        <v>77.87</v>
      </c>
      <c r="O979" s="1">
        <v>80.75</v>
      </c>
      <c r="P979" s="1">
        <v>66.19</v>
      </c>
      <c r="Q979">
        <v>8.0000000000000002E-3</v>
      </c>
      <c r="R979">
        <v>2.0799999999999999E-4</v>
      </c>
    </row>
    <row r="980" spans="1:18" ht="13.8" outlineLevel="1" x14ac:dyDescent="0.25">
      <c r="A980">
        <v>108900</v>
      </c>
      <c r="B980" t="s">
        <v>1140</v>
      </c>
      <c r="C980" t="s">
        <v>1179</v>
      </c>
      <c r="D980" s="14" t="s">
        <v>1142</v>
      </c>
      <c r="E980" s="12" t="s">
        <v>28</v>
      </c>
      <c r="F980" s="13" t="s">
        <v>29</v>
      </c>
      <c r="G980">
        <v>1</v>
      </c>
      <c r="H980" t="s">
        <v>420</v>
      </c>
      <c r="I980">
        <v>5</v>
      </c>
      <c r="J980" s="15"/>
      <c r="K980" s="16">
        <f>122 - (122 * $E$1)</f>
        <v>122</v>
      </c>
      <c r="L980" s="16">
        <f>100 - (100 * $E$1)</f>
        <v>100</v>
      </c>
      <c r="M980" s="1">
        <v>122</v>
      </c>
      <c r="N980" s="1">
        <v>100</v>
      </c>
      <c r="O980" s="1">
        <v>103.7</v>
      </c>
      <c r="P980" s="1">
        <v>85</v>
      </c>
      <c r="Q980">
        <v>1.2E-2</v>
      </c>
      <c r="R980">
        <v>2.0799999999999999E-4</v>
      </c>
    </row>
    <row r="981" spans="1:18" ht="13.8" outlineLevel="1" x14ac:dyDescent="0.25">
      <c r="A981">
        <v>108901</v>
      </c>
      <c r="B981" t="s">
        <v>1140</v>
      </c>
      <c r="C981" t="s">
        <v>1180</v>
      </c>
      <c r="D981" s="14" t="s">
        <v>1142</v>
      </c>
      <c r="E981" s="12" t="s">
        <v>28</v>
      </c>
      <c r="F981" s="13" t="s">
        <v>29</v>
      </c>
      <c r="G981">
        <v>1</v>
      </c>
      <c r="H981" t="s">
        <v>420</v>
      </c>
      <c r="I981">
        <v>5</v>
      </c>
      <c r="J981" s="15"/>
      <c r="K981" s="16">
        <f>101 - (101 * $E$1)</f>
        <v>101</v>
      </c>
      <c r="L981" s="16">
        <f>82.79 - (82.79 * $E$1)</f>
        <v>82.79</v>
      </c>
      <c r="M981" s="1">
        <v>101</v>
      </c>
      <c r="N981" s="1">
        <v>82.79</v>
      </c>
      <c r="O981" s="1">
        <v>85.85</v>
      </c>
      <c r="P981" s="1">
        <v>70.37</v>
      </c>
      <c r="Q981">
        <v>0.01</v>
      </c>
      <c r="R981">
        <v>2.0799999999999999E-4</v>
      </c>
    </row>
    <row r="982" spans="1:18" ht="13.8" outlineLevel="1" x14ac:dyDescent="0.25">
      <c r="A982">
        <v>108902</v>
      </c>
      <c r="B982" t="s">
        <v>1140</v>
      </c>
      <c r="C982" t="s">
        <v>1181</v>
      </c>
      <c r="D982" s="14" t="s">
        <v>1142</v>
      </c>
      <c r="E982" s="12" t="s">
        <v>28</v>
      </c>
      <c r="F982" s="13" t="s">
        <v>29</v>
      </c>
      <c r="G982">
        <v>1</v>
      </c>
      <c r="H982" t="s">
        <v>420</v>
      </c>
      <c r="I982">
        <v>5</v>
      </c>
      <c r="J982" s="15"/>
      <c r="K982" s="16">
        <f>113 - (113 * $E$1)</f>
        <v>113</v>
      </c>
      <c r="L982" s="16">
        <f>92.62 - (92.62 * $E$1)</f>
        <v>92.62</v>
      </c>
      <c r="M982" s="1">
        <v>113</v>
      </c>
      <c r="N982" s="1">
        <v>92.62</v>
      </c>
      <c r="O982" s="1">
        <v>96.05</v>
      </c>
      <c r="P982" s="1">
        <v>78.73</v>
      </c>
      <c r="Q982">
        <v>1.6E-2</v>
      </c>
      <c r="R982">
        <v>1.11E-4</v>
      </c>
    </row>
    <row r="983" spans="1:18" ht="13.8" outlineLevel="1" x14ac:dyDescent="0.25">
      <c r="A983">
        <v>108903</v>
      </c>
      <c r="B983" t="s">
        <v>1140</v>
      </c>
      <c r="C983" t="s">
        <v>1182</v>
      </c>
      <c r="D983" s="14" t="s">
        <v>1142</v>
      </c>
      <c r="E983" s="12" t="s">
        <v>28</v>
      </c>
      <c r="F983" s="13" t="s">
        <v>29</v>
      </c>
      <c r="G983">
        <v>1</v>
      </c>
      <c r="H983" t="s">
        <v>420</v>
      </c>
      <c r="I983">
        <v>5</v>
      </c>
      <c r="J983" s="15"/>
      <c r="K983" s="16">
        <f>129 - (129 * $E$1)</f>
        <v>129</v>
      </c>
      <c r="L983" s="16">
        <f>105.74 - (105.74 * $E$1)</f>
        <v>105.74</v>
      </c>
      <c r="M983" s="1">
        <v>129</v>
      </c>
      <c r="N983" s="1">
        <v>105.74</v>
      </c>
      <c r="O983" s="1">
        <v>109.65</v>
      </c>
      <c r="P983" s="1">
        <v>89.88</v>
      </c>
      <c r="Q983">
        <v>1.4E-2</v>
      </c>
      <c r="R983">
        <v>1.92E-4</v>
      </c>
    </row>
    <row r="984" spans="1:18" ht="13.8" outlineLevel="1" x14ac:dyDescent="0.25">
      <c r="A984">
        <v>108904</v>
      </c>
      <c r="B984" t="s">
        <v>1140</v>
      </c>
      <c r="C984" t="s">
        <v>1183</v>
      </c>
      <c r="D984" s="14" t="s">
        <v>1142</v>
      </c>
      <c r="E984" s="12" t="s">
        <v>28</v>
      </c>
      <c r="F984" s="13" t="s">
        <v>29</v>
      </c>
      <c r="G984">
        <v>1</v>
      </c>
      <c r="H984" t="s">
        <v>420</v>
      </c>
      <c r="I984">
        <v>5</v>
      </c>
      <c r="J984" s="15"/>
      <c r="K984" s="16">
        <f>191 - (191 * $E$1)</f>
        <v>191</v>
      </c>
      <c r="L984" s="16">
        <f>156.56 - (156.56 * $E$1)</f>
        <v>156.56</v>
      </c>
      <c r="M984" s="1">
        <v>191</v>
      </c>
      <c r="N984" s="1">
        <v>156.56</v>
      </c>
      <c r="O984" s="1">
        <v>162.35</v>
      </c>
      <c r="P984" s="1">
        <v>133.08000000000001</v>
      </c>
      <c r="Q984">
        <v>1.4E-2</v>
      </c>
      <c r="R984">
        <v>2.0799999999999999E-4</v>
      </c>
    </row>
    <row r="985" spans="1:18" ht="13.8" outlineLevel="1" x14ac:dyDescent="0.25">
      <c r="A985">
        <v>108905</v>
      </c>
      <c r="B985" t="s">
        <v>1140</v>
      </c>
      <c r="C985" t="s">
        <v>1184</v>
      </c>
      <c r="D985" s="14" t="s">
        <v>1142</v>
      </c>
      <c r="E985" s="12" t="s">
        <v>28</v>
      </c>
      <c r="F985" s="13" t="s">
        <v>29</v>
      </c>
      <c r="G985">
        <v>1</v>
      </c>
      <c r="H985" t="s">
        <v>420</v>
      </c>
      <c r="I985">
        <v>5</v>
      </c>
      <c r="J985" s="15"/>
      <c r="K985" s="16">
        <f>129 - (129 * $E$1)</f>
        <v>129</v>
      </c>
      <c r="L985" s="16">
        <f>105.74 - (105.74 * $E$1)</f>
        <v>105.74</v>
      </c>
      <c r="M985" s="1">
        <v>129</v>
      </c>
      <c r="N985" s="1">
        <v>105.74</v>
      </c>
      <c r="O985" s="1">
        <v>109.65</v>
      </c>
      <c r="P985" s="1">
        <v>89.88</v>
      </c>
      <c r="Q985">
        <v>1.4E-2</v>
      </c>
      <c r="R985">
        <v>1.92E-4</v>
      </c>
    </row>
    <row r="986" spans="1:18" ht="13.8" outlineLevel="1" x14ac:dyDescent="0.25">
      <c r="A986">
        <v>108906</v>
      </c>
      <c r="B986" t="s">
        <v>1140</v>
      </c>
      <c r="C986" t="s">
        <v>1185</v>
      </c>
      <c r="D986" s="14" t="s">
        <v>1142</v>
      </c>
      <c r="E986" s="12" t="s">
        <v>28</v>
      </c>
      <c r="F986" s="13" t="s">
        <v>29</v>
      </c>
      <c r="G986">
        <v>1</v>
      </c>
      <c r="H986" t="s">
        <v>420</v>
      </c>
      <c r="I986">
        <v>5</v>
      </c>
      <c r="J986" s="15"/>
      <c r="K986" s="16">
        <f>140 - (140 * $E$1)</f>
        <v>140</v>
      </c>
      <c r="L986" s="16">
        <f>114.75 - (114.75 * $E$1)</f>
        <v>114.75</v>
      </c>
      <c r="M986" s="1">
        <v>140</v>
      </c>
      <c r="N986" s="1">
        <v>114.75</v>
      </c>
      <c r="O986" s="1">
        <v>119</v>
      </c>
      <c r="P986" s="1">
        <v>97.54</v>
      </c>
      <c r="Q986">
        <v>2.1999999999999999E-2</v>
      </c>
      <c r="R986">
        <v>1.3999999999999999E-4</v>
      </c>
    </row>
    <row r="987" spans="1:18" ht="13.8" outlineLevel="1" x14ac:dyDescent="0.25">
      <c r="A987">
        <v>108907</v>
      </c>
      <c r="B987" t="s">
        <v>1140</v>
      </c>
      <c r="C987" t="s">
        <v>1186</v>
      </c>
      <c r="D987" s="14" t="s">
        <v>1142</v>
      </c>
      <c r="E987" s="12" t="s">
        <v>28</v>
      </c>
      <c r="F987" s="13" t="s">
        <v>29</v>
      </c>
      <c r="G987">
        <v>1</v>
      </c>
      <c r="H987" t="s">
        <v>420</v>
      </c>
      <c r="I987">
        <v>5</v>
      </c>
      <c r="J987" s="15"/>
      <c r="K987" s="16">
        <f>160 - (160 * $E$1)</f>
        <v>160</v>
      </c>
      <c r="L987" s="16">
        <f>131.15 - (131.15 * $E$1)</f>
        <v>131.15</v>
      </c>
      <c r="M987" s="1">
        <v>160</v>
      </c>
      <c r="N987" s="1">
        <v>131.15</v>
      </c>
      <c r="O987" s="1">
        <v>136</v>
      </c>
      <c r="P987" s="1">
        <v>111.48</v>
      </c>
      <c r="Q987">
        <v>1.7999999999999999E-2</v>
      </c>
      <c r="R987">
        <v>2.7999999999999998E-4</v>
      </c>
    </row>
    <row r="988" spans="1:18" ht="13.8" outlineLevel="1" x14ac:dyDescent="0.25">
      <c r="A988">
        <v>108908</v>
      </c>
      <c r="B988" t="s">
        <v>1140</v>
      </c>
      <c r="C988" t="s">
        <v>1187</v>
      </c>
      <c r="D988" s="14" t="s">
        <v>1142</v>
      </c>
      <c r="E988" s="12" t="s">
        <v>28</v>
      </c>
      <c r="F988" s="13" t="s">
        <v>29</v>
      </c>
      <c r="G988">
        <v>1</v>
      </c>
      <c r="H988" t="s">
        <v>420</v>
      </c>
      <c r="I988">
        <v>5</v>
      </c>
      <c r="J988" s="15"/>
      <c r="K988" s="16">
        <f>212 - (212 * $E$1)</f>
        <v>212</v>
      </c>
      <c r="L988" s="16">
        <f>173.77 - (173.77 * $E$1)</f>
        <v>173.77</v>
      </c>
      <c r="M988" s="1">
        <v>212</v>
      </c>
      <c r="N988" s="1">
        <v>173.77</v>
      </c>
      <c r="O988" s="1">
        <v>180.2</v>
      </c>
      <c r="P988" s="1">
        <v>147.69999999999999</v>
      </c>
      <c r="Q988">
        <v>0.02</v>
      </c>
      <c r="R988">
        <v>2.52E-4</v>
      </c>
    </row>
    <row r="989" spans="1:18" ht="13.8" outlineLevel="1" x14ac:dyDescent="0.25">
      <c r="A989">
        <v>108909</v>
      </c>
      <c r="B989" t="s">
        <v>1140</v>
      </c>
      <c r="C989" t="s">
        <v>1188</v>
      </c>
      <c r="D989" s="14" t="s">
        <v>1142</v>
      </c>
      <c r="E989" s="12" t="s">
        <v>28</v>
      </c>
      <c r="F989" s="13" t="s">
        <v>29</v>
      </c>
      <c r="G989">
        <v>1</v>
      </c>
      <c r="H989" t="s">
        <v>420</v>
      </c>
      <c r="I989">
        <v>5</v>
      </c>
      <c r="J989" s="15"/>
      <c r="K989" s="16">
        <f>195 - (195 * $E$1)</f>
        <v>195</v>
      </c>
      <c r="L989" s="16">
        <f>159.84 - (159.84 * $E$1)</f>
        <v>159.84</v>
      </c>
      <c r="M989" s="1">
        <v>195</v>
      </c>
      <c r="N989" s="1">
        <v>159.84</v>
      </c>
      <c r="O989" s="1">
        <v>165.75</v>
      </c>
      <c r="P989" s="1">
        <v>135.86000000000001</v>
      </c>
      <c r="Q989">
        <v>2.4E-2</v>
      </c>
      <c r="R989">
        <v>2.7999999999999998E-4</v>
      </c>
    </row>
    <row r="990" spans="1:18" ht="13.8" outlineLevel="1" x14ac:dyDescent="0.25">
      <c r="A990">
        <v>108910</v>
      </c>
      <c r="B990" t="s">
        <v>1140</v>
      </c>
      <c r="C990" t="s">
        <v>1189</v>
      </c>
      <c r="D990" s="14" t="s">
        <v>1142</v>
      </c>
      <c r="E990" s="12" t="s">
        <v>28</v>
      </c>
      <c r="F990" s="13" t="s">
        <v>29</v>
      </c>
      <c r="G990">
        <v>1</v>
      </c>
      <c r="H990" t="s">
        <v>420</v>
      </c>
      <c r="I990">
        <v>5</v>
      </c>
      <c r="J990" s="15"/>
      <c r="K990" s="16">
        <f>237 - (237 * $E$1)</f>
        <v>237</v>
      </c>
      <c r="L990" s="16">
        <f>194.26 - (194.26 * $E$1)</f>
        <v>194.26</v>
      </c>
      <c r="M990" s="1">
        <v>237</v>
      </c>
      <c r="N990" s="1">
        <v>194.26</v>
      </c>
      <c r="O990" s="1">
        <v>201.45</v>
      </c>
      <c r="P990" s="1">
        <v>165.12</v>
      </c>
      <c r="Q990">
        <v>0.02</v>
      </c>
      <c r="R990">
        <v>2.7999999999999998E-4</v>
      </c>
    </row>
    <row r="991" spans="1:18" ht="13.8" outlineLevel="1" x14ac:dyDescent="0.25">
      <c r="A991">
        <v>108911</v>
      </c>
      <c r="B991" t="s">
        <v>1140</v>
      </c>
      <c r="C991" t="s">
        <v>1190</v>
      </c>
      <c r="D991" s="14" t="s">
        <v>1142</v>
      </c>
      <c r="E991" s="12" t="s">
        <v>28</v>
      </c>
      <c r="F991" s="13" t="s">
        <v>29</v>
      </c>
      <c r="G991">
        <v>1</v>
      </c>
      <c r="H991" t="s">
        <v>420</v>
      </c>
      <c r="I991">
        <v>5</v>
      </c>
      <c r="J991" s="15"/>
      <c r="K991" s="16">
        <f>298 - (298 * $E$1)</f>
        <v>298</v>
      </c>
      <c r="L991" s="16">
        <f>244.26 - (244.26 * $E$1)</f>
        <v>244.26</v>
      </c>
      <c r="M991" s="1">
        <v>298</v>
      </c>
      <c r="N991" s="1">
        <v>244.26</v>
      </c>
      <c r="O991" s="1">
        <v>253.3</v>
      </c>
      <c r="P991" s="1">
        <v>207.62</v>
      </c>
      <c r="Q991">
        <v>2.8000000000000001E-2</v>
      </c>
      <c r="R991">
        <v>3.5100000000000002E-4</v>
      </c>
    </row>
    <row r="992" spans="1:18" ht="13.8" outlineLevel="1" x14ac:dyDescent="0.25">
      <c r="A992">
        <v>108912</v>
      </c>
      <c r="B992" t="s">
        <v>1140</v>
      </c>
      <c r="C992" t="s">
        <v>1191</v>
      </c>
      <c r="D992" s="14" t="s">
        <v>1142</v>
      </c>
      <c r="E992" s="12" t="s">
        <v>28</v>
      </c>
      <c r="F992" s="13" t="s">
        <v>29</v>
      </c>
      <c r="G992">
        <v>1</v>
      </c>
      <c r="H992" t="s">
        <v>420</v>
      </c>
      <c r="I992">
        <v>1</v>
      </c>
      <c r="J992" s="15"/>
      <c r="K992" s="16">
        <f>259.01 - (259.01 * $E$1)</f>
        <v>259.01</v>
      </c>
      <c r="L992" s="16">
        <f>212.3 - (212.3 * $E$1)</f>
        <v>212.3</v>
      </c>
      <c r="M992" s="1">
        <v>259.01</v>
      </c>
      <c r="N992" s="1">
        <v>212.3</v>
      </c>
      <c r="O992" s="1">
        <v>220.16</v>
      </c>
      <c r="P992" s="1">
        <v>180.46</v>
      </c>
      <c r="Q992">
        <v>4.2000000000000003E-2</v>
      </c>
      <c r="R992">
        <v>2.52E-4</v>
      </c>
    </row>
    <row r="993" spans="1:18" ht="13.8" outlineLevel="1" x14ac:dyDescent="0.25">
      <c r="A993">
        <v>108913</v>
      </c>
      <c r="B993" t="s">
        <v>1140</v>
      </c>
      <c r="C993" t="s">
        <v>1192</v>
      </c>
      <c r="D993" s="14" t="s">
        <v>1142</v>
      </c>
      <c r="E993" s="12" t="s">
        <v>28</v>
      </c>
      <c r="F993" s="13" t="s">
        <v>29</v>
      </c>
      <c r="G993">
        <v>1</v>
      </c>
      <c r="H993" t="s">
        <v>420</v>
      </c>
      <c r="I993">
        <v>1</v>
      </c>
      <c r="J993" s="15"/>
      <c r="K993" s="16">
        <f>298 - (298 * $E$1)</f>
        <v>298</v>
      </c>
      <c r="L993" s="16">
        <f>244.26 - (244.26 * $E$1)</f>
        <v>244.26</v>
      </c>
      <c r="M993" s="1">
        <v>298</v>
      </c>
      <c r="N993" s="1">
        <v>244.26</v>
      </c>
      <c r="O993" s="1">
        <v>253.3</v>
      </c>
      <c r="P993" s="1">
        <v>207.62</v>
      </c>
      <c r="Q993">
        <v>3.2000000000000001E-2</v>
      </c>
      <c r="R993">
        <v>5.04E-4</v>
      </c>
    </row>
    <row r="994" spans="1:18" ht="13.8" outlineLevel="1" x14ac:dyDescent="0.25">
      <c r="A994">
        <v>108914</v>
      </c>
      <c r="B994" t="s">
        <v>1140</v>
      </c>
      <c r="C994" t="s">
        <v>1193</v>
      </c>
      <c r="D994" s="14" t="s">
        <v>1142</v>
      </c>
      <c r="E994" s="12" t="s">
        <v>28</v>
      </c>
      <c r="F994" s="13" t="s">
        <v>29</v>
      </c>
      <c r="G994">
        <v>1</v>
      </c>
      <c r="H994" t="s">
        <v>420</v>
      </c>
      <c r="I994">
        <v>1</v>
      </c>
      <c r="J994" s="15"/>
      <c r="K994" s="16">
        <f>389 - (389 * $E$1)</f>
        <v>389</v>
      </c>
      <c r="L994" s="16">
        <f>318.85 - (318.85 * $E$1)</f>
        <v>318.85000000000002</v>
      </c>
      <c r="M994" s="1">
        <v>389</v>
      </c>
      <c r="N994" s="1">
        <v>318.85000000000002</v>
      </c>
      <c r="O994" s="1">
        <v>330.65</v>
      </c>
      <c r="P994" s="1">
        <v>271.02</v>
      </c>
      <c r="Q994">
        <v>2.8000000000000001E-2</v>
      </c>
      <c r="R994">
        <v>5.04E-4</v>
      </c>
    </row>
    <row r="995" spans="1:18" ht="13.8" outlineLevel="1" x14ac:dyDescent="0.25">
      <c r="A995">
        <v>108915</v>
      </c>
      <c r="B995" t="s">
        <v>1140</v>
      </c>
      <c r="C995" t="s">
        <v>1194</v>
      </c>
      <c r="D995" s="14" t="s">
        <v>1142</v>
      </c>
      <c r="E995" s="12" t="s">
        <v>28</v>
      </c>
      <c r="F995" s="13" t="s">
        <v>29</v>
      </c>
      <c r="G995">
        <v>1</v>
      </c>
      <c r="H995" t="s">
        <v>420</v>
      </c>
      <c r="I995">
        <v>1</v>
      </c>
      <c r="J995" s="15"/>
      <c r="K995" s="16">
        <f>372 - (372 * $E$1)</f>
        <v>372</v>
      </c>
      <c r="L995" s="16">
        <f>304.92 - (304.92 * $E$1)</f>
        <v>304.92</v>
      </c>
      <c r="M995" s="1">
        <v>372</v>
      </c>
      <c r="N995" s="1">
        <v>304.92</v>
      </c>
      <c r="O995" s="1">
        <v>316.2</v>
      </c>
      <c r="P995" s="1">
        <v>259.18</v>
      </c>
      <c r="Q995">
        <v>4.3999999999999997E-2</v>
      </c>
      <c r="R995">
        <v>5.04E-4</v>
      </c>
    </row>
    <row r="996" spans="1:18" ht="13.8" outlineLevel="1" x14ac:dyDescent="0.25">
      <c r="A996">
        <v>108916</v>
      </c>
      <c r="B996" t="s">
        <v>1140</v>
      </c>
      <c r="C996" t="s">
        <v>1195</v>
      </c>
      <c r="D996" s="14" t="s">
        <v>1142</v>
      </c>
      <c r="E996" s="12" t="s">
        <v>28</v>
      </c>
      <c r="F996" s="13" t="s">
        <v>29</v>
      </c>
      <c r="G996">
        <v>1</v>
      </c>
      <c r="H996" t="s">
        <v>420</v>
      </c>
      <c r="I996">
        <v>1</v>
      </c>
      <c r="J996" s="15"/>
      <c r="K996" s="16">
        <f>460 - (460 * $E$1)</f>
        <v>460</v>
      </c>
      <c r="L996" s="16">
        <f>377.05 - (377.05 * $E$1)</f>
        <v>377.05</v>
      </c>
      <c r="M996" s="1">
        <v>460</v>
      </c>
      <c r="N996" s="1">
        <v>377.05</v>
      </c>
      <c r="O996" s="1">
        <v>391</v>
      </c>
      <c r="P996" s="1">
        <v>320.49</v>
      </c>
      <c r="Q996">
        <v>5.1999999999999998E-2</v>
      </c>
      <c r="R996">
        <v>5.04E-4</v>
      </c>
    </row>
    <row r="997" spans="1:18" ht="13.8" outlineLevel="1" x14ac:dyDescent="0.25">
      <c r="A997">
        <v>108917</v>
      </c>
      <c r="B997" t="s">
        <v>1140</v>
      </c>
      <c r="C997" t="s">
        <v>1196</v>
      </c>
      <c r="D997" s="14" t="s">
        <v>1142</v>
      </c>
      <c r="E997" s="12" t="s">
        <v>28</v>
      </c>
      <c r="F997" s="13" t="s">
        <v>29</v>
      </c>
      <c r="G997">
        <v>1</v>
      </c>
      <c r="H997" t="s">
        <v>420</v>
      </c>
      <c r="I997">
        <v>1</v>
      </c>
      <c r="J997" s="15"/>
      <c r="K997" s="16">
        <f>786 - (786 * $E$1)</f>
        <v>786</v>
      </c>
      <c r="L997" s="16">
        <f>644.26 - (644.26 * $E$1)</f>
        <v>644.26</v>
      </c>
      <c r="M997" s="1">
        <v>786</v>
      </c>
      <c r="N997" s="1">
        <v>644.26</v>
      </c>
      <c r="O997" s="1">
        <v>668.1</v>
      </c>
      <c r="P997" s="1">
        <v>547.62</v>
      </c>
      <c r="Q997">
        <v>0.12</v>
      </c>
      <c r="R997">
        <v>1.755E-3</v>
      </c>
    </row>
    <row r="998" spans="1:18" ht="13.8" outlineLevel="1" x14ac:dyDescent="0.25">
      <c r="A998">
        <v>108918</v>
      </c>
      <c r="B998" t="s">
        <v>1140</v>
      </c>
      <c r="C998" t="s">
        <v>1197</v>
      </c>
      <c r="D998" s="14" t="s">
        <v>1142</v>
      </c>
      <c r="E998" s="12" t="s">
        <v>28</v>
      </c>
      <c r="F998" s="13" t="s">
        <v>29</v>
      </c>
      <c r="G998">
        <v>1</v>
      </c>
      <c r="H998" t="s">
        <v>420</v>
      </c>
      <c r="I998">
        <v>1</v>
      </c>
      <c r="J998" s="15"/>
      <c r="K998" s="16">
        <f>868.01 - (868.01 * $E$1)</f>
        <v>868.01</v>
      </c>
      <c r="L998" s="16">
        <f>711.48 - (711.48 * $E$1)</f>
        <v>711.48</v>
      </c>
      <c r="M998" s="1">
        <v>868.01</v>
      </c>
      <c r="N998" s="1">
        <v>711.48</v>
      </c>
      <c r="O998" s="1">
        <v>737.8</v>
      </c>
      <c r="P998" s="1">
        <v>604.76</v>
      </c>
      <c r="Q998">
        <v>0.11600000000000001</v>
      </c>
      <c r="R998">
        <v>1.456E-3</v>
      </c>
    </row>
    <row r="999" spans="1:18" ht="13.8" outlineLevel="1" x14ac:dyDescent="0.25">
      <c r="A999">
        <v>108919</v>
      </c>
      <c r="B999" t="s">
        <v>1140</v>
      </c>
      <c r="C999" t="s">
        <v>1198</v>
      </c>
      <c r="D999" s="14" t="s">
        <v>1142</v>
      </c>
      <c r="E999" s="12" t="s">
        <v>28</v>
      </c>
      <c r="F999" s="13" t="s">
        <v>29</v>
      </c>
      <c r="G999">
        <v>1</v>
      </c>
      <c r="H999" t="s">
        <v>420</v>
      </c>
      <c r="I999">
        <v>1</v>
      </c>
      <c r="J999" s="15"/>
      <c r="K999" s="16">
        <f>817 - (817 * $E$1)</f>
        <v>817</v>
      </c>
      <c r="L999" s="16">
        <f>669.67 - (669.67 * $E$1)</f>
        <v>669.67</v>
      </c>
      <c r="M999" s="1">
        <v>817</v>
      </c>
      <c r="N999" s="1">
        <v>669.67</v>
      </c>
      <c r="O999" s="1">
        <v>694.45</v>
      </c>
      <c r="P999" s="1">
        <v>569.22</v>
      </c>
      <c r="Q999">
        <v>0.13400000000000001</v>
      </c>
      <c r="R999">
        <v>1.0499999999999999E-3</v>
      </c>
    </row>
    <row r="1000" spans="1:18" ht="13.8" outlineLevel="1" x14ac:dyDescent="0.25">
      <c r="A1000">
        <v>108920</v>
      </c>
      <c r="B1000" t="s">
        <v>1140</v>
      </c>
      <c r="C1000" t="s">
        <v>1199</v>
      </c>
      <c r="D1000" s="14" t="s">
        <v>1142</v>
      </c>
      <c r="E1000" s="12" t="s">
        <v>28</v>
      </c>
      <c r="F1000" s="13" t="s">
        <v>29</v>
      </c>
      <c r="G1000">
        <v>1</v>
      </c>
      <c r="H1000" t="s">
        <v>420</v>
      </c>
      <c r="I1000">
        <v>1</v>
      </c>
      <c r="J1000" s="15"/>
      <c r="K1000" s="16">
        <f>733.5 - (733.5 * $E$1)</f>
        <v>733.5</v>
      </c>
      <c r="L1000" s="16">
        <f>601.23 - (601.23 * $E$1)</f>
        <v>601.23</v>
      </c>
      <c r="M1000" s="1">
        <v>733.5</v>
      </c>
      <c r="N1000" s="1">
        <v>601.23</v>
      </c>
      <c r="O1000" s="1">
        <v>623.48</v>
      </c>
      <c r="P1000" s="1">
        <v>511.05</v>
      </c>
      <c r="Q1000">
        <v>0.11600000000000001</v>
      </c>
      <c r="R1000">
        <v>6.9999999999999999E-4</v>
      </c>
    </row>
    <row r="1001" spans="1:18" ht="13.8" outlineLevel="1" x14ac:dyDescent="0.25">
      <c r="A1001">
        <v>108921</v>
      </c>
      <c r="B1001" t="s">
        <v>1140</v>
      </c>
      <c r="C1001" t="s">
        <v>1200</v>
      </c>
      <c r="D1001" s="14" t="s">
        <v>1142</v>
      </c>
      <c r="E1001" s="12" t="s">
        <v>28</v>
      </c>
      <c r="F1001" s="13" t="s">
        <v>29</v>
      </c>
      <c r="G1001">
        <v>1</v>
      </c>
      <c r="H1001" t="s">
        <v>420</v>
      </c>
      <c r="I1001">
        <v>1</v>
      </c>
      <c r="J1001" s="15"/>
      <c r="K1001" s="16">
        <f>1108.25 - (1108.25 * $E$1)</f>
        <v>1108.25</v>
      </c>
      <c r="L1001" s="16">
        <f>908.4 - (908.4 * $E$1)</f>
        <v>908.4</v>
      </c>
      <c r="M1001" s="1">
        <v>1108.25</v>
      </c>
      <c r="N1001" s="1">
        <v>908.4</v>
      </c>
      <c r="O1001" s="1">
        <v>942.01</v>
      </c>
      <c r="P1001" s="1">
        <v>772.14</v>
      </c>
      <c r="Q1001">
        <v>0.09</v>
      </c>
      <c r="R1001">
        <v>1.0499999999999999E-3</v>
      </c>
    </row>
    <row r="1002" spans="1:18" ht="13.8" outlineLevel="1" x14ac:dyDescent="0.25">
      <c r="A1002">
        <v>108922</v>
      </c>
      <c r="B1002" t="s">
        <v>1140</v>
      </c>
      <c r="C1002" t="s">
        <v>1201</v>
      </c>
      <c r="D1002" s="14" t="s">
        <v>1142</v>
      </c>
      <c r="E1002" s="12" t="s">
        <v>28</v>
      </c>
      <c r="F1002" s="13" t="s">
        <v>29</v>
      </c>
      <c r="G1002">
        <v>1</v>
      </c>
      <c r="H1002" t="s">
        <v>420</v>
      </c>
      <c r="I1002">
        <v>1</v>
      </c>
      <c r="J1002" s="15"/>
      <c r="K1002" s="16">
        <f>1139 - (1139 * $E$1)</f>
        <v>1139</v>
      </c>
      <c r="L1002" s="16">
        <f>933.61 - (933.61 * $E$1)</f>
        <v>933.61</v>
      </c>
      <c r="M1002" s="1">
        <v>1139</v>
      </c>
      <c r="N1002" s="1">
        <v>933.61</v>
      </c>
      <c r="O1002" s="1">
        <v>968.15</v>
      </c>
      <c r="P1002" s="1">
        <v>793.57</v>
      </c>
      <c r="Q1002">
        <v>0.17399999999999999</v>
      </c>
      <c r="R1002">
        <v>1.456E-3</v>
      </c>
    </row>
    <row r="1003" spans="1:18" ht="13.8" outlineLevel="1" x14ac:dyDescent="0.25">
      <c r="A1003">
        <v>108923</v>
      </c>
      <c r="B1003" t="s">
        <v>1140</v>
      </c>
      <c r="C1003" t="s">
        <v>1202</v>
      </c>
      <c r="D1003" s="14" t="s">
        <v>1142</v>
      </c>
      <c r="E1003" s="12" t="s">
        <v>28</v>
      </c>
      <c r="F1003" s="13" t="s">
        <v>29</v>
      </c>
      <c r="G1003">
        <v>1</v>
      </c>
      <c r="H1003" t="s">
        <v>420</v>
      </c>
      <c r="I1003">
        <v>1</v>
      </c>
      <c r="J1003" s="15"/>
      <c r="K1003" s="16">
        <f>1757 - (1757 * $E$1)</f>
        <v>1757</v>
      </c>
      <c r="L1003" s="16">
        <f>1440.16 - (1440.16 * $E$1)</f>
        <v>1440.16</v>
      </c>
      <c r="M1003" s="1">
        <v>1757</v>
      </c>
      <c r="N1003" s="1">
        <v>1440.16</v>
      </c>
      <c r="O1003" s="1">
        <v>1493.45</v>
      </c>
      <c r="P1003" s="1">
        <v>1224.1400000000001</v>
      </c>
      <c r="Q1003">
        <v>0.22</v>
      </c>
      <c r="R1003">
        <v>1.8E-3</v>
      </c>
    </row>
    <row r="1004" spans="1:18" ht="13.8" outlineLevel="1" x14ac:dyDescent="0.25">
      <c r="A1004">
        <v>103197</v>
      </c>
      <c r="B1004" t="s">
        <v>1140</v>
      </c>
      <c r="C1004" t="s">
        <v>1203</v>
      </c>
      <c r="D1004" s="14" t="s">
        <v>1204</v>
      </c>
      <c r="E1004" s="12" t="s">
        <v>28</v>
      </c>
      <c r="F1004" s="17" t="s">
        <v>549</v>
      </c>
      <c r="G1004">
        <v>100</v>
      </c>
      <c r="H1004" t="s">
        <v>30</v>
      </c>
      <c r="I1004">
        <v>100</v>
      </c>
      <c r="J1004" s="15"/>
      <c r="K1004" s="16">
        <f>0.88 - (0.88 * $E$1)</f>
        <v>0.88</v>
      </c>
      <c r="L1004" s="16">
        <f>0.72 - (0.72 * $E$1)</f>
        <v>0.72</v>
      </c>
      <c r="M1004" s="1">
        <v>0.88</v>
      </c>
      <c r="N1004" s="1">
        <v>0.72</v>
      </c>
      <c r="O1004" s="1">
        <v>0.75</v>
      </c>
      <c r="P1004" s="1">
        <v>0.61</v>
      </c>
      <c r="Q1004">
        <v>1E-4</v>
      </c>
      <c r="R1004">
        <v>1.08E-6</v>
      </c>
    </row>
    <row r="1005" spans="1:18" ht="13.8" outlineLevel="1" x14ac:dyDescent="0.25">
      <c r="A1005">
        <v>103198</v>
      </c>
      <c r="B1005" t="s">
        <v>1140</v>
      </c>
      <c r="C1005" t="s">
        <v>1205</v>
      </c>
      <c r="D1005" s="14" t="s">
        <v>1204</v>
      </c>
      <c r="E1005" s="12" t="s">
        <v>28</v>
      </c>
      <c r="F1005" s="17" t="s">
        <v>549</v>
      </c>
      <c r="G1005">
        <v>100</v>
      </c>
      <c r="H1005" t="s">
        <v>30</v>
      </c>
      <c r="I1005">
        <v>100</v>
      </c>
      <c r="J1005" s="15"/>
      <c r="K1005" s="16">
        <f>0.88 - (0.88 * $E$1)</f>
        <v>0.88</v>
      </c>
      <c r="L1005" s="16">
        <f>0.72 - (0.72 * $E$1)</f>
        <v>0.72</v>
      </c>
      <c r="M1005" s="1">
        <v>0.88</v>
      </c>
      <c r="N1005" s="1">
        <v>0.72</v>
      </c>
      <c r="O1005" s="1">
        <v>0.75</v>
      </c>
      <c r="P1005" s="1">
        <v>0.61</v>
      </c>
      <c r="Q1005">
        <v>1.2E-4</v>
      </c>
      <c r="R1005">
        <v>1.08E-6</v>
      </c>
    </row>
    <row r="1006" spans="1:18" ht="13.8" outlineLevel="1" x14ac:dyDescent="0.25">
      <c r="A1006">
        <v>103199</v>
      </c>
      <c r="B1006" t="s">
        <v>1140</v>
      </c>
      <c r="C1006" t="s">
        <v>1206</v>
      </c>
      <c r="D1006" s="14" t="s">
        <v>1204</v>
      </c>
      <c r="E1006" s="12" t="s">
        <v>28</v>
      </c>
      <c r="F1006" s="17" t="s">
        <v>549</v>
      </c>
      <c r="G1006">
        <v>100</v>
      </c>
      <c r="H1006" t="s">
        <v>30</v>
      </c>
      <c r="I1006">
        <v>100</v>
      </c>
      <c r="J1006" s="15"/>
      <c r="K1006" s="16">
        <f>1 - (1 * $E$1)</f>
        <v>1</v>
      </c>
      <c r="L1006" s="16">
        <f>0.82 - (0.82 * $E$1)</f>
        <v>0.82</v>
      </c>
      <c r="M1006" s="1">
        <v>1</v>
      </c>
      <c r="N1006" s="1">
        <v>0.82</v>
      </c>
      <c r="O1006" s="1">
        <v>0.85</v>
      </c>
      <c r="P1006" s="1">
        <v>0.7</v>
      </c>
      <c r="Q1006">
        <v>1.3999999999999999E-4</v>
      </c>
      <c r="R1006">
        <v>1.04E-6</v>
      </c>
    </row>
    <row r="1007" spans="1:18" ht="13.8" outlineLevel="1" x14ac:dyDescent="0.25">
      <c r="A1007">
        <v>103200</v>
      </c>
      <c r="B1007" t="s">
        <v>1140</v>
      </c>
      <c r="C1007" t="s">
        <v>1207</v>
      </c>
      <c r="D1007" s="14" t="s">
        <v>1204</v>
      </c>
      <c r="E1007" s="12" t="s">
        <v>28</v>
      </c>
      <c r="F1007" s="17" t="s">
        <v>549</v>
      </c>
      <c r="G1007">
        <v>100</v>
      </c>
      <c r="H1007" t="s">
        <v>30</v>
      </c>
      <c r="I1007">
        <v>100</v>
      </c>
      <c r="J1007" s="15"/>
      <c r="K1007" s="16">
        <f>1.05 - (1.05 * $E$1)</f>
        <v>1.05</v>
      </c>
      <c r="L1007" s="16">
        <f>0.86 - (0.86 * $E$1)</f>
        <v>0.86</v>
      </c>
      <c r="M1007" s="1">
        <v>1.05</v>
      </c>
      <c r="N1007" s="1">
        <v>0.86</v>
      </c>
      <c r="O1007" s="1">
        <v>0.89</v>
      </c>
      <c r="P1007" s="1">
        <v>0.73</v>
      </c>
      <c r="Q1007">
        <v>1.3999999999999999E-4</v>
      </c>
      <c r="R1007">
        <v>1.04E-6</v>
      </c>
    </row>
    <row r="1008" spans="1:18" ht="13.8" outlineLevel="1" x14ac:dyDescent="0.25">
      <c r="A1008">
        <v>103201</v>
      </c>
      <c r="B1008" t="s">
        <v>1140</v>
      </c>
      <c r="C1008" t="s">
        <v>1208</v>
      </c>
      <c r="D1008" s="14" t="s">
        <v>1204</v>
      </c>
      <c r="E1008" s="12" t="s">
        <v>28</v>
      </c>
      <c r="F1008" s="17" t="s">
        <v>549</v>
      </c>
      <c r="G1008">
        <v>100</v>
      </c>
      <c r="H1008" t="s">
        <v>30</v>
      </c>
      <c r="I1008">
        <v>100</v>
      </c>
      <c r="J1008" s="15"/>
      <c r="K1008" s="16">
        <f>1.34 - (1.34 * $E$1)</f>
        <v>1.34</v>
      </c>
      <c r="L1008" s="16">
        <f>1.1 - (1.1 * $E$1)</f>
        <v>1.1000000000000001</v>
      </c>
      <c r="M1008" s="1">
        <v>1.34</v>
      </c>
      <c r="N1008" s="1">
        <v>1.1000000000000001</v>
      </c>
      <c r="O1008" s="1">
        <v>1.1399999999999999</v>
      </c>
      <c r="P1008" s="1">
        <v>0.94</v>
      </c>
      <c r="Q1008">
        <v>1.8000000000000001E-4</v>
      </c>
      <c r="R1008">
        <v>1.08E-6</v>
      </c>
    </row>
    <row r="1009" spans="1:18" ht="13.8" outlineLevel="1" x14ac:dyDescent="0.25">
      <c r="A1009">
        <v>103202</v>
      </c>
      <c r="B1009" t="s">
        <v>1140</v>
      </c>
      <c r="C1009" t="s">
        <v>1209</v>
      </c>
      <c r="D1009" s="14" t="s">
        <v>1204</v>
      </c>
      <c r="E1009" s="12" t="s">
        <v>28</v>
      </c>
      <c r="F1009" s="17" t="s">
        <v>549</v>
      </c>
      <c r="G1009">
        <v>100</v>
      </c>
      <c r="H1009" t="s">
        <v>30</v>
      </c>
      <c r="I1009">
        <v>100</v>
      </c>
      <c r="J1009" s="15"/>
      <c r="K1009" s="16">
        <f>1.38 - (1.38 * $E$1)</f>
        <v>1.38</v>
      </c>
      <c r="L1009" s="16">
        <f>1.13 - (1.13 * $E$1)</f>
        <v>1.1299999999999999</v>
      </c>
      <c r="M1009" s="1">
        <v>1.38</v>
      </c>
      <c r="N1009" s="1">
        <v>1.1299999999999999</v>
      </c>
      <c r="O1009" s="1">
        <v>1.17</v>
      </c>
      <c r="P1009" s="1">
        <v>0.96</v>
      </c>
      <c r="Q1009">
        <v>1.8000000000000001E-4</v>
      </c>
      <c r="R1009">
        <v>1.08E-6</v>
      </c>
    </row>
    <row r="1010" spans="1:18" ht="13.8" outlineLevel="1" x14ac:dyDescent="0.25">
      <c r="A1010">
        <v>103203</v>
      </c>
      <c r="B1010" t="s">
        <v>1140</v>
      </c>
      <c r="C1010" t="s">
        <v>1210</v>
      </c>
      <c r="D1010" s="14" t="s">
        <v>1204</v>
      </c>
      <c r="E1010" s="12" t="s">
        <v>28</v>
      </c>
      <c r="F1010" s="17" t="s">
        <v>549</v>
      </c>
      <c r="G1010">
        <v>100</v>
      </c>
      <c r="H1010" t="s">
        <v>30</v>
      </c>
      <c r="I1010">
        <v>100</v>
      </c>
      <c r="J1010" s="15"/>
      <c r="K1010" s="16">
        <f>1.7 - (1.7 * $E$1)</f>
        <v>1.7</v>
      </c>
      <c r="L1010" s="16">
        <f>1.39 - (1.39 * $E$1)</f>
        <v>1.39</v>
      </c>
      <c r="M1010" s="1">
        <v>1.7</v>
      </c>
      <c r="N1010" s="1">
        <v>1.39</v>
      </c>
      <c r="O1010" s="1">
        <v>1.44</v>
      </c>
      <c r="P1010" s="1">
        <v>1.18</v>
      </c>
      <c r="Q1010">
        <v>2.4000000000000001E-4</v>
      </c>
      <c r="R1010">
        <v>1.3999999999999999E-6</v>
      </c>
    </row>
    <row r="1011" spans="1:18" ht="13.8" outlineLevel="1" x14ac:dyDescent="0.25">
      <c r="A1011">
        <v>103204</v>
      </c>
      <c r="B1011" t="s">
        <v>1140</v>
      </c>
      <c r="C1011" t="s">
        <v>1211</v>
      </c>
      <c r="D1011" s="14" t="s">
        <v>1204</v>
      </c>
      <c r="E1011" s="12" t="s">
        <v>28</v>
      </c>
      <c r="F1011" s="17" t="s">
        <v>549</v>
      </c>
      <c r="G1011">
        <v>100</v>
      </c>
      <c r="H1011" t="s">
        <v>30</v>
      </c>
      <c r="I1011">
        <v>100</v>
      </c>
      <c r="J1011" s="15"/>
      <c r="K1011" s="16">
        <f>2.07 - (2.07 * $E$1)</f>
        <v>2.0699999999999998</v>
      </c>
      <c r="L1011" s="16">
        <f>1.7 - (1.7 * $E$1)</f>
        <v>1.7</v>
      </c>
      <c r="M1011" s="1">
        <v>2.0699999999999998</v>
      </c>
      <c r="N1011" s="1">
        <v>1.7</v>
      </c>
      <c r="O1011" s="1">
        <v>1.76</v>
      </c>
      <c r="P1011" s="1">
        <v>1.45</v>
      </c>
      <c r="Q1011">
        <v>2.7999999999999998E-4</v>
      </c>
      <c r="R1011">
        <v>1.3999999999999999E-6</v>
      </c>
    </row>
    <row r="1012" spans="1:18" ht="13.8" outlineLevel="1" x14ac:dyDescent="0.25">
      <c r="A1012">
        <v>103205</v>
      </c>
      <c r="B1012" t="s">
        <v>1140</v>
      </c>
      <c r="C1012" t="s">
        <v>1212</v>
      </c>
      <c r="D1012" s="14" t="s">
        <v>1204</v>
      </c>
      <c r="E1012" s="12" t="s">
        <v>28</v>
      </c>
      <c r="F1012" s="17" t="s">
        <v>549</v>
      </c>
      <c r="G1012">
        <v>100</v>
      </c>
      <c r="H1012" t="s">
        <v>30</v>
      </c>
      <c r="I1012">
        <v>100</v>
      </c>
      <c r="J1012" s="15"/>
      <c r="K1012" s="16">
        <f>2.46 - (2.46 * $E$1)</f>
        <v>2.46</v>
      </c>
      <c r="L1012" s="16">
        <f>2.02 - (2.02 * $E$1)</f>
        <v>2.02</v>
      </c>
      <c r="M1012" s="1">
        <v>2.46</v>
      </c>
      <c r="N1012" s="1">
        <v>2.02</v>
      </c>
      <c r="O1012" s="1">
        <v>2.09</v>
      </c>
      <c r="P1012" s="1">
        <v>1.72</v>
      </c>
      <c r="Q1012">
        <v>3.2000000000000003E-4</v>
      </c>
      <c r="R1012">
        <v>2.0999999999999998E-6</v>
      </c>
    </row>
    <row r="1013" spans="1:18" ht="13.8" outlineLevel="1" x14ac:dyDescent="0.25">
      <c r="A1013">
        <v>103206</v>
      </c>
      <c r="B1013" t="s">
        <v>1140</v>
      </c>
      <c r="C1013" t="s">
        <v>1213</v>
      </c>
      <c r="D1013" s="14" t="s">
        <v>1204</v>
      </c>
      <c r="E1013" s="12" t="s">
        <v>28</v>
      </c>
      <c r="F1013" s="17" t="s">
        <v>549</v>
      </c>
      <c r="G1013">
        <v>100</v>
      </c>
      <c r="H1013" t="s">
        <v>30</v>
      </c>
      <c r="I1013">
        <v>100</v>
      </c>
      <c r="J1013" s="15"/>
      <c r="K1013" s="16">
        <f>3.12 - (3.12 * $E$1)</f>
        <v>3.12</v>
      </c>
      <c r="L1013" s="16">
        <f>2.56 - (2.56 * $E$1)</f>
        <v>2.56</v>
      </c>
      <c r="M1013" s="1">
        <v>3.12</v>
      </c>
      <c r="N1013" s="1">
        <v>2.56</v>
      </c>
      <c r="O1013" s="1">
        <v>2.65</v>
      </c>
      <c r="P1013" s="1">
        <v>2.1800000000000002</v>
      </c>
      <c r="Q1013">
        <v>4.4000000000000002E-4</v>
      </c>
      <c r="R1013">
        <v>3.7799999999999998E-6</v>
      </c>
    </row>
    <row r="1014" spans="1:18" ht="13.8" outlineLevel="1" x14ac:dyDescent="0.25">
      <c r="A1014">
        <v>103207</v>
      </c>
      <c r="B1014" t="s">
        <v>1140</v>
      </c>
      <c r="C1014" t="s">
        <v>1214</v>
      </c>
      <c r="D1014" s="14" t="s">
        <v>1204</v>
      </c>
      <c r="E1014" s="12" t="s">
        <v>28</v>
      </c>
      <c r="F1014" s="17" t="s">
        <v>549</v>
      </c>
      <c r="G1014">
        <v>100</v>
      </c>
      <c r="H1014" t="s">
        <v>30</v>
      </c>
      <c r="I1014">
        <v>100</v>
      </c>
      <c r="J1014" s="15"/>
      <c r="K1014" s="16">
        <f>3.89 - (3.89 * $E$1)</f>
        <v>3.89</v>
      </c>
      <c r="L1014" s="16">
        <f>3.19 - (3.19 * $E$1)</f>
        <v>3.19</v>
      </c>
      <c r="M1014" s="1">
        <v>3.89</v>
      </c>
      <c r="N1014" s="1">
        <v>3.19</v>
      </c>
      <c r="O1014" s="1">
        <v>3.31</v>
      </c>
      <c r="P1014" s="1">
        <v>2.71</v>
      </c>
      <c r="Q1014">
        <v>5.8E-4</v>
      </c>
      <c r="R1014">
        <v>4.8300000000000003E-6</v>
      </c>
    </row>
    <row r="1015" spans="1:18" ht="13.8" outlineLevel="1" x14ac:dyDescent="0.25">
      <c r="A1015">
        <v>103208</v>
      </c>
      <c r="B1015" t="s">
        <v>1140</v>
      </c>
      <c r="C1015" t="s">
        <v>1215</v>
      </c>
      <c r="D1015" s="14" t="s">
        <v>1204</v>
      </c>
      <c r="E1015" s="12" t="s">
        <v>28</v>
      </c>
      <c r="F1015" s="17" t="s">
        <v>549</v>
      </c>
      <c r="G1015">
        <v>100</v>
      </c>
      <c r="H1015" t="s">
        <v>30</v>
      </c>
      <c r="I1015">
        <v>100</v>
      </c>
      <c r="J1015" s="15"/>
      <c r="K1015" s="16">
        <f>4.83 - (4.83 * $E$1)</f>
        <v>4.83</v>
      </c>
      <c r="L1015" s="16">
        <f>3.96 - (3.96 * $E$1)</f>
        <v>3.96</v>
      </c>
      <c r="M1015" s="1">
        <v>4.83</v>
      </c>
      <c r="N1015" s="1">
        <v>3.96</v>
      </c>
      <c r="O1015" s="1">
        <v>4.1100000000000003</v>
      </c>
      <c r="P1015" s="1">
        <v>3.37</v>
      </c>
      <c r="Q1015">
        <v>7.6000000000000004E-4</v>
      </c>
      <c r="R1015">
        <v>5.8900000000000004E-6</v>
      </c>
    </row>
    <row r="1016" spans="1:18" ht="13.8" outlineLevel="1" x14ac:dyDescent="0.25">
      <c r="A1016">
        <v>103209</v>
      </c>
      <c r="B1016" t="s">
        <v>1140</v>
      </c>
      <c r="C1016" t="s">
        <v>1216</v>
      </c>
      <c r="D1016" s="14" t="s">
        <v>1204</v>
      </c>
      <c r="E1016" s="12" t="s">
        <v>28</v>
      </c>
      <c r="F1016" s="17" t="s">
        <v>549</v>
      </c>
      <c r="G1016">
        <v>100</v>
      </c>
      <c r="H1016" t="s">
        <v>30</v>
      </c>
      <c r="I1016">
        <v>100</v>
      </c>
      <c r="J1016" s="15"/>
      <c r="K1016" s="16">
        <f>8.26 - (8.26 * $E$1)</f>
        <v>8.26</v>
      </c>
      <c r="L1016" s="16">
        <f>6.77 - (6.77 * $E$1)</f>
        <v>6.77</v>
      </c>
      <c r="M1016" s="1">
        <v>8.26</v>
      </c>
      <c r="N1016" s="1">
        <v>6.77</v>
      </c>
      <c r="O1016" s="1">
        <v>7.02</v>
      </c>
      <c r="P1016" s="1">
        <v>5.75</v>
      </c>
      <c r="Q1016">
        <v>1.1999999999999999E-3</v>
      </c>
      <c r="R1016">
        <v>1.1090000000000001E-5</v>
      </c>
    </row>
    <row r="1017" spans="1:18" ht="13.8" outlineLevel="1" x14ac:dyDescent="0.25">
      <c r="A1017">
        <v>108965</v>
      </c>
      <c r="B1017" t="s">
        <v>1140</v>
      </c>
      <c r="C1017" t="s">
        <v>1217</v>
      </c>
      <c r="D1017" s="14" t="s">
        <v>1204</v>
      </c>
      <c r="E1017" s="12" t="s">
        <v>28</v>
      </c>
      <c r="F1017" s="13" t="s">
        <v>29</v>
      </c>
      <c r="G1017">
        <v>1</v>
      </c>
      <c r="H1017" t="s">
        <v>420</v>
      </c>
      <c r="I1017">
        <v>1</v>
      </c>
      <c r="J1017" s="15"/>
      <c r="K1017" s="16">
        <f>88 - (88 * $E$1)</f>
        <v>88</v>
      </c>
      <c r="L1017" s="16">
        <f>72.13 - (72.13 * $E$1)</f>
        <v>72.13</v>
      </c>
      <c r="M1017" s="1">
        <v>88</v>
      </c>
      <c r="N1017" s="1">
        <v>72.13</v>
      </c>
      <c r="O1017" s="1">
        <v>74.8</v>
      </c>
      <c r="P1017" s="1">
        <v>61.31</v>
      </c>
      <c r="Q1017">
        <v>0.01</v>
      </c>
      <c r="R1017">
        <v>1.08E-4</v>
      </c>
    </row>
    <row r="1018" spans="1:18" ht="13.8" outlineLevel="1" x14ac:dyDescent="0.25">
      <c r="A1018">
        <v>108966</v>
      </c>
      <c r="B1018" t="s">
        <v>1140</v>
      </c>
      <c r="C1018" t="s">
        <v>1218</v>
      </c>
      <c r="D1018" s="14" t="s">
        <v>1204</v>
      </c>
      <c r="E1018" s="12" t="s">
        <v>28</v>
      </c>
      <c r="F1018" s="13" t="s">
        <v>29</v>
      </c>
      <c r="G1018">
        <v>1</v>
      </c>
      <c r="H1018" t="s">
        <v>420</v>
      </c>
      <c r="I1018">
        <v>1</v>
      </c>
      <c r="J1018" s="15"/>
      <c r="K1018" s="16">
        <f>88 - (88 * $E$1)</f>
        <v>88</v>
      </c>
      <c r="L1018" s="16">
        <f>72.13 - (72.13 * $E$1)</f>
        <v>72.13</v>
      </c>
      <c r="M1018" s="1">
        <v>88</v>
      </c>
      <c r="N1018" s="1">
        <v>72.13</v>
      </c>
      <c r="O1018" s="1">
        <v>74.8</v>
      </c>
      <c r="P1018" s="1">
        <v>61.31</v>
      </c>
      <c r="Q1018">
        <v>1.2E-2</v>
      </c>
      <c r="R1018">
        <v>1.08E-4</v>
      </c>
    </row>
    <row r="1019" spans="1:18" ht="13.8" outlineLevel="1" x14ac:dyDescent="0.25">
      <c r="A1019">
        <v>108967</v>
      </c>
      <c r="B1019" t="s">
        <v>1140</v>
      </c>
      <c r="C1019" t="s">
        <v>1219</v>
      </c>
      <c r="D1019" s="14" t="s">
        <v>1204</v>
      </c>
      <c r="E1019" s="12" t="s">
        <v>28</v>
      </c>
      <c r="F1019" s="13" t="s">
        <v>29</v>
      </c>
      <c r="G1019">
        <v>1</v>
      </c>
      <c r="H1019" t="s">
        <v>420</v>
      </c>
      <c r="I1019">
        <v>1</v>
      </c>
      <c r="J1019" s="15"/>
      <c r="K1019" s="16">
        <f>100 - (100 * $E$1)</f>
        <v>100</v>
      </c>
      <c r="L1019" s="16">
        <f>81.97 - (81.97 * $E$1)</f>
        <v>81.97</v>
      </c>
      <c r="M1019" s="1">
        <v>100</v>
      </c>
      <c r="N1019" s="1">
        <v>81.97</v>
      </c>
      <c r="O1019" s="1">
        <v>85</v>
      </c>
      <c r="P1019" s="1">
        <v>69.67</v>
      </c>
      <c r="Q1019">
        <v>1.4E-2</v>
      </c>
      <c r="R1019">
        <v>1.0399999999999999E-4</v>
      </c>
    </row>
    <row r="1020" spans="1:18" ht="13.8" outlineLevel="1" x14ac:dyDescent="0.25">
      <c r="A1020">
        <v>108968</v>
      </c>
      <c r="B1020" t="s">
        <v>1140</v>
      </c>
      <c r="C1020" t="s">
        <v>1220</v>
      </c>
      <c r="D1020" s="14" t="s">
        <v>1204</v>
      </c>
      <c r="E1020" s="12" t="s">
        <v>28</v>
      </c>
      <c r="F1020" s="13" t="s">
        <v>29</v>
      </c>
      <c r="G1020">
        <v>1</v>
      </c>
      <c r="H1020" t="s">
        <v>420</v>
      </c>
      <c r="I1020">
        <v>1</v>
      </c>
      <c r="J1020" s="15"/>
      <c r="K1020" s="16">
        <f>105.01 - (105.01 * $E$1)</f>
        <v>105.01</v>
      </c>
      <c r="L1020" s="16">
        <f>86.07 - (86.07 * $E$1)</f>
        <v>86.07</v>
      </c>
      <c r="M1020" s="1">
        <v>105.01</v>
      </c>
      <c r="N1020" s="1">
        <v>86.07</v>
      </c>
      <c r="O1020" s="1">
        <v>89.25</v>
      </c>
      <c r="P1020" s="1">
        <v>73.16</v>
      </c>
      <c r="Q1020">
        <v>1.4E-2</v>
      </c>
      <c r="R1020">
        <v>1.0399999999999999E-4</v>
      </c>
    </row>
    <row r="1021" spans="1:18" ht="13.8" outlineLevel="1" x14ac:dyDescent="0.25">
      <c r="A1021">
        <v>108969</v>
      </c>
      <c r="B1021" t="s">
        <v>1140</v>
      </c>
      <c r="C1021" t="s">
        <v>1221</v>
      </c>
      <c r="D1021" s="14" t="s">
        <v>1204</v>
      </c>
      <c r="E1021" s="12" t="s">
        <v>28</v>
      </c>
      <c r="F1021" s="13" t="s">
        <v>29</v>
      </c>
      <c r="G1021">
        <v>1</v>
      </c>
      <c r="H1021" t="s">
        <v>420</v>
      </c>
      <c r="I1021">
        <v>1</v>
      </c>
      <c r="J1021" s="15"/>
      <c r="K1021" s="16">
        <f>134 - (134 * $E$1)</f>
        <v>134</v>
      </c>
      <c r="L1021" s="16">
        <f>109.84 - (109.84 * $E$1)</f>
        <v>109.84</v>
      </c>
      <c r="M1021" s="1">
        <v>134</v>
      </c>
      <c r="N1021" s="1">
        <v>109.84</v>
      </c>
      <c r="O1021" s="1">
        <v>113.9</v>
      </c>
      <c r="P1021" s="1">
        <v>93.36</v>
      </c>
      <c r="Q1021">
        <v>1.7999999999999999E-2</v>
      </c>
      <c r="R1021">
        <v>1.08E-4</v>
      </c>
    </row>
    <row r="1022" spans="1:18" ht="13.8" outlineLevel="1" x14ac:dyDescent="0.25">
      <c r="A1022">
        <v>108970</v>
      </c>
      <c r="B1022" t="s">
        <v>1140</v>
      </c>
      <c r="C1022" t="s">
        <v>1222</v>
      </c>
      <c r="D1022" s="14" t="s">
        <v>1204</v>
      </c>
      <c r="E1022" s="12" t="s">
        <v>28</v>
      </c>
      <c r="F1022" s="13" t="s">
        <v>29</v>
      </c>
      <c r="G1022">
        <v>1</v>
      </c>
      <c r="H1022" t="s">
        <v>420</v>
      </c>
      <c r="I1022">
        <v>1</v>
      </c>
      <c r="J1022" s="15"/>
      <c r="K1022" s="16">
        <f>137.99 - (137.99 * $E$1)</f>
        <v>137.99</v>
      </c>
      <c r="L1022" s="16">
        <f>113.11 - (113.11 * $E$1)</f>
        <v>113.11</v>
      </c>
      <c r="M1022" s="1">
        <v>137.99</v>
      </c>
      <c r="N1022" s="1">
        <v>113.11</v>
      </c>
      <c r="O1022" s="1">
        <v>117.3</v>
      </c>
      <c r="P1022" s="1">
        <v>96.14</v>
      </c>
      <c r="Q1022">
        <v>1.7999999999999999E-2</v>
      </c>
      <c r="R1022">
        <v>1.08E-4</v>
      </c>
    </row>
    <row r="1023" spans="1:18" ht="13.8" outlineLevel="1" x14ac:dyDescent="0.25">
      <c r="A1023">
        <v>108971</v>
      </c>
      <c r="B1023" t="s">
        <v>1140</v>
      </c>
      <c r="C1023" t="s">
        <v>1223</v>
      </c>
      <c r="D1023" s="14" t="s">
        <v>1204</v>
      </c>
      <c r="E1023" s="12" t="s">
        <v>28</v>
      </c>
      <c r="F1023" s="13" t="s">
        <v>29</v>
      </c>
      <c r="G1023">
        <v>1</v>
      </c>
      <c r="H1023" t="s">
        <v>420</v>
      </c>
      <c r="I1023">
        <v>1</v>
      </c>
      <c r="J1023" s="15"/>
      <c r="K1023" s="16">
        <f>168.99 - (168.99 * $E$1)</f>
        <v>168.99</v>
      </c>
      <c r="L1023" s="16">
        <f>138.52 - (138.52 * $E$1)</f>
        <v>138.52000000000001</v>
      </c>
      <c r="M1023" s="1">
        <v>168.99</v>
      </c>
      <c r="N1023" s="1">
        <v>138.52000000000001</v>
      </c>
      <c r="O1023" s="1">
        <v>143.65</v>
      </c>
      <c r="P1023" s="1">
        <v>117.74</v>
      </c>
      <c r="Q1023">
        <v>2.4E-2</v>
      </c>
      <c r="R1023">
        <v>1.3999999999999999E-4</v>
      </c>
    </row>
    <row r="1024" spans="1:18" ht="13.8" outlineLevel="1" x14ac:dyDescent="0.25">
      <c r="A1024">
        <v>108972</v>
      </c>
      <c r="B1024" t="s">
        <v>1140</v>
      </c>
      <c r="C1024" t="s">
        <v>1224</v>
      </c>
      <c r="D1024" s="14" t="s">
        <v>1204</v>
      </c>
      <c r="E1024" s="12" t="s">
        <v>28</v>
      </c>
      <c r="F1024" s="13" t="s">
        <v>29</v>
      </c>
      <c r="G1024">
        <v>1</v>
      </c>
      <c r="H1024" t="s">
        <v>420</v>
      </c>
      <c r="I1024">
        <v>1</v>
      </c>
      <c r="J1024" s="15"/>
      <c r="K1024" s="16">
        <f>207 - (207 * $E$1)</f>
        <v>207</v>
      </c>
      <c r="L1024" s="16">
        <f>169.67 - (169.67 * $E$1)</f>
        <v>169.67</v>
      </c>
      <c r="M1024" s="1">
        <v>207</v>
      </c>
      <c r="N1024" s="1">
        <v>169.67</v>
      </c>
      <c r="O1024" s="1">
        <v>175.95</v>
      </c>
      <c r="P1024" s="1">
        <v>144.22</v>
      </c>
      <c r="Q1024">
        <v>2.8000000000000001E-2</v>
      </c>
      <c r="R1024">
        <v>1.3999999999999999E-4</v>
      </c>
    </row>
    <row r="1025" spans="1:18" ht="13.8" outlineLevel="1" x14ac:dyDescent="0.25">
      <c r="A1025">
        <v>108973</v>
      </c>
      <c r="B1025" t="s">
        <v>1140</v>
      </c>
      <c r="C1025" t="s">
        <v>1225</v>
      </c>
      <c r="D1025" s="14" t="s">
        <v>1204</v>
      </c>
      <c r="E1025" s="12" t="s">
        <v>28</v>
      </c>
      <c r="F1025" s="13" t="s">
        <v>29</v>
      </c>
      <c r="G1025">
        <v>1</v>
      </c>
      <c r="H1025" t="s">
        <v>420</v>
      </c>
      <c r="I1025">
        <v>1</v>
      </c>
      <c r="J1025" s="15"/>
      <c r="K1025" s="16">
        <f>246 - (246 * $E$1)</f>
        <v>246</v>
      </c>
      <c r="L1025" s="16">
        <f>201.64 - (201.64 * $E$1)</f>
        <v>201.64</v>
      </c>
      <c r="M1025" s="1">
        <v>246</v>
      </c>
      <c r="N1025" s="1">
        <v>201.64</v>
      </c>
      <c r="O1025" s="1">
        <v>209.1</v>
      </c>
      <c r="P1025" s="1">
        <v>171.39</v>
      </c>
      <c r="Q1025">
        <v>3.2000000000000001E-2</v>
      </c>
      <c r="R1025">
        <v>2.1000000000000001E-4</v>
      </c>
    </row>
    <row r="1026" spans="1:18" ht="13.8" outlineLevel="1" x14ac:dyDescent="0.25">
      <c r="A1026">
        <v>108974</v>
      </c>
      <c r="B1026" t="s">
        <v>1140</v>
      </c>
      <c r="C1026" t="s">
        <v>1226</v>
      </c>
      <c r="D1026" s="14" t="s">
        <v>1204</v>
      </c>
      <c r="E1026" s="12" t="s">
        <v>28</v>
      </c>
      <c r="F1026" s="13" t="s">
        <v>29</v>
      </c>
      <c r="G1026">
        <v>1</v>
      </c>
      <c r="H1026" t="s">
        <v>420</v>
      </c>
      <c r="I1026">
        <v>1</v>
      </c>
      <c r="J1026" s="15"/>
      <c r="K1026" s="16">
        <f>312 - (312 * $E$1)</f>
        <v>312</v>
      </c>
      <c r="L1026" s="16">
        <f>255.74 - (255.74 * $E$1)</f>
        <v>255.74</v>
      </c>
      <c r="M1026" s="1">
        <v>312</v>
      </c>
      <c r="N1026" s="1">
        <v>255.74</v>
      </c>
      <c r="O1026" s="1">
        <v>265.2</v>
      </c>
      <c r="P1026" s="1">
        <v>217.38</v>
      </c>
      <c r="Q1026">
        <v>4.3999999999999997E-2</v>
      </c>
      <c r="R1026">
        <v>3.7800000000000003E-4</v>
      </c>
    </row>
    <row r="1027" spans="1:18" ht="13.8" outlineLevel="1" x14ac:dyDescent="0.25">
      <c r="A1027">
        <v>108975</v>
      </c>
      <c r="B1027" t="s">
        <v>1140</v>
      </c>
      <c r="C1027" t="s">
        <v>1227</v>
      </c>
      <c r="D1027" s="14" t="s">
        <v>1204</v>
      </c>
      <c r="E1027" s="12" t="s">
        <v>28</v>
      </c>
      <c r="F1027" s="13" t="s">
        <v>29</v>
      </c>
      <c r="G1027">
        <v>1</v>
      </c>
      <c r="H1027" t="s">
        <v>420</v>
      </c>
      <c r="I1027">
        <v>1</v>
      </c>
      <c r="J1027" s="15"/>
      <c r="K1027" s="16">
        <f>389 - (389 * $E$1)</f>
        <v>389</v>
      </c>
      <c r="L1027" s="16">
        <f>318.85 - (318.85 * $E$1)</f>
        <v>318.85000000000002</v>
      </c>
      <c r="M1027" s="1">
        <v>389</v>
      </c>
      <c r="N1027" s="1">
        <v>318.85000000000002</v>
      </c>
      <c r="O1027" s="1">
        <v>330.65</v>
      </c>
      <c r="P1027" s="1">
        <v>271.02</v>
      </c>
      <c r="Q1027">
        <v>5.8000000000000003E-2</v>
      </c>
      <c r="R1027">
        <v>4.8299999999999998E-4</v>
      </c>
    </row>
    <row r="1028" spans="1:18" ht="13.8" outlineLevel="1" x14ac:dyDescent="0.25">
      <c r="A1028">
        <v>108976</v>
      </c>
      <c r="B1028" t="s">
        <v>1140</v>
      </c>
      <c r="C1028" t="s">
        <v>1228</v>
      </c>
      <c r="D1028" s="14" t="s">
        <v>1204</v>
      </c>
      <c r="E1028" s="12" t="s">
        <v>28</v>
      </c>
      <c r="F1028" s="13" t="s">
        <v>29</v>
      </c>
      <c r="G1028">
        <v>1</v>
      </c>
      <c r="H1028" t="s">
        <v>420</v>
      </c>
      <c r="I1028">
        <v>1</v>
      </c>
      <c r="J1028" s="15"/>
      <c r="K1028" s="16">
        <f>483 - (483 * $E$1)</f>
        <v>483</v>
      </c>
      <c r="L1028" s="16">
        <f>395.9 - (395.9 * $E$1)</f>
        <v>395.9</v>
      </c>
      <c r="M1028" s="1">
        <v>483</v>
      </c>
      <c r="N1028" s="1">
        <v>395.9</v>
      </c>
      <c r="O1028" s="1">
        <v>410.55</v>
      </c>
      <c r="P1028" s="1">
        <v>336.52</v>
      </c>
      <c r="Q1028">
        <v>7.5999999999999998E-2</v>
      </c>
      <c r="R1028">
        <v>5.8900000000000001E-4</v>
      </c>
    </row>
    <row r="1029" spans="1:18" ht="13.8" outlineLevel="1" x14ac:dyDescent="0.25">
      <c r="A1029">
        <v>108977</v>
      </c>
      <c r="B1029" t="s">
        <v>1140</v>
      </c>
      <c r="C1029" t="s">
        <v>1229</v>
      </c>
      <c r="D1029" s="14" t="s">
        <v>1204</v>
      </c>
      <c r="E1029" s="12" t="s">
        <v>28</v>
      </c>
      <c r="F1029" s="13" t="s">
        <v>29</v>
      </c>
      <c r="G1029">
        <v>1</v>
      </c>
      <c r="H1029" t="s">
        <v>420</v>
      </c>
      <c r="I1029">
        <v>1</v>
      </c>
      <c r="J1029" s="15"/>
      <c r="K1029" s="16">
        <f>826 - (826 * $E$1)</f>
        <v>826</v>
      </c>
      <c r="L1029" s="16">
        <f>677.05 - (677.05 * $E$1)</f>
        <v>677.05</v>
      </c>
      <c r="M1029" s="1">
        <v>826</v>
      </c>
      <c r="N1029" s="1">
        <v>677.05</v>
      </c>
      <c r="O1029" s="1">
        <v>702.1</v>
      </c>
      <c r="P1029" s="1">
        <v>575.49</v>
      </c>
      <c r="Q1029">
        <v>0.12</v>
      </c>
      <c r="R1029">
        <v>1.109E-3</v>
      </c>
    </row>
    <row r="1030" spans="1:18" ht="13.8" outlineLevel="1" x14ac:dyDescent="0.25">
      <c r="A1030">
        <v>79461</v>
      </c>
      <c r="B1030" t="s">
        <v>1143</v>
      </c>
      <c r="C1030" t="s">
        <v>1230</v>
      </c>
      <c r="D1030" s="14" t="s">
        <v>1231</v>
      </c>
      <c r="E1030" s="12" t="s">
        <v>28</v>
      </c>
      <c r="F1030" s="17" t="s">
        <v>549</v>
      </c>
      <c r="G1030">
        <v>100</v>
      </c>
      <c r="H1030" t="s">
        <v>30</v>
      </c>
      <c r="I1030">
        <v>500</v>
      </c>
      <c r="J1030" s="15"/>
      <c r="K1030" s="16">
        <f>1.48 - (1.48 * $E$1)</f>
        <v>1.48</v>
      </c>
      <c r="L1030" s="16">
        <f>1.21 - (1.21 * $E$1)</f>
        <v>1.21</v>
      </c>
      <c r="M1030" s="1">
        <v>1.48</v>
      </c>
      <c r="N1030" s="1">
        <v>1.21</v>
      </c>
      <c r="O1030" s="1">
        <v>1.25</v>
      </c>
      <c r="P1030" s="1">
        <v>1.03</v>
      </c>
      <c r="Q1030">
        <v>1.2E-4</v>
      </c>
      <c r="R1030">
        <v>2.08E-6</v>
      </c>
    </row>
    <row r="1031" spans="1:18" ht="13.8" outlineLevel="1" x14ac:dyDescent="0.25">
      <c r="A1031">
        <v>79462</v>
      </c>
      <c r="B1031" t="s">
        <v>1143</v>
      </c>
      <c r="C1031" t="s">
        <v>1232</v>
      </c>
      <c r="D1031" s="14" t="s">
        <v>1231</v>
      </c>
      <c r="E1031" s="12" t="s">
        <v>28</v>
      </c>
      <c r="F1031" s="17" t="s">
        <v>549</v>
      </c>
      <c r="G1031">
        <v>100</v>
      </c>
      <c r="H1031" t="s">
        <v>30</v>
      </c>
      <c r="I1031">
        <v>500</v>
      </c>
      <c r="J1031" s="15"/>
      <c r="K1031" s="16">
        <f>1.59 - (1.59 * $E$1)</f>
        <v>1.59</v>
      </c>
      <c r="L1031" s="16">
        <f>1.3 - (1.3 * $E$1)</f>
        <v>1.3</v>
      </c>
      <c r="M1031" s="1">
        <v>1.59</v>
      </c>
      <c r="N1031" s="1">
        <v>1.3</v>
      </c>
      <c r="O1031" s="1">
        <v>1.35</v>
      </c>
      <c r="P1031" s="1">
        <v>1.1100000000000001</v>
      </c>
      <c r="Q1031">
        <v>1.3999999999999999E-4</v>
      </c>
      <c r="R1031">
        <v>2.08E-6</v>
      </c>
    </row>
    <row r="1032" spans="1:18" ht="13.8" outlineLevel="1" x14ac:dyDescent="0.25">
      <c r="A1032">
        <v>79463</v>
      </c>
      <c r="B1032" t="s">
        <v>1143</v>
      </c>
      <c r="C1032" t="s">
        <v>1233</v>
      </c>
      <c r="D1032" s="14" t="s">
        <v>1231</v>
      </c>
      <c r="E1032" s="12" t="s">
        <v>28</v>
      </c>
      <c r="F1032" s="17" t="s">
        <v>549</v>
      </c>
      <c r="G1032">
        <v>100</v>
      </c>
      <c r="H1032" t="s">
        <v>30</v>
      </c>
      <c r="I1032">
        <v>500</v>
      </c>
      <c r="J1032" s="15"/>
      <c r="K1032" s="16">
        <f>1.79 - (1.79 * $E$1)</f>
        <v>1.79</v>
      </c>
      <c r="L1032" s="16">
        <f>1.47 - (1.47 * $E$1)</f>
        <v>1.47</v>
      </c>
      <c r="M1032" s="1">
        <v>1.79</v>
      </c>
      <c r="N1032" s="1">
        <v>1.47</v>
      </c>
      <c r="O1032" s="1">
        <v>1.52</v>
      </c>
      <c r="P1032" s="1">
        <v>1.25</v>
      </c>
      <c r="Q1032">
        <v>2.0000000000000001E-4</v>
      </c>
      <c r="R1032">
        <v>6.9999999999999997E-7</v>
      </c>
    </row>
    <row r="1033" spans="1:18" ht="13.8" outlineLevel="1" x14ac:dyDescent="0.25">
      <c r="A1033">
        <v>79464</v>
      </c>
      <c r="B1033" t="s">
        <v>1143</v>
      </c>
      <c r="C1033" t="s">
        <v>1234</v>
      </c>
      <c r="D1033" s="14" t="s">
        <v>1231</v>
      </c>
      <c r="E1033" s="12" t="s">
        <v>28</v>
      </c>
      <c r="F1033" s="17" t="s">
        <v>549</v>
      </c>
      <c r="G1033">
        <v>100</v>
      </c>
      <c r="H1033" t="s">
        <v>30</v>
      </c>
      <c r="I1033">
        <v>500</v>
      </c>
      <c r="J1033" s="15"/>
      <c r="K1033" s="16">
        <f>1.79 - (1.79 * $E$1)</f>
        <v>1.79</v>
      </c>
      <c r="L1033" s="16">
        <f>1.47 - (1.47 * $E$1)</f>
        <v>1.47</v>
      </c>
      <c r="M1033" s="1">
        <v>1.79</v>
      </c>
      <c r="N1033" s="1">
        <v>1.47</v>
      </c>
      <c r="O1033" s="1">
        <v>1.52</v>
      </c>
      <c r="P1033" s="1">
        <v>1.25</v>
      </c>
      <c r="Q1033">
        <v>2.0000000000000001E-4</v>
      </c>
      <c r="R1033">
        <v>6.9999999999999997E-7</v>
      </c>
    </row>
    <row r="1034" spans="1:18" ht="13.8" outlineLevel="1" x14ac:dyDescent="0.25">
      <c r="A1034">
        <v>79465</v>
      </c>
      <c r="B1034" t="s">
        <v>1143</v>
      </c>
      <c r="C1034" t="s">
        <v>1235</v>
      </c>
      <c r="D1034" s="14" t="s">
        <v>1231</v>
      </c>
      <c r="E1034" s="12" t="s">
        <v>28</v>
      </c>
      <c r="F1034" s="17" t="s">
        <v>549</v>
      </c>
      <c r="G1034">
        <v>100</v>
      </c>
      <c r="H1034" t="s">
        <v>30</v>
      </c>
      <c r="I1034">
        <v>500</v>
      </c>
      <c r="J1034" s="15"/>
      <c r="K1034" s="16">
        <f>1.95 - (1.95 * $E$1)</f>
        <v>1.95</v>
      </c>
      <c r="L1034" s="16">
        <f>1.6 - (1.6 * $E$1)</f>
        <v>1.6</v>
      </c>
      <c r="M1034" s="1">
        <v>1.95</v>
      </c>
      <c r="N1034" s="1">
        <v>1.6</v>
      </c>
      <c r="O1034" s="1">
        <v>1.66</v>
      </c>
      <c r="P1034" s="1">
        <v>1.36</v>
      </c>
      <c r="Q1034">
        <v>1.6000000000000001E-4</v>
      </c>
      <c r="R1034">
        <v>2.08E-6</v>
      </c>
    </row>
    <row r="1035" spans="1:18" ht="13.8" outlineLevel="1" x14ac:dyDescent="0.25">
      <c r="A1035">
        <v>79466</v>
      </c>
      <c r="B1035" t="s">
        <v>1143</v>
      </c>
      <c r="C1035" t="s">
        <v>1236</v>
      </c>
      <c r="D1035" s="14" t="s">
        <v>1231</v>
      </c>
      <c r="E1035" s="12" t="s">
        <v>28</v>
      </c>
      <c r="F1035" s="17" t="s">
        <v>549</v>
      </c>
      <c r="G1035">
        <v>100</v>
      </c>
      <c r="H1035" t="s">
        <v>30</v>
      </c>
      <c r="I1035">
        <v>500</v>
      </c>
      <c r="J1035" s="15"/>
      <c r="K1035" s="16">
        <f>2.05 - (2.05 * $E$1)</f>
        <v>2.0499999999999998</v>
      </c>
      <c r="L1035" s="16">
        <f>1.68 - (1.68 * $E$1)</f>
        <v>1.68</v>
      </c>
      <c r="M1035" s="1">
        <v>2.0499999999999998</v>
      </c>
      <c r="N1035" s="1">
        <v>1.68</v>
      </c>
      <c r="O1035" s="1">
        <v>1.74</v>
      </c>
      <c r="P1035" s="1">
        <v>1.43</v>
      </c>
      <c r="Q1035">
        <v>2.5000000000000001E-4</v>
      </c>
      <c r="R1035">
        <v>6.9999999999999997E-7</v>
      </c>
    </row>
    <row r="1036" spans="1:18" ht="13.8" outlineLevel="1" x14ac:dyDescent="0.25">
      <c r="A1036">
        <v>79467</v>
      </c>
      <c r="B1036" t="s">
        <v>1143</v>
      </c>
      <c r="C1036" t="s">
        <v>1237</v>
      </c>
      <c r="D1036" s="14" t="s">
        <v>1231</v>
      </c>
      <c r="E1036" s="12" t="s">
        <v>28</v>
      </c>
      <c r="F1036" s="17" t="s">
        <v>549</v>
      </c>
      <c r="G1036">
        <v>100</v>
      </c>
      <c r="H1036" t="s">
        <v>30</v>
      </c>
      <c r="I1036">
        <v>500</v>
      </c>
      <c r="J1036" s="15"/>
      <c r="K1036" s="16">
        <f>2.38 - (2.38 * $E$1)</f>
        <v>2.38</v>
      </c>
      <c r="L1036" s="16">
        <f>1.95 - (1.95 * $E$1)</f>
        <v>1.95</v>
      </c>
      <c r="M1036" s="1">
        <v>2.38</v>
      </c>
      <c r="N1036" s="1">
        <v>1.95</v>
      </c>
      <c r="O1036" s="1">
        <v>2.02</v>
      </c>
      <c r="P1036" s="1">
        <v>1.66</v>
      </c>
      <c r="Q1036">
        <v>1.8000000000000001E-4</v>
      </c>
      <c r="R1036">
        <v>2.7999999999999999E-6</v>
      </c>
    </row>
    <row r="1037" spans="1:18" ht="13.8" outlineLevel="1" x14ac:dyDescent="0.25">
      <c r="A1037">
        <v>79468</v>
      </c>
      <c r="B1037" t="s">
        <v>1143</v>
      </c>
      <c r="C1037" t="s">
        <v>1238</v>
      </c>
      <c r="D1037" s="14" t="s">
        <v>1231</v>
      </c>
      <c r="E1037" s="12" t="s">
        <v>28</v>
      </c>
      <c r="F1037" s="17" t="s">
        <v>549</v>
      </c>
      <c r="G1037">
        <v>100</v>
      </c>
      <c r="H1037" t="s">
        <v>30</v>
      </c>
      <c r="I1037">
        <v>100</v>
      </c>
      <c r="J1037" s="15"/>
      <c r="K1037" s="16">
        <f>2.94 - (2.94 * $E$1)</f>
        <v>2.94</v>
      </c>
      <c r="L1037" s="16">
        <f>2.41 - (2.41 * $E$1)</f>
        <v>2.41</v>
      </c>
      <c r="M1037" s="1">
        <v>2.94</v>
      </c>
      <c r="N1037" s="1">
        <v>2.41</v>
      </c>
      <c r="O1037" s="1">
        <v>2.5</v>
      </c>
      <c r="P1037" s="1">
        <v>2.0499999999999998</v>
      </c>
      <c r="Q1037">
        <v>4.0000000000000002E-4</v>
      </c>
      <c r="R1037">
        <v>1.26E-6</v>
      </c>
    </row>
    <row r="1038" spans="1:18" ht="13.8" outlineLevel="1" x14ac:dyDescent="0.25">
      <c r="A1038">
        <v>79469</v>
      </c>
      <c r="B1038" t="s">
        <v>1143</v>
      </c>
      <c r="C1038" t="s">
        <v>1239</v>
      </c>
      <c r="D1038" s="14" t="s">
        <v>1231</v>
      </c>
      <c r="E1038" s="12" t="s">
        <v>28</v>
      </c>
      <c r="F1038" s="17" t="s">
        <v>549</v>
      </c>
      <c r="G1038">
        <v>100</v>
      </c>
      <c r="H1038" t="s">
        <v>30</v>
      </c>
      <c r="I1038">
        <v>100</v>
      </c>
      <c r="J1038" s="15"/>
      <c r="K1038" s="16">
        <f>3.21 - (3.21 * $E$1)</f>
        <v>3.21</v>
      </c>
      <c r="L1038" s="16">
        <f>2.63 - (2.63 * $E$1)</f>
        <v>2.63</v>
      </c>
      <c r="M1038" s="1">
        <v>3.21</v>
      </c>
      <c r="N1038" s="1">
        <v>2.63</v>
      </c>
      <c r="O1038" s="1">
        <v>2.73</v>
      </c>
      <c r="P1038" s="1">
        <v>2.2400000000000002</v>
      </c>
      <c r="Q1038">
        <v>4.0000000000000002E-4</v>
      </c>
      <c r="R1038">
        <v>1.26E-6</v>
      </c>
    </row>
    <row r="1039" spans="1:18" ht="13.8" outlineLevel="1" x14ac:dyDescent="0.25">
      <c r="A1039">
        <v>79470</v>
      </c>
      <c r="B1039" t="s">
        <v>1143</v>
      </c>
      <c r="C1039" t="s">
        <v>1240</v>
      </c>
      <c r="D1039" s="14" t="s">
        <v>1231</v>
      </c>
      <c r="E1039" s="12" t="s">
        <v>28</v>
      </c>
      <c r="F1039" s="17" t="s">
        <v>549</v>
      </c>
      <c r="G1039">
        <v>100</v>
      </c>
      <c r="H1039" t="s">
        <v>30</v>
      </c>
      <c r="I1039">
        <v>100</v>
      </c>
      <c r="J1039" s="15"/>
      <c r="K1039" s="16">
        <f>3.89 - (3.89 * $E$1)</f>
        <v>3.89</v>
      </c>
      <c r="L1039" s="16">
        <f>3.19 - (3.19 * $E$1)</f>
        <v>3.19</v>
      </c>
      <c r="M1039" s="1">
        <v>3.89</v>
      </c>
      <c r="N1039" s="1">
        <v>3.19</v>
      </c>
      <c r="O1039" s="1">
        <v>3.31</v>
      </c>
      <c r="P1039" s="1">
        <v>2.71</v>
      </c>
      <c r="Q1039">
        <v>2.5999999999999998E-4</v>
      </c>
      <c r="R1039">
        <v>4.7999999999999998E-6</v>
      </c>
    </row>
    <row r="1040" spans="1:18" ht="13.8" outlineLevel="1" x14ac:dyDescent="0.25">
      <c r="A1040">
        <v>79471</v>
      </c>
      <c r="B1040" t="s">
        <v>1143</v>
      </c>
      <c r="C1040" t="s">
        <v>1241</v>
      </c>
      <c r="D1040" s="14" t="s">
        <v>1231</v>
      </c>
      <c r="E1040" s="12" t="s">
        <v>28</v>
      </c>
      <c r="F1040" s="17" t="s">
        <v>549</v>
      </c>
      <c r="G1040">
        <v>100</v>
      </c>
      <c r="H1040" t="s">
        <v>30</v>
      </c>
      <c r="I1040">
        <v>100</v>
      </c>
      <c r="J1040" s="15"/>
      <c r="K1040" s="16">
        <f>4.79 - (4.79 * $E$1)</f>
        <v>4.79</v>
      </c>
      <c r="L1040" s="16">
        <f>3.93 - (3.93 * $E$1)</f>
        <v>3.93</v>
      </c>
      <c r="M1040" s="1">
        <v>4.79</v>
      </c>
      <c r="N1040" s="1">
        <v>3.93</v>
      </c>
      <c r="O1040" s="1">
        <v>4.08</v>
      </c>
      <c r="P1040" s="1">
        <v>3.34</v>
      </c>
      <c r="Q1040">
        <v>3.8000000000000002E-4</v>
      </c>
      <c r="R1040">
        <v>4.4000000000000002E-6</v>
      </c>
    </row>
    <row r="1041" spans="1:18" ht="13.8" outlineLevel="1" x14ac:dyDescent="0.25">
      <c r="A1041">
        <v>79472</v>
      </c>
      <c r="B1041" t="s">
        <v>1143</v>
      </c>
      <c r="C1041" t="s">
        <v>1242</v>
      </c>
      <c r="D1041" s="14" t="s">
        <v>1231</v>
      </c>
      <c r="E1041" s="12" t="s">
        <v>28</v>
      </c>
      <c r="F1041" s="17" t="s">
        <v>549</v>
      </c>
      <c r="G1041">
        <v>100</v>
      </c>
      <c r="H1041" t="s">
        <v>30</v>
      </c>
      <c r="I1041">
        <v>100</v>
      </c>
      <c r="J1041" s="15"/>
      <c r="K1041" s="16">
        <f>6.69 - (6.69 * $E$1)</f>
        <v>6.69</v>
      </c>
      <c r="L1041" s="16">
        <f>5.48 - (5.48 * $E$1)</f>
        <v>5.48</v>
      </c>
      <c r="M1041" s="1">
        <v>6.69</v>
      </c>
      <c r="N1041" s="1">
        <v>5.48</v>
      </c>
      <c r="O1041" s="1">
        <v>5.68</v>
      </c>
      <c r="P1041" s="1">
        <v>4.66</v>
      </c>
      <c r="Q1041">
        <v>7.7999999999999999E-4</v>
      </c>
      <c r="R1041">
        <v>1.04E-5</v>
      </c>
    </row>
    <row r="1042" spans="1:18" ht="13.8" outlineLevel="1" x14ac:dyDescent="0.25">
      <c r="A1042">
        <v>79473</v>
      </c>
      <c r="B1042" t="s">
        <v>1143</v>
      </c>
      <c r="C1042" t="s">
        <v>1243</v>
      </c>
      <c r="D1042" s="14" t="s">
        <v>1231</v>
      </c>
      <c r="E1042" s="12" t="s">
        <v>28</v>
      </c>
      <c r="F1042" s="17" t="s">
        <v>549</v>
      </c>
      <c r="G1042">
        <v>100</v>
      </c>
      <c r="H1042" t="s">
        <v>30</v>
      </c>
      <c r="I1042">
        <v>100</v>
      </c>
      <c r="J1042" s="15"/>
      <c r="K1042" s="16">
        <f>9.94 - (9.94 * $E$1)</f>
        <v>9.94</v>
      </c>
      <c r="L1042" s="16">
        <f>8.15 - (8.15 * $E$1)</f>
        <v>8.15</v>
      </c>
      <c r="M1042" s="1">
        <v>9.94</v>
      </c>
      <c r="N1042" s="1">
        <v>8.15</v>
      </c>
      <c r="O1042" s="1">
        <v>8.4499999999999993</v>
      </c>
      <c r="P1042" s="1">
        <v>6.93</v>
      </c>
      <c r="Q1042">
        <v>1.2999999999999999E-3</v>
      </c>
      <c r="R1042">
        <v>1.6900000000000001E-5</v>
      </c>
    </row>
    <row r="1043" spans="1:18" ht="13.8" outlineLevel="1" x14ac:dyDescent="0.25">
      <c r="A1043">
        <v>108924</v>
      </c>
      <c r="B1043" t="s">
        <v>1140</v>
      </c>
      <c r="C1043" t="s">
        <v>1244</v>
      </c>
      <c r="D1043" s="14" t="s">
        <v>1231</v>
      </c>
      <c r="E1043" s="12" t="s">
        <v>28</v>
      </c>
      <c r="F1043" s="13" t="s">
        <v>29</v>
      </c>
      <c r="G1043">
        <v>1</v>
      </c>
      <c r="H1043" t="s">
        <v>420</v>
      </c>
      <c r="I1043">
        <v>5</v>
      </c>
      <c r="J1043" s="15"/>
      <c r="K1043" s="16">
        <f>148 - (148 * $E$1)</f>
        <v>148</v>
      </c>
      <c r="L1043" s="16">
        <f>121.31 - (121.31 * $E$1)</f>
        <v>121.31</v>
      </c>
      <c r="M1043" s="1">
        <v>148</v>
      </c>
      <c r="N1043" s="1">
        <v>121.31</v>
      </c>
      <c r="O1043" s="1">
        <v>125.8</v>
      </c>
      <c r="P1043" s="1">
        <v>103.11</v>
      </c>
      <c r="Q1043">
        <v>1.2E-2</v>
      </c>
      <c r="R1043">
        <v>2.0799999999999999E-4</v>
      </c>
    </row>
    <row r="1044" spans="1:18" ht="13.8" outlineLevel="1" x14ac:dyDescent="0.25">
      <c r="A1044">
        <v>108925</v>
      </c>
      <c r="B1044" t="s">
        <v>1140</v>
      </c>
      <c r="C1044" t="s">
        <v>1245</v>
      </c>
      <c r="D1044" s="14" t="s">
        <v>1231</v>
      </c>
      <c r="E1044" s="12" t="s">
        <v>28</v>
      </c>
      <c r="F1044" s="13" t="s">
        <v>29</v>
      </c>
      <c r="G1044">
        <v>1</v>
      </c>
      <c r="H1044" t="s">
        <v>420</v>
      </c>
      <c r="I1044">
        <v>5</v>
      </c>
      <c r="J1044" s="15"/>
      <c r="K1044" s="16">
        <f>159 - (159 * $E$1)</f>
        <v>159</v>
      </c>
      <c r="L1044" s="16">
        <f>130.33 - (130.33 * $E$1)</f>
        <v>130.33000000000001</v>
      </c>
      <c r="M1044" s="1">
        <v>159</v>
      </c>
      <c r="N1044" s="1">
        <v>130.33000000000001</v>
      </c>
      <c r="O1044" s="1">
        <v>135.15</v>
      </c>
      <c r="P1044" s="1">
        <v>110.78</v>
      </c>
      <c r="Q1044">
        <v>1.4E-2</v>
      </c>
      <c r="R1044">
        <v>2.0799999999999999E-4</v>
      </c>
    </row>
    <row r="1045" spans="1:18" ht="13.8" outlineLevel="1" x14ac:dyDescent="0.25">
      <c r="A1045">
        <v>108926</v>
      </c>
      <c r="B1045" t="s">
        <v>1140</v>
      </c>
      <c r="C1045" t="s">
        <v>1246</v>
      </c>
      <c r="D1045" s="14" t="s">
        <v>1231</v>
      </c>
      <c r="E1045" s="12" t="s">
        <v>28</v>
      </c>
      <c r="F1045" s="13" t="s">
        <v>29</v>
      </c>
      <c r="G1045">
        <v>1</v>
      </c>
      <c r="H1045" t="s">
        <v>420</v>
      </c>
      <c r="I1045">
        <v>5</v>
      </c>
      <c r="J1045" s="15"/>
      <c r="K1045" s="16">
        <f>179 - (179 * $E$1)</f>
        <v>179</v>
      </c>
      <c r="L1045" s="16">
        <f>146.72 - (146.72 * $E$1)</f>
        <v>146.72</v>
      </c>
      <c r="M1045" s="1">
        <v>179</v>
      </c>
      <c r="N1045" s="1">
        <v>146.72</v>
      </c>
      <c r="O1045" s="1">
        <v>152.15</v>
      </c>
      <c r="P1045" s="1">
        <v>124.71</v>
      </c>
      <c r="Q1045">
        <v>0.02</v>
      </c>
      <c r="R1045">
        <v>6.9999999999999994E-5</v>
      </c>
    </row>
    <row r="1046" spans="1:18" ht="13.8" outlineLevel="1" x14ac:dyDescent="0.25">
      <c r="A1046">
        <v>108927</v>
      </c>
      <c r="B1046" t="s">
        <v>1140</v>
      </c>
      <c r="C1046" t="s">
        <v>1247</v>
      </c>
      <c r="D1046" s="14" t="s">
        <v>1231</v>
      </c>
      <c r="E1046" s="12" t="s">
        <v>28</v>
      </c>
      <c r="F1046" s="13" t="s">
        <v>29</v>
      </c>
      <c r="G1046">
        <v>1</v>
      </c>
      <c r="H1046" t="s">
        <v>420</v>
      </c>
      <c r="I1046">
        <v>5</v>
      </c>
      <c r="J1046" s="15"/>
      <c r="K1046" s="16">
        <f>179 - (179 * $E$1)</f>
        <v>179</v>
      </c>
      <c r="L1046" s="16">
        <f>146.72 - (146.72 * $E$1)</f>
        <v>146.72</v>
      </c>
      <c r="M1046" s="1">
        <v>179</v>
      </c>
      <c r="N1046" s="1">
        <v>146.72</v>
      </c>
      <c r="O1046" s="1">
        <v>152.15</v>
      </c>
      <c r="P1046" s="1">
        <v>124.71</v>
      </c>
      <c r="Q1046">
        <v>0.02</v>
      </c>
      <c r="R1046">
        <v>6.9999999999999994E-5</v>
      </c>
    </row>
    <row r="1047" spans="1:18" ht="13.8" outlineLevel="1" x14ac:dyDescent="0.25">
      <c r="A1047">
        <v>108928</v>
      </c>
      <c r="B1047" t="s">
        <v>1140</v>
      </c>
      <c r="C1047" t="s">
        <v>1248</v>
      </c>
      <c r="D1047" s="14" t="s">
        <v>1231</v>
      </c>
      <c r="E1047" s="12" t="s">
        <v>28</v>
      </c>
      <c r="F1047" s="13" t="s">
        <v>29</v>
      </c>
      <c r="G1047">
        <v>1</v>
      </c>
      <c r="H1047" t="s">
        <v>420</v>
      </c>
      <c r="I1047">
        <v>5</v>
      </c>
      <c r="J1047" s="15"/>
      <c r="K1047" s="16">
        <f>195 - (195 * $E$1)</f>
        <v>195</v>
      </c>
      <c r="L1047" s="16">
        <f>159.84 - (159.84 * $E$1)</f>
        <v>159.84</v>
      </c>
      <c r="M1047" s="1">
        <v>195</v>
      </c>
      <c r="N1047" s="1">
        <v>159.84</v>
      </c>
      <c r="O1047" s="1">
        <v>165.75</v>
      </c>
      <c r="P1047" s="1">
        <v>135.86000000000001</v>
      </c>
      <c r="Q1047">
        <v>1.6E-2</v>
      </c>
      <c r="R1047">
        <v>2.0799999999999999E-4</v>
      </c>
    </row>
    <row r="1048" spans="1:18" ht="13.8" outlineLevel="1" x14ac:dyDescent="0.25">
      <c r="A1048">
        <v>108929</v>
      </c>
      <c r="B1048" t="s">
        <v>1140</v>
      </c>
      <c r="C1048" t="s">
        <v>1249</v>
      </c>
      <c r="D1048" s="14" t="s">
        <v>1231</v>
      </c>
      <c r="E1048" s="12" t="s">
        <v>28</v>
      </c>
      <c r="F1048" s="13" t="s">
        <v>29</v>
      </c>
      <c r="G1048">
        <v>1</v>
      </c>
      <c r="H1048" t="s">
        <v>420</v>
      </c>
      <c r="I1048">
        <v>5</v>
      </c>
      <c r="J1048" s="15"/>
      <c r="K1048" s="16">
        <f>205 - (205 * $E$1)</f>
        <v>205</v>
      </c>
      <c r="L1048" s="16">
        <f>168.03 - (168.03 * $E$1)</f>
        <v>168.03</v>
      </c>
      <c r="M1048" s="1">
        <v>205</v>
      </c>
      <c r="N1048" s="1">
        <v>168.03</v>
      </c>
      <c r="O1048" s="1">
        <v>174.25</v>
      </c>
      <c r="P1048" s="1">
        <v>142.83000000000001</v>
      </c>
      <c r="Q1048">
        <v>2.5000000000000001E-2</v>
      </c>
      <c r="R1048">
        <v>6.9999999999999994E-5</v>
      </c>
    </row>
    <row r="1049" spans="1:18" ht="13.8" outlineLevel="1" x14ac:dyDescent="0.25">
      <c r="A1049">
        <v>108930</v>
      </c>
      <c r="B1049" t="s">
        <v>1140</v>
      </c>
      <c r="C1049" t="s">
        <v>1250</v>
      </c>
      <c r="D1049" s="14" t="s">
        <v>1231</v>
      </c>
      <c r="E1049" s="12" t="s">
        <v>28</v>
      </c>
      <c r="F1049" s="13" t="s">
        <v>29</v>
      </c>
      <c r="G1049">
        <v>1</v>
      </c>
      <c r="H1049" t="s">
        <v>420</v>
      </c>
      <c r="I1049">
        <v>5</v>
      </c>
      <c r="J1049" s="15"/>
      <c r="K1049" s="16">
        <f>238 - (238 * $E$1)</f>
        <v>238</v>
      </c>
      <c r="L1049" s="16">
        <f>195.08 - (195.08 * $E$1)</f>
        <v>195.08</v>
      </c>
      <c r="M1049" s="1">
        <v>238</v>
      </c>
      <c r="N1049" s="1">
        <v>195.08</v>
      </c>
      <c r="O1049" s="1">
        <v>202.3</v>
      </c>
      <c r="P1049" s="1">
        <v>165.82</v>
      </c>
      <c r="Q1049">
        <v>1.7999999999999999E-2</v>
      </c>
      <c r="R1049">
        <v>2.7999999999999998E-4</v>
      </c>
    </row>
    <row r="1050" spans="1:18" ht="13.8" outlineLevel="1" x14ac:dyDescent="0.25">
      <c r="A1050">
        <v>108931</v>
      </c>
      <c r="B1050" t="s">
        <v>1140</v>
      </c>
      <c r="C1050" t="s">
        <v>1251</v>
      </c>
      <c r="D1050" s="14" t="s">
        <v>1231</v>
      </c>
      <c r="E1050" s="12" t="s">
        <v>28</v>
      </c>
      <c r="F1050" s="13" t="s">
        <v>29</v>
      </c>
      <c r="G1050">
        <v>1</v>
      </c>
      <c r="H1050" t="s">
        <v>420</v>
      </c>
      <c r="I1050">
        <v>1</v>
      </c>
      <c r="J1050" s="15"/>
      <c r="K1050" s="16">
        <f>294 - (294 * $E$1)</f>
        <v>294</v>
      </c>
      <c r="L1050" s="16">
        <f>240.98 - (240.98 * $E$1)</f>
        <v>240.98</v>
      </c>
      <c r="M1050" s="1">
        <v>294</v>
      </c>
      <c r="N1050" s="1">
        <v>240.98</v>
      </c>
      <c r="O1050" s="1">
        <v>249.9</v>
      </c>
      <c r="P1050" s="1">
        <v>204.83</v>
      </c>
      <c r="Q1050">
        <v>0.04</v>
      </c>
      <c r="R1050">
        <v>1.26E-4</v>
      </c>
    </row>
    <row r="1051" spans="1:18" ht="13.8" outlineLevel="1" x14ac:dyDescent="0.25">
      <c r="A1051">
        <v>108932</v>
      </c>
      <c r="B1051" t="s">
        <v>1140</v>
      </c>
      <c r="C1051" t="s">
        <v>1252</v>
      </c>
      <c r="D1051" s="14" t="s">
        <v>1231</v>
      </c>
      <c r="E1051" s="12" t="s">
        <v>28</v>
      </c>
      <c r="F1051" s="13" t="s">
        <v>29</v>
      </c>
      <c r="G1051">
        <v>1</v>
      </c>
      <c r="H1051" t="s">
        <v>420</v>
      </c>
      <c r="I1051">
        <v>1</v>
      </c>
      <c r="J1051" s="15"/>
      <c r="K1051" s="16">
        <f>320.99 - (320.99 * $E$1)</f>
        <v>320.99</v>
      </c>
      <c r="L1051" s="16">
        <f>263.11 - (263.11 * $E$1)</f>
        <v>263.11</v>
      </c>
      <c r="M1051" s="1">
        <v>320.99</v>
      </c>
      <c r="N1051" s="1">
        <v>263.11</v>
      </c>
      <c r="O1051" s="1">
        <v>272.85000000000002</v>
      </c>
      <c r="P1051" s="1">
        <v>223.64</v>
      </c>
      <c r="Q1051">
        <v>0.04</v>
      </c>
      <c r="R1051">
        <v>1.26E-4</v>
      </c>
    </row>
    <row r="1052" spans="1:18" ht="13.8" outlineLevel="1" x14ac:dyDescent="0.25">
      <c r="A1052">
        <v>108933</v>
      </c>
      <c r="B1052" t="s">
        <v>1140</v>
      </c>
      <c r="C1052" t="s">
        <v>1253</v>
      </c>
      <c r="D1052" s="14" t="s">
        <v>1231</v>
      </c>
      <c r="E1052" s="12" t="s">
        <v>28</v>
      </c>
      <c r="F1052" s="13" t="s">
        <v>29</v>
      </c>
      <c r="G1052">
        <v>1</v>
      </c>
      <c r="H1052" t="s">
        <v>420</v>
      </c>
      <c r="I1052">
        <v>1</v>
      </c>
      <c r="J1052" s="15"/>
      <c r="K1052" s="16">
        <f>389 - (389 * $E$1)</f>
        <v>389</v>
      </c>
      <c r="L1052" s="16">
        <f>318.85 - (318.85 * $E$1)</f>
        <v>318.85000000000002</v>
      </c>
      <c r="M1052" s="1">
        <v>389</v>
      </c>
      <c r="N1052" s="1">
        <v>318.85000000000002</v>
      </c>
      <c r="O1052" s="1">
        <v>330.65</v>
      </c>
      <c r="P1052" s="1">
        <v>271.02</v>
      </c>
      <c r="Q1052">
        <v>2.5999999999999999E-2</v>
      </c>
      <c r="R1052">
        <v>4.8000000000000001E-4</v>
      </c>
    </row>
    <row r="1053" spans="1:18" ht="13.8" outlineLevel="1" x14ac:dyDescent="0.25">
      <c r="A1053">
        <v>108934</v>
      </c>
      <c r="B1053" t="s">
        <v>1140</v>
      </c>
      <c r="C1053" t="s">
        <v>1254</v>
      </c>
      <c r="D1053" s="14" t="s">
        <v>1231</v>
      </c>
      <c r="E1053" s="12" t="s">
        <v>28</v>
      </c>
      <c r="F1053" s="13" t="s">
        <v>29</v>
      </c>
      <c r="G1053">
        <v>1</v>
      </c>
      <c r="H1053" t="s">
        <v>420</v>
      </c>
      <c r="I1053">
        <v>1</v>
      </c>
      <c r="J1053" s="15"/>
      <c r="K1053" s="16">
        <f>480 - (480 * $E$1)</f>
        <v>480</v>
      </c>
      <c r="L1053" s="16">
        <f>393.44 - (393.44 * $E$1)</f>
        <v>393.44</v>
      </c>
      <c r="M1053" s="1">
        <v>480</v>
      </c>
      <c r="N1053" s="1">
        <v>393.44</v>
      </c>
      <c r="O1053" s="1">
        <v>408</v>
      </c>
      <c r="P1053" s="1">
        <v>334.42</v>
      </c>
      <c r="Q1053">
        <v>3.7999999999999999E-2</v>
      </c>
      <c r="R1053">
        <v>4.4000000000000002E-4</v>
      </c>
    </row>
    <row r="1054" spans="1:18" ht="13.8" outlineLevel="1" x14ac:dyDescent="0.25">
      <c r="A1054">
        <v>108935</v>
      </c>
      <c r="B1054" t="s">
        <v>1140</v>
      </c>
      <c r="C1054" t="s">
        <v>1255</v>
      </c>
      <c r="D1054" s="14" t="s">
        <v>1231</v>
      </c>
      <c r="E1054" s="12" t="s">
        <v>28</v>
      </c>
      <c r="F1054" s="13" t="s">
        <v>29</v>
      </c>
      <c r="G1054">
        <v>1</v>
      </c>
      <c r="H1054" t="s">
        <v>420</v>
      </c>
      <c r="I1054">
        <v>1</v>
      </c>
      <c r="J1054" s="15"/>
      <c r="K1054" s="16">
        <f>669 - (669 * $E$1)</f>
        <v>669</v>
      </c>
      <c r="L1054" s="16">
        <f>548.36 - (548.36 * $E$1)</f>
        <v>548.36</v>
      </c>
      <c r="M1054" s="1">
        <v>669</v>
      </c>
      <c r="N1054" s="1">
        <v>548.36</v>
      </c>
      <c r="O1054" s="1">
        <v>568.65</v>
      </c>
      <c r="P1054" s="1">
        <v>466.11</v>
      </c>
      <c r="Q1054">
        <v>7.8E-2</v>
      </c>
      <c r="R1054">
        <v>1.0399999999999999E-3</v>
      </c>
    </row>
    <row r="1055" spans="1:18" ht="13.8" outlineLevel="1" x14ac:dyDescent="0.25">
      <c r="A1055">
        <v>108936</v>
      </c>
      <c r="B1055" t="s">
        <v>1140</v>
      </c>
      <c r="C1055" t="s">
        <v>1256</v>
      </c>
      <c r="D1055" s="14" t="s">
        <v>1231</v>
      </c>
      <c r="E1055" s="12" t="s">
        <v>28</v>
      </c>
      <c r="F1055" s="13" t="s">
        <v>29</v>
      </c>
      <c r="G1055">
        <v>1</v>
      </c>
      <c r="H1055" t="s">
        <v>420</v>
      </c>
      <c r="I1055">
        <v>1</v>
      </c>
      <c r="J1055" s="15"/>
      <c r="K1055" s="16">
        <f>994 - (994 * $E$1)</f>
        <v>994</v>
      </c>
      <c r="L1055" s="16">
        <f>814.75 - (814.75 * $E$1)</f>
        <v>814.75</v>
      </c>
      <c r="M1055" s="1">
        <v>994</v>
      </c>
      <c r="N1055" s="1">
        <v>814.75</v>
      </c>
      <c r="O1055" s="1">
        <v>844.9</v>
      </c>
      <c r="P1055" s="1">
        <v>692.54</v>
      </c>
      <c r="Q1055">
        <v>0.13</v>
      </c>
      <c r="R1055">
        <v>1.6900000000000001E-3</v>
      </c>
    </row>
    <row r="1056" spans="1:18" ht="13.8" outlineLevel="1" x14ac:dyDescent="0.25">
      <c r="A1056">
        <v>103243</v>
      </c>
      <c r="B1056" t="s">
        <v>1140</v>
      </c>
      <c r="C1056" t="s">
        <v>1257</v>
      </c>
      <c r="D1056" s="14" t="s">
        <v>1258</v>
      </c>
      <c r="E1056" s="12" t="s">
        <v>28</v>
      </c>
      <c r="F1056" s="17" t="s">
        <v>549</v>
      </c>
      <c r="G1056">
        <v>100</v>
      </c>
      <c r="H1056" t="s">
        <v>30</v>
      </c>
      <c r="I1056">
        <v>100</v>
      </c>
      <c r="J1056" s="15"/>
      <c r="K1056" s="16">
        <f>1.55 - (1.55 * $E$1)</f>
        <v>1.55</v>
      </c>
      <c r="L1056" s="16">
        <f>1.27 - (1.27 * $E$1)</f>
        <v>1.27</v>
      </c>
      <c r="M1056" s="1">
        <v>1.55</v>
      </c>
      <c r="N1056" s="1">
        <v>1.27</v>
      </c>
      <c r="O1056" s="1">
        <v>1.32</v>
      </c>
      <c r="P1056" s="1">
        <v>1.08</v>
      </c>
      <c r="Q1056">
        <v>1.3999999999999999E-4</v>
      </c>
      <c r="R1056">
        <v>1.08E-6</v>
      </c>
    </row>
    <row r="1057" spans="1:18" ht="13.8" outlineLevel="1" x14ac:dyDescent="0.25">
      <c r="A1057">
        <v>103244</v>
      </c>
      <c r="B1057" t="s">
        <v>1140</v>
      </c>
      <c r="C1057" t="s">
        <v>1259</v>
      </c>
      <c r="D1057" s="14" t="s">
        <v>1258</v>
      </c>
      <c r="E1057" s="12" t="s">
        <v>28</v>
      </c>
      <c r="F1057" s="17" t="s">
        <v>549</v>
      </c>
      <c r="G1057">
        <v>100</v>
      </c>
      <c r="H1057" t="s">
        <v>30</v>
      </c>
      <c r="I1057">
        <v>100</v>
      </c>
      <c r="J1057" s="15"/>
      <c r="K1057" s="16">
        <f>1.68 - (1.68 * $E$1)</f>
        <v>1.68</v>
      </c>
      <c r="L1057" s="16">
        <f>1.38 - (1.38 * $E$1)</f>
        <v>1.38</v>
      </c>
      <c r="M1057" s="1">
        <v>1.68</v>
      </c>
      <c r="N1057" s="1">
        <v>1.38</v>
      </c>
      <c r="O1057" s="1">
        <v>1.43</v>
      </c>
      <c r="P1057" s="1">
        <v>1.17</v>
      </c>
      <c r="Q1057">
        <v>1.6000000000000001E-4</v>
      </c>
      <c r="R1057">
        <v>1.08E-6</v>
      </c>
    </row>
    <row r="1058" spans="1:18" ht="13.8" outlineLevel="1" x14ac:dyDescent="0.25">
      <c r="A1058">
        <v>103245</v>
      </c>
      <c r="B1058" t="s">
        <v>1140</v>
      </c>
      <c r="C1058" t="s">
        <v>1260</v>
      </c>
      <c r="D1058" s="14" t="s">
        <v>1258</v>
      </c>
      <c r="E1058" s="12" t="s">
        <v>28</v>
      </c>
      <c r="F1058" s="17" t="s">
        <v>549</v>
      </c>
      <c r="G1058">
        <v>100</v>
      </c>
      <c r="H1058" t="s">
        <v>30</v>
      </c>
      <c r="I1058">
        <v>100</v>
      </c>
      <c r="J1058" s="15"/>
      <c r="K1058" s="16">
        <f>1.87 - (1.87 * $E$1)</f>
        <v>1.87</v>
      </c>
      <c r="L1058" s="16">
        <f>1.53 - (1.53 * $E$1)</f>
        <v>1.53</v>
      </c>
      <c r="M1058" s="1">
        <v>1.87</v>
      </c>
      <c r="N1058" s="1">
        <v>1.53</v>
      </c>
      <c r="O1058" s="1">
        <v>1.59</v>
      </c>
      <c r="P1058" s="1">
        <v>1.3</v>
      </c>
      <c r="Q1058">
        <v>1.8000000000000001E-4</v>
      </c>
      <c r="R1058">
        <v>1.08E-6</v>
      </c>
    </row>
    <row r="1059" spans="1:18" ht="13.8" outlineLevel="1" x14ac:dyDescent="0.25">
      <c r="A1059">
        <v>103246</v>
      </c>
      <c r="B1059" t="s">
        <v>1140</v>
      </c>
      <c r="C1059" t="s">
        <v>1261</v>
      </c>
      <c r="D1059" s="14" t="s">
        <v>1258</v>
      </c>
      <c r="E1059" s="12" t="s">
        <v>28</v>
      </c>
      <c r="F1059" s="17" t="s">
        <v>549</v>
      </c>
      <c r="G1059">
        <v>100</v>
      </c>
      <c r="H1059" t="s">
        <v>30</v>
      </c>
      <c r="I1059">
        <v>100</v>
      </c>
      <c r="J1059" s="15"/>
      <c r="K1059" s="16">
        <f>2.15 - (2.15 * $E$1)</f>
        <v>2.15</v>
      </c>
      <c r="L1059" s="16">
        <f>1.76 - (1.76 * $E$1)</f>
        <v>1.76</v>
      </c>
      <c r="M1059" s="1">
        <v>2.15</v>
      </c>
      <c r="N1059" s="1">
        <v>1.76</v>
      </c>
      <c r="O1059" s="1">
        <v>1.83</v>
      </c>
      <c r="P1059" s="1">
        <v>1.5</v>
      </c>
      <c r="Q1059">
        <v>2.2000000000000001E-4</v>
      </c>
      <c r="R1059">
        <v>1.3999999999999999E-6</v>
      </c>
    </row>
    <row r="1060" spans="1:18" ht="13.8" outlineLevel="1" x14ac:dyDescent="0.25">
      <c r="A1060">
        <v>103247</v>
      </c>
      <c r="B1060" t="s">
        <v>1140</v>
      </c>
      <c r="C1060" t="s">
        <v>1262</v>
      </c>
      <c r="D1060" s="14" t="s">
        <v>1258</v>
      </c>
      <c r="E1060" s="12" t="s">
        <v>28</v>
      </c>
      <c r="F1060" s="17" t="s">
        <v>549</v>
      </c>
      <c r="G1060">
        <v>100</v>
      </c>
      <c r="H1060" t="s">
        <v>30</v>
      </c>
      <c r="I1060">
        <v>100</v>
      </c>
      <c r="J1060" s="15"/>
      <c r="K1060" s="16">
        <f>3.09 - (3.09 * $E$1)</f>
        <v>3.09</v>
      </c>
      <c r="L1060" s="16">
        <f>2.53 - (2.53 * $E$1)</f>
        <v>2.5299999999999998</v>
      </c>
      <c r="M1060" s="1">
        <v>3.09</v>
      </c>
      <c r="N1060" s="1">
        <v>2.5299999999999998</v>
      </c>
      <c r="O1060" s="1">
        <v>2.62</v>
      </c>
      <c r="P1060" s="1">
        <v>2.15</v>
      </c>
      <c r="Q1060">
        <v>3.8000000000000002E-4</v>
      </c>
      <c r="R1060">
        <v>3.7799999999999998E-6</v>
      </c>
    </row>
    <row r="1061" spans="1:18" ht="13.8" outlineLevel="1" x14ac:dyDescent="0.25">
      <c r="A1061">
        <v>103248</v>
      </c>
      <c r="B1061" t="s">
        <v>1140</v>
      </c>
      <c r="C1061" t="s">
        <v>1263</v>
      </c>
      <c r="D1061" s="14" t="s">
        <v>1258</v>
      </c>
      <c r="E1061" s="12" t="s">
        <v>28</v>
      </c>
      <c r="F1061" s="17" t="s">
        <v>549</v>
      </c>
      <c r="G1061">
        <v>100</v>
      </c>
      <c r="H1061" t="s">
        <v>30</v>
      </c>
      <c r="I1061">
        <v>100</v>
      </c>
      <c r="J1061" s="15"/>
      <c r="K1061" s="16">
        <f>4.09 - (4.09 * $E$1)</f>
        <v>4.09</v>
      </c>
      <c r="L1061" s="16">
        <f>3.35 - (3.35 * $E$1)</f>
        <v>3.35</v>
      </c>
      <c r="M1061" s="1">
        <v>4.09</v>
      </c>
      <c r="N1061" s="1">
        <v>3.35</v>
      </c>
      <c r="O1061" s="1">
        <v>3.47</v>
      </c>
      <c r="P1061" s="1">
        <v>2.85</v>
      </c>
      <c r="Q1061">
        <v>5.4000000000000001E-4</v>
      </c>
      <c r="R1061">
        <v>5.04E-6</v>
      </c>
    </row>
    <row r="1062" spans="1:18" ht="13.8" outlineLevel="1" x14ac:dyDescent="0.25">
      <c r="A1062">
        <v>103249</v>
      </c>
      <c r="B1062" t="s">
        <v>1140</v>
      </c>
      <c r="C1062" t="s">
        <v>1264</v>
      </c>
      <c r="D1062" s="14" t="s">
        <v>1258</v>
      </c>
      <c r="E1062" s="12" t="s">
        <v>28</v>
      </c>
      <c r="F1062" s="17" t="s">
        <v>549</v>
      </c>
      <c r="G1062">
        <v>100</v>
      </c>
      <c r="H1062" t="s">
        <v>30</v>
      </c>
      <c r="I1062">
        <v>100</v>
      </c>
      <c r="J1062" s="15"/>
      <c r="K1062" s="16">
        <f>5.01 - (5.01 * $E$1)</f>
        <v>5.01</v>
      </c>
      <c r="L1062" s="16">
        <f>4.11 - (4.11 * $E$1)</f>
        <v>4.1100000000000003</v>
      </c>
      <c r="M1062" s="1">
        <v>5.01</v>
      </c>
      <c r="N1062" s="1">
        <v>4.1100000000000003</v>
      </c>
      <c r="O1062" s="1">
        <v>4.26</v>
      </c>
      <c r="P1062" s="1">
        <v>3.49</v>
      </c>
      <c r="Q1062">
        <v>7.2000000000000005E-4</v>
      </c>
      <c r="R1062">
        <v>6.0399999999999998E-6</v>
      </c>
    </row>
    <row r="1063" spans="1:18" ht="13.8" outlineLevel="1" x14ac:dyDescent="0.25">
      <c r="A1063">
        <v>103250</v>
      </c>
      <c r="B1063" t="s">
        <v>1140</v>
      </c>
      <c r="C1063" t="s">
        <v>1265</v>
      </c>
      <c r="D1063" s="14" t="s">
        <v>1258</v>
      </c>
      <c r="E1063" s="12" t="s">
        <v>28</v>
      </c>
      <c r="F1063" s="17" t="s">
        <v>549</v>
      </c>
      <c r="G1063">
        <v>100</v>
      </c>
      <c r="H1063" t="s">
        <v>30</v>
      </c>
      <c r="I1063">
        <v>100</v>
      </c>
      <c r="J1063" s="15"/>
      <c r="K1063" s="16">
        <f>7.02 - (7.02 * $E$1)</f>
        <v>7.02</v>
      </c>
      <c r="L1063" s="16">
        <f>5.75 - (5.75 * $E$1)</f>
        <v>5.75</v>
      </c>
      <c r="M1063" s="1">
        <v>7.02</v>
      </c>
      <c r="N1063" s="1">
        <v>5.75</v>
      </c>
      <c r="O1063" s="1">
        <v>5.96</v>
      </c>
      <c r="P1063" s="1">
        <v>4.8899999999999997</v>
      </c>
      <c r="Q1063">
        <v>1E-3</v>
      </c>
      <c r="R1063">
        <v>9.7499999999999998E-6</v>
      </c>
    </row>
    <row r="1064" spans="1:18" ht="13.8" outlineLevel="1" x14ac:dyDescent="0.25">
      <c r="A1064">
        <v>108978</v>
      </c>
      <c r="B1064" t="s">
        <v>1140</v>
      </c>
      <c r="C1064" t="s">
        <v>1266</v>
      </c>
      <c r="D1064" s="14" t="s">
        <v>1258</v>
      </c>
      <c r="E1064" s="12" t="s">
        <v>28</v>
      </c>
      <c r="F1064" s="13" t="s">
        <v>29</v>
      </c>
      <c r="G1064">
        <v>1</v>
      </c>
      <c r="H1064" t="s">
        <v>420</v>
      </c>
      <c r="I1064">
        <v>1</v>
      </c>
      <c r="J1064" s="15"/>
      <c r="K1064" s="16">
        <f>155 - (155 * $E$1)</f>
        <v>155</v>
      </c>
      <c r="L1064" s="16">
        <f>127.05 - (127.05 * $E$1)</f>
        <v>127.05</v>
      </c>
      <c r="M1064" s="1">
        <v>155</v>
      </c>
      <c r="N1064" s="1">
        <v>127.05</v>
      </c>
      <c r="O1064" s="1">
        <v>131.75</v>
      </c>
      <c r="P1064" s="1">
        <v>107.99</v>
      </c>
      <c r="Q1064">
        <v>1.4E-2</v>
      </c>
      <c r="R1064">
        <v>1.08E-4</v>
      </c>
    </row>
    <row r="1065" spans="1:18" ht="13.8" outlineLevel="1" x14ac:dyDescent="0.25">
      <c r="A1065">
        <v>108979</v>
      </c>
      <c r="B1065" t="s">
        <v>1140</v>
      </c>
      <c r="C1065" t="s">
        <v>1267</v>
      </c>
      <c r="D1065" s="14" t="s">
        <v>1258</v>
      </c>
      <c r="E1065" s="12" t="s">
        <v>28</v>
      </c>
      <c r="F1065" s="13" t="s">
        <v>29</v>
      </c>
      <c r="G1065">
        <v>1</v>
      </c>
      <c r="H1065" t="s">
        <v>420</v>
      </c>
      <c r="I1065">
        <v>1</v>
      </c>
      <c r="J1065" s="15"/>
      <c r="K1065" s="16">
        <f>167.99 - (167.99 * $E$1)</f>
        <v>167.99</v>
      </c>
      <c r="L1065" s="16">
        <f>137.7 - (137.7 * $E$1)</f>
        <v>137.69999999999999</v>
      </c>
      <c r="M1065" s="1">
        <v>167.99</v>
      </c>
      <c r="N1065" s="1">
        <v>137.69999999999999</v>
      </c>
      <c r="O1065" s="1">
        <v>142.79</v>
      </c>
      <c r="P1065" s="1">
        <v>117.05</v>
      </c>
      <c r="Q1065">
        <v>1.6E-2</v>
      </c>
      <c r="R1065">
        <v>1.08E-4</v>
      </c>
    </row>
    <row r="1066" spans="1:18" ht="13.8" outlineLevel="1" x14ac:dyDescent="0.25">
      <c r="A1066">
        <v>108980</v>
      </c>
      <c r="B1066" t="s">
        <v>1140</v>
      </c>
      <c r="C1066" t="s">
        <v>1268</v>
      </c>
      <c r="D1066" s="14" t="s">
        <v>1258</v>
      </c>
      <c r="E1066" s="12" t="s">
        <v>28</v>
      </c>
      <c r="F1066" s="13" t="s">
        <v>29</v>
      </c>
      <c r="G1066">
        <v>1</v>
      </c>
      <c r="H1066" t="s">
        <v>420</v>
      </c>
      <c r="I1066">
        <v>1</v>
      </c>
      <c r="J1066" s="15"/>
      <c r="K1066" s="16">
        <f>187 - (187 * $E$1)</f>
        <v>187</v>
      </c>
      <c r="L1066" s="16">
        <f>153.28 - (153.28 * $E$1)</f>
        <v>153.28</v>
      </c>
      <c r="M1066" s="1">
        <v>187</v>
      </c>
      <c r="N1066" s="1">
        <v>153.28</v>
      </c>
      <c r="O1066" s="1">
        <v>158.94999999999999</v>
      </c>
      <c r="P1066" s="1">
        <v>130.29</v>
      </c>
      <c r="Q1066">
        <v>1.7999999999999999E-2</v>
      </c>
      <c r="R1066">
        <v>1.08E-4</v>
      </c>
    </row>
    <row r="1067" spans="1:18" ht="13.8" outlineLevel="1" x14ac:dyDescent="0.25">
      <c r="A1067">
        <v>108981</v>
      </c>
      <c r="B1067" t="s">
        <v>1140</v>
      </c>
      <c r="C1067" t="s">
        <v>1269</v>
      </c>
      <c r="D1067" s="14" t="s">
        <v>1258</v>
      </c>
      <c r="E1067" s="12" t="s">
        <v>28</v>
      </c>
      <c r="F1067" s="13" t="s">
        <v>29</v>
      </c>
      <c r="G1067">
        <v>1</v>
      </c>
      <c r="H1067" t="s">
        <v>420</v>
      </c>
      <c r="I1067">
        <v>1</v>
      </c>
      <c r="J1067" s="15"/>
      <c r="K1067" s="16">
        <f>215 - (215 * $E$1)</f>
        <v>215</v>
      </c>
      <c r="L1067" s="16">
        <f>176.23 - (176.23 * $E$1)</f>
        <v>176.23</v>
      </c>
      <c r="M1067" s="1">
        <v>215</v>
      </c>
      <c r="N1067" s="1">
        <v>176.23</v>
      </c>
      <c r="O1067" s="1">
        <v>182.75</v>
      </c>
      <c r="P1067" s="1">
        <v>149.80000000000001</v>
      </c>
      <c r="Q1067">
        <v>2.1999999999999999E-2</v>
      </c>
      <c r="R1067">
        <v>1.3999999999999999E-4</v>
      </c>
    </row>
    <row r="1068" spans="1:18" ht="13.8" outlineLevel="1" x14ac:dyDescent="0.25">
      <c r="A1068">
        <v>108982</v>
      </c>
      <c r="B1068" t="s">
        <v>1140</v>
      </c>
      <c r="C1068" t="s">
        <v>1270</v>
      </c>
      <c r="D1068" s="14" t="s">
        <v>1258</v>
      </c>
      <c r="E1068" s="12" t="s">
        <v>28</v>
      </c>
      <c r="F1068" s="13" t="s">
        <v>29</v>
      </c>
      <c r="G1068">
        <v>1</v>
      </c>
      <c r="H1068" t="s">
        <v>420</v>
      </c>
      <c r="I1068">
        <v>1</v>
      </c>
      <c r="J1068" s="15"/>
      <c r="K1068" s="16">
        <f>309 - (309 * $E$1)</f>
        <v>309</v>
      </c>
      <c r="L1068" s="16">
        <f>253.28 - (253.28 * $E$1)</f>
        <v>253.28</v>
      </c>
      <c r="M1068" s="1">
        <v>309</v>
      </c>
      <c r="N1068" s="1">
        <v>253.28</v>
      </c>
      <c r="O1068" s="1">
        <v>262.64999999999998</v>
      </c>
      <c r="P1068" s="1">
        <v>215.29</v>
      </c>
      <c r="Q1068">
        <v>3.7999999999999999E-2</v>
      </c>
      <c r="R1068">
        <v>3.7800000000000003E-4</v>
      </c>
    </row>
    <row r="1069" spans="1:18" ht="13.8" outlineLevel="1" x14ac:dyDescent="0.25">
      <c r="A1069">
        <v>108983</v>
      </c>
      <c r="B1069" t="s">
        <v>1140</v>
      </c>
      <c r="C1069" t="s">
        <v>1271</v>
      </c>
      <c r="D1069" s="14" t="s">
        <v>1258</v>
      </c>
      <c r="E1069" s="12" t="s">
        <v>28</v>
      </c>
      <c r="F1069" s="13" t="s">
        <v>29</v>
      </c>
      <c r="G1069">
        <v>1</v>
      </c>
      <c r="H1069" t="s">
        <v>420</v>
      </c>
      <c r="I1069">
        <v>1</v>
      </c>
      <c r="J1069" s="15"/>
      <c r="K1069" s="16">
        <f>409.01 - (409.01 * $E$1)</f>
        <v>409.01</v>
      </c>
      <c r="L1069" s="16">
        <f>335.25 - (335.25 * $E$1)</f>
        <v>335.25</v>
      </c>
      <c r="M1069" s="1">
        <v>409.01</v>
      </c>
      <c r="N1069" s="1">
        <v>335.25</v>
      </c>
      <c r="O1069" s="1">
        <v>347.65</v>
      </c>
      <c r="P1069" s="1">
        <v>284.95999999999998</v>
      </c>
      <c r="Q1069">
        <v>5.3999999999999999E-2</v>
      </c>
      <c r="R1069">
        <v>5.04E-4</v>
      </c>
    </row>
    <row r="1070" spans="1:18" ht="13.8" outlineLevel="1" x14ac:dyDescent="0.25">
      <c r="A1070">
        <v>108984</v>
      </c>
      <c r="B1070" t="s">
        <v>1140</v>
      </c>
      <c r="C1070" t="s">
        <v>1272</v>
      </c>
      <c r="D1070" s="14" t="s">
        <v>1258</v>
      </c>
      <c r="E1070" s="12" t="s">
        <v>28</v>
      </c>
      <c r="F1070" s="13" t="s">
        <v>29</v>
      </c>
      <c r="G1070">
        <v>1</v>
      </c>
      <c r="H1070" t="s">
        <v>420</v>
      </c>
      <c r="I1070">
        <v>1</v>
      </c>
      <c r="J1070" s="15"/>
      <c r="K1070" s="16">
        <f>502.01 - (502.01 * $E$1)</f>
        <v>502.01</v>
      </c>
      <c r="L1070" s="16">
        <f>411.48 - (411.48 * $E$1)</f>
        <v>411.48</v>
      </c>
      <c r="M1070" s="1">
        <v>502.01</v>
      </c>
      <c r="N1070" s="1">
        <v>411.48</v>
      </c>
      <c r="O1070" s="1">
        <v>426.7</v>
      </c>
      <c r="P1070" s="1">
        <v>349.76</v>
      </c>
      <c r="Q1070">
        <v>7.1999999999999995E-2</v>
      </c>
      <c r="R1070">
        <v>6.0400000000000004E-4</v>
      </c>
    </row>
    <row r="1071" spans="1:18" ht="13.8" outlineLevel="1" x14ac:dyDescent="0.25">
      <c r="A1071">
        <v>108985</v>
      </c>
      <c r="B1071" t="s">
        <v>1140</v>
      </c>
      <c r="C1071" t="s">
        <v>1273</v>
      </c>
      <c r="D1071" s="14" t="s">
        <v>1258</v>
      </c>
      <c r="E1071" s="12" t="s">
        <v>28</v>
      </c>
      <c r="F1071" s="13" t="s">
        <v>29</v>
      </c>
      <c r="G1071">
        <v>1</v>
      </c>
      <c r="H1071" t="s">
        <v>420</v>
      </c>
      <c r="I1071">
        <v>1</v>
      </c>
      <c r="J1071" s="15"/>
      <c r="K1071" s="16">
        <f>702 - (702 * $E$1)</f>
        <v>702</v>
      </c>
      <c r="L1071" s="16">
        <f>575.41 - (575.41 * $E$1)</f>
        <v>575.41</v>
      </c>
      <c r="M1071" s="1">
        <v>702</v>
      </c>
      <c r="N1071" s="1">
        <v>575.41</v>
      </c>
      <c r="O1071" s="1">
        <v>596.70000000000005</v>
      </c>
      <c r="P1071" s="1">
        <v>489.1</v>
      </c>
      <c r="Q1071">
        <v>0.1</v>
      </c>
      <c r="R1071">
        <v>9.7499999999999996E-4</v>
      </c>
    </row>
    <row r="1072" spans="1:18" ht="13.8" outlineLevel="1" x14ac:dyDescent="0.25">
      <c r="A1072">
        <v>79475</v>
      </c>
      <c r="B1072" t="s">
        <v>1274</v>
      </c>
      <c r="C1072" t="s">
        <v>1275</v>
      </c>
      <c r="D1072" s="14" t="s">
        <v>1276</v>
      </c>
      <c r="E1072" s="12" t="s">
        <v>28</v>
      </c>
      <c r="F1072" s="17" t="s">
        <v>549</v>
      </c>
      <c r="G1072">
        <v>100</v>
      </c>
      <c r="H1072" t="s">
        <v>30</v>
      </c>
      <c r="I1072">
        <v>500</v>
      </c>
      <c r="J1072" s="15"/>
      <c r="K1072" s="16">
        <f>0.48 - (0.48 * $E$1)</f>
        <v>0.48</v>
      </c>
      <c r="L1072" s="16">
        <f>0.39 - (0.39 * $E$1)</f>
        <v>0.39</v>
      </c>
      <c r="M1072" s="1">
        <v>0.48</v>
      </c>
      <c r="N1072" s="1">
        <v>0.39</v>
      </c>
      <c r="O1072" s="1">
        <v>0.4</v>
      </c>
      <c r="P1072" s="1">
        <v>0.33</v>
      </c>
      <c r="Q1072">
        <v>6.0000000000000002E-5</v>
      </c>
      <c r="R1072">
        <v>2.1E-7</v>
      </c>
    </row>
    <row r="1073" spans="1:18" ht="13.8" outlineLevel="1" x14ac:dyDescent="0.25">
      <c r="A1073">
        <v>79476</v>
      </c>
      <c r="B1073" t="s">
        <v>1274</v>
      </c>
      <c r="C1073" t="s">
        <v>1277</v>
      </c>
      <c r="D1073" s="14" t="s">
        <v>1276</v>
      </c>
      <c r="E1073" s="12" t="s">
        <v>28</v>
      </c>
      <c r="F1073" s="17" t="s">
        <v>549</v>
      </c>
      <c r="G1073">
        <v>100</v>
      </c>
      <c r="H1073" t="s">
        <v>30</v>
      </c>
      <c r="I1073">
        <v>500</v>
      </c>
      <c r="J1073" s="15"/>
      <c r="K1073" s="16">
        <f>0.55 - (0.55 * $E$1)</f>
        <v>0.55000000000000004</v>
      </c>
      <c r="L1073" s="16">
        <f>0.45 - (0.45 * $E$1)</f>
        <v>0.45</v>
      </c>
      <c r="M1073" s="1">
        <v>0.55000000000000004</v>
      </c>
      <c r="N1073" s="1">
        <v>0.45</v>
      </c>
      <c r="O1073" s="1">
        <v>0.47</v>
      </c>
      <c r="P1073" s="1">
        <v>0.38</v>
      </c>
      <c r="Q1073">
        <v>1E-4</v>
      </c>
      <c r="R1073">
        <v>5.9999999999999997E-7</v>
      </c>
    </row>
    <row r="1074" spans="1:18" ht="13.8" outlineLevel="1" x14ac:dyDescent="0.25">
      <c r="A1074">
        <v>79477</v>
      </c>
      <c r="B1074" t="s">
        <v>1274</v>
      </c>
      <c r="C1074" t="s">
        <v>1278</v>
      </c>
      <c r="D1074" s="14" t="s">
        <v>1276</v>
      </c>
      <c r="E1074" s="12" t="s">
        <v>28</v>
      </c>
      <c r="F1074" s="17" t="s">
        <v>549</v>
      </c>
      <c r="G1074">
        <v>100</v>
      </c>
      <c r="H1074" t="s">
        <v>30</v>
      </c>
      <c r="I1074">
        <v>500</v>
      </c>
      <c r="J1074" s="15"/>
      <c r="K1074" s="16">
        <f>0.59 - (0.59 * $E$1)</f>
        <v>0.59</v>
      </c>
      <c r="L1074" s="16">
        <f>0.48 - (0.48 * $E$1)</f>
        <v>0.48</v>
      </c>
      <c r="M1074" s="1">
        <v>0.59</v>
      </c>
      <c r="N1074" s="1">
        <v>0.48</v>
      </c>
      <c r="O1074" s="1">
        <v>0.5</v>
      </c>
      <c r="P1074" s="1">
        <v>0.41</v>
      </c>
      <c r="Q1074">
        <v>6.0000000000000002E-5</v>
      </c>
      <c r="R1074">
        <v>2.1E-7</v>
      </c>
    </row>
    <row r="1075" spans="1:18" ht="13.8" outlineLevel="1" x14ac:dyDescent="0.25">
      <c r="A1075">
        <v>79478</v>
      </c>
      <c r="B1075" t="s">
        <v>1274</v>
      </c>
      <c r="C1075" t="s">
        <v>1279</v>
      </c>
      <c r="D1075" s="14" t="s">
        <v>1276</v>
      </c>
      <c r="E1075" s="12" t="s">
        <v>28</v>
      </c>
      <c r="F1075" s="17" t="s">
        <v>549</v>
      </c>
      <c r="G1075">
        <v>100</v>
      </c>
      <c r="H1075" t="s">
        <v>30</v>
      </c>
      <c r="I1075">
        <v>500</v>
      </c>
      <c r="J1075" s="15"/>
      <c r="K1075" s="16">
        <f>0.67 - (0.67 * $E$1)</f>
        <v>0.67</v>
      </c>
      <c r="L1075" s="16">
        <f>0.55 - (0.55 * $E$1)</f>
        <v>0.55000000000000004</v>
      </c>
      <c r="M1075" s="1">
        <v>0.67</v>
      </c>
      <c r="N1075" s="1">
        <v>0.55000000000000004</v>
      </c>
      <c r="O1075" s="1">
        <v>0.56999999999999995</v>
      </c>
      <c r="P1075" s="1">
        <v>0.47</v>
      </c>
      <c r="Q1075">
        <v>1E-4</v>
      </c>
      <c r="R1075">
        <v>6.7999999999999995E-7</v>
      </c>
    </row>
    <row r="1076" spans="1:18" ht="13.8" outlineLevel="1" x14ac:dyDescent="0.25">
      <c r="A1076">
        <v>79479</v>
      </c>
      <c r="B1076" t="s">
        <v>1274</v>
      </c>
      <c r="C1076" t="s">
        <v>1280</v>
      </c>
      <c r="D1076" s="14" t="s">
        <v>1276</v>
      </c>
      <c r="E1076" s="12" t="s">
        <v>28</v>
      </c>
      <c r="F1076" s="17" t="s">
        <v>549</v>
      </c>
      <c r="G1076">
        <v>100</v>
      </c>
      <c r="H1076" t="s">
        <v>30</v>
      </c>
      <c r="I1076">
        <v>500</v>
      </c>
      <c r="J1076" s="15"/>
      <c r="K1076" s="16">
        <f>0.82 - (0.82 * $E$1)</f>
        <v>0.82</v>
      </c>
      <c r="L1076" s="16">
        <f>0.67 - (0.67 * $E$1)</f>
        <v>0.67</v>
      </c>
      <c r="M1076" s="1">
        <v>0.82</v>
      </c>
      <c r="N1076" s="1">
        <v>0.67</v>
      </c>
      <c r="O1076" s="1">
        <v>0.69</v>
      </c>
      <c r="P1076" s="1">
        <v>0.56999999999999995</v>
      </c>
      <c r="Q1076">
        <v>8.0000000000000007E-5</v>
      </c>
      <c r="R1076">
        <v>8.2999999999999999E-7</v>
      </c>
    </row>
    <row r="1077" spans="1:18" ht="13.8" outlineLevel="1" x14ac:dyDescent="0.25">
      <c r="A1077">
        <v>79480</v>
      </c>
      <c r="B1077" t="s">
        <v>1274</v>
      </c>
      <c r="C1077" t="s">
        <v>1281</v>
      </c>
      <c r="D1077" s="14" t="s">
        <v>1276</v>
      </c>
      <c r="E1077" s="12" t="s">
        <v>28</v>
      </c>
      <c r="F1077" s="13" t="s">
        <v>29</v>
      </c>
      <c r="G1077">
        <v>100</v>
      </c>
      <c r="H1077" t="s">
        <v>30</v>
      </c>
      <c r="I1077">
        <v>500</v>
      </c>
      <c r="J1077" s="15"/>
      <c r="K1077" s="16">
        <f>1.26 - (1.26 * $E$1)</f>
        <v>1.26</v>
      </c>
      <c r="L1077" s="16">
        <f>1.03 - (1.03 * $E$1)</f>
        <v>1.03</v>
      </c>
      <c r="M1077" s="1">
        <v>1.26</v>
      </c>
      <c r="N1077" s="1">
        <v>1.03</v>
      </c>
      <c r="O1077" s="1">
        <v>1.07</v>
      </c>
      <c r="P1077" s="1">
        <v>0.88</v>
      </c>
      <c r="Q1077">
        <v>1E-4</v>
      </c>
      <c r="R1077">
        <v>6.3E-7</v>
      </c>
    </row>
    <row r="1078" spans="1:18" ht="13.8" outlineLevel="1" x14ac:dyDescent="0.25">
      <c r="A1078">
        <v>79481</v>
      </c>
      <c r="B1078" t="s">
        <v>1274</v>
      </c>
      <c r="C1078" t="s">
        <v>1282</v>
      </c>
      <c r="D1078" s="14" t="s">
        <v>1276</v>
      </c>
      <c r="E1078" s="12" t="s">
        <v>28</v>
      </c>
      <c r="F1078" s="17" t="s">
        <v>549</v>
      </c>
      <c r="G1078">
        <v>100</v>
      </c>
      <c r="H1078" t="s">
        <v>30</v>
      </c>
      <c r="I1078">
        <v>500</v>
      </c>
      <c r="J1078" s="15"/>
      <c r="K1078" s="16">
        <f>1.95 - (1.95 * $E$1)</f>
        <v>1.95</v>
      </c>
      <c r="L1078" s="16">
        <f>1.6 - (1.6 * $E$1)</f>
        <v>1.6</v>
      </c>
      <c r="M1078" s="1">
        <v>1.95</v>
      </c>
      <c r="N1078" s="1">
        <v>1.6</v>
      </c>
      <c r="O1078" s="1">
        <v>1.66</v>
      </c>
      <c r="P1078" s="1">
        <v>1.36</v>
      </c>
      <c r="Q1078">
        <v>1.8000000000000001E-4</v>
      </c>
      <c r="R1078">
        <v>1.04E-6</v>
      </c>
    </row>
    <row r="1079" spans="1:18" ht="13.8" outlineLevel="1" x14ac:dyDescent="0.25">
      <c r="A1079">
        <v>79482</v>
      </c>
      <c r="B1079" t="s">
        <v>1274</v>
      </c>
      <c r="C1079" t="s">
        <v>1283</v>
      </c>
      <c r="D1079" s="14" t="s">
        <v>1276</v>
      </c>
      <c r="E1079" s="12" t="s">
        <v>28</v>
      </c>
      <c r="F1079" s="17" t="s">
        <v>549</v>
      </c>
      <c r="G1079">
        <v>100</v>
      </c>
      <c r="H1079" t="s">
        <v>30</v>
      </c>
      <c r="I1079">
        <v>500</v>
      </c>
      <c r="J1079" s="15"/>
      <c r="K1079" s="16">
        <f>2.38 - (2.38 * $E$1)</f>
        <v>2.38</v>
      </c>
      <c r="L1079" s="16">
        <f>1.95 - (1.95 * $E$1)</f>
        <v>1.95</v>
      </c>
      <c r="M1079" s="1">
        <v>2.38</v>
      </c>
      <c r="N1079" s="1">
        <v>1.95</v>
      </c>
      <c r="O1079" s="1">
        <v>2.02</v>
      </c>
      <c r="P1079" s="1">
        <v>1.66</v>
      </c>
      <c r="Q1079">
        <v>5.0000000000000001E-4</v>
      </c>
      <c r="R1079">
        <v>6.9999999999999997E-7</v>
      </c>
    </row>
    <row r="1080" spans="1:18" ht="13.8" outlineLevel="1" x14ac:dyDescent="0.25">
      <c r="A1080">
        <v>79483</v>
      </c>
      <c r="B1080" t="s">
        <v>1274</v>
      </c>
      <c r="C1080" t="s">
        <v>1284</v>
      </c>
      <c r="D1080" s="14" t="s">
        <v>1276</v>
      </c>
      <c r="E1080" s="12" t="s">
        <v>28</v>
      </c>
      <c r="F1080" s="17" t="s">
        <v>549</v>
      </c>
      <c r="G1080">
        <v>100</v>
      </c>
      <c r="H1080" t="s">
        <v>30</v>
      </c>
      <c r="I1080">
        <v>500</v>
      </c>
      <c r="J1080" s="15"/>
      <c r="K1080" s="16">
        <f>3.29 - (3.29 * $E$1)</f>
        <v>3.29</v>
      </c>
      <c r="L1080" s="16">
        <f>2.7 - (2.7 * $E$1)</f>
        <v>2.7</v>
      </c>
      <c r="M1080" s="1">
        <v>3.29</v>
      </c>
      <c r="N1080" s="1">
        <v>2.7</v>
      </c>
      <c r="O1080" s="1">
        <v>2.8</v>
      </c>
      <c r="P1080" s="1">
        <v>2.2999999999999998</v>
      </c>
      <c r="Q1080">
        <v>1E-3</v>
      </c>
      <c r="R1080">
        <v>5.04E-6</v>
      </c>
    </row>
    <row r="1081" spans="1:18" ht="13.8" outlineLevel="1" x14ac:dyDescent="0.25">
      <c r="A1081">
        <v>79484</v>
      </c>
      <c r="B1081" t="s">
        <v>1274</v>
      </c>
      <c r="C1081" t="s">
        <v>1285</v>
      </c>
      <c r="D1081" s="14" t="s">
        <v>1276</v>
      </c>
      <c r="E1081" s="12" t="s">
        <v>28</v>
      </c>
      <c r="F1081" s="17" t="s">
        <v>549</v>
      </c>
      <c r="G1081">
        <v>100</v>
      </c>
      <c r="H1081" t="s">
        <v>30</v>
      </c>
      <c r="I1081">
        <v>100</v>
      </c>
      <c r="J1081" s="15"/>
      <c r="K1081" s="16">
        <f>5.49 - (5.49 * $E$1)</f>
        <v>5.49</v>
      </c>
      <c r="L1081" s="16">
        <f>4.5 - (4.5 * $E$1)</f>
        <v>4.5</v>
      </c>
      <c r="M1081" s="1">
        <v>5.49</v>
      </c>
      <c r="N1081" s="1">
        <v>4.5</v>
      </c>
      <c r="O1081" s="1">
        <v>4.67</v>
      </c>
      <c r="P1081" s="1">
        <v>3.83</v>
      </c>
      <c r="Q1081">
        <v>5.0000000000000001E-4</v>
      </c>
      <c r="R1081">
        <v>5.04E-6</v>
      </c>
    </row>
    <row r="1082" spans="1:18" ht="13.8" outlineLevel="1" x14ac:dyDescent="0.25">
      <c r="A1082">
        <v>108937</v>
      </c>
      <c r="B1082" t="s">
        <v>1286</v>
      </c>
      <c r="C1082" t="s">
        <v>1287</v>
      </c>
      <c r="D1082" s="14" t="s">
        <v>1276</v>
      </c>
      <c r="E1082" s="12" t="s">
        <v>28</v>
      </c>
      <c r="F1082" s="13" t="s">
        <v>29</v>
      </c>
      <c r="G1082">
        <v>1</v>
      </c>
      <c r="H1082" t="s">
        <v>420</v>
      </c>
      <c r="I1082">
        <v>5</v>
      </c>
      <c r="J1082" s="15"/>
      <c r="K1082" s="16">
        <f>47.99 - (47.99 * $E$1)</f>
        <v>47.99</v>
      </c>
      <c r="L1082" s="16">
        <f>39.34 - (39.34 * $E$1)</f>
        <v>39.340000000000003</v>
      </c>
      <c r="M1082" s="1">
        <v>47.99</v>
      </c>
      <c r="N1082" s="1">
        <v>39.340000000000003</v>
      </c>
      <c r="O1082" s="1">
        <v>40.799999999999997</v>
      </c>
      <c r="P1082" s="1">
        <v>33.44</v>
      </c>
      <c r="Q1082">
        <v>6.0000000000000001E-3</v>
      </c>
      <c r="R1082">
        <v>2.0999999999999999E-5</v>
      </c>
    </row>
    <row r="1083" spans="1:18" ht="13.8" outlineLevel="1" x14ac:dyDescent="0.25">
      <c r="A1083">
        <v>108938</v>
      </c>
      <c r="B1083" t="s">
        <v>1286</v>
      </c>
      <c r="C1083" t="s">
        <v>1288</v>
      </c>
      <c r="D1083" s="14" t="s">
        <v>1276</v>
      </c>
      <c r="E1083" s="12" t="s">
        <v>28</v>
      </c>
      <c r="F1083" s="13" t="s">
        <v>29</v>
      </c>
      <c r="G1083">
        <v>1</v>
      </c>
      <c r="H1083" t="s">
        <v>420</v>
      </c>
      <c r="I1083">
        <v>5</v>
      </c>
      <c r="J1083" s="15"/>
      <c r="K1083" s="16">
        <f>55 - (55 * $E$1)</f>
        <v>55</v>
      </c>
      <c r="L1083" s="16">
        <f>45.08 - (45.08 * $E$1)</f>
        <v>45.08</v>
      </c>
      <c r="M1083" s="1">
        <v>55</v>
      </c>
      <c r="N1083" s="1">
        <v>45.08</v>
      </c>
      <c r="O1083" s="1">
        <v>46.75</v>
      </c>
      <c r="P1083" s="1">
        <v>38.32</v>
      </c>
      <c r="Q1083">
        <v>0.01</v>
      </c>
      <c r="R1083">
        <v>6.0000000000000002E-5</v>
      </c>
    </row>
    <row r="1084" spans="1:18" ht="13.8" outlineLevel="1" x14ac:dyDescent="0.25">
      <c r="A1084">
        <v>108939</v>
      </c>
      <c r="B1084" t="s">
        <v>1286</v>
      </c>
      <c r="C1084" t="s">
        <v>1289</v>
      </c>
      <c r="D1084" s="14" t="s">
        <v>1276</v>
      </c>
      <c r="E1084" s="12" t="s">
        <v>28</v>
      </c>
      <c r="F1084" s="13" t="s">
        <v>29</v>
      </c>
      <c r="G1084">
        <v>1</v>
      </c>
      <c r="H1084" t="s">
        <v>420</v>
      </c>
      <c r="I1084">
        <v>5</v>
      </c>
      <c r="J1084" s="15"/>
      <c r="K1084" s="16">
        <f>59 - (59 * $E$1)</f>
        <v>59</v>
      </c>
      <c r="L1084" s="16">
        <f>48.36 - (48.36 * $E$1)</f>
        <v>48.36</v>
      </c>
      <c r="M1084" s="1">
        <v>59</v>
      </c>
      <c r="N1084" s="1">
        <v>48.36</v>
      </c>
      <c r="O1084" s="1">
        <v>50.15</v>
      </c>
      <c r="P1084" s="1">
        <v>41.11</v>
      </c>
      <c r="Q1084">
        <v>6.0000000000000001E-3</v>
      </c>
      <c r="R1084">
        <v>2.0999999999999999E-5</v>
      </c>
    </row>
    <row r="1085" spans="1:18" ht="13.8" outlineLevel="1" x14ac:dyDescent="0.25">
      <c r="A1085">
        <v>108940</v>
      </c>
      <c r="B1085" t="s">
        <v>1286</v>
      </c>
      <c r="C1085" t="s">
        <v>1290</v>
      </c>
      <c r="D1085" s="14" t="s">
        <v>1276</v>
      </c>
      <c r="E1085" s="12" t="s">
        <v>28</v>
      </c>
      <c r="F1085" s="13" t="s">
        <v>29</v>
      </c>
      <c r="G1085">
        <v>1</v>
      </c>
      <c r="H1085" t="s">
        <v>420</v>
      </c>
      <c r="I1085">
        <v>5</v>
      </c>
      <c r="J1085" s="15"/>
      <c r="K1085" s="16">
        <f>67 - (67 * $E$1)</f>
        <v>67</v>
      </c>
      <c r="L1085" s="16">
        <f>54.92 - (54.92 * $E$1)</f>
        <v>54.92</v>
      </c>
      <c r="M1085" s="1">
        <v>67</v>
      </c>
      <c r="N1085" s="1">
        <v>54.92</v>
      </c>
      <c r="O1085" s="1">
        <v>56.95</v>
      </c>
      <c r="P1085" s="1">
        <v>46.68</v>
      </c>
      <c r="Q1085">
        <v>0.01</v>
      </c>
      <c r="R1085">
        <v>6.7999999999999999E-5</v>
      </c>
    </row>
    <row r="1086" spans="1:18" ht="13.8" outlineLevel="1" x14ac:dyDescent="0.25">
      <c r="A1086">
        <v>108941</v>
      </c>
      <c r="B1086" t="s">
        <v>1286</v>
      </c>
      <c r="C1086" t="s">
        <v>1291</v>
      </c>
      <c r="D1086" s="14" t="s">
        <v>1276</v>
      </c>
      <c r="E1086" s="12" t="s">
        <v>28</v>
      </c>
      <c r="F1086" s="13" t="s">
        <v>29</v>
      </c>
      <c r="G1086">
        <v>1</v>
      </c>
      <c r="H1086" t="s">
        <v>420</v>
      </c>
      <c r="I1086">
        <v>5</v>
      </c>
      <c r="J1086" s="15"/>
      <c r="K1086" s="16">
        <f>82 - (82 * $E$1)</f>
        <v>82</v>
      </c>
      <c r="L1086" s="16">
        <f>67.21 - (67.21 * $E$1)</f>
        <v>67.209999999999994</v>
      </c>
      <c r="M1086" s="1">
        <v>82</v>
      </c>
      <c r="N1086" s="1">
        <v>67.209999999999994</v>
      </c>
      <c r="O1086" s="1">
        <v>69.7</v>
      </c>
      <c r="P1086" s="1">
        <v>57.13</v>
      </c>
      <c r="Q1086">
        <v>8.0000000000000002E-3</v>
      </c>
      <c r="R1086">
        <v>8.2999999999999998E-5</v>
      </c>
    </row>
    <row r="1087" spans="1:18" ht="13.8" outlineLevel="1" x14ac:dyDescent="0.25">
      <c r="A1087">
        <v>108942</v>
      </c>
      <c r="B1087" t="s">
        <v>1286</v>
      </c>
      <c r="C1087" t="s">
        <v>1292</v>
      </c>
      <c r="D1087" s="14" t="s">
        <v>1276</v>
      </c>
      <c r="E1087" s="12" t="s">
        <v>28</v>
      </c>
      <c r="F1087" s="13" t="s">
        <v>29</v>
      </c>
      <c r="G1087">
        <v>1</v>
      </c>
      <c r="H1087" t="s">
        <v>420</v>
      </c>
      <c r="I1087">
        <v>5</v>
      </c>
      <c r="J1087" s="15"/>
      <c r="K1087" s="16">
        <f>126 - (126 * $E$1)</f>
        <v>126</v>
      </c>
      <c r="L1087" s="16">
        <f>103.28 - (103.28 * $E$1)</f>
        <v>103.28</v>
      </c>
      <c r="M1087" s="1">
        <v>126</v>
      </c>
      <c r="N1087" s="1">
        <v>103.28</v>
      </c>
      <c r="O1087" s="1">
        <v>107.1</v>
      </c>
      <c r="P1087" s="1">
        <v>87.79</v>
      </c>
      <c r="Q1087">
        <v>0.01</v>
      </c>
      <c r="R1087">
        <v>6.3E-5</v>
      </c>
    </row>
    <row r="1088" spans="1:18" ht="13.8" outlineLevel="1" x14ac:dyDescent="0.25">
      <c r="A1088">
        <v>108943</v>
      </c>
      <c r="B1088" t="s">
        <v>1286</v>
      </c>
      <c r="C1088" t="s">
        <v>1293</v>
      </c>
      <c r="D1088" s="14" t="s">
        <v>1276</v>
      </c>
      <c r="E1088" s="12" t="s">
        <v>28</v>
      </c>
      <c r="F1088" s="13" t="s">
        <v>29</v>
      </c>
      <c r="G1088">
        <v>1</v>
      </c>
      <c r="H1088" t="s">
        <v>420</v>
      </c>
      <c r="I1088">
        <v>5</v>
      </c>
      <c r="J1088" s="15"/>
      <c r="K1088" s="16">
        <f>195 - (195 * $E$1)</f>
        <v>195</v>
      </c>
      <c r="L1088" s="16">
        <f>159.84 - (159.84 * $E$1)</f>
        <v>159.84</v>
      </c>
      <c r="M1088" s="1">
        <v>195</v>
      </c>
      <c r="N1088" s="1">
        <v>159.84</v>
      </c>
      <c r="O1088" s="1">
        <v>165.75</v>
      </c>
      <c r="P1088" s="1">
        <v>135.86000000000001</v>
      </c>
      <c r="Q1088">
        <v>1.7999999999999999E-2</v>
      </c>
      <c r="R1088">
        <v>1.0399999999999999E-4</v>
      </c>
    </row>
    <row r="1089" spans="1:18" ht="13.8" outlineLevel="1" x14ac:dyDescent="0.25">
      <c r="A1089">
        <v>108944</v>
      </c>
      <c r="B1089" t="s">
        <v>1286</v>
      </c>
      <c r="C1089" t="s">
        <v>1294</v>
      </c>
      <c r="D1089" s="14" t="s">
        <v>1276</v>
      </c>
      <c r="E1089" s="12" t="s">
        <v>28</v>
      </c>
      <c r="F1089" s="13" t="s">
        <v>29</v>
      </c>
      <c r="G1089">
        <v>1</v>
      </c>
      <c r="H1089" t="s">
        <v>420</v>
      </c>
      <c r="I1089">
        <v>5</v>
      </c>
      <c r="J1089" s="15"/>
      <c r="K1089" s="16">
        <f>238 - (238 * $E$1)</f>
        <v>238</v>
      </c>
      <c r="L1089" s="16">
        <f>195.08 - (195.08 * $E$1)</f>
        <v>195.08</v>
      </c>
      <c r="M1089" s="1">
        <v>238</v>
      </c>
      <c r="N1089" s="1">
        <v>195.08</v>
      </c>
      <c r="O1089" s="1">
        <v>202.3</v>
      </c>
      <c r="P1089" s="1">
        <v>165.82</v>
      </c>
      <c r="Q1089">
        <v>0.05</v>
      </c>
      <c r="R1089">
        <v>6.9999999999999994E-5</v>
      </c>
    </row>
    <row r="1090" spans="1:18" ht="13.8" outlineLevel="1" x14ac:dyDescent="0.25">
      <c r="A1090">
        <v>108945</v>
      </c>
      <c r="B1090" t="s">
        <v>1286</v>
      </c>
      <c r="C1090" t="s">
        <v>1295</v>
      </c>
      <c r="D1090" s="14" t="s">
        <v>1276</v>
      </c>
      <c r="E1090" s="12" t="s">
        <v>28</v>
      </c>
      <c r="F1090" s="13" t="s">
        <v>29</v>
      </c>
      <c r="G1090">
        <v>1</v>
      </c>
      <c r="H1090" t="s">
        <v>420</v>
      </c>
      <c r="I1090">
        <v>5</v>
      </c>
      <c r="J1090" s="15"/>
      <c r="K1090" s="16">
        <f>330 - (330 * $E$1)</f>
        <v>330</v>
      </c>
      <c r="L1090" s="16">
        <f>270.49 - (270.49 * $E$1)</f>
        <v>270.49</v>
      </c>
      <c r="M1090" s="1">
        <v>330</v>
      </c>
      <c r="N1090" s="1">
        <v>270.49</v>
      </c>
      <c r="O1090" s="1">
        <v>280.5</v>
      </c>
      <c r="P1090" s="1">
        <v>229.92</v>
      </c>
      <c r="Q1090">
        <v>0.1</v>
      </c>
      <c r="R1090">
        <v>5.04E-4</v>
      </c>
    </row>
    <row r="1091" spans="1:18" ht="13.8" outlineLevel="1" x14ac:dyDescent="0.25">
      <c r="A1091">
        <v>108946</v>
      </c>
      <c r="B1091" t="s">
        <v>1286</v>
      </c>
      <c r="C1091" t="s">
        <v>1296</v>
      </c>
      <c r="D1091" s="14" t="s">
        <v>1276</v>
      </c>
      <c r="E1091" s="12" t="s">
        <v>28</v>
      </c>
      <c r="F1091" s="13" t="s">
        <v>29</v>
      </c>
      <c r="G1091">
        <v>1</v>
      </c>
      <c r="H1091" t="s">
        <v>420</v>
      </c>
      <c r="I1091">
        <v>1</v>
      </c>
      <c r="J1091" s="15"/>
      <c r="K1091" s="16">
        <f>549 - (549 * $E$1)</f>
        <v>549</v>
      </c>
      <c r="L1091" s="16">
        <f>450 - (450 * $E$1)</f>
        <v>450</v>
      </c>
      <c r="M1091" s="1">
        <v>549</v>
      </c>
      <c r="N1091" s="1">
        <v>450</v>
      </c>
      <c r="O1091" s="1">
        <v>466.65</v>
      </c>
      <c r="P1091" s="1">
        <v>382.5</v>
      </c>
      <c r="Q1091">
        <v>0.05</v>
      </c>
      <c r="R1091">
        <v>5.04E-4</v>
      </c>
    </row>
    <row r="1092" spans="1:18" ht="13.8" outlineLevel="1" x14ac:dyDescent="0.25">
      <c r="A1092">
        <v>79489</v>
      </c>
      <c r="B1092" t="s">
        <v>1297</v>
      </c>
      <c r="C1092" t="s">
        <v>1298</v>
      </c>
      <c r="D1092" s="14" t="s">
        <v>1299</v>
      </c>
      <c r="E1092" s="12" t="s">
        <v>28</v>
      </c>
      <c r="F1092" s="13" t="s">
        <v>29</v>
      </c>
      <c r="G1092">
        <v>1</v>
      </c>
      <c r="H1092" t="s">
        <v>30</v>
      </c>
      <c r="I1092">
        <v>1</v>
      </c>
      <c r="J1092" s="15"/>
      <c r="K1092" s="16">
        <f>661.04 - (661.04 * $E$1)</f>
        <v>661.04</v>
      </c>
      <c r="L1092" s="16">
        <f>541.84 - (541.84 * $E$1)</f>
        <v>541.84</v>
      </c>
      <c r="M1092" s="1">
        <v>661.04</v>
      </c>
      <c r="N1092" s="1">
        <v>541.84</v>
      </c>
      <c r="O1092" s="1">
        <v>561.89</v>
      </c>
      <c r="P1092" s="1">
        <v>460.56</v>
      </c>
      <c r="Q1092">
        <v>9.4E-2</v>
      </c>
      <c r="R1092">
        <v>3.2400000000000001E-4</v>
      </c>
    </row>
    <row r="1093" spans="1:18" ht="13.8" outlineLevel="1" x14ac:dyDescent="0.25">
      <c r="A1093">
        <v>79490</v>
      </c>
      <c r="B1093" t="s">
        <v>1297</v>
      </c>
      <c r="C1093" t="s">
        <v>1300</v>
      </c>
      <c r="D1093" s="14" t="s">
        <v>1301</v>
      </c>
      <c r="E1093" s="12" t="s">
        <v>28</v>
      </c>
      <c r="F1093" s="13" t="s">
        <v>29</v>
      </c>
      <c r="G1093">
        <v>1</v>
      </c>
      <c r="H1093" t="s">
        <v>30</v>
      </c>
      <c r="I1093">
        <v>1</v>
      </c>
      <c r="J1093" s="15"/>
      <c r="K1093" s="16">
        <f>769.17 - (769.17 * $E$1)</f>
        <v>769.17</v>
      </c>
      <c r="L1093" s="16">
        <f>630.47 - (630.47 * $E$1)</f>
        <v>630.47</v>
      </c>
      <c r="M1093" s="1">
        <v>769.17</v>
      </c>
      <c r="N1093" s="1">
        <v>630.47</v>
      </c>
      <c r="O1093" s="1">
        <v>653.79999999999995</v>
      </c>
      <c r="P1093" s="1">
        <v>535.9</v>
      </c>
      <c r="Q1093">
        <v>8.5000000000000006E-2</v>
      </c>
      <c r="R1093">
        <v>3.2400000000000001E-4</v>
      </c>
    </row>
    <row r="1094" spans="1:18" ht="13.8" outlineLevel="1" x14ac:dyDescent="0.25">
      <c r="A1094">
        <v>79491</v>
      </c>
      <c r="B1094" t="s">
        <v>1297</v>
      </c>
      <c r="C1094" t="s">
        <v>1302</v>
      </c>
      <c r="D1094" s="14" t="s">
        <v>1303</v>
      </c>
      <c r="E1094" s="12" t="s">
        <v>28</v>
      </c>
      <c r="F1094" s="13" t="s">
        <v>29</v>
      </c>
      <c r="G1094">
        <v>1</v>
      </c>
      <c r="H1094" t="s">
        <v>30</v>
      </c>
      <c r="I1094">
        <v>1</v>
      </c>
      <c r="J1094" s="15"/>
      <c r="K1094" s="16">
        <f>740.59 - (740.59 * $E$1)</f>
        <v>740.59</v>
      </c>
      <c r="L1094" s="16">
        <f>607.04 - (607.04 * $E$1)</f>
        <v>607.04</v>
      </c>
      <c r="M1094" s="1">
        <v>740.59</v>
      </c>
      <c r="N1094" s="1">
        <v>607.04</v>
      </c>
      <c r="O1094" s="1">
        <v>629.5</v>
      </c>
      <c r="P1094" s="1">
        <v>515.98</v>
      </c>
      <c r="Q1094">
        <v>0.02</v>
      </c>
      <c r="R1094">
        <v>4.0000000000000003E-5</v>
      </c>
    </row>
    <row r="1095" spans="1:18" ht="13.8" outlineLevel="1" x14ac:dyDescent="0.25">
      <c r="A1095">
        <v>79492</v>
      </c>
      <c r="B1095" t="s">
        <v>1297</v>
      </c>
      <c r="C1095" t="s">
        <v>1304</v>
      </c>
      <c r="D1095" s="14" t="s">
        <v>1305</v>
      </c>
      <c r="E1095" s="12" t="s">
        <v>28</v>
      </c>
      <c r="F1095" s="13" t="s">
        <v>29</v>
      </c>
      <c r="G1095">
        <v>1</v>
      </c>
      <c r="H1095" t="s">
        <v>30</v>
      </c>
      <c r="I1095">
        <v>1</v>
      </c>
      <c r="J1095" s="15"/>
      <c r="K1095" s="16">
        <f>480.2 - (480.2 * $E$1)</f>
        <v>480.2</v>
      </c>
      <c r="L1095" s="16">
        <f>393.61 - (393.61 * $E$1)</f>
        <v>393.61</v>
      </c>
      <c r="M1095" s="1">
        <v>480.2</v>
      </c>
      <c r="N1095" s="1">
        <v>393.61</v>
      </c>
      <c r="O1095" s="1">
        <v>408.17</v>
      </c>
      <c r="P1095" s="1">
        <v>334.57</v>
      </c>
      <c r="Q1095">
        <v>0.08</v>
      </c>
      <c r="R1095">
        <v>3.2400000000000001E-4</v>
      </c>
    </row>
    <row r="1096" spans="1:18" ht="13.8" outlineLevel="1" x14ac:dyDescent="0.25">
      <c r="A1096">
        <v>79493</v>
      </c>
      <c r="B1096" t="s">
        <v>1297</v>
      </c>
      <c r="C1096" t="s">
        <v>1306</v>
      </c>
      <c r="D1096" s="14" t="s">
        <v>1307</v>
      </c>
      <c r="E1096" s="12" t="s">
        <v>28</v>
      </c>
      <c r="F1096" s="13" t="s">
        <v>29</v>
      </c>
      <c r="G1096">
        <v>1</v>
      </c>
      <c r="H1096" t="s">
        <v>30</v>
      </c>
      <c r="I1096">
        <v>1</v>
      </c>
      <c r="J1096" s="15"/>
      <c r="K1096" s="16">
        <f>1559.06 - (1559.06 * $E$1)</f>
        <v>1559.06</v>
      </c>
      <c r="L1096" s="16">
        <f>1277.92 - (1277.92 * $E$1)</f>
        <v>1277.92</v>
      </c>
      <c r="M1096" s="1">
        <v>1559.06</v>
      </c>
      <c r="N1096" s="1">
        <v>1277.92</v>
      </c>
      <c r="O1096" s="1">
        <v>1325.2</v>
      </c>
      <c r="P1096" s="1">
        <v>1086.23</v>
      </c>
      <c r="Q1096">
        <v>0.19800000000000001</v>
      </c>
      <c r="R1096">
        <v>6.4599999999999998E-4</v>
      </c>
    </row>
    <row r="1097" spans="1:18" ht="13.8" outlineLevel="1" x14ac:dyDescent="0.25">
      <c r="A1097">
        <v>82885</v>
      </c>
      <c r="B1097" t="s">
        <v>1297</v>
      </c>
      <c r="C1097" t="s">
        <v>1308</v>
      </c>
      <c r="D1097" s="14" t="s">
        <v>1309</v>
      </c>
      <c r="E1097" s="12" t="s">
        <v>28</v>
      </c>
      <c r="F1097" s="13" t="s">
        <v>29</v>
      </c>
      <c r="G1097">
        <v>1</v>
      </c>
      <c r="H1097" t="s">
        <v>30</v>
      </c>
      <c r="I1097">
        <v>1</v>
      </c>
      <c r="J1097" s="15"/>
      <c r="K1097" s="16">
        <f>1664.48 - (1664.48 * $E$1)</f>
        <v>1664.48</v>
      </c>
      <c r="L1097" s="16">
        <f>1364.33 - (1364.33 * $E$1)</f>
        <v>1364.33</v>
      </c>
      <c r="M1097" s="1">
        <v>1664.48</v>
      </c>
      <c r="N1097" s="1">
        <v>1364.33</v>
      </c>
      <c r="O1097" s="1">
        <v>1414.81</v>
      </c>
      <c r="P1097" s="1">
        <v>1159.68</v>
      </c>
      <c r="Q1097">
        <v>0.3</v>
      </c>
      <c r="R1097">
        <v>1.1039999999999999E-3</v>
      </c>
    </row>
    <row r="1098" spans="1:18" ht="13.8" outlineLevel="1" x14ac:dyDescent="0.25">
      <c r="A1098">
        <v>83602</v>
      </c>
      <c r="B1098" t="s">
        <v>1297</v>
      </c>
      <c r="C1098" t="s">
        <v>1310</v>
      </c>
      <c r="D1098" s="14" t="s">
        <v>1311</v>
      </c>
      <c r="E1098" s="12" t="s">
        <v>28</v>
      </c>
      <c r="F1098" s="13" t="s">
        <v>29</v>
      </c>
      <c r="G1098">
        <v>1</v>
      </c>
      <c r="H1098" t="s">
        <v>30</v>
      </c>
      <c r="I1098">
        <v>1</v>
      </c>
      <c r="J1098" s="15"/>
      <c r="K1098" s="16">
        <f>1650.15 - (1650.15 * $E$1)</f>
        <v>1650.15</v>
      </c>
      <c r="L1098" s="16">
        <f>1352.58 - (1352.58 * $E$1)</f>
        <v>1352.58</v>
      </c>
      <c r="M1098" s="1">
        <v>1650.15</v>
      </c>
      <c r="N1098" s="1">
        <v>1352.58</v>
      </c>
      <c r="O1098" s="1">
        <v>1402.63</v>
      </c>
      <c r="P1098" s="1">
        <v>1149.69</v>
      </c>
      <c r="Q1098">
        <v>0.2</v>
      </c>
      <c r="R1098">
        <v>6.9300000000000004E-4</v>
      </c>
    </row>
    <row r="1099" spans="1:18" ht="13.8" outlineLevel="1" x14ac:dyDescent="0.25">
      <c r="A1099">
        <v>75273</v>
      </c>
      <c r="B1099" t="s">
        <v>1297</v>
      </c>
      <c r="C1099" t="s">
        <v>1312</v>
      </c>
      <c r="D1099" s="14" t="s">
        <v>1313</v>
      </c>
      <c r="E1099" s="12" t="s">
        <v>28</v>
      </c>
      <c r="F1099" s="17" t="s">
        <v>549</v>
      </c>
      <c r="G1099">
        <v>1</v>
      </c>
      <c r="H1099" t="s">
        <v>30</v>
      </c>
      <c r="I1099">
        <v>1</v>
      </c>
      <c r="J1099" s="15"/>
      <c r="K1099" s="16">
        <f>5383.05 - (5383.05 * $E$1)</f>
        <v>5383.05</v>
      </c>
      <c r="L1099" s="16">
        <f>4412.34 - (4412.34 * $E$1)</f>
        <v>4412.34</v>
      </c>
      <c r="M1099" s="1">
        <v>5383.05</v>
      </c>
      <c r="N1099" s="1">
        <v>4412.34</v>
      </c>
      <c r="O1099" s="1">
        <v>4575.6000000000004</v>
      </c>
      <c r="P1099" s="1">
        <v>3750.49</v>
      </c>
      <c r="Q1099">
        <v>1.7</v>
      </c>
      <c r="R1099">
        <v>3.46E-3</v>
      </c>
    </row>
    <row r="1100" spans="1:18" ht="13.8" outlineLevel="1" x14ac:dyDescent="0.25">
      <c r="A1100">
        <v>75274</v>
      </c>
      <c r="B1100" t="s">
        <v>1297</v>
      </c>
      <c r="C1100" t="s">
        <v>1314</v>
      </c>
      <c r="D1100" s="14" t="s">
        <v>1315</v>
      </c>
      <c r="E1100" s="12" t="s">
        <v>28</v>
      </c>
      <c r="F1100" s="13" t="s">
        <v>29</v>
      </c>
      <c r="G1100">
        <v>1</v>
      </c>
      <c r="H1100" t="s">
        <v>30</v>
      </c>
      <c r="I1100">
        <v>1</v>
      </c>
      <c r="J1100" s="15"/>
      <c r="K1100" s="16">
        <f>9714.09 - (9714.09 * $E$1)</f>
        <v>9714.09</v>
      </c>
      <c r="L1100" s="16">
        <f>7962.37 - (7962.37 * $E$1)</f>
        <v>7962.37</v>
      </c>
      <c r="M1100" s="1">
        <v>9714.09</v>
      </c>
      <c r="N1100" s="1">
        <v>7962.37</v>
      </c>
      <c r="O1100" s="1">
        <v>8256.98</v>
      </c>
      <c r="P1100" s="1">
        <v>6768.01</v>
      </c>
      <c r="Q1100">
        <v>2.0499999999999998</v>
      </c>
      <c r="R1100">
        <v>3.46E-3</v>
      </c>
    </row>
    <row r="1101" spans="1:18" ht="13.8" outlineLevel="1" x14ac:dyDescent="0.25">
      <c r="A1101">
        <v>75269</v>
      </c>
      <c r="B1101" t="s">
        <v>1297</v>
      </c>
      <c r="C1101" t="s">
        <v>1316</v>
      </c>
      <c r="D1101" s="14" t="s">
        <v>1317</v>
      </c>
      <c r="E1101" s="12" t="s">
        <v>28</v>
      </c>
      <c r="F1101" s="17" t="s">
        <v>549</v>
      </c>
      <c r="G1101">
        <v>1</v>
      </c>
      <c r="H1101" t="s">
        <v>30</v>
      </c>
      <c r="I1101">
        <v>1</v>
      </c>
      <c r="J1101" s="15"/>
      <c r="K1101" s="16">
        <f>8499.2 - (8499.2 * $E$1)</f>
        <v>8499.2000000000007</v>
      </c>
      <c r="L1101" s="16">
        <f>6966.56 - (6966.56 * $E$1)</f>
        <v>6966.56</v>
      </c>
      <c r="M1101" s="1">
        <v>8499.2000000000007</v>
      </c>
      <c r="N1101" s="1">
        <v>6966.56</v>
      </c>
      <c r="O1101" s="1">
        <v>7224.32</v>
      </c>
      <c r="P1101" s="1">
        <v>5921.58</v>
      </c>
      <c r="Q1101">
        <v>2.0699999999999998</v>
      </c>
      <c r="R1101">
        <v>4.5900000000000003E-3</v>
      </c>
    </row>
    <row r="1102" spans="1:18" ht="13.8" outlineLevel="1" x14ac:dyDescent="0.25">
      <c r="A1102">
        <v>75270</v>
      </c>
      <c r="B1102" t="s">
        <v>1297</v>
      </c>
      <c r="C1102" t="s">
        <v>1318</v>
      </c>
      <c r="D1102" s="14" t="s">
        <v>1319</v>
      </c>
      <c r="E1102" s="12" t="s">
        <v>28</v>
      </c>
      <c r="F1102" s="13" t="s">
        <v>29</v>
      </c>
      <c r="G1102">
        <v>1</v>
      </c>
      <c r="H1102" t="s">
        <v>30</v>
      </c>
      <c r="I1102">
        <v>1</v>
      </c>
      <c r="J1102" s="15"/>
      <c r="K1102" s="16">
        <f>11178.88 - (11178.88 * $E$1)</f>
        <v>11178.88</v>
      </c>
      <c r="L1102" s="16">
        <f>9163.02 - (9163.02 * $E$1)</f>
        <v>9163.02</v>
      </c>
      <c r="M1102" s="1">
        <v>11178.88</v>
      </c>
      <c r="N1102" s="1">
        <v>9163.02</v>
      </c>
      <c r="O1102" s="1">
        <v>9502.0499999999993</v>
      </c>
      <c r="P1102" s="1">
        <v>7788.57</v>
      </c>
      <c r="Q1102">
        <v>2.48</v>
      </c>
      <c r="R1102">
        <v>4.5900000000000003E-3</v>
      </c>
    </row>
    <row r="1103" spans="1:18" ht="13.8" outlineLevel="1" x14ac:dyDescent="0.25">
      <c r="A1103">
        <v>75271</v>
      </c>
      <c r="B1103" t="s">
        <v>1297</v>
      </c>
      <c r="C1103" t="s">
        <v>1320</v>
      </c>
      <c r="D1103" s="14" t="s">
        <v>1321</v>
      </c>
      <c r="E1103" s="12" t="s">
        <v>28</v>
      </c>
      <c r="F1103" s="13" t="s">
        <v>29</v>
      </c>
      <c r="G1103">
        <v>1</v>
      </c>
      <c r="H1103" t="s">
        <v>30</v>
      </c>
      <c r="I1103">
        <v>1</v>
      </c>
      <c r="J1103" s="15"/>
      <c r="K1103" s="16">
        <f>15102.7 - (15102.7 * $E$1)</f>
        <v>15102.7</v>
      </c>
      <c r="L1103" s="16">
        <f>12379.26 - (12379.26 * $E$1)</f>
        <v>12379.26</v>
      </c>
      <c r="M1103" s="1">
        <v>15102.7</v>
      </c>
      <c r="N1103" s="1">
        <v>12379.26</v>
      </c>
      <c r="O1103" s="1">
        <v>12837.29</v>
      </c>
      <c r="P1103" s="1">
        <v>10522.37</v>
      </c>
      <c r="Q1103">
        <v>2.82</v>
      </c>
      <c r="R1103">
        <v>4.5900000000000003E-3</v>
      </c>
    </row>
    <row r="1104" spans="1:18" ht="13.8" outlineLevel="1" x14ac:dyDescent="0.25">
      <c r="A1104">
        <v>83364</v>
      </c>
      <c r="B1104" t="s">
        <v>1297</v>
      </c>
      <c r="C1104" t="s">
        <v>1322</v>
      </c>
      <c r="D1104" s="14" t="s">
        <v>1323</v>
      </c>
      <c r="E1104" s="12" t="s">
        <v>28</v>
      </c>
      <c r="F1104" s="13" t="s">
        <v>29</v>
      </c>
      <c r="G1104">
        <v>1</v>
      </c>
      <c r="H1104" t="s">
        <v>30</v>
      </c>
      <c r="I1104">
        <v>1</v>
      </c>
      <c r="J1104" s="15"/>
      <c r="K1104" s="16">
        <f>3539.59 - (3539.59 * $E$1)</f>
        <v>3539.59</v>
      </c>
      <c r="L1104" s="16">
        <f>2901.3 - (2901.3 * $E$1)</f>
        <v>2901.3</v>
      </c>
      <c r="M1104" s="1">
        <v>3539.59</v>
      </c>
      <c r="N1104" s="1">
        <v>2901.3</v>
      </c>
      <c r="O1104" s="1">
        <v>3008.65</v>
      </c>
      <c r="P1104" s="1">
        <v>2466.11</v>
      </c>
      <c r="Q1104">
        <v>0.63</v>
      </c>
      <c r="R1104">
        <v>1.9109999999999999E-3</v>
      </c>
    </row>
    <row r="1105" spans="1:18" ht="13.8" outlineLevel="1" x14ac:dyDescent="0.25">
      <c r="A1105">
        <v>83365</v>
      </c>
      <c r="B1105" t="s">
        <v>1297</v>
      </c>
      <c r="C1105" t="s">
        <v>1324</v>
      </c>
      <c r="D1105" s="14" t="s">
        <v>1325</v>
      </c>
      <c r="E1105" s="12" t="s">
        <v>28</v>
      </c>
      <c r="F1105" s="13" t="s">
        <v>29</v>
      </c>
      <c r="G1105">
        <v>1</v>
      </c>
      <c r="H1105" t="s">
        <v>30</v>
      </c>
      <c r="I1105">
        <v>1</v>
      </c>
      <c r="J1105" s="15"/>
      <c r="K1105" s="16">
        <f>3730.11 - (3730.11 * $E$1)</f>
        <v>3730.11</v>
      </c>
      <c r="L1105" s="16">
        <f>3057.47 - (3057.47 * $E$1)</f>
        <v>3057.47</v>
      </c>
      <c r="M1105" s="1">
        <v>3730.11</v>
      </c>
      <c r="N1105" s="1">
        <v>3057.47</v>
      </c>
      <c r="O1105" s="1">
        <v>3170.6</v>
      </c>
      <c r="P1105" s="1">
        <v>2598.85</v>
      </c>
      <c r="Q1105">
        <v>0.72</v>
      </c>
      <c r="R1105">
        <v>1.9109999999999999E-3</v>
      </c>
    </row>
    <row r="1106" spans="1:18" ht="13.8" outlineLevel="1" x14ac:dyDescent="0.25">
      <c r="A1106">
        <v>105673</v>
      </c>
      <c r="B1106" t="s">
        <v>1326</v>
      </c>
      <c r="C1106" t="s">
        <v>1327</v>
      </c>
      <c r="D1106" s="14" t="s">
        <v>1328</v>
      </c>
      <c r="E1106" s="12" t="s">
        <v>28</v>
      </c>
      <c r="F1106" s="13" t="s">
        <v>29</v>
      </c>
      <c r="G1106">
        <v>1</v>
      </c>
      <c r="H1106" t="s">
        <v>30</v>
      </c>
      <c r="I1106">
        <v>1</v>
      </c>
      <c r="J1106" s="15"/>
      <c r="K1106" s="16">
        <f>5175.9 - (5175.9 * $E$1)</f>
        <v>5175.8999999999996</v>
      </c>
      <c r="L1106" s="16">
        <f>4242.54 - (4242.54 * $E$1)</f>
        <v>4242.54</v>
      </c>
      <c r="M1106" s="1">
        <v>5175.8999999999996</v>
      </c>
      <c r="N1106" s="1">
        <v>4242.54</v>
      </c>
      <c r="O1106" s="1">
        <v>4399.51</v>
      </c>
      <c r="P1106" s="1">
        <v>3606.16</v>
      </c>
      <c r="Q1106">
        <v>1.19</v>
      </c>
      <c r="R1106">
        <v>2.6519999999999998E-3</v>
      </c>
    </row>
    <row r="1107" spans="1:18" ht="33.75" customHeight="1" x14ac:dyDescent="0.35">
      <c r="A1107" s="9"/>
      <c r="B1107" s="10" t="s">
        <v>1329</v>
      </c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1"/>
    </row>
    <row r="1108" spans="1:18" ht="13.8" outlineLevel="1" x14ac:dyDescent="0.25">
      <c r="A1108">
        <v>87647</v>
      </c>
      <c r="B1108" t="s">
        <v>1330</v>
      </c>
      <c r="C1108" t="s">
        <v>1331</v>
      </c>
      <c r="D1108" s="14" t="s">
        <v>1331</v>
      </c>
      <c r="E1108" s="12" t="s">
        <v>28</v>
      </c>
      <c r="F1108" s="17" t="s">
        <v>549</v>
      </c>
      <c r="G1108">
        <v>100</v>
      </c>
      <c r="H1108" t="s">
        <v>30</v>
      </c>
      <c r="I1108">
        <v>100</v>
      </c>
      <c r="J1108" s="15"/>
      <c r="K1108" s="16">
        <f>11.24 - (11.24 * $E$1)</f>
        <v>11.24</v>
      </c>
      <c r="L1108" s="16">
        <f>9.21 - (9.21 * $E$1)</f>
        <v>9.2100000000000009</v>
      </c>
      <c r="M1108" s="1">
        <v>11.24</v>
      </c>
      <c r="N1108" s="1">
        <v>9.2100000000000009</v>
      </c>
      <c r="O1108" s="1">
        <v>9.5500000000000007</v>
      </c>
      <c r="P1108" s="1">
        <v>7.83</v>
      </c>
      <c r="Q1108">
        <v>9.7999999999999997E-4</v>
      </c>
      <c r="R1108">
        <v>4.0500000000000002E-6</v>
      </c>
    </row>
    <row r="1109" spans="1:18" ht="13.8" outlineLevel="1" x14ac:dyDescent="0.25">
      <c r="A1109">
        <v>109317</v>
      </c>
      <c r="B1109" t="s">
        <v>1332</v>
      </c>
      <c r="C1109" t="s">
        <v>1333</v>
      </c>
      <c r="D1109" s="14" t="s">
        <v>1331</v>
      </c>
      <c r="E1109" s="12" t="s">
        <v>28</v>
      </c>
      <c r="F1109" s="13" t="s">
        <v>29</v>
      </c>
      <c r="G1109">
        <v>1</v>
      </c>
      <c r="H1109" t="s">
        <v>420</v>
      </c>
      <c r="I1109">
        <v>1</v>
      </c>
      <c r="J1109" s="15"/>
      <c r="K1109" s="16">
        <f>1124 - (1124 * $E$1)</f>
        <v>1124</v>
      </c>
      <c r="L1109" s="16">
        <f>921.31 - (921.31 * $E$1)</f>
        <v>921.31</v>
      </c>
      <c r="M1109" s="1">
        <v>1124</v>
      </c>
      <c r="N1109" s="1">
        <v>921.31</v>
      </c>
      <c r="O1109" s="1">
        <v>955.4</v>
      </c>
      <c r="P1109" s="1">
        <v>783.11</v>
      </c>
      <c r="Q1109">
        <v>9.8000000000000004E-2</v>
      </c>
      <c r="R1109">
        <v>4.0499999999999998E-4</v>
      </c>
    </row>
    <row r="1110" spans="1:18" ht="13.8" outlineLevel="1" x14ac:dyDescent="0.25">
      <c r="A1110">
        <v>87648</v>
      </c>
      <c r="B1110" t="s">
        <v>1330</v>
      </c>
      <c r="C1110" t="s">
        <v>1334</v>
      </c>
      <c r="D1110" s="14" t="s">
        <v>1334</v>
      </c>
      <c r="E1110" s="12" t="s">
        <v>28</v>
      </c>
      <c r="F1110" s="17" t="s">
        <v>549</v>
      </c>
      <c r="G1110">
        <v>100</v>
      </c>
      <c r="H1110" t="s">
        <v>30</v>
      </c>
      <c r="I1110">
        <v>100</v>
      </c>
      <c r="J1110" s="15"/>
      <c r="K1110" s="16">
        <f>12.53 - (12.53 * $E$1)</f>
        <v>12.53</v>
      </c>
      <c r="L1110" s="16">
        <f>10.27 - (10.27 * $E$1)</f>
        <v>10.27</v>
      </c>
      <c r="M1110" s="1">
        <v>12.53</v>
      </c>
      <c r="N1110" s="1">
        <v>10.27</v>
      </c>
      <c r="O1110" s="1">
        <v>10.65</v>
      </c>
      <c r="P1110" s="1">
        <v>8.73</v>
      </c>
      <c r="Q1110">
        <v>1.2999999999999999E-3</v>
      </c>
      <c r="R1110">
        <v>4.0500000000000002E-6</v>
      </c>
    </row>
    <row r="1111" spans="1:18" ht="13.8" outlineLevel="1" x14ac:dyDescent="0.25">
      <c r="A1111">
        <v>109318</v>
      </c>
      <c r="B1111" t="s">
        <v>1332</v>
      </c>
      <c r="C1111" t="s">
        <v>1335</v>
      </c>
      <c r="D1111" s="14" t="s">
        <v>1334</v>
      </c>
      <c r="E1111" s="12" t="s">
        <v>28</v>
      </c>
      <c r="F1111" s="13" t="s">
        <v>29</v>
      </c>
      <c r="G1111">
        <v>1</v>
      </c>
      <c r="H1111" t="s">
        <v>420</v>
      </c>
      <c r="I1111">
        <v>1</v>
      </c>
      <c r="J1111" s="15"/>
      <c r="K1111" s="16">
        <f>1253 - (1253 * $E$1)</f>
        <v>1253</v>
      </c>
      <c r="L1111" s="16">
        <f>1027.05 - (1027.05 * $E$1)</f>
        <v>1027.05</v>
      </c>
      <c r="M1111" s="1">
        <v>1253</v>
      </c>
      <c r="N1111" s="1">
        <v>1027.05</v>
      </c>
      <c r="O1111" s="1">
        <v>1065.05</v>
      </c>
      <c r="P1111" s="1">
        <v>872.99</v>
      </c>
      <c r="Q1111">
        <v>0.13</v>
      </c>
      <c r="R1111">
        <v>4.0499999999999998E-4</v>
      </c>
    </row>
    <row r="1112" spans="1:18" ht="13.8" outlineLevel="1" x14ac:dyDescent="0.25">
      <c r="A1112">
        <v>87649</v>
      </c>
      <c r="B1112" t="s">
        <v>1330</v>
      </c>
      <c r="C1112" t="s">
        <v>1336</v>
      </c>
      <c r="D1112" s="14" t="s">
        <v>1336</v>
      </c>
      <c r="E1112" s="12" t="s">
        <v>28</v>
      </c>
      <c r="F1112" s="17" t="s">
        <v>549</v>
      </c>
      <c r="G1112">
        <v>100</v>
      </c>
      <c r="H1112" t="s">
        <v>30</v>
      </c>
      <c r="I1112">
        <v>100</v>
      </c>
      <c r="J1112" s="15"/>
      <c r="K1112" s="16">
        <f>14.49 - (14.49 * $E$1)</f>
        <v>14.49</v>
      </c>
      <c r="L1112" s="16">
        <f>11.88 - (11.88 * $E$1)</f>
        <v>11.88</v>
      </c>
      <c r="M1112" s="1">
        <v>14.49</v>
      </c>
      <c r="N1112" s="1">
        <v>11.88</v>
      </c>
      <c r="O1112" s="1">
        <v>12.32</v>
      </c>
      <c r="P1112" s="1">
        <v>10.1</v>
      </c>
      <c r="Q1112">
        <v>1.74E-3</v>
      </c>
      <c r="R1112">
        <v>4.0500000000000002E-6</v>
      </c>
    </row>
    <row r="1113" spans="1:18" ht="13.8" outlineLevel="1" x14ac:dyDescent="0.25">
      <c r="A1113">
        <v>109319</v>
      </c>
      <c r="B1113" t="s">
        <v>1332</v>
      </c>
      <c r="C1113" t="s">
        <v>1337</v>
      </c>
      <c r="D1113" s="14" t="s">
        <v>1336</v>
      </c>
      <c r="E1113" s="12" t="s">
        <v>28</v>
      </c>
      <c r="F1113" s="13" t="s">
        <v>29</v>
      </c>
      <c r="G1113">
        <v>1</v>
      </c>
      <c r="H1113" t="s">
        <v>420</v>
      </c>
      <c r="I1113">
        <v>1</v>
      </c>
      <c r="J1113" s="15"/>
      <c r="K1113" s="16">
        <f>1448.99 - (1448.99 * $E$1)</f>
        <v>1448.99</v>
      </c>
      <c r="L1113" s="16">
        <f>1187.7 - (1187.7 * $E$1)</f>
        <v>1187.7</v>
      </c>
      <c r="M1113" s="1">
        <v>1448.99</v>
      </c>
      <c r="N1113" s="1">
        <v>1187.7</v>
      </c>
      <c r="O1113" s="1">
        <v>1231.6400000000001</v>
      </c>
      <c r="P1113" s="1">
        <v>1009.55</v>
      </c>
      <c r="Q1113">
        <v>0.17399999999999999</v>
      </c>
      <c r="R1113">
        <v>4.0499999999999998E-4</v>
      </c>
    </row>
    <row r="1114" spans="1:18" ht="13.8" outlineLevel="1" x14ac:dyDescent="0.25">
      <c r="A1114">
        <v>87650</v>
      </c>
      <c r="B1114" t="s">
        <v>1330</v>
      </c>
      <c r="C1114" t="s">
        <v>1338</v>
      </c>
      <c r="D1114" s="14" t="s">
        <v>1338</v>
      </c>
      <c r="E1114" s="12" t="s">
        <v>28</v>
      </c>
      <c r="F1114" s="17" t="s">
        <v>549</v>
      </c>
      <c r="G1114">
        <v>100</v>
      </c>
      <c r="H1114" t="s">
        <v>30</v>
      </c>
      <c r="I1114">
        <v>100</v>
      </c>
      <c r="J1114" s="15"/>
      <c r="K1114" s="16">
        <f>15.79 - (15.79 * $E$1)</f>
        <v>15.79</v>
      </c>
      <c r="L1114" s="16">
        <f>12.94 - (12.94 * $E$1)</f>
        <v>12.94</v>
      </c>
      <c r="M1114" s="1">
        <v>15.79</v>
      </c>
      <c r="N1114" s="1">
        <v>12.94</v>
      </c>
      <c r="O1114" s="1">
        <v>13.42</v>
      </c>
      <c r="P1114" s="1">
        <v>11</v>
      </c>
      <c r="Q1114">
        <v>2.0999999999999999E-3</v>
      </c>
      <c r="R1114">
        <v>4.0500000000000002E-6</v>
      </c>
    </row>
    <row r="1115" spans="1:18" ht="13.8" outlineLevel="1" x14ac:dyDescent="0.25">
      <c r="A1115">
        <v>109320</v>
      </c>
      <c r="B1115" t="s">
        <v>1332</v>
      </c>
      <c r="C1115" t="s">
        <v>1339</v>
      </c>
      <c r="D1115" s="14" t="s">
        <v>1338</v>
      </c>
      <c r="E1115" s="12" t="s">
        <v>28</v>
      </c>
      <c r="F1115" s="13" t="s">
        <v>29</v>
      </c>
      <c r="G1115">
        <v>1</v>
      </c>
      <c r="H1115" t="s">
        <v>420</v>
      </c>
      <c r="I1115">
        <v>1</v>
      </c>
      <c r="J1115" s="15"/>
      <c r="K1115" s="16">
        <f>1579 - (1579 * $E$1)</f>
        <v>1579</v>
      </c>
      <c r="L1115" s="16">
        <f>1294.26 - (1294.26 * $E$1)</f>
        <v>1294.26</v>
      </c>
      <c r="M1115" s="1">
        <v>1579</v>
      </c>
      <c r="N1115" s="1">
        <v>1294.26</v>
      </c>
      <c r="O1115" s="1">
        <v>1342.15</v>
      </c>
      <c r="P1115" s="1">
        <v>1100.1199999999999</v>
      </c>
      <c r="Q1115">
        <v>0.21</v>
      </c>
      <c r="R1115">
        <v>4.0499999999999998E-4</v>
      </c>
    </row>
    <row r="1116" spans="1:18" ht="13.8" outlineLevel="1" x14ac:dyDescent="0.25">
      <c r="A1116">
        <v>87651</v>
      </c>
      <c r="B1116" t="s">
        <v>1330</v>
      </c>
      <c r="C1116" t="s">
        <v>1340</v>
      </c>
      <c r="D1116" s="14" t="s">
        <v>1340</v>
      </c>
      <c r="E1116" s="12" t="s">
        <v>28</v>
      </c>
      <c r="F1116" s="13" t="s">
        <v>29</v>
      </c>
      <c r="G1116">
        <v>50</v>
      </c>
      <c r="H1116" t="s">
        <v>30</v>
      </c>
      <c r="I1116">
        <v>50</v>
      </c>
      <c r="J1116" s="15"/>
      <c r="K1116" s="16">
        <f>27 - (27 * $E$1)</f>
        <v>27</v>
      </c>
      <c r="L1116" s="16">
        <f>22.13 - (22.13 * $E$1)</f>
        <v>22.13</v>
      </c>
      <c r="M1116" s="1">
        <v>27</v>
      </c>
      <c r="N1116" s="1">
        <v>22.13</v>
      </c>
      <c r="O1116" s="1">
        <v>22.95</v>
      </c>
      <c r="P1116" s="1">
        <v>18.809999999999999</v>
      </c>
      <c r="Q1116">
        <v>3.3600000000000001E-3</v>
      </c>
      <c r="R1116">
        <v>8.1000000000000004E-6</v>
      </c>
    </row>
    <row r="1117" spans="1:18" ht="13.8" outlineLevel="1" x14ac:dyDescent="0.25">
      <c r="A1117">
        <v>109321</v>
      </c>
      <c r="B1117" t="s">
        <v>1332</v>
      </c>
      <c r="C1117" t="s">
        <v>1341</v>
      </c>
      <c r="D1117" s="14" t="s">
        <v>1340</v>
      </c>
      <c r="E1117" s="12" t="s">
        <v>28</v>
      </c>
      <c r="F1117" s="13" t="s">
        <v>29</v>
      </c>
      <c r="G1117">
        <v>1</v>
      </c>
      <c r="H1117" t="s">
        <v>420</v>
      </c>
      <c r="I1117">
        <v>1</v>
      </c>
      <c r="J1117" s="15"/>
      <c r="K1117" s="16">
        <f>1350 - (1350 * $E$1)</f>
        <v>1350</v>
      </c>
      <c r="L1117" s="16">
        <f>1106.56 - (1106.56 * $E$1)</f>
        <v>1106.56</v>
      </c>
      <c r="M1117" s="1">
        <v>1350</v>
      </c>
      <c r="N1117" s="1">
        <v>1106.56</v>
      </c>
      <c r="O1117" s="1">
        <v>1147.5</v>
      </c>
      <c r="P1117" s="1">
        <v>940.58</v>
      </c>
      <c r="Q1117">
        <v>0.16800000000000001</v>
      </c>
      <c r="R1117">
        <v>4.0499999999999998E-4</v>
      </c>
    </row>
    <row r="1118" spans="1:18" ht="13.8" outlineLevel="1" x14ac:dyDescent="0.25">
      <c r="A1118">
        <v>87652</v>
      </c>
      <c r="B1118" t="s">
        <v>1330</v>
      </c>
      <c r="C1118" t="s">
        <v>1342</v>
      </c>
      <c r="D1118" s="14" t="s">
        <v>1342</v>
      </c>
      <c r="E1118" s="12" t="s">
        <v>28</v>
      </c>
      <c r="F1118" s="17" t="s">
        <v>549</v>
      </c>
      <c r="G1118">
        <v>100</v>
      </c>
      <c r="H1118" t="s">
        <v>30</v>
      </c>
      <c r="I1118">
        <v>100</v>
      </c>
      <c r="J1118" s="15"/>
      <c r="K1118" s="16">
        <f>10.58 - (10.58 * $E$1)</f>
        <v>10.58</v>
      </c>
      <c r="L1118" s="16">
        <f>8.67 - (8.67 * $E$1)</f>
        <v>8.67</v>
      </c>
      <c r="M1118" s="1">
        <v>10.58</v>
      </c>
      <c r="N1118" s="1">
        <v>8.67</v>
      </c>
      <c r="O1118" s="1">
        <v>8.99</v>
      </c>
      <c r="P1118" s="1">
        <v>7.37</v>
      </c>
      <c r="Q1118">
        <v>9.2000000000000003E-4</v>
      </c>
      <c r="R1118">
        <v>4.0500000000000002E-6</v>
      </c>
    </row>
    <row r="1119" spans="1:18" ht="13.8" outlineLevel="1" x14ac:dyDescent="0.25">
      <c r="A1119">
        <v>109312</v>
      </c>
      <c r="B1119" t="s">
        <v>1332</v>
      </c>
      <c r="C1119" t="s">
        <v>1343</v>
      </c>
      <c r="D1119" s="14" t="s">
        <v>1342</v>
      </c>
      <c r="E1119" s="12" t="s">
        <v>28</v>
      </c>
      <c r="F1119" s="13" t="s">
        <v>29</v>
      </c>
      <c r="G1119">
        <v>1</v>
      </c>
      <c r="H1119" t="s">
        <v>420</v>
      </c>
      <c r="I1119">
        <v>1</v>
      </c>
      <c r="J1119" s="15"/>
      <c r="K1119" s="16">
        <f>1058 - (1058 * $E$1)</f>
        <v>1058</v>
      </c>
      <c r="L1119" s="16">
        <f>867.21 - (867.21 * $E$1)</f>
        <v>867.21</v>
      </c>
      <c r="M1119" s="1">
        <v>1058</v>
      </c>
      <c r="N1119" s="1">
        <v>867.21</v>
      </c>
      <c r="O1119" s="1">
        <v>899.3</v>
      </c>
      <c r="P1119" s="1">
        <v>737.13</v>
      </c>
      <c r="Q1119">
        <v>9.1999999999999998E-2</v>
      </c>
      <c r="R1119">
        <v>4.0499999999999998E-4</v>
      </c>
    </row>
    <row r="1120" spans="1:18" ht="13.8" outlineLevel="1" x14ac:dyDescent="0.25">
      <c r="A1120">
        <v>87653</v>
      </c>
      <c r="B1120" t="s">
        <v>1330</v>
      </c>
      <c r="C1120" t="s">
        <v>1344</v>
      </c>
      <c r="D1120" s="14" t="s">
        <v>1344</v>
      </c>
      <c r="E1120" s="12" t="s">
        <v>28</v>
      </c>
      <c r="F1120" s="17" t="s">
        <v>549</v>
      </c>
      <c r="G1120">
        <v>100</v>
      </c>
      <c r="H1120" t="s">
        <v>30</v>
      </c>
      <c r="I1120">
        <v>100</v>
      </c>
      <c r="J1120" s="15"/>
      <c r="K1120" s="16">
        <f>11.9 - (11.9 * $E$1)</f>
        <v>11.9</v>
      </c>
      <c r="L1120" s="16">
        <f>9.75 - (9.75 * $E$1)</f>
        <v>9.75</v>
      </c>
      <c r="M1120" s="1">
        <v>11.9</v>
      </c>
      <c r="N1120" s="1">
        <v>9.75</v>
      </c>
      <c r="O1120" s="1">
        <v>10.11</v>
      </c>
      <c r="P1120" s="1">
        <v>8.2899999999999991</v>
      </c>
      <c r="Q1120">
        <v>1.2199999999999999E-3</v>
      </c>
      <c r="R1120">
        <v>4.0500000000000002E-6</v>
      </c>
    </row>
    <row r="1121" spans="1:18" ht="13.8" outlineLevel="1" x14ac:dyDescent="0.25">
      <c r="A1121">
        <v>109313</v>
      </c>
      <c r="B1121" t="s">
        <v>1332</v>
      </c>
      <c r="C1121" t="s">
        <v>1345</v>
      </c>
      <c r="D1121" s="14" t="s">
        <v>1344</v>
      </c>
      <c r="E1121" s="12" t="s">
        <v>28</v>
      </c>
      <c r="F1121" s="13" t="s">
        <v>29</v>
      </c>
      <c r="G1121">
        <v>1</v>
      </c>
      <c r="H1121" t="s">
        <v>420</v>
      </c>
      <c r="I1121">
        <v>1</v>
      </c>
      <c r="J1121" s="15"/>
      <c r="K1121" s="16">
        <f>1190 - (1190 * $E$1)</f>
        <v>1190</v>
      </c>
      <c r="L1121" s="16">
        <f>975.41 - (975.41 * $E$1)</f>
        <v>975.41</v>
      </c>
      <c r="M1121" s="1">
        <v>1190</v>
      </c>
      <c r="N1121" s="1">
        <v>975.41</v>
      </c>
      <c r="O1121" s="1">
        <v>1011.5</v>
      </c>
      <c r="P1121" s="1">
        <v>829.1</v>
      </c>
      <c r="Q1121">
        <v>0.122</v>
      </c>
      <c r="R1121">
        <v>4.0499999999999998E-4</v>
      </c>
    </row>
    <row r="1122" spans="1:18" ht="13.8" outlineLevel="1" x14ac:dyDescent="0.25">
      <c r="A1122">
        <v>87654</v>
      </c>
      <c r="B1122" t="s">
        <v>1330</v>
      </c>
      <c r="C1122" t="s">
        <v>1346</v>
      </c>
      <c r="D1122" s="14" t="s">
        <v>1346</v>
      </c>
      <c r="E1122" s="12" t="s">
        <v>28</v>
      </c>
      <c r="F1122" s="17" t="s">
        <v>549</v>
      </c>
      <c r="G1122">
        <v>100</v>
      </c>
      <c r="H1122" t="s">
        <v>30</v>
      </c>
      <c r="I1122">
        <v>100</v>
      </c>
      <c r="J1122" s="15"/>
      <c r="K1122" s="16">
        <f>13.18 - (13.18 * $E$1)</f>
        <v>13.18</v>
      </c>
      <c r="L1122" s="16">
        <f>10.8 - (10.8 * $E$1)</f>
        <v>10.8</v>
      </c>
      <c r="M1122" s="1">
        <v>13.18</v>
      </c>
      <c r="N1122" s="1">
        <v>10.8</v>
      </c>
      <c r="O1122" s="1">
        <v>11.2</v>
      </c>
      <c r="P1122" s="1">
        <v>9.18</v>
      </c>
      <c r="Q1122">
        <v>1.56E-3</v>
      </c>
      <c r="R1122">
        <v>4.0500000000000002E-6</v>
      </c>
    </row>
    <row r="1123" spans="1:18" ht="13.8" outlineLevel="1" x14ac:dyDescent="0.25">
      <c r="A1123">
        <v>109314</v>
      </c>
      <c r="B1123" t="s">
        <v>1332</v>
      </c>
      <c r="C1123" t="s">
        <v>1347</v>
      </c>
      <c r="D1123" s="14" t="s">
        <v>1346</v>
      </c>
      <c r="E1123" s="12" t="s">
        <v>28</v>
      </c>
      <c r="F1123" s="13" t="s">
        <v>29</v>
      </c>
      <c r="G1123">
        <v>1</v>
      </c>
      <c r="H1123" t="s">
        <v>420</v>
      </c>
      <c r="I1123">
        <v>1</v>
      </c>
      <c r="J1123" s="15"/>
      <c r="K1123" s="16">
        <f>1318 - (1318 * $E$1)</f>
        <v>1318</v>
      </c>
      <c r="L1123" s="16">
        <f>1080.33 - (1080.33 * $E$1)</f>
        <v>1080.33</v>
      </c>
      <c r="M1123" s="1">
        <v>1318</v>
      </c>
      <c r="N1123" s="1">
        <v>1080.33</v>
      </c>
      <c r="O1123" s="1">
        <v>1120.3</v>
      </c>
      <c r="P1123" s="1">
        <v>918.28</v>
      </c>
      <c r="Q1123">
        <v>0.156</v>
      </c>
      <c r="R1123">
        <v>4.0499999999999998E-4</v>
      </c>
    </row>
    <row r="1124" spans="1:18" ht="13.8" outlineLevel="1" x14ac:dyDescent="0.25">
      <c r="A1124">
        <v>87655</v>
      </c>
      <c r="B1124" t="s">
        <v>1330</v>
      </c>
      <c r="C1124" t="s">
        <v>1348</v>
      </c>
      <c r="D1124" s="14" t="s">
        <v>1348</v>
      </c>
      <c r="E1124" s="12" t="s">
        <v>28</v>
      </c>
      <c r="F1124" s="17" t="s">
        <v>549</v>
      </c>
      <c r="G1124">
        <v>100</v>
      </c>
      <c r="H1124" t="s">
        <v>30</v>
      </c>
      <c r="I1124">
        <v>100</v>
      </c>
      <c r="J1124" s="15"/>
      <c r="K1124" s="16">
        <f>14.51 - (14.51 * $E$1)</f>
        <v>14.51</v>
      </c>
      <c r="L1124" s="16">
        <f>11.89 - (11.89 * $E$1)</f>
        <v>11.89</v>
      </c>
      <c r="M1124" s="1">
        <v>14.51</v>
      </c>
      <c r="N1124" s="1">
        <v>11.89</v>
      </c>
      <c r="O1124" s="1">
        <v>12.33</v>
      </c>
      <c r="P1124" s="1">
        <v>10.11</v>
      </c>
      <c r="Q1124">
        <v>1.8799999999999999E-3</v>
      </c>
      <c r="R1124">
        <v>4.0500000000000002E-6</v>
      </c>
    </row>
    <row r="1125" spans="1:18" ht="13.8" outlineLevel="1" x14ac:dyDescent="0.25">
      <c r="A1125">
        <v>109315</v>
      </c>
      <c r="B1125" t="s">
        <v>1332</v>
      </c>
      <c r="C1125" t="s">
        <v>1349</v>
      </c>
      <c r="D1125" s="14" t="s">
        <v>1348</v>
      </c>
      <c r="E1125" s="12" t="s">
        <v>28</v>
      </c>
      <c r="F1125" s="13" t="s">
        <v>29</v>
      </c>
      <c r="G1125">
        <v>1</v>
      </c>
      <c r="H1125" t="s">
        <v>420</v>
      </c>
      <c r="I1125">
        <v>1</v>
      </c>
      <c r="J1125" s="15"/>
      <c r="K1125" s="16">
        <f>1450.99 - (1450.99 * $E$1)</f>
        <v>1450.99</v>
      </c>
      <c r="L1125" s="16">
        <f>1189.34 - (1189.34 * $E$1)</f>
        <v>1189.3399999999999</v>
      </c>
      <c r="M1125" s="1">
        <v>1450.99</v>
      </c>
      <c r="N1125" s="1">
        <v>1189.3399999999999</v>
      </c>
      <c r="O1125" s="1">
        <v>1233.3499999999999</v>
      </c>
      <c r="P1125" s="1">
        <v>1010.94</v>
      </c>
      <c r="Q1125">
        <v>0.188</v>
      </c>
      <c r="R1125">
        <v>4.0499999999999998E-4</v>
      </c>
    </row>
    <row r="1126" spans="1:18" ht="13.8" outlineLevel="1" x14ac:dyDescent="0.25">
      <c r="A1126">
        <v>87656</v>
      </c>
      <c r="B1126" t="s">
        <v>1330</v>
      </c>
      <c r="C1126" t="s">
        <v>1350</v>
      </c>
      <c r="D1126" s="14" t="s">
        <v>1350</v>
      </c>
      <c r="E1126" s="12" t="s">
        <v>28</v>
      </c>
      <c r="F1126" s="17" t="s">
        <v>549</v>
      </c>
      <c r="G1126">
        <v>50</v>
      </c>
      <c r="H1126" t="s">
        <v>30</v>
      </c>
      <c r="I1126">
        <v>50</v>
      </c>
      <c r="J1126" s="15"/>
      <c r="K1126" s="16">
        <f>21.83 - (21.83 * $E$1)</f>
        <v>21.83</v>
      </c>
      <c r="L1126" s="16">
        <f>17.89 - (17.89 * $E$1)</f>
        <v>17.89</v>
      </c>
      <c r="M1126" s="1">
        <v>21.83</v>
      </c>
      <c r="N1126" s="1">
        <v>17.89</v>
      </c>
      <c r="O1126" s="1">
        <v>18.55</v>
      </c>
      <c r="P1126" s="1">
        <v>15.21</v>
      </c>
      <c r="Q1126">
        <v>2.96E-3</v>
      </c>
      <c r="R1126">
        <v>8.1000000000000004E-6</v>
      </c>
    </row>
    <row r="1127" spans="1:18" ht="13.8" outlineLevel="1" x14ac:dyDescent="0.25">
      <c r="A1127">
        <v>109316</v>
      </c>
      <c r="B1127" t="s">
        <v>1332</v>
      </c>
      <c r="C1127" t="s">
        <v>1351</v>
      </c>
      <c r="D1127" s="14" t="s">
        <v>1350</v>
      </c>
      <c r="E1127" s="12" t="s">
        <v>28</v>
      </c>
      <c r="F1127" s="13" t="s">
        <v>29</v>
      </c>
      <c r="G1127">
        <v>1</v>
      </c>
      <c r="H1127" t="s">
        <v>420</v>
      </c>
      <c r="I1127">
        <v>1</v>
      </c>
      <c r="J1127" s="15"/>
      <c r="K1127" s="16">
        <f>1091.5 - (1091.5 * $E$1)</f>
        <v>1091.5</v>
      </c>
      <c r="L1127" s="16">
        <f>894.67 - (894.67 * $E$1)</f>
        <v>894.67</v>
      </c>
      <c r="M1127" s="1">
        <v>1091.5</v>
      </c>
      <c r="N1127" s="1">
        <v>894.67</v>
      </c>
      <c r="O1127" s="1">
        <v>927.77</v>
      </c>
      <c r="P1127" s="1">
        <v>760.47</v>
      </c>
      <c r="Q1127">
        <v>0.14799999999999999</v>
      </c>
      <c r="R1127">
        <v>4.0499999999999998E-4</v>
      </c>
    </row>
    <row r="1128" spans="1:18" ht="13.8" outlineLevel="1" x14ac:dyDescent="0.25">
      <c r="A1128">
        <v>87644</v>
      </c>
      <c r="B1128" t="s">
        <v>1352</v>
      </c>
      <c r="C1128" t="s">
        <v>1353</v>
      </c>
      <c r="D1128" s="14" t="s">
        <v>1353</v>
      </c>
      <c r="E1128" s="12" t="s">
        <v>28</v>
      </c>
      <c r="F1128" s="17" t="s">
        <v>549</v>
      </c>
      <c r="G1128">
        <v>50</v>
      </c>
      <c r="H1128" t="s">
        <v>30</v>
      </c>
      <c r="I1128">
        <v>50</v>
      </c>
      <c r="J1128" s="15"/>
      <c r="K1128" s="16">
        <f>15.37 - (15.37 * $E$1)</f>
        <v>15.37</v>
      </c>
      <c r="L1128" s="16">
        <f>12.6 - (12.6 * $E$1)</f>
        <v>12.6</v>
      </c>
      <c r="M1128" s="1">
        <v>15.37</v>
      </c>
      <c r="N1128" s="1">
        <v>12.6</v>
      </c>
      <c r="O1128" s="1">
        <v>13.07</v>
      </c>
      <c r="P1128" s="1">
        <v>10.71</v>
      </c>
      <c r="Q1128">
        <v>2.5200000000000001E-3</v>
      </c>
      <c r="R1128">
        <v>8.1000000000000004E-6</v>
      </c>
    </row>
    <row r="1129" spans="1:18" ht="13.8" outlineLevel="1" x14ac:dyDescent="0.25">
      <c r="A1129">
        <v>109298</v>
      </c>
      <c r="B1129" t="s">
        <v>1354</v>
      </c>
      <c r="C1129" t="s">
        <v>1355</v>
      </c>
      <c r="D1129" s="14" t="s">
        <v>1353</v>
      </c>
      <c r="E1129" s="12" t="s">
        <v>28</v>
      </c>
      <c r="F1129" s="13" t="s">
        <v>29</v>
      </c>
      <c r="G1129">
        <v>1</v>
      </c>
      <c r="H1129" t="s">
        <v>420</v>
      </c>
      <c r="I1129">
        <v>1</v>
      </c>
      <c r="J1129" s="15"/>
      <c r="K1129" s="16">
        <f>768.5 - (768.5 * $E$1)</f>
        <v>768.5</v>
      </c>
      <c r="L1129" s="16">
        <f>629.92 - (629.92 * $E$1)</f>
        <v>629.91999999999996</v>
      </c>
      <c r="M1129" s="1">
        <v>768.5</v>
      </c>
      <c r="N1129" s="1">
        <v>629.91999999999996</v>
      </c>
      <c r="O1129" s="1">
        <v>653.23</v>
      </c>
      <c r="P1129" s="1">
        <v>535.42999999999995</v>
      </c>
      <c r="Q1129">
        <v>0.126</v>
      </c>
      <c r="R1129">
        <v>4.0499999999999998E-4</v>
      </c>
    </row>
    <row r="1130" spans="1:18" ht="13.8" outlineLevel="1" x14ac:dyDescent="0.25">
      <c r="A1130">
        <v>87645</v>
      </c>
      <c r="B1130" t="s">
        <v>1352</v>
      </c>
      <c r="C1130" t="s">
        <v>1356</v>
      </c>
      <c r="D1130" s="14" t="s">
        <v>1356</v>
      </c>
      <c r="E1130" s="12" t="s">
        <v>28</v>
      </c>
      <c r="F1130" s="17" t="s">
        <v>549</v>
      </c>
      <c r="G1130">
        <v>50</v>
      </c>
      <c r="H1130" t="s">
        <v>30</v>
      </c>
      <c r="I1130">
        <v>50</v>
      </c>
      <c r="J1130" s="15"/>
      <c r="K1130" s="16">
        <f>21.15 - (21.15 * $E$1)</f>
        <v>21.15</v>
      </c>
      <c r="L1130" s="16">
        <f>17.34 - (17.34 * $E$1)</f>
        <v>17.34</v>
      </c>
      <c r="M1130" s="1">
        <v>21.15</v>
      </c>
      <c r="N1130" s="1">
        <v>17.34</v>
      </c>
      <c r="O1130" s="1">
        <v>17.98</v>
      </c>
      <c r="P1130" s="1">
        <v>14.74</v>
      </c>
      <c r="Q1130">
        <v>3.4399999999999999E-3</v>
      </c>
      <c r="R1130">
        <v>8.1000000000000004E-6</v>
      </c>
    </row>
    <row r="1131" spans="1:18" ht="13.8" outlineLevel="1" x14ac:dyDescent="0.25">
      <c r="A1131">
        <v>109299</v>
      </c>
      <c r="B1131" t="s">
        <v>1354</v>
      </c>
      <c r="C1131" t="s">
        <v>1357</v>
      </c>
      <c r="D1131" s="14" t="s">
        <v>1356</v>
      </c>
      <c r="E1131" s="12" t="s">
        <v>28</v>
      </c>
      <c r="F1131" s="13" t="s">
        <v>29</v>
      </c>
      <c r="G1131">
        <v>1</v>
      </c>
      <c r="H1131" t="s">
        <v>420</v>
      </c>
      <c r="I1131">
        <v>1</v>
      </c>
      <c r="J1131" s="15"/>
      <c r="K1131" s="16">
        <f>1057.5 - (1057.5 * $E$1)</f>
        <v>1057.5</v>
      </c>
      <c r="L1131" s="16">
        <f>866.8 - (866.8 * $E$1)</f>
        <v>866.8</v>
      </c>
      <c r="M1131" s="1">
        <v>1057.5</v>
      </c>
      <c r="N1131" s="1">
        <v>866.8</v>
      </c>
      <c r="O1131" s="1">
        <v>898.87</v>
      </c>
      <c r="P1131" s="1">
        <v>736.78</v>
      </c>
      <c r="Q1131">
        <v>0.17199999999999999</v>
      </c>
      <c r="R1131">
        <v>4.0499999999999998E-4</v>
      </c>
    </row>
    <row r="1132" spans="1:18" ht="13.8" outlineLevel="1" x14ac:dyDescent="0.25">
      <c r="A1132">
        <v>87646</v>
      </c>
      <c r="B1132" t="s">
        <v>1352</v>
      </c>
      <c r="C1132" t="s">
        <v>1358</v>
      </c>
      <c r="D1132" s="14" t="s">
        <v>1358</v>
      </c>
      <c r="E1132" s="12" t="s">
        <v>28</v>
      </c>
      <c r="F1132" s="17" t="s">
        <v>549</v>
      </c>
      <c r="G1132">
        <v>50</v>
      </c>
      <c r="H1132" t="s">
        <v>30</v>
      </c>
      <c r="I1132">
        <v>50</v>
      </c>
      <c r="J1132" s="15"/>
      <c r="K1132" s="16">
        <f>31.2 - (31.2 * $E$1)</f>
        <v>31.2</v>
      </c>
      <c r="L1132" s="16">
        <f>25.57 - (25.57 * $E$1)</f>
        <v>25.57</v>
      </c>
      <c r="M1132" s="1">
        <v>31.2</v>
      </c>
      <c r="N1132" s="1">
        <v>25.57</v>
      </c>
      <c r="O1132" s="1">
        <v>26.52</v>
      </c>
      <c r="P1132" s="1">
        <v>21.73</v>
      </c>
      <c r="Q1132">
        <v>5.4000000000000003E-3</v>
      </c>
      <c r="R1132">
        <v>1.346E-5</v>
      </c>
    </row>
    <row r="1133" spans="1:18" ht="13.8" outlineLevel="1" x14ac:dyDescent="0.25">
      <c r="A1133">
        <v>109300</v>
      </c>
      <c r="B1133" t="s">
        <v>1354</v>
      </c>
      <c r="C1133" t="s">
        <v>1359</v>
      </c>
      <c r="D1133" s="14" t="s">
        <v>1358</v>
      </c>
      <c r="E1133" s="12" t="s">
        <v>28</v>
      </c>
      <c r="F1133" s="13" t="s">
        <v>29</v>
      </c>
      <c r="G1133">
        <v>1</v>
      </c>
      <c r="H1133" t="s">
        <v>420</v>
      </c>
      <c r="I1133">
        <v>1</v>
      </c>
      <c r="J1133" s="15"/>
      <c r="K1133" s="16">
        <f>1560 - (1560 * $E$1)</f>
        <v>1560</v>
      </c>
      <c r="L1133" s="16">
        <f>1278.69 - (1278.69 * $E$1)</f>
        <v>1278.69</v>
      </c>
      <c r="M1133" s="1">
        <v>1560</v>
      </c>
      <c r="N1133" s="1">
        <v>1278.69</v>
      </c>
      <c r="O1133" s="1">
        <v>1326</v>
      </c>
      <c r="P1133" s="1">
        <v>1086.8900000000001</v>
      </c>
      <c r="Q1133">
        <v>0.27</v>
      </c>
      <c r="R1133">
        <v>6.7299999999999999E-4</v>
      </c>
    </row>
    <row r="1134" spans="1:18" ht="13.8" outlineLevel="1" x14ac:dyDescent="0.25">
      <c r="A1134">
        <v>87632</v>
      </c>
      <c r="B1134" t="s">
        <v>1352</v>
      </c>
      <c r="C1134" t="s">
        <v>1360</v>
      </c>
      <c r="D1134" s="14" t="s">
        <v>1360</v>
      </c>
      <c r="E1134" s="12" t="s">
        <v>28</v>
      </c>
      <c r="F1134" s="17" t="s">
        <v>549</v>
      </c>
      <c r="G1134">
        <v>50</v>
      </c>
      <c r="H1134" t="s">
        <v>30</v>
      </c>
      <c r="I1134">
        <v>50</v>
      </c>
      <c r="J1134" s="15"/>
      <c r="K1134" s="16">
        <f>14.79 - (14.79 * $E$1)</f>
        <v>14.79</v>
      </c>
      <c r="L1134" s="16">
        <f>12.12 - (12.12 * $E$1)</f>
        <v>12.12</v>
      </c>
      <c r="M1134" s="1">
        <v>14.79</v>
      </c>
      <c r="N1134" s="1">
        <v>12.12</v>
      </c>
      <c r="O1134" s="1">
        <v>12.57</v>
      </c>
      <c r="P1134" s="1">
        <v>10.3</v>
      </c>
      <c r="Q1134">
        <v>3.7200000000000002E-3</v>
      </c>
      <c r="R1134">
        <v>8.1000000000000004E-6</v>
      </c>
    </row>
    <row r="1135" spans="1:18" ht="13.8" outlineLevel="1" x14ac:dyDescent="0.25">
      <c r="A1135">
        <v>109301</v>
      </c>
      <c r="B1135" t="s">
        <v>1354</v>
      </c>
      <c r="C1135" t="s">
        <v>1361</v>
      </c>
      <c r="D1135" s="14" t="s">
        <v>1360</v>
      </c>
      <c r="E1135" s="12" t="s">
        <v>28</v>
      </c>
      <c r="F1135" s="13" t="s">
        <v>29</v>
      </c>
      <c r="G1135">
        <v>1</v>
      </c>
      <c r="H1135" t="s">
        <v>420</v>
      </c>
      <c r="I1135">
        <v>1</v>
      </c>
      <c r="J1135" s="15"/>
      <c r="K1135" s="16">
        <f>739.5 - (739.5 * $E$1)</f>
        <v>739.5</v>
      </c>
      <c r="L1135" s="16">
        <f>606.15 - (606.15 * $E$1)</f>
        <v>606.15</v>
      </c>
      <c r="M1135" s="1">
        <v>739.5</v>
      </c>
      <c r="N1135" s="1">
        <v>606.15</v>
      </c>
      <c r="O1135" s="1">
        <v>628.58000000000004</v>
      </c>
      <c r="P1135" s="1">
        <v>515.23</v>
      </c>
      <c r="Q1135">
        <v>0.186</v>
      </c>
      <c r="R1135">
        <v>4.0499999999999998E-4</v>
      </c>
    </row>
    <row r="1136" spans="1:18" ht="13.8" outlineLevel="1" x14ac:dyDescent="0.25">
      <c r="A1136">
        <v>87633</v>
      </c>
      <c r="B1136" t="s">
        <v>1352</v>
      </c>
      <c r="C1136" t="s">
        <v>1362</v>
      </c>
      <c r="D1136" s="14" t="s">
        <v>1362</v>
      </c>
      <c r="E1136" s="12" t="s">
        <v>28</v>
      </c>
      <c r="F1136" s="17" t="s">
        <v>549</v>
      </c>
      <c r="G1136">
        <v>50</v>
      </c>
      <c r="H1136" t="s">
        <v>30</v>
      </c>
      <c r="I1136">
        <v>50</v>
      </c>
      <c r="J1136" s="15"/>
      <c r="K1136" s="16">
        <f>21.5 - (21.5 * $E$1)</f>
        <v>21.5</v>
      </c>
      <c r="L1136" s="16">
        <f>17.62 - (17.62 * $E$1)</f>
        <v>17.62</v>
      </c>
      <c r="M1136" s="1">
        <v>21.5</v>
      </c>
      <c r="N1136" s="1">
        <v>17.62</v>
      </c>
      <c r="O1136" s="1">
        <v>18.27</v>
      </c>
      <c r="P1136" s="1">
        <v>14.98</v>
      </c>
      <c r="Q1136">
        <v>5.1999999999999998E-3</v>
      </c>
      <c r="R1136">
        <v>1.346E-5</v>
      </c>
    </row>
    <row r="1137" spans="1:18" ht="13.8" outlineLevel="1" x14ac:dyDescent="0.25">
      <c r="A1137">
        <v>109302</v>
      </c>
      <c r="B1137" t="s">
        <v>1354</v>
      </c>
      <c r="C1137" t="s">
        <v>1363</v>
      </c>
      <c r="D1137" s="14" t="s">
        <v>1362</v>
      </c>
      <c r="E1137" s="12" t="s">
        <v>28</v>
      </c>
      <c r="F1137" s="13" t="s">
        <v>29</v>
      </c>
      <c r="G1137">
        <v>1</v>
      </c>
      <c r="H1137" t="s">
        <v>420</v>
      </c>
      <c r="I1137">
        <v>1</v>
      </c>
      <c r="J1137" s="15"/>
      <c r="K1137" s="16">
        <f>1075 - (1075 * $E$1)</f>
        <v>1075</v>
      </c>
      <c r="L1137" s="16">
        <f>881.15 - (881.15 * $E$1)</f>
        <v>881.15</v>
      </c>
      <c r="M1137" s="1">
        <v>1075</v>
      </c>
      <c r="N1137" s="1">
        <v>881.15</v>
      </c>
      <c r="O1137" s="1">
        <v>913.75</v>
      </c>
      <c r="P1137" s="1">
        <v>748.98</v>
      </c>
      <c r="Q1137">
        <v>0.26</v>
      </c>
      <c r="R1137">
        <v>6.7299999999999999E-4</v>
      </c>
    </row>
    <row r="1138" spans="1:18" ht="13.8" outlineLevel="1" x14ac:dyDescent="0.25">
      <c r="A1138">
        <v>92364</v>
      </c>
      <c r="B1138" t="s">
        <v>1354</v>
      </c>
      <c r="C1138" t="s">
        <v>1364</v>
      </c>
      <c r="D1138" s="14" t="s">
        <v>1364</v>
      </c>
      <c r="E1138" s="12" t="s">
        <v>28</v>
      </c>
      <c r="F1138" s="17" t="s">
        <v>549</v>
      </c>
      <c r="G1138">
        <v>50</v>
      </c>
      <c r="H1138" t="s">
        <v>30</v>
      </c>
      <c r="I1138">
        <v>50</v>
      </c>
      <c r="J1138" s="15"/>
      <c r="K1138" s="16">
        <f>24.75 - (24.75 * $E$1)</f>
        <v>24.75</v>
      </c>
      <c r="L1138" s="16">
        <f>20.29 - (20.29 * $E$1)</f>
        <v>20.29</v>
      </c>
      <c r="M1138" s="1">
        <v>24.75</v>
      </c>
      <c r="N1138" s="1">
        <v>20.29</v>
      </c>
      <c r="O1138" s="1">
        <v>21.04</v>
      </c>
      <c r="P1138" s="1">
        <v>17.25</v>
      </c>
      <c r="Q1138">
        <v>6.4000000000000003E-3</v>
      </c>
      <c r="R1138">
        <v>1.45E-5</v>
      </c>
    </row>
    <row r="1139" spans="1:18" ht="13.8" outlineLevel="1" x14ac:dyDescent="0.25">
      <c r="A1139">
        <v>109303</v>
      </c>
      <c r="B1139" t="s">
        <v>1354</v>
      </c>
      <c r="C1139" t="s">
        <v>1365</v>
      </c>
      <c r="D1139" s="14" t="s">
        <v>1364</v>
      </c>
      <c r="E1139" s="12" t="s">
        <v>28</v>
      </c>
      <c r="F1139" s="13" t="s">
        <v>29</v>
      </c>
      <c r="G1139">
        <v>1</v>
      </c>
      <c r="H1139" t="s">
        <v>420</v>
      </c>
      <c r="I1139">
        <v>1</v>
      </c>
      <c r="J1139" s="15"/>
      <c r="K1139" s="16">
        <f>1237.49 - (1237.49 * $E$1)</f>
        <v>1237.49</v>
      </c>
      <c r="L1139" s="16">
        <f>1014.34 - (1014.34 * $E$1)</f>
        <v>1014.34</v>
      </c>
      <c r="M1139" s="1">
        <v>1237.49</v>
      </c>
      <c r="N1139" s="1">
        <v>1014.34</v>
      </c>
      <c r="O1139" s="1">
        <v>1051.8699999999999</v>
      </c>
      <c r="P1139" s="1">
        <v>862.19</v>
      </c>
      <c r="Q1139">
        <v>0.32</v>
      </c>
      <c r="R1139">
        <v>7.2499999999999995E-4</v>
      </c>
    </row>
    <row r="1140" spans="1:18" ht="13.8" outlineLevel="1" x14ac:dyDescent="0.25">
      <c r="A1140">
        <v>87634</v>
      </c>
      <c r="B1140" t="s">
        <v>1352</v>
      </c>
      <c r="C1140" t="s">
        <v>1366</v>
      </c>
      <c r="D1140" s="14" t="s">
        <v>1366</v>
      </c>
      <c r="E1140" s="12" t="s">
        <v>28</v>
      </c>
      <c r="F1140" s="17" t="s">
        <v>549</v>
      </c>
      <c r="G1140">
        <v>50</v>
      </c>
      <c r="H1140" t="s">
        <v>30</v>
      </c>
      <c r="I1140">
        <v>50</v>
      </c>
      <c r="J1140" s="15"/>
      <c r="K1140" s="16">
        <f>29.43 - (29.43 * $E$1)</f>
        <v>29.43</v>
      </c>
      <c r="L1140" s="16">
        <f>24.12 - (24.12 * $E$1)</f>
        <v>24.12</v>
      </c>
      <c r="M1140" s="1">
        <v>29.43</v>
      </c>
      <c r="N1140" s="1">
        <v>24.12</v>
      </c>
      <c r="O1140" s="1">
        <v>25.01</v>
      </c>
      <c r="P1140" s="1">
        <v>20.5</v>
      </c>
      <c r="Q1140">
        <v>7.6E-3</v>
      </c>
      <c r="R1140">
        <v>1.346E-5</v>
      </c>
    </row>
    <row r="1141" spans="1:18" ht="13.8" outlineLevel="1" x14ac:dyDescent="0.25">
      <c r="A1141">
        <v>109304</v>
      </c>
      <c r="B1141" t="s">
        <v>1354</v>
      </c>
      <c r="C1141" t="s">
        <v>1367</v>
      </c>
      <c r="D1141" s="14" t="s">
        <v>1366</v>
      </c>
      <c r="E1141" s="12" t="s">
        <v>28</v>
      </c>
      <c r="F1141" s="13" t="s">
        <v>29</v>
      </c>
      <c r="G1141">
        <v>1</v>
      </c>
      <c r="H1141" t="s">
        <v>420</v>
      </c>
      <c r="I1141">
        <v>1</v>
      </c>
      <c r="J1141" s="15"/>
      <c r="K1141" s="16">
        <f>1471.5 - (1471.5 * $E$1)</f>
        <v>1471.5</v>
      </c>
      <c r="L1141" s="16">
        <f>1206.15 - (1206.15 * $E$1)</f>
        <v>1206.1500000000001</v>
      </c>
      <c r="M1141" s="1">
        <v>1471.5</v>
      </c>
      <c r="N1141" s="1">
        <v>1206.1500000000001</v>
      </c>
      <c r="O1141" s="1">
        <v>1250.78</v>
      </c>
      <c r="P1141" s="1">
        <v>1025.23</v>
      </c>
      <c r="Q1141">
        <v>0.38</v>
      </c>
      <c r="R1141">
        <v>6.7299999999999999E-4</v>
      </c>
    </row>
    <row r="1142" spans="1:18" ht="13.8" outlineLevel="1" x14ac:dyDescent="0.25">
      <c r="A1142">
        <v>87640</v>
      </c>
      <c r="B1142" t="s">
        <v>1368</v>
      </c>
      <c r="C1142" t="s">
        <v>1369</v>
      </c>
      <c r="D1142" s="14" t="s">
        <v>1369</v>
      </c>
      <c r="E1142" s="12" t="s">
        <v>28</v>
      </c>
      <c r="F1142" s="17" t="s">
        <v>549</v>
      </c>
      <c r="G1142">
        <v>25</v>
      </c>
      <c r="H1142" t="s">
        <v>30</v>
      </c>
      <c r="I1142">
        <v>25</v>
      </c>
      <c r="J1142" s="15"/>
      <c r="K1142" s="16">
        <f>34.51 - (34.51 * $E$1)</f>
        <v>34.51</v>
      </c>
      <c r="L1142" s="16">
        <f>28.29 - (28.29 * $E$1)</f>
        <v>28.29</v>
      </c>
      <c r="M1142" s="1">
        <v>34.51</v>
      </c>
      <c r="N1142" s="1">
        <v>28.29</v>
      </c>
      <c r="O1142" s="1">
        <v>29.34</v>
      </c>
      <c r="P1142" s="1">
        <v>24.05</v>
      </c>
      <c r="Q1142">
        <v>7.28E-3</v>
      </c>
      <c r="R1142">
        <v>2.692E-5</v>
      </c>
    </row>
    <row r="1143" spans="1:18" ht="13.8" outlineLevel="1" x14ac:dyDescent="0.25">
      <c r="A1143">
        <v>109309</v>
      </c>
      <c r="B1143" t="s">
        <v>1370</v>
      </c>
      <c r="C1143" t="s">
        <v>1371</v>
      </c>
      <c r="D1143" s="14" t="s">
        <v>1369</v>
      </c>
      <c r="E1143" s="12" t="s">
        <v>28</v>
      </c>
      <c r="F1143" s="13" t="s">
        <v>29</v>
      </c>
      <c r="G1143">
        <v>1</v>
      </c>
      <c r="H1143" t="s">
        <v>420</v>
      </c>
      <c r="I1143">
        <v>1</v>
      </c>
      <c r="J1143" s="15"/>
      <c r="K1143" s="16">
        <f>862.75 - (862.75 * $E$1)</f>
        <v>862.75</v>
      </c>
      <c r="L1143" s="16">
        <f>707.17 - (707.17 * $E$1)</f>
        <v>707.17</v>
      </c>
      <c r="M1143" s="1">
        <v>862.75</v>
      </c>
      <c r="N1143" s="1">
        <v>707.17</v>
      </c>
      <c r="O1143" s="1">
        <v>733.34</v>
      </c>
      <c r="P1143" s="1">
        <v>601.09</v>
      </c>
      <c r="Q1143">
        <v>0.182</v>
      </c>
      <c r="R1143">
        <v>6.7299999999999999E-4</v>
      </c>
    </row>
    <row r="1144" spans="1:18" ht="13.8" outlineLevel="1" x14ac:dyDescent="0.25">
      <c r="A1144">
        <v>87635</v>
      </c>
      <c r="B1144" t="s">
        <v>1368</v>
      </c>
      <c r="C1144" t="s">
        <v>1372</v>
      </c>
      <c r="D1144" s="14" t="s">
        <v>1372</v>
      </c>
      <c r="E1144" s="12" t="s">
        <v>28</v>
      </c>
      <c r="F1144" s="17" t="s">
        <v>549</v>
      </c>
      <c r="G1144">
        <v>25</v>
      </c>
      <c r="H1144" t="s">
        <v>30</v>
      </c>
      <c r="I1144">
        <v>25</v>
      </c>
      <c r="J1144" s="15"/>
      <c r="K1144" s="16">
        <f>23.59 - (23.59 * $E$1)</f>
        <v>23.59</v>
      </c>
      <c r="L1144" s="16">
        <f>19.34 - (19.34 * $E$1)</f>
        <v>19.34</v>
      </c>
      <c r="M1144" s="1">
        <v>23.59</v>
      </c>
      <c r="N1144" s="1">
        <v>19.34</v>
      </c>
      <c r="O1144" s="1">
        <v>20.059999999999999</v>
      </c>
      <c r="P1144" s="1">
        <v>16.440000000000001</v>
      </c>
      <c r="Q1144">
        <v>5.4400000000000004E-3</v>
      </c>
      <c r="R1144">
        <v>1.6200000000000001E-5</v>
      </c>
    </row>
    <row r="1145" spans="1:18" ht="13.8" outlineLevel="1" x14ac:dyDescent="0.25">
      <c r="A1145">
        <v>109308</v>
      </c>
      <c r="B1145" t="s">
        <v>1370</v>
      </c>
      <c r="C1145" t="s">
        <v>1373</v>
      </c>
      <c r="D1145" s="14" t="s">
        <v>1372</v>
      </c>
      <c r="E1145" s="12" t="s">
        <v>28</v>
      </c>
      <c r="F1145" s="13" t="s">
        <v>29</v>
      </c>
      <c r="G1145">
        <v>1</v>
      </c>
      <c r="H1145" t="s">
        <v>420</v>
      </c>
      <c r="I1145">
        <v>1</v>
      </c>
      <c r="J1145" s="15"/>
      <c r="K1145" s="16">
        <f>589.75 - (589.75 * $E$1)</f>
        <v>589.75</v>
      </c>
      <c r="L1145" s="16">
        <f>483.4 - (483.4 * $E$1)</f>
        <v>483.4</v>
      </c>
      <c r="M1145" s="1">
        <v>589.75</v>
      </c>
      <c r="N1145" s="1">
        <v>483.4</v>
      </c>
      <c r="O1145" s="1">
        <v>501.29</v>
      </c>
      <c r="P1145" s="1">
        <v>410.89</v>
      </c>
      <c r="Q1145">
        <v>0.13600000000000001</v>
      </c>
      <c r="R1145">
        <v>4.0499999999999998E-4</v>
      </c>
    </row>
    <row r="1146" spans="1:18" ht="13.8" outlineLevel="1" x14ac:dyDescent="0.25">
      <c r="A1146">
        <v>87636</v>
      </c>
      <c r="B1146" t="s">
        <v>1368</v>
      </c>
      <c r="C1146" t="s">
        <v>1374</v>
      </c>
      <c r="D1146" s="14" t="s">
        <v>1374</v>
      </c>
      <c r="E1146" s="12" t="s">
        <v>28</v>
      </c>
      <c r="F1146" s="17" t="s">
        <v>549</v>
      </c>
      <c r="G1146">
        <v>25</v>
      </c>
      <c r="H1146" t="s">
        <v>30</v>
      </c>
      <c r="I1146">
        <v>25</v>
      </c>
      <c r="J1146" s="15"/>
      <c r="K1146" s="16">
        <f>29.51 - (29.51 * $E$1)</f>
        <v>29.51</v>
      </c>
      <c r="L1146" s="16">
        <f>24.19 - (24.19 * $E$1)</f>
        <v>24.19</v>
      </c>
      <c r="M1146" s="1">
        <v>29.51</v>
      </c>
      <c r="N1146" s="1">
        <v>24.19</v>
      </c>
      <c r="O1146" s="1">
        <v>25.09</v>
      </c>
      <c r="P1146" s="1">
        <v>20.56</v>
      </c>
      <c r="Q1146">
        <v>7.4799999999999997E-3</v>
      </c>
      <c r="R1146">
        <v>1.6200000000000001E-5</v>
      </c>
    </row>
    <row r="1147" spans="1:18" ht="13.8" outlineLevel="1" x14ac:dyDescent="0.25">
      <c r="A1147">
        <v>109310</v>
      </c>
      <c r="B1147" t="s">
        <v>1370</v>
      </c>
      <c r="C1147" t="s">
        <v>1375</v>
      </c>
      <c r="D1147" s="14" t="s">
        <v>1374</v>
      </c>
      <c r="E1147" s="12" t="s">
        <v>28</v>
      </c>
      <c r="F1147" s="13" t="s">
        <v>29</v>
      </c>
      <c r="G1147">
        <v>1</v>
      </c>
      <c r="H1147" t="s">
        <v>420</v>
      </c>
      <c r="I1147">
        <v>1</v>
      </c>
      <c r="J1147" s="15"/>
      <c r="K1147" s="16">
        <f>737.75 - (737.75 * $E$1)</f>
        <v>737.75</v>
      </c>
      <c r="L1147" s="16">
        <f>604.71 - (604.71 * $E$1)</f>
        <v>604.71</v>
      </c>
      <c r="M1147" s="1">
        <v>737.75</v>
      </c>
      <c r="N1147" s="1">
        <v>604.71</v>
      </c>
      <c r="O1147" s="1">
        <v>627.08000000000004</v>
      </c>
      <c r="P1147" s="1">
        <v>514</v>
      </c>
      <c r="Q1147">
        <v>0.187</v>
      </c>
      <c r="R1147">
        <v>4.0499999999999998E-4</v>
      </c>
    </row>
    <row r="1148" spans="1:18" ht="13.8" outlineLevel="1" x14ac:dyDescent="0.25">
      <c r="A1148">
        <v>87637</v>
      </c>
      <c r="B1148" t="s">
        <v>1368</v>
      </c>
      <c r="C1148" t="s">
        <v>1376</v>
      </c>
      <c r="D1148" s="14" t="s">
        <v>1376</v>
      </c>
      <c r="E1148" s="12" t="s">
        <v>28</v>
      </c>
      <c r="F1148" s="17" t="s">
        <v>549</v>
      </c>
      <c r="G1148">
        <v>25</v>
      </c>
      <c r="H1148" t="s">
        <v>30</v>
      </c>
      <c r="I1148">
        <v>25</v>
      </c>
      <c r="J1148" s="15"/>
      <c r="K1148" s="16">
        <f>49.47 - (49.47 * $E$1)</f>
        <v>49.47</v>
      </c>
      <c r="L1148" s="16">
        <f>40.55 - (40.55 * $E$1)</f>
        <v>40.549999999999997</v>
      </c>
      <c r="M1148" s="1">
        <v>49.47</v>
      </c>
      <c r="N1148" s="1">
        <v>40.549999999999997</v>
      </c>
      <c r="O1148" s="1">
        <v>42.05</v>
      </c>
      <c r="P1148" s="1">
        <v>34.47</v>
      </c>
      <c r="Q1148">
        <v>1.0160000000000001E-2</v>
      </c>
      <c r="R1148">
        <v>2.692E-5</v>
      </c>
    </row>
    <row r="1149" spans="1:18" ht="13.8" outlineLevel="1" x14ac:dyDescent="0.25">
      <c r="A1149">
        <v>109311</v>
      </c>
      <c r="B1149" t="s">
        <v>1370</v>
      </c>
      <c r="C1149" t="s">
        <v>1377</v>
      </c>
      <c r="D1149" s="14" t="s">
        <v>1376</v>
      </c>
      <c r="E1149" s="12" t="s">
        <v>28</v>
      </c>
      <c r="F1149" s="13" t="s">
        <v>29</v>
      </c>
      <c r="G1149">
        <v>1</v>
      </c>
      <c r="H1149" t="s">
        <v>420</v>
      </c>
      <c r="I1149">
        <v>1</v>
      </c>
      <c r="J1149" s="15"/>
      <c r="K1149" s="16">
        <f>1236.75 - (1236.75 * $E$1)</f>
        <v>1236.75</v>
      </c>
      <c r="L1149" s="16">
        <f>1013.73 - (1013.73 * $E$1)</f>
        <v>1013.73</v>
      </c>
      <c r="M1149" s="1">
        <v>1236.75</v>
      </c>
      <c r="N1149" s="1">
        <v>1013.73</v>
      </c>
      <c r="O1149" s="1">
        <v>1051.24</v>
      </c>
      <c r="P1149" s="1">
        <v>861.67</v>
      </c>
      <c r="Q1149">
        <v>0.254</v>
      </c>
      <c r="R1149">
        <v>6.7299999999999999E-4</v>
      </c>
    </row>
    <row r="1150" spans="1:18" ht="13.8" outlineLevel="1" x14ac:dyDescent="0.25">
      <c r="A1150">
        <v>87638</v>
      </c>
      <c r="B1150" t="s">
        <v>1368</v>
      </c>
      <c r="C1150" t="s">
        <v>1378</v>
      </c>
      <c r="D1150" s="14" t="s">
        <v>1378</v>
      </c>
      <c r="E1150" s="12" t="s">
        <v>28</v>
      </c>
      <c r="F1150" s="13" t="s">
        <v>29</v>
      </c>
      <c r="G1150">
        <v>25</v>
      </c>
      <c r="H1150" t="s">
        <v>30</v>
      </c>
      <c r="I1150">
        <v>25</v>
      </c>
      <c r="J1150" s="15"/>
      <c r="K1150" s="16">
        <f>46.15 - (46.15 * $E$1)</f>
        <v>46.15</v>
      </c>
      <c r="L1150" s="16">
        <f>37.83 - (37.83 * $E$1)</f>
        <v>37.83</v>
      </c>
      <c r="M1150" s="1">
        <v>46.15</v>
      </c>
      <c r="N1150" s="1">
        <v>37.83</v>
      </c>
      <c r="O1150" s="1">
        <v>39.229999999999997</v>
      </c>
      <c r="P1150" s="1">
        <v>32.159999999999997</v>
      </c>
      <c r="Q1150">
        <v>8.3999999999999995E-3</v>
      </c>
      <c r="R1150">
        <v>2.692E-5</v>
      </c>
    </row>
    <row r="1151" spans="1:18" ht="13.8" outlineLevel="1" x14ac:dyDescent="0.25">
      <c r="A1151">
        <v>87641</v>
      </c>
      <c r="B1151" t="s">
        <v>1379</v>
      </c>
      <c r="C1151" t="s">
        <v>1380</v>
      </c>
      <c r="D1151" s="14" t="s">
        <v>1380</v>
      </c>
      <c r="E1151" s="12" t="s">
        <v>28</v>
      </c>
      <c r="F1151" s="17" t="s">
        <v>549</v>
      </c>
      <c r="G1151">
        <v>25</v>
      </c>
      <c r="H1151" t="s">
        <v>30</v>
      </c>
      <c r="I1151">
        <v>25</v>
      </c>
      <c r="J1151" s="15"/>
      <c r="K1151" s="16">
        <f>52.59 - (52.59 * $E$1)</f>
        <v>52.59</v>
      </c>
      <c r="L1151" s="16">
        <f>43.11 - (43.11 * $E$1)</f>
        <v>43.11</v>
      </c>
      <c r="M1151" s="1">
        <v>52.59</v>
      </c>
      <c r="N1151" s="1">
        <v>43.11</v>
      </c>
      <c r="O1151" s="1">
        <v>44.71</v>
      </c>
      <c r="P1151" s="1">
        <v>36.64</v>
      </c>
      <c r="Q1151">
        <v>1.128E-2</v>
      </c>
      <c r="R1151">
        <v>2.692E-5</v>
      </c>
    </row>
    <row r="1152" spans="1:18" ht="13.8" outlineLevel="1" x14ac:dyDescent="0.25">
      <c r="A1152">
        <v>109305</v>
      </c>
      <c r="B1152" t="s">
        <v>1381</v>
      </c>
      <c r="C1152" t="s">
        <v>1382</v>
      </c>
      <c r="D1152" s="14" t="s">
        <v>1380</v>
      </c>
      <c r="E1152" s="12" t="s">
        <v>28</v>
      </c>
      <c r="F1152" s="13" t="s">
        <v>29</v>
      </c>
      <c r="G1152">
        <v>1</v>
      </c>
      <c r="H1152" t="s">
        <v>420</v>
      </c>
      <c r="I1152">
        <v>1</v>
      </c>
      <c r="J1152" s="15"/>
      <c r="K1152" s="16">
        <f>1314.75 - (1314.75 * $E$1)</f>
        <v>1314.75</v>
      </c>
      <c r="L1152" s="16">
        <f>1077.66 - (1077.66 * $E$1)</f>
        <v>1077.6600000000001</v>
      </c>
      <c r="M1152" s="1">
        <v>1314.75</v>
      </c>
      <c r="N1152" s="1">
        <v>1077.6600000000001</v>
      </c>
      <c r="O1152" s="1">
        <v>1117.53</v>
      </c>
      <c r="P1152" s="1">
        <v>916.01</v>
      </c>
      <c r="Q1152">
        <v>0.28199999999999997</v>
      </c>
      <c r="R1152">
        <v>6.7299999999999999E-4</v>
      </c>
    </row>
    <row r="1153" spans="1:18" ht="13.8" outlineLevel="1" x14ac:dyDescent="0.25">
      <c r="A1153">
        <v>87642</v>
      </c>
      <c r="B1153" t="s">
        <v>1379</v>
      </c>
      <c r="C1153" t="s">
        <v>1383</v>
      </c>
      <c r="D1153" s="14" t="s">
        <v>1383</v>
      </c>
      <c r="E1153" s="12" t="s">
        <v>28</v>
      </c>
      <c r="F1153" s="17" t="s">
        <v>549</v>
      </c>
      <c r="G1153">
        <v>20</v>
      </c>
      <c r="H1153" t="s">
        <v>30</v>
      </c>
      <c r="I1153">
        <v>20</v>
      </c>
      <c r="J1153" s="15"/>
      <c r="K1153" s="16">
        <f>95.78 - (95.78 * $E$1)</f>
        <v>95.78</v>
      </c>
      <c r="L1153" s="16">
        <f>78.51 - (78.51 * $E$1)</f>
        <v>78.510000000000005</v>
      </c>
      <c r="M1153" s="1">
        <v>95.78</v>
      </c>
      <c r="N1153" s="1">
        <v>78.510000000000005</v>
      </c>
      <c r="O1153" s="1">
        <v>81.41</v>
      </c>
      <c r="P1153" s="1">
        <v>66.73</v>
      </c>
      <c r="Q1153">
        <v>1.43E-2</v>
      </c>
      <c r="R1153">
        <v>3.3649999999999998E-5</v>
      </c>
    </row>
    <row r="1154" spans="1:18" ht="13.8" outlineLevel="1" x14ac:dyDescent="0.25">
      <c r="A1154">
        <v>109306</v>
      </c>
      <c r="B1154" t="s">
        <v>1381</v>
      </c>
      <c r="C1154" t="s">
        <v>1384</v>
      </c>
      <c r="D1154" s="14" t="s">
        <v>1383</v>
      </c>
      <c r="E1154" s="12" t="s">
        <v>28</v>
      </c>
      <c r="F1154" s="13" t="s">
        <v>29</v>
      </c>
      <c r="G1154">
        <v>1</v>
      </c>
      <c r="H1154" t="s">
        <v>420</v>
      </c>
      <c r="I1154">
        <v>1</v>
      </c>
      <c r="J1154" s="15"/>
      <c r="K1154" s="16">
        <f>1915.6 - (1915.6 * $E$1)</f>
        <v>1915.6</v>
      </c>
      <c r="L1154" s="16">
        <f>1570.16 - (1570.16 * $E$1)</f>
        <v>1570.16</v>
      </c>
      <c r="M1154" s="1">
        <v>1915.6</v>
      </c>
      <c r="N1154" s="1">
        <v>1570.16</v>
      </c>
      <c r="O1154" s="1">
        <v>1628.26</v>
      </c>
      <c r="P1154" s="1">
        <v>1334.64</v>
      </c>
      <c r="Q1154">
        <v>0.28599999999999998</v>
      </c>
      <c r="R1154">
        <v>6.7299999999999999E-4</v>
      </c>
    </row>
    <row r="1155" spans="1:18" ht="13.8" outlineLevel="1" x14ac:dyDescent="0.25">
      <c r="A1155">
        <v>87643</v>
      </c>
      <c r="B1155" t="s">
        <v>1379</v>
      </c>
      <c r="C1155" t="s">
        <v>1385</v>
      </c>
      <c r="D1155" s="14" t="s">
        <v>1385</v>
      </c>
      <c r="E1155" s="12" t="s">
        <v>28</v>
      </c>
      <c r="F1155" s="17" t="s">
        <v>549</v>
      </c>
      <c r="G1155">
        <v>20</v>
      </c>
      <c r="H1155" t="s">
        <v>30</v>
      </c>
      <c r="I1155">
        <v>20</v>
      </c>
      <c r="J1155" s="15"/>
      <c r="K1155" s="16">
        <f>123.57 - (123.57 * $E$1)</f>
        <v>123.57</v>
      </c>
      <c r="L1155" s="16">
        <f>101.29 - (101.29 * $E$1)</f>
        <v>101.29</v>
      </c>
      <c r="M1155" s="1">
        <v>123.57</v>
      </c>
      <c r="N1155" s="1">
        <v>101.29</v>
      </c>
      <c r="O1155" s="1">
        <v>105.04</v>
      </c>
      <c r="P1155" s="1">
        <v>86.1</v>
      </c>
      <c r="Q1155">
        <v>1.6500000000000001E-2</v>
      </c>
      <c r="R1155">
        <v>3.3649999999999998E-5</v>
      </c>
    </row>
    <row r="1156" spans="1:18" ht="13.8" outlineLevel="1" x14ac:dyDescent="0.25">
      <c r="A1156">
        <v>109307</v>
      </c>
      <c r="B1156" t="s">
        <v>1381</v>
      </c>
      <c r="C1156" t="s">
        <v>1386</v>
      </c>
      <c r="D1156" s="14" t="s">
        <v>1385</v>
      </c>
      <c r="E1156" s="12" t="s">
        <v>28</v>
      </c>
      <c r="F1156" s="13" t="s">
        <v>29</v>
      </c>
      <c r="G1156">
        <v>1</v>
      </c>
      <c r="H1156" t="s">
        <v>420</v>
      </c>
      <c r="I1156">
        <v>1</v>
      </c>
      <c r="J1156" s="15"/>
      <c r="K1156" s="16">
        <f>2471.4 - (2471.4 * $E$1)</f>
        <v>2471.4</v>
      </c>
      <c r="L1156" s="16">
        <f>2025.74 - (2025.74 * $E$1)</f>
        <v>2025.74</v>
      </c>
      <c r="M1156" s="1">
        <v>2471.4</v>
      </c>
      <c r="N1156" s="1">
        <v>2025.74</v>
      </c>
      <c r="O1156" s="1">
        <v>2100.69</v>
      </c>
      <c r="P1156" s="1">
        <v>1721.88</v>
      </c>
      <c r="Q1156">
        <v>0.33</v>
      </c>
      <c r="R1156">
        <v>6.7299999999999999E-4</v>
      </c>
    </row>
    <row r="1157" spans="1:18" ht="13.8" outlineLevel="1" x14ac:dyDescent="0.25">
      <c r="A1157">
        <v>90363</v>
      </c>
      <c r="B1157" t="s">
        <v>1387</v>
      </c>
      <c r="C1157" t="s">
        <v>1388</v>
      </c>
      <c r="D1157" s="14" t="s">
        <v>1389</v>
      </c>
      <c r="E1157" s="12" t="s">
        <v>28</v>
      </c>
      <c r="F1157" s="13" t="s">
        <v>29</v>
      </c>
      <c r="G1157">
        <v>1</v>
      </c>
      <c r="H1157" t="s">
        <v>420</v>
      </c>
      <c r="I1157">
        <v>1</v>
      </c>
      <c r="J1157" s="15"/>
      <c r="K1157" s="16">
        <f>67.76 - (67.76 * $E$1)</f>
        <v>67.760000000000005</v>
      </c>
      <c r="L1157" s="16">
        <f>55.54 - (55.54 * $E$1)</f>
        <v>55.54</v>
      </c>
      <c r="M1157" s="1">
        <v>67.760000000000005</v>
      </c>
      <c r="N1157" s="1">
        <v>55.54</v>
      </c>
      <c r="O1157" s="1">
        <v>57.59</v>
      </c>
      <c r="P1157" s="1">
        <v>47.21</v>
      </c>
      <c r="Q1157">
        <v>8.9999999999999993E-3</v>
      </c>
      <c r="R1157">
        <v>1.12E-4</v>
      </c>
    </row>
    <row r="1158" spans="1:18" ht="13.8" outlineLevel="1" x14ac:dyDescent="0.25">
      <c r="A1158">
        <v>90364</v>
      </c>
      <c r="B1158" t="s">
        <v>1387</v>
      </c>
      <c r="C1158" t="s">
        <v>1390</v>
      </c>
      <c r="D1158" s="14" t="s">
        <v>1389</v>
      </c>
      <c r="E1158" s="12" t="s">
        <v>28</v>
      </c>
      <c r="F1158" s="13" t="s">
        <v>29</v>
      </c>
      <c r="G1158">
        <v>1</v>
      </c>
      <c r="H1158" t="s">
        <v>420</v>
      </c>
      <c r="I1158">
        <v>1</v>
      </c>
      <c r="J1158" s="15"/>
      <c r="K1158" s="16">
        <f>78.51 - (78.51 * $E$1)</f>
        <v>78.510000000000005</v>
      </c>
      <c r="L1158" s="16">
        <f>64.35 - (64.35 * $E$1)</f>
        <v>64.349999999999994</v>
      </c>
      <c r="M1158" s="1">
        <v>78.510000000000005</v>
      </c>
      <c r="N1158" s="1">
        <v>64.349999999999994</v>
      </c>
      <c r="O1158" s="1">
        <v>66.73</v>
      </c>
      <c r="P1158" s="1">
        <v>54.7</v>
      </c>
      <c r="Q1158">
        <v>1.2E-2</v>
      </c>
      <c r="R1158">
        <v>1.12E-4</v>
      </c>
    </row>
    <row r="1159" spans="1:18" ht="13.8" outlineLevel="1" x14ac:dyDescent="0.25">
      <c r="A1159">
        <v>90365</v>
      </c>
      <c r="B1159" t="s">
        <v>1387</v>
      </c>
      <c r="C1159" t="s">
        <v>1391</v>
      </c>
      <c r="D1159" s="14" t="s">
        <v>1389</v>
      </c>
      <c r="E1159" s="12" t="s">
        <v>28</v>
      </c>
      <c r="F1159" s="13" t="s">
        <v>29</v>
      </c>
      <c r="G1159">
        <v>1</v>
      </c>
      <c r="H1159" t="s">
        <v>420</v>
      </c>
      <c r="I1159">
        <v>1</v>
      </c>
      <c r="J1159" s="15"/>
      <c r="K1159" s="16">
        <f>87.55 - (87.55 * $E$1)</f>
        <v>87.55</v>
      </c>
      <c r="L1159" s="16">
        <f>71.76 - (71.76 * $E$1)</f>
        <v>71.760000000000005</v>
      </c>
      <c r="M1159" s="1">
        <v>87.55</v>
      </c>
      <c r="N1159" s="1">
        <v>71.760000000000005</v>
      </c>
      <c r="O1159" s="1">
        <v>74.42</v>
      </c>
      <c r="P1159" s="1">
        <v>61</v>
      </c>
      <c r="Q1159">
        <v>1.2999999999999999E-2</v>
      </c>
      <c r="R1159">
        <v>1.12E-4</v>
      </c>
    </row>
    <row r="1160" spans="1:18" ht="13.8" outlineLevel="1" x14ac:dyDescent="0.25">
      <c r="A1160">
        <v>90366</v>
      </c>
      <c r="B1160" t="s">
        <v>1387</v>
      </c>
      <c r="C1160" t="s">
        <v>1392</v>
      </c>
      <c r="D1160" s="14" t="s">
        <v>1389</v>
      </c>
      <c r="E1160" s="12" t="s">
        <v>28</v>
      </c>
      <c r="F1160" s="13" t="s">
        <v>29</v>
      </c>
      <c r="G1160">
        <v>1</v>
      </c>
      <c r="H1160" t="s">
        <v>420</v>
      </c>
      <c r="I1160">
        <v>1</v>
      </c>
      <c r="J1160" s="15"/>
      <c r="K1160" s="16">
        <f>93.38 - (93.38 * $E$1)</f>
        <v>93.38</v>
      </c>
      <c r="L1160" s="16">
        <f>76.54 - (76.54 * $E$1)</f>
        <v>76.540000000000006</v>
      </c>
      <c r="M1160" s="1">
        <v>93.38</v>
      </c>
      <c r="N1160" s="1">
        <v>76.540000000000006</v>
      </c>
      <c r="O1160" s="1">
        <v>79.37</v>
      </c>
      <c r="P1160" s="1">
        <v>65.06</v>
      </c>
      <c r="Q1160">
        <v>1.4999999999999999E-2</v>
      </c>
      <c r="R1160">
        <v>1.12E-4</v>
      </c>
    </row>
    <row r="1161" spans="1:18" ht="13.8" outlineLevel="1" x14ac:dyDescent="0.25">
      <c r="A1161">
        <v>90367</v>
      </c>
      <c r="B1161" t="s">
        <v>1387</v>
      </c>
      <c r="C1161" t="s">
        <v>1393</v>
      </c>
      <c r="D1161" s="14" t="s">
        <v>1394</v>
      </c>
      <c r="E1161" s="12" t="s">
        <v>28</v>
      </c>
      <c r="F1161" s="13" t="s">
        <v>29</v>
      </c>
      <c r="G1161">
        <v>1</v>
      </c>
      <c r="H1161" t="s">
        <v>420</v>
      </c>
      <c r="I1161">
        <v>1</v>
      </c>
      <c r="J1161" s="15"/>
      <c r="K1161" s="16">
        <f>68.42 - (68.42 * $E$1)</f>
        <v>68.42</v>
      </c>
      <c r="L1161" s="16">
        <f>56.08 - (56.08 * $E$1)</f>
        <v>56.08</v>
      </c>
      <c r="M1161" s="1">
        <v>68.42</v>
      </c>
      <c r="N1161" s="1">
        <v>56.08</v>
      </c>
      <c r="O1161" s="1">
        <v>58.15</v>
      </c>
      <c r="P1161" s="1">
        <v>47.67</v>
      </c>
      <c r="Q1161">
        <v>8.9999999999999993E-3</v>
      </c>
      <c r="R1161">
        <v>1.12E-4</v>
      </c>
    </row>
    <row r="1162" spans="1:18" ht="13.8" outlineLevel="1" x14ac:dyDescent="0.25">
      <c r="A1162">
        <v>90368</v>
      </c>
      <c r="B1162" t="s">
        <v>1387</v>
      </c>
      <c r="C1162" t="s">
        <v>1395</v>
      </c>
      <c r="D1162" s="14" t="s">
        <v>1394</v>
      </c>
      <c r="E1162" s="12" t="s">
        <v>28</v>
      </c>
      <c r="F1162" s="13" t="s">
        <v>29</v>
      </c>
      <c r="G1162">
        <v>1</v>
      </c>
      <c r="H1162" t="s">
        <v>420</v>
      </c>
      <c r="I1162">
        <v>1</v>
      </c>
      <c r="J1162" s="15"/>
      <c r="K1162" s="16">
        <f>75.92 - (75.92 * $E$1)</f>
        <v>75.92</v>
      </c>
      <c r="L1162" s="16">
        <f>62.23 - (62.23 * $E$1)</f>
        <v>62.23</v>
      </c>
      <c r="M1162" s="1">
        <v>75.92</v>
      </c>
      <c r="N1162" s="1">
        <v>62.23</v>
      </c>
      <c r="O1162" s="1">
        <v>64.53</v>
      </c>
      <c r="P1162" s="1">
        <v>52.9</v>
      </c>
      <c r="Q1162">
        <v>1.2E-2</v>
      </c>
      <c r="R1162">
        <v>1.12E-4</v>
      </c>
    </row>
    <row r="1163" spans="1:18" ht="13.8" outlineLevel="1" x14ac:dyDescent="0.25">
      <c r="A1163">
        <v>90369</v>
      </c>
      <c r="B1163" t="s">
        <v>1387</v>
      </c>
      <c r="C1163" t="s">
        <v>1396</v>
      </c>
      <c r="D1163" s="14" t="s">
        <v>1394</v>
      </c>
      <c r="E1163" s="12" t="s">
        <v>28</v>
      </c>
      <c r="F1163" s="13" t="s">
        <v>29</v>
      </c>
      <c r="G1163">
        <v>1</v>
      </c>
      <c r="H1163" t="s">
        <v>420</v>
      </c>
      <c r="I1163">
        <v>1</v>
      </c>
      <c r="J1163" s="15"/>
      <c r="K1163" s="16">
        <f>83.05 - (83.05 * $E$1)</f>
        <v>83.05</v>
      </c>
      <c r="L1163" s="16">
        <f>68.07 - (68.07 * $E$1)</f>
        <v>68.069999999999993</v>
      </c>
      <c r="M1163" s="1">
        <v>83.05</v>
      </c>
      <c r="N1163" s="1">
        <v>68.069999999999993</v>
      </c>
      <c r="O1163" s="1">
        <v>70.59</v>
      </c>
      <c r="P1163" s="1">
        <v>57.86</v>
      </c>
      <c r="Q1163">
        <v>1.2999999999999999E-2</v>
      </c>
      <c r="R1163">
        <v>1.12E-4</v>
      </c>
    </row>
    <row r="1164" spans="1:18" ht="13.8" outlineLevel="1" x14ac:dyDescent="0.25">
      <c r="A1164">
        <v>90370</v>
      </c>
      <c r="B1164" t="s">
        <v>1387</v>
      </c>
      <c r="C1164" t="s">
        <v>1397</v>
      </c>
      <c r="D1164" s="14" t="s">
        <v>1394</v>
      </c>
      <c r="E1164" s="12" t="s">
        <v>28</v>
      </c>
      <c r="F1164" s="13" t="s">
        <v>29</v>
      </c>
      <c r="G1164">
        <v>1</v>
      </c>
      <c r="H1164" t="s">
        <v>420</v>
      </c>
      <c r="I1164">
        <v>1</v>
      </c>
      <c r="J1164" s="15"/>
      <c r="K1164" s="16">
        <f>86.25 - (86.25 * $E$1)</f>
        <v>86.25</v>
      </c>
      <c r="L1164" s="16">
        <f>70.7 - (70.7 * $E$1)</f>
        <v>70.7</v>
      </c>
      <c r="M1164" s="1">
        <v>86.25</v>
      </c>
      <c r="N1164" s="1">
        <v>70.7</v>
      </c>
      <c r="O1164" s="1">
        <v>73.319999999999993</v>
      </c>
      <c r="P1164" s="1">
        <v>60.1</v>
      </c>
      <c r="Q1164">
        <v>1.4999999999999999E-2</v>
      </c>
      <c r="R1164">
        <v>1.12E-4</v>
      </c>
    </row>
    <row r="1165" spans="1:18" ht="13.8" outlineLevel="1" x14ac:dyDescent="0.25">
      <c r="A1165">
        <v>90360</v>
      </c>
      <c r="B1165" t="s">
        <v>1354</v>
      </c>
      <c r="C1165" t="s">
        <v>1398</v>
      </c>
      <c r="D1165" s="14" t="s">
        <v>1399</v>
      </c>
      <c r="E1165" s="12" t="s">
        <v>28</v>
      </c>
      <c r="F1165" s="13" t="s">
        <v>29</v>
      </c>
      <c r="G1165">
        <v>1</v>
      </c>
      <c r="H1165" t="s">
        <v>420</v>
      </c>
      <c r="I1165">
        <v>1</v>
      </c>
      <c r="J1165" s="15"/>
      <c r="K1165" s="16">
        <f>97.43 - (97.43 * $E$1)</f>
        <v>97.43</v>
      </c>
      <c r="L1165" s="16">
        <f>79.86 - (79.86 * $E$1)</f>
        <v>79.86</v>
      </c>
      <c r="M1165" s="1">
        <v>97.43</v>
      </c>
      <c r="N1165" s="1">
        <v>79.86</v>
      </c>
      <c r="O1165" s="1">
        <v>82.81</v>
      </c>
      <c r="P1165" s="1">
        <v>67.88</v>
      </c>
      <c r="Q1165">
        <v>1.6E-2</v>
      </c>
      <c r="R1165">
        <v>1.12E-4</v>
      </c>
    </row>
    <row r="1166" spans="1:18" ht="13.8" outlineLevel="1" x14ac:dyDescent="0.25">
      <c r="A1166">
        <v>90361</v>
      </c>
      <c r="B1166" t="s">
        <v>1354</v>
      </c>
      <c r="C1166" t="s">
        <v>1400</v>
      </c>
      <c r="D1166" s="14" t="s">
        <v>1399</v>
      </c>
      <c r="E1166" s="12" t="s">
        <v>28</v>
      </c>
      <c r="F1166" s="13" t="s">
        <v>29</v>
      </c>
      <c r="G1166">
        <v>1</v>
      </c>
      <c r="H1166" t="s">
        <v>420</v>
      </c>
      <c r="I1166">
        <v>1</v>
      </c>
      <c r="J1166" s="15"/>
      <c r="K1166" s="16">
        <f>129.72 - (129.72 * $E$1)</f>
        <v>129.72</v>
      </c>
      <c r="L1166" s="16">
        <f>106.33 - (106.33 * $E$1)</f>
        <v>106.33</v>
      </c>
      <c r="M1166" s="1">
        <v>129.72</v>
      </c>
      <c r="N1166" s="1">
        <v>106.33</v>
      </c>
      <c r="O1166" s="1">
        <v>110.26</v>
      </c>
      <c r="P1166" s="1">
        <v>90.38</v>
      </c>
      <c r="Q1166">
        <v>0.02</v>
      </c>
      <c r="R1166">
        <v>1.12E-4</v>
      </c>
    </row>
    <row r="1167" spans="1:18" ht="13.8" outlineLevel="1" x14ac:dyDescent="0.25">
      <c r="A1167">
        <v>90362</v>
      </c>
      <c r="B1167" t="s">
        <v>1354</v>
      </c>
      <c r="C1167" t="s">
        <v>1401</v>
      </c>
      <c r="D1167" s="14" t="s">
        <v>1399</v>
      </c>
      <c r="E1167" s="12" t="s">
        <v>28</v>
      </c>
      <c r="F1167" s="13" t="s">
        <v>29</v>
      </c>
      <c r="G1167">
        <v>1</v>
      </c>
      <c r="H1167" t="s">
        <v>420</v>
      </c>
      <c r="I1167">
        <v>1</v>
      </c>
      <c r="J1167" s="15"/>
      <c r="K1167" s="16">
        <f>186.11 - (186.11 * $E$1)</f>
        <v>186.11</v>
      </c>
      <c r="L1167" s="16">
        <f>152.55 - (152.55 * $E$1)</f>
        <v>152.55000000000001</v>
      </c>
      <c r="M1167" s="1">
        <v>186.11</v>
      </c>
      <c r="N1167" s="1">
        <v>152.55000000000001</v>
      </c>
      <c r="O1167" s="1">
        <v>158.19</v>
      </c>
      <c r="P1167" s="1">
        <v>129.66999999999999</v>
      </c>
      <c r="Q1167">
        <v>0.03</v>
      </c>
      <c r="R1167">
        <v>1.12E-4</v>
      </c>
    </row>
    <row r="1168" spans="1:18" ht="13.8" outlineLevel="1" x14ac:dyDescent="0.25">
      <c r="A1168">
        <v>90357</v>
      </c>
      <c r="B1168" t="s">
        <v>1354</v>
      </c>
      <c r="C1168" t="s">
        <v>1402</v>
      </c>
      <c r="D1168" s="14" t="s">
        <v>1403</v>
      </c>
      <c r="E1168" s="12" t="s">
        <v>28</v>
      </c>
      <c r="F1168" s="13" t="s">
        <v>29</v>
      </c>
      <c r="G1168">
        <v>1</v>
      </c>
      <c r="H1168" t="s">
        <v>420</v>
      </c>
      <c r="I1168">
        <v>1</v>
      </c>
      <c r="J1168" s="15"/>
      <c r="K1168" s="16">
        <f>87.74 - (87.74 * $E$1)</f>
        <v>87.74</v>
      </c>
      <c r="L1168" s="16">
        <f>71.92 - (71.92 * $E$1)</f>
        <v>71.92</v>
      </c>
      <c r="M1168" s="1">
        <v>87.74</v>
      </c>
      <c r="N1168" s="1">
        <v>71.92</v>
      </c>
      <c r="O1168" s="1">
        <v>74.58</v>
      </c>
      <c r="P1168" s="1">
        <v>61.13</v>
      </c>
      <c r="Q1168">
        <v>2.1999999999999999E-2</v>
      </c>
      <c r="R1168">
        <v>1.12E-4</v>
      </c>
    </row>
    <row r="1169" spans="1:18" ht="13.8" outlineLevel="1" x14ac:dyDescent="0.25">
      <c r="A1169">
        <v>90358</v>
      </c>
      <c r="B1169" t="s">
        <v>1354</v>
      </c>
      <c r="C1169" t="s">
        <v>1404</v>
      </c>
      <c r="D1169" s="14" t="s">
        <v>1403</v>
      </c>
      <c r="E1169" s="12" t="s">
        <v>28</v>
      </c>
      <c r="F1169" s="13" t="s">
        <v>29</v>
      </c>
      <c r="G1169">
        <v>1</v>
      </c>
      <c r="H1169" t="s">
        <v>420</v>
      </c>
      <c r="I1169">
        <v>1</v>
      </c>
      <c r="J1169" s="15"/>
      <c r="K1169" s="16">
        <f>122.61 - (122.61 * $E$1)</f>
        <v>122.61</v>
      </c>
      <c r="L1169" s="16">
        <f>100.5 - (100.5 * $E$1)</f>
        <v>100.5</v>
      </c>
      <c r="M1169" s="1">
        <v>122.61</v>
      </c>
      <c r="N1169" s="1">
        <v>100.5</v>
      </c>
      <c r="O1169" s="1">
        <v>104.22</v>
      </c>
      <c r="P1169" s="1">
        <v>85.43</v>
      </c>
      <c r="Q1169">
        <v>2.75E-2</v>
      </c>
      <c r="R1169">
        <v>1.12E-4</v>
      </c>
    </row>
    <row r="1170" spans="1:18" ht="33.75" customHeight="1" x14ac:dyDescent="0.35">
      <c r="A1170" s="9"/>
      <c r="B1170" s="10" t="s">
        <v>1405</v>
      </c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1"/>
    </row>
    <row r="1171" spans="1:18" ht="16.5" customHeight="1" outlineLevel="1" x14ac:dyDescent="0.35">
      <c r="A1171" s="9"/>
      <c r="B1171" s="10" t="s">
        <v>1406</v>
      </c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1"/>
    </row>
    <row r="1172" spans="1:18" ht="13.8" outlineLevel="2" x14ac:dyDescent="0.25">
      <c r="A1172">
        <v>65908</v>
      </c>
      <c r="B1172" t="s">
        <v>1407</v>
      </c>
      <c r="C1172" t="s">
        <v>1408</v>
      </c>
      <c r="D1172" s="14" t="s">
        <v>1409</v>
      </c>
      <c r="E1172" s="12" t="s">
        <v>28</v>
      </c>
      <c r="F1172" s="13" t="s">
        <v>29</v>
      </c>
      <c r="G1172">
        <v>10</v>
      </c>
      <c r="H1172" t="s">
        <v>30</v>
      </c>
      <c r="I1172">
        <v>10</v>
      </c>
      <c r="J1172" s="15"/>
      <c r="K1172" s="16">
        <f>199.27 - (199.27 * $E$1)</f>
        <v>199.27</v>
      </c>
      <c r="L1172" s="16">
        <f>163.34 - (163.34 * $E$1)</f>
        <v>163.34</v>
      </c>
      <c r="M1172" s="1">
        <v>199.27</v>
      </c>
      <c r="N1172" s="1">
        <v>163.34</v>
      </c>
      <c r="O1172" s="1">
        <v>169.38</v>
      </c>
      <c r="P1172" s="1">
        <v>138.84</v>
      </c>
      <c r="Q1172">
        <v>9.1999999999999998E-3</v>
      </c>
      <c r="R1172">
        <v>2.0000000000000002E-5</v>
      </c>
    </row>
    <row r="1173" spans="1:18" ht="13.8" outlineLevel="2" x14ac:dyDescent="0.25">
      <c r="A1173">
        <v>83822</v>
      </c>
      <c r="B1173" t="s">
        <v>1410</v>
      </c>
      <c r="C1173" t="s">
        <v>1411</v>
      </c>
      <c r="D1173" s="14" t="s">
        <v>1409</v>
      </c>
      <c r="E1173" s="12" t="s">
        <v>28</v>
      </c>
      <c r="F1173" s="13" t="s">
        <v>29</v>
      </c>
      <c r="G1173">
        <v>10</v>
      </c>
      <c r="H1173" t="s">
        <v>30</v>
      </c>
      <c r="I1173">
        <v>10</v>
      </c>
      <c r="J1173" s="15"/>
      <c r="K1173" s="16">
        <f>289.3 - (289.3 * $E$1)</f>
        <v>289.3</v>
      </c>
      <c r="L1173" s="16">
        <f>237.13 - (237.13 * $E$1)</f>
        <v>237.13</v>
      </c>
      <c r="M1173" s="1">
        <v>289.3</v>
      </c>
      <c r="N1173" s="1">
        <v>237.13</v>
      </c>
      <c r="O1173" s="1">
        <v>245.9</v>
      </c>
      <c r="P1173" s="1">
        <v>201.56</v>
      </c>
      <c r="Q1173">
        <v>2.3199999999999998E-2</v>
      </c>
      <c r="R1173">
        <v>2.73E-5</v>
      </c>
    </row>
    <row r="1174" spans="1:18" ht="13.8" outlineLevel="2" x14ac:dyDescent="0.25">
      <c r="A1174">
        <v>65817</v>
      </c>
      <c r="B1174" t="s">
        <v>1407</v>
      </c>
      <c r="C1174" t="s">
        <v>1412</v>
      </c>
      <c r="D1174" s="14" t="s">
        <v>1409</v>
      </c>
      <c r="E1174" s="12" t="s">
        <v>28</v>
      </c>
      <c r="F1174" s="13" t="s">
        <v>29</v>
      </c>
      <c r="G1174">
        <v>10</v>
      </c>
      <c r="H1174" t="s">
        <v>30</v>
      </c>
      <c r="I1174">
        <v>10</v>
      </c>
      <c r="J1174" s="15"/>
      <c r="K1174" s="16">
        <f>385.47 - (385.47 * $E$1)</f>
        <v>385.47</v>
      </c>
      <c r="L1174" s="16">
        <f>315.96 - (315.96 * $E$1)</f>
        <v>315.95999999999998</v>
      </c>
      <c r="M1174" s="1">
        <v>385.47</v>
      </c>
      <c r="N1174" s="1">
        <v>315.95999999999998</v>
      </c>
      <c r="O1174" s="1">
        <v>327.64999999999998</v>
      </c>
      <c r="P1174" s="1">
        <v>268.57</v>
      </c>
      <c r="Q1174">
        <v>0.03</v>
      </c>
      <c r="R1174">
        <v>2.34E-5</v>
      </c>
    </row>
    <row r="1175" spans="1:18" ht="13.8" outlineLevel="2" x14ac:dyDescent="0.25">
      <c r="A1175">
        <v>105210</v>
      </c>
      <c r="B1175" t="s">
        <v>1407</v>
      </c>
      <c r="C1175" t="s">
        <v>1413</v>
      </c>
      <c r="D1175" s="14" t="s">
        <v>1409</v>
      </c>
      <c r="E1175" s="12" t="s">
        <v>28</v>
      </c>
      <c r="F1175" s="13" t="s">
        <v>29</v>
      </c>
      <c r="G1175">
        <v>10</v>
      </c>
      <c r="H1175" t="s">
        <v>30</v>
      </c>
      <c r="I1175">
        <v>10</v>
      </c>
      <c r="J1175" s="15"/>
      <c r="K1175" s="16">
        <f>424.68 - (424.68 * $E$1)</f>
        <v>424.68</v>
      </c>
      <c r="L1175" s="16">
        <f>348.1 - (348.1 * $E$1)</f>
        <v>348.1</v>
      </c>
      <c r="M1175" s="1">
        <v>424.68</v>
      </c>
      <c r="N1175" s="1">
        <v>348.1</v>
      </c>
      <c r="O1175" s="1">
        <v>360.98</v>
      </c>
      <c r="P1175" s="1">
        <v>295.89</v>
      </c>
      <c r="Q1175">
        <v>6.2E-2</v>
      </c>
      <c r="R1175">
        <v>4.5599999999999997E-5</v>
      </c>
    </row>
    <row r="1176" spans="1:18" ht="13.8" outlineLevel="2" x14ac:dyDescent="0.25">
      <c r="A1176">
        <v>65818</v>
      </c>
      <c r="B1176" t="s">
        <v>1407</v>
      </c>
      <c r="C1176" t="s">
        <v>1414</v>
      </c>
      <c r="D1176" s="14" t="s">
        <v>1409</v>
      </c>
      <c r="E1176" s="12" t="s">
        <v>28</v>
      </c>
      <c r="F1176" s="13" t="s">
        <v>29</v>
      </c>
      <c r="G1176">
        <v>10</v>
      </c>
      <c r="H1176" t="s">
        <v>30</v>
      </c>
      <c r="I1176">
        <v>10</v>
      </c>
      <c r="J1176" s="15"/>
      <c r="K1176" s="16">
        <f>614.94 - (614.94 * $E$1)</f>
        <v>614.94000000000005</v>
      </c>
      <c r="L1176" s="16">
        <f>504.05 - (504.05 * $E$1)</f>
        <v>504.05</v>
      </c>
      <c r="M1176" s="1">
        <v>614.94000000000005</v>
      </c>
      <c r="N1176" s="1">
        <v>504.05</v>
      </c>
      <c r="O1176" s="1">
        <v>522.70000000000005</v>
      </c>
      <c r="P1176" s="1">
        <v>428.44</v>
      </c>
      <c r="Q1176">
        <v>7.8E-2</v>
      </c>
      <c r="R1176">
        <v>6.1400000000000002E-5</v>
      </c>
    </row>
    <row r="1177" spans="1:18" ht="13.8" outlineLevel="2" x14ac:dyDescent="0.25">
      <c r="A1177">
        <v>92054</v>
      </c>
      <c r="B1177" t="s">
        <v>1407</v>
      </c>
      <c r="C1177" t="s">
        <v>1415</v>
      </c>
      <c r="D1177" s="14" t="s">
        <v>1409</v>
      </c>
      <c r="E1177" s="12" t="s">
        <v>28</v>
      </c>
      <c r="F1177" s="13" t="s">
        <v>29</v>
      </c>
      <c r="G1177">
        <v>10</v>
      </c>
      <c r="H1177" t="s">
        <v>30</v>
      </c>
      <c r="I1177">
        <v>10</v>
      </c>
      <c r="J1177" s="15"/>
      <c r="K1177" s="16">
        <f>715.74 - (715.74 * $E$1)</f>
        <v>715.74</v>
      </c>
      <c r="L1177" s="16">
        <f>586.67 - (586.67 * $E$1)</f>
        <v>586.66999999999996</v>
      </c>
      <c r="M1177" s="1">
        <v>715.74</v>
      </c>
      <c r="N1177" s="1">
        <v>586.66999999999996</v>
      </c>
      <c r="O1177" s="1">
        <v>608.38</v>
      </c>
      <c r="P1177" s="1">
        <v>498.67</v>
      </c>
      <c r="Q1177">
        <v>0.08</v>
      </c>
      <c r="R1177">
        <v>7.0199999999999999E-5</v>
      </c>
    </row>
    <row r="1178" spans="1:18" ht="13.8" outlineLevel="2" x14ac:dyDescent="0.25">
      <c r="A1178">
        <v>65819</v>
      </c>
      <c r="B1178" t="s">
        <v>1407</v>
      </c>
      <c r="C1178" t="s">
        <v>1416</v>
      </c>
      <c r="D1178" s="14" t="s">
        <v>1409</v>
      </c>
      <c r="E1178" s="12" t="s">
        <v>28</v>
      </c>
      <c r="F1178" s="13" t="s">
        <v>29</v>
      </c>
      <c r="G1178">
        <v>5</v>
      </c>
      <c r="H1178" t="s">
        <v>30</v>
      </c>
      <c r="I1178">
        <v>5</v>
      </c>
      <c r="J1178" s="15"/>
      <c r="K1178" s="16">
        <f>1000.49 - (1000.49 * $E$1)</f>
        <v>1000.49</v>
      </c>
      <c r="L1178" s="16">
        <f>820.07 - (820.07 * $E$1)</f>
        <v>820.07</v>
      </c>
      <c r="M1178" s="1">
        <v>1000.49</v>
      </c>
      <c r="N1178" s="1">
        <v>820.07</v>
      </c>
      <c r="O1178" s="1">
        <v>850.41</v>
      </c>
      <c r="P1178" s="1">
        <v>697.06</v>
      </c>
      <c r="Q1178">
        <v>0.15440000000000001</v>
      </c>
      <c r="R1178">
        <v>1.5359999999999999E-4</v>
      </c>
    </row>
    <row r="1179" spans="1:18" ht="13.8" outlineLevel="2" x14ac:dyDescent="0.25">
      <c r="A1179">
        <v>92055</v>
      </c>
      <c r="B1179" t="s">
        <v>1407</v>
      </c>
      <c r="C1179" t="s">
        <v>1417</v>
      </c>
      <c r="D1179" s="14" t="s">
        <v>1409</v>
      </c>
      <c r="E1179" s="12" t="s">
        <v>28</v>
      </c>
      <c r="F1179" s="13" t="s">
        <v>29</v>
      </c>
      <c r="G1179">
        <v>5</v>
      </c>
      <c r="H1179" t="s">
        <v>30</v>
      </c>
      <c r="I1179">
        <v>5</v>
      </c>
      <c r="J1179" s="15"/>
      <c r="K1179" s="16">
        <f>1040.81 - (1040.81 * $E$1)</f>
        <v>1040.81</v>
      </c>
      <c r="L1179" s="16">
        <f>853.12 - (853.12 * $E$1)</f>
        <v>853.12</v>
      </c>
      <c r="M1179" s="1">
        <v>1040.81</v>
      </c>
      <c r="N1179" s="1">
        <v>853.12</v>
      </c>
      <c r="O1179" s="1">
        <v>884.69</v>
      </c>
      <c r="P1179" s="1">
        <v>725.15</v>
      </c>
      <c r="Q1179">
        <v>0.15</v>
      </c>
      <c r="R1179">
        <v>1.4200000000000001E-4</v>
      </c>
    </row>
    <row r="1180" spans="1:18" ht="13.8" outlineLevel="2" x14ac:dyDescent="0.25">
      <c r="A1180">
        <v>65813</v>
      </c>
      <c r="B1180" t="s">
        <v>1418</v>
      </c>
      <c r="C1180" t="s">
        <v>1419</v>
      </c>
      <c r="D1180" s="14" t="s">
        <v>1420</v>
      </c>
      <c r="E1180" s="12" t="s">
        <v>28</v>
      </c>
      <c r="F1180" s="13" t="s">
        <v>29</v>
      </c>
      <c r="G1180">
        <v>10</v>
      </c>
      <c r="H1180" t="s">
        <v>30</v>
      </c>
      <c r="I1180">
        <v>10</v>
      </c>
      <c r="J1180" s="15"/>
      <c r="K1180" s="16">
        <f>369.49 - (369.49 * $E$1)</f>
        <v>369.49</v>
      </c>
      <c r="L1180" s="16">
        <f>302.86 - (302.86 * $E$1)</f>
        <v>302.86</v>
      </c>
      <c r="M1180" s="1">
        <v>369.49</v>
      </c>
      <c r="N1180" s="1">
        <v>302.86</v>
      </c>
      <c r="O1180" s="1">
        <v>314.07</v>
      </c>
      <c r="P1180" s="1">
        <v>257.43</v>
      </c>
      <c r="Q1180">
        <v>1.15E-2</v>
      </c>
      <c r="R1180">
        <v>1.04E-5</v>
      </c>
    </row>
    <row r="1181" spans="1:18" ht="13.8" outlineLevel="2" x14ac:dyDescent="0.25">
      <c r="A1181">
        <v>83824</v>
      </c>
      <c r="B1181" t="s">
        <v>1421</v>
      </c>
      <c r="C1181" t="s">
        <v>1422</v>
      </c>
      <c r="D1181" s="14" t="s">
        <v>1420</v>
      </c>
      <c r="E1181" s="12" t="s">
        <v>28</v>
      </c>
      <c r="F1181" s="13" t="s">
        <v>29</v>
      </c>
      <c r="G1181">
        <v>10</v>
      </c>
      <c r="H1181" t="s">
        <v>30</v>
      </c>
      <c r="I1181">
        <v>10</v>
      </c>
      <c r="J1181" s="15"/>
      <c r="K1181" s="16">
        <f>363.36 - (363.36 * $E$1)</f>
        <v>363.36</v>
      </c>
      <c r="L1181" s="16">
        <f>297.84 - (297.84 * $E$1)</f>
        <v>297.83999999999997</v>
      </c>
      <c r="M1181" s="1">
        <v>363.36</v>
      </c>
      <c r="N1181" s="1">
        <v>297.83999999999997</v>
      </c>
      <c r="O1181" s="1">
        <v>308.86</v>
      </c>
      <c r="P1181" s="1">
        <v>253.16</v>
      </c>
      <c r="Q1181">
        <v>2.4E-2</v>
      </c>
      <c r="R1181">
        <v>2.3E-5</v>
      </c>
    </row>
    <row r="1182" spans="1:18" ht="13.8" outlineLevel="2" x14ac:dyDescent="0.25">
      <c r="A1182">
        <v>65812</v>
      </c>
      <c r="B1182" t="s">
        <v>1418</v>
      </c>
      <c r="C1182" t="s">
        <v>1423</v>
      </c>
      <c r="D1182" s="14" t="s">
        <v>1420</v>
      </c>
      <c r="E1182" s="12" t="s">
        <v>28</v>
      </c>
      <c r="F1182" s="13" t="s">
        <v>29</v>
      </c>
      <c r="G1182">
        <v>10</v>
      </c>
      <c r="H1182" t="s">
        <v>30</v>
      </c>
      <c r="I1182">
        <v>10</v>
      </c>
      <c r="J1182" s="15"/>
      <c r="K1182" s="16">
        <f>542.73 - (542.73 * $E$1)</f>
        <v>542.73</v>
      </c>
      <c r="L1182" s="16">
        <f>444.86 - (444.86 * $E$1)</f>
        <v>444.86</v>
      </c>
      <c r="M1182" s="1">
        <v>542.73</v>
      </c>
      <c r="N1182" s="1">
        <v>444.86</v>
      </c>
      <c r="O1182" s="1">
        <v>461.32</v>
      </c>
      <c r="P1182" s="1">
        <v>378.13</v>
      </c>
      <c r="Q1182">
        <v>4.5999999999999999E-2</v>
      </c>
      <c r="R1182">
        <v>4.1999999999999998E-5</v>
      </c>
    </row>
    <row r="1183" spans="1:18" ht="13.8" outlineLevel="2" x14ac:dyDescent="0.25">
      <c r="A1183">
        <v>105211</v>
      </c>
      <c r="B1183" t="s">
        <v>1418</v>
      </c>
      <c r="C1183" t="s">
        <v>1424</v>
      </c>
      <c r="D1183" s="14" t="s">
        <v>1420</v>
      </c>
      <c r="E1183" s="12" t="s">
        <v>28</v>
      </c>
      <c r="F1183" s="13" t="s">
        <v>29</v>
      </c>
      <c r="G1183">
        <v>10</v>
      </c>
      <c r="H1183" t="s">
        <v>30</v>
      </c>
      <c r="I1183">
        <v>10</v>
      </c>
      <c r="J1183" s="15"/>
      <c r="K1183" s="16">
        <f>532.03 - (532.03 * $E$1)</f>
        <v>532.03</v>
      </c>
      <c r="L1183" s="16">
        <f>436.09 - (436.09 * $E$1)</f>
        <v>436.09</v>
      </c>
      <c r="M1183" s="1">
        <v>532.03</v>
      </c>
      <c r="N1183" s="1">
        <v>436.09</v>
      </c>
      <c r="O1183" s="1">
        <v>452.23</v>
      </c>
      <c r="P1183" s="1">
        <v>370.68</v>
      </c>
      <c r="Q1183">
        <v>7.0999999999999994E-2</v>
      </c>
      <c r="R1183">
        <v>6.1600000000000007E-5</v>
      </c>
    </row>
    <row r="1184" spans="1:18" ht="13.8" outlineLevel="2" x14ac:dyDescent="0.25">
      <c r="A1184">
        <v>65814</v>
      </c>
      <c r="B1184" t="s">
        <v>1418</v>
      </c>
      <c r="C1184" t="s">
        <v>1425</v>
      </c>
      <c r="D1184" s="14" t="s">
        <v>1420</v>
      </c>
      <c r="E1184" s="12" t="s">
        <v>28</v>
      </c>
      <c r="F1184" s="13" t="s">
        <v>29</v>
      </c>
      <c r="G1184">
        <v>10</v>
      </c>
      <c r="H1184" t="s">
        <v>30</v>
      </c>
      <c r="I1184">
        <v>10</v>
      </c>
      <c r="J1184" s="15"/>
      <c r="K1184" s="16">
        <f>928.43 - (928.43 * $E$1)</f>
        <v>928.43</v>
      </c>
      <c r="L1184" s="16">
        <f>761.01 - (761.01 * $E$1)</f>
        <v>761.01</v>
      </c>
      <c r="M1184" s="1">
        <v>928.43</v>
      </c>
      <c r="N1184" s="1">
        <v>761.01</v>
      </c>
      <c r="O1184" s="1">
        <v>789.17</v>
      </c>
      <c r="P1184" s="1">
        <v>646.86</v>
      </c>
      <c r="Q1184">
        <v>0.112</v>
      </c>
      <c r="R1184">
        <v>9.6399999999999999E-5</v>
      </c>
    </row>
    <row r="1185" spans="1:18" ht="13.8" outlineLevel="2" x14ac:dyDescent="0.25">
      <c r="A1185">
        <v>65815</v>
      </c>
      <c r="B1185" t="s">
        <v>1418</v>
      </c>
      <c r="C1185" t="s">
        <v>1426</v>
      </c>
      <c r="D1185" s="14" t="s">
        <v>1420</v>
      </c>
      <c r="E1185" s="12" t="s">
        <v>28</v>
      </c>
      <c r="F1185" s="13" t="s">
        <v>29</v>
      </c>
      <c r="G1185">
        <v>5</v>
      </c>
      <c r="H1185" t="s">
        <v>30</v>
      </c>
      <c r="I1185">
        <v>5</v>
      </c>
      <c r="J1185" s="15"/>
      <c r="K1185" s="16">
        <f>1370.49 - (1370.49 * $E$1)</f>
        <v>1370.49</v>
      </c>
      <c r="L1185" s="16">
        <f>1123.35 - (1123.35 * $E$1)</f>
        <v>1123.3499999999999</v>
      </c>
      <c r="M1185" s="1">
        <v>1370.49</v>
      </c>
      <c r="N1185" s="1">
        <v>1123.3499999999999</v>
      </c>
      <c r="O1185" s="1">
        <v>1164.9100000000001</v>
      </c>
      <c r="P1185" s="1">
        <v>954.85</v>
      </c>
      <c r="Q1185">
        <v>0.218</v>
      </c>
      <c r="R1185">
        <v>1.9139999999999999E-4</v>
      </c>
    </row>
    <row r="1186" spans="1:18" ht="13.8" outlineLevel="2" x14ac:dyDescent="0.25">
      <c r="A1186">
        <v>67043</v>
      </c>
      <c r="B1186" t="s">
        <v>1407</v>
      </c>
      <c r="C1186" t="s">
        <v>1427</v>
      </c>
      <c r="D1186" s="14" t="s">
        <v>1428</v>
      </c>
      <c r="E1186" s="12" t="s">
        <v>28</v>
      </c>
      <c r="F1186" s="13" t="s">
        <v>29</v>
      </c>
      <c r="G1186">
        <v>10</v>
      </c>
      <c r="H1186" t="s">
        <v>30</v>
      </c>
      <c r="I1186">
        <v>10</v>
      </c>
      <c r="J1186" s="15"/>
      <c r="K1186" s="16">
        <f>406.54 - (406.54 * $E$1)</f>
        <v>406.54</v>
      </c>
      <c r="L1186" s="16">
        <f>333.23 - (333.23 * $E$1)</f>
        <v>333.23</v>
      </c>
      <c r="M1186" s="1">
        <v>406.54</v>
      </c>
      <c r="N1186" s="1">
        <v>333.23</v>
      </c>
      <c r="O1186" s="1">
        <v>345.56</v>
      </c>
      <c r="P1186" s="1">
        <v>283.25</v>
      </c>
      <c r="Q1186">
        <v>0.04</v>
      </c>
      <c r="R1186">
        <v>3.8000000000000002E-5</v>
      </c>
    </row>
    <row r="1187" spans="1:18" ht="13.8" outlineLevel="2" x14ac:dyDescent="0.25">
      <c r="A1187">
        <v>67044</v>
      </c>
      <c r="B1187" t="s">
        <v>1407</v>
      </c>
      <c r="C1187" t="s">
        <v>1429</v>
      </c>
      <c r="D1187" s="14" t="s">
        <v>1428</v>
      </c>
      <c r="E1187" s="12" t="s">
        <v>28</v>
      </c>
      <c r="F1187" s="13" t="s">
        <v>29</v>
      </c>
      <c r="G1187">
        <v>10</v>
      </c>
      <c r="H1187" t="s">
        <v>30</v>
      </c>
      <c r="I1187">
        <v>10</v>
      </c>
      <c r="J1187" s="15"/>
      <c r="K1187" s="16">
        <f>627.69 - (627.69 * $E$1)</f>
        <v>627.69000000000005</v>
      </c>
      <c r="L1187" s="16">
        <f>514.5 - (514.5 * $E$1)</f>
        <v>514.5</v>
      </c>
      <c r="M1187" s="1">
        <v>627.69000000000005</v>
      </c>
      <c r="N1187" s="1">
        <v>514.5</v>
      </c>
      <c r="O1187" s="1">
        <v>533.54</v>
      </c>
      <c r="P1187" s="1">
        <v>437.33</v>
      </c>
      <c r="Q1187">
        <v>8.1000000000000003E-2</v>
      </c>
      <c r="R1187">
        <v>6.2399999999999999E-5</v>
      </c>
    </row>
    <row r="1188" spans="1:18" ht="13.8" outlineLevel="2" x14ac:dyDescent="0.25">
      <c r="A1188">
        <v>67045</v>
      </c>
      <c r="B1188" t="s">
        <v>1407</v>
      </c>
      <c r="C1188" t="s">
        <v>1430</v>
      </c>
      <c r="D1188" s="14" t="s">
        <v>1428</v>
      </c>
      <c r="E1188" s="12" t="s">
        <v>28</v>
      </c>
      <c r="F1188" s="13" t="s">
        <v>29</v>
      </c>
      <c r="G1188">
        <v>5</v>
      </c>
      <c r="H1188" t="s">
        <v>30</v>
      </c>
      <c r="I1188">
        <v>5</v>
      </c>
      <c r="J1188" s="15"/>
      <c r="K1188" s="16">
        <f>979.26 - (979.26 * $E$1)</f>
        <v>979.26</v>
      </c>
      <c r="L1188" s="16">
        <f>802.67 - (802.67 * $E$1)</f>
        <v>802.67</v>
      </c>
      <c r="M1188" s="1">
        <v>979.26</v>
      </c>
      <c r="N1188" s="1">
        <v>802.67</v>
      </c>
      <c r="O1188" s="1">
        <v>832.37</v>
      </c>
      <c r="P1188" s="1">
        <v>682.27</v>
      </c>
      <c r="Q1188">
        <v>0.17199999999999999</v>
      </c>
      <c r="R1188">
        <v>1.44E-4</v>
      </c>
    </row>
    <row r="1189" spans="1:18" ht="13.8" outlineLevel="2" x14ac:dyDescent="0.25">
      <c r="A1189">
        <v>83724</v>
      </c>
      <c r="B1189" t="s">
        <v>1407</v>
      </c>
      <c r="C1189" t="s">
        <v>1431</v>
      </c>
      <c r="D1189" s="14" t="s">
        <v>1428</v>
      </c>
      <c r="E1189" s="12" t="s">
        <v>28</v>
      </c>
      <c r="F1189" s="13" t="s">
        <v>29</v>
      </c>
      <c r="G1189">
        <v>1</v>
      </c>
      <c r="H1189" t="s">
        <v>30</v>
      </c>
      <c r="I1189">
        <v>1</v>
      </c>
      <c r="J1189" s="15"/>
      <c r="K1189" s="16">
        <f>1754.84 - (1754.84 * $E$1)</f>
        <v>1754.84</v>
      </c>
      <c r="L1189" s="16">
        <f>1438.39 - (1438.39 * $E$1)</f>
        <v>1438.39</v>
      </c>
      <c r="M1189" s="1">
        <v>1754.84</v>
      </c>
      <c r="N1189" s="1">
        <v>1438.39</v>
      </c>
      <c r="O1189" s="1">
        <v>1491.61</v>
      </c>
      <c r="P1189" s="1">
        <v>1222.6300000000001</v>
      </c>
      <c r="Q1189">
        <v>0.3</v>
      </c>
      <c r="R1189">
        <v>2.7900000000000001E-4</v>
      </c>
    </row>
    <row r="1190" spans="1:18" ht="13.8" outlineLevel="2" x14ac:dyDescent="0.25">
      <c r="A1190">
        <v>67039</v>
      </c>
      <c r="B1190" t="s">
        <v>1418</v>
      </c>
      <c r="C1190" t="s">
        <v>1432</v>
      </c>
      <c r="D1190" s="14" t="s">
        <v>1433</v>
      </c>
      <c r="E1190" s="12" t="s">
        <v>28</v>
      </c>
      <c r="F1190" s="13" t="s">
        <v>29</v>
      </c>
      <c r="G1190">
        <v>10</v>
      </c>
      <c r="H1190" t="s">
        <v>30</v>
      </c>
      <c r="I1190">
        <v>10</v>
      </c>
      <c r="J1190" s="15"/>
      <c r="K1190" s="16">
        <f>940.89 - (940.89 * $E$1)</f>
        <v>940.89</v>
      </c>
      <c r="L1190" s="16">
        <f>771.22 - (771.22 * $E$1)</f>
        <v>771.22</v>
      </c>
      <c r="M1190" s="1">
        <v>940.89</v>
      </c>
      <c r="N1190" s="1">
        <v>771.22</v>
      </c>
      <c r="O1190" s="1">
        <v>799.76</v>
      </c>
      <c r="P1190" s="1">
        <v>655.54</v>
      </c>
      <c r="Q1190">
        <v>5.2999999999999999E-2</v>
      </c>
      <c r="R1190">
        <v>4.3000000000000002E-5</v>
      </c>
    </row>
    <row r="1191" spans="1:18" ht="13.8" outlineLevel="2" x14ac:dyDescent="0.25">
      <c r="A1191">
        <v>67040</v>
      </c>
      <c r="B1191" t="s">
        <v>1418</v>
      </c>
      <c r="C1191" t="s">
        <v>1434</v>
      </c>
      <c r="D1191" s="14" t="s">
        <v>1433</v>
      </c>
      <c r="E1191" s="12" t="s">
        <v>28</v>
      </c>
      <c r="F1191" s="13" t="s">
        <v>29</v>
      </c>
      <c r="G1191">
        <v>10</v>
      </c>
      <c r="H1191" t="s">
        <v>30</v>
      </c>
      <c r="I1191">
        <v>10</v>
      </c>
      <c r="J1191" s="15"/>
      <c r="K1191" s="16">
        <f>1242.46 - (1242.46 * $E$1)</f>
        <v>1242.46</v>
      </c>
      <c r="L1191" s="16">
        <f>1018.41 - (1018.41 * $E$1)</f>
        <v>1018.41</v>
      </c>
      <c r="M1191" s="1">
        <v>1242.46</v>
      </c>
      <c r="N1191" s="1">
        <v>1018.41</v>
      </c>
      <c r="O1191" s="1">
        <v>1056.0899999999999</v>
      </c>
      <c r="P1191" s="1">
        <v>865.65</v>
      </c>
      <c r="Q1191">
        <v>0.11700000000000001</v>
      </c>
      <c r="R1191">
        <v>9.0000000000000006E-5</v>
      </c>
    </row>
    <row r="1192" spans="1:18" ht="13.8" outlineLevel="2" x14ac:dyDescent="0.25">
      <c r="A1192">
        <v>67041</v>
      </c>
      <c r="B1192" t="s">
        <v>1418</v>
      </c>
      <c r="C1192" t="s">
        <v>1435</v>
      </c>
      <c r="D1192" s="14" t="s">
        <v>1433</v>
      </c>
      <c r="E1192" s="12" t="s">
        <v>28</v>
      </c>
      <c r="F1192" s="13" t="s">
        <v>29</v>
      </c>
      <c r="G1192">
        <v>5</v>
      </c>
      <c r="H1192" t="s">
        <v>30</v>
      </c>
      <c r="I1192">
        <v>5</v>
      </c>
      <c r="J1192" s="15"/>
      <c r="K1192" s="16">
        <f>1827.27 - (1827.27 * $E$1)</f>
        <v>1827.27</v>
      </c>
      <c r="L1192" s="16">
        <f>1497.76 - (1497.76 * $E$1)</f>
        <v>1497.76</v>
      </c>
      <c r="M1192" s="1">
        <v>1827.27</v>
      </c>
      <c r="N1192" s="1">
        <v>1497.76</v>
      </c>
      <c r="O1192" s="1">
        <v>1553.18</v>
      </c>
      <c r="P1192" s="1">
        <v>1273.0999999999999</v>
      </c>
      <c r="Q1192">
        <v>0.2404</v>
      </c>
      <c r="R1192">
        <v>1.84E-4</v>
      </c>
    </row>
    <row r="1193" spans="1:18" ht="13.8" outlineLevel="2" x14ac:dyDescent="0.25">
      <c r="A1193">
        <v>83725</v>
      </c>
      <c r="B1193" t="s">
        <v>1418</v>
      </c>
      <c r="C1193" t="s">
        <v>1436</v>
      </c>
      <c r="D1193" s="14" t="s">
        <v>1433</v>
      </c>
      <c r="E1193" s="12" t="s">
        <v>28</v>
      </c>
      <c r="F1193" s="13" t="s">
        <v>29</v>
      </c>
      <c r="G1193">
        <v>1</v>
      </c>
      <c r="H1193" t="s">
        <v>30</v>
      </c>
      <c r="I1193">
        <v>1</v>
      </c>
      <c r="J1193" s="15"/>
      <c r="K1193" s="16">
        <f>2970.2 - (2970.2 * $E$1)</f>
        <v>2970.2</v>
      </c>
      <c r="L1193" s="16">
        <f>2434.59 - (2434.59 * $E$1)</f>
        <v>2434.59</v>
      </c>
      <c r="M1193" s="1">
        <v>2970.2</v>
      </c>
      <c r="N1193" s="1">
        <v>2434.59</v>
      </c>
      <c r="O1193" s="1">
        <v>2524.67</v>
      </c>
      <c r="P1193" s="1">
        <v>2069.4</v>
      </c>
      <c r="Q1193">
        <v>0.4</v>
      </c>
      <c r="R1193">
        <v>3.2600000000000001E-4</v>
      </c>
    </row>
    <row r="1194" spans="1:18" ht="13.8" outlineLevel="2" x14ac:dyDescent="0.25">
      <c r="A1194">
        <v>65807</v>
      </c>
      <c r="B1194" t="s">
        <v>1407</v>
      </c>
      <c r="C1194" t="s">
        <v>1437</v>
      </c>
      <c r="D1194" s="14" t="s">
        <v>1438</v>
      </c>
      <c r="E1194" s="12" t="s">
        <v>28</v>
      </c>
      <c r="F1194" s="13" t="s">
        <v>29</v>
      </c>
      <c r="G1194">
        <v>10</v>
      </c>
      <c r="H1194" t="s">
        <v>30</v>
      </c>
      <c r="I1194">
        <v>10</v>
      </c>
      <c r="J1194" s="15"/>
      <c r="K1194" s="16">
        <f>403.58 - (403.58 * $E$1)</f>
        <v>403.58</v>
      </c>
      <c r="L1194" s="16">
        <f>330.8 - (330.8 * $E$1)</f>
        <v>330.8</v>
      </c>
      <c r="M1194" s="1">
        <v>403.58</v>
      </c>
      <c r="N1194" s="1">
        <v>330.8</v>
      </c>
      <c r="O1194" s="1">
        <v>343.04</v>
      </c>
      <c r="P1194" s="1">
        <v>281.18</v>
      </c>
      <c r="Q1194">
        <v>2.8000000000000001E-2</v>
      </c>
      <c r="R1194">
        <v>4.1999999999999998E-5</v>
      </c>
    </row>
    <row r="1195" spans="1:18" ht="13.8" outlineLevel="2" x14ac:dyDescent="0.25">
      <c r="A1195">
        <v>65808</v>
      </c>
      <c r="B1195" t="s">
        <v>1407</v>
      </c>
      <c r="C1195" t="s">
        <v>1439</v>
      </c>
      <c r="D1195" s="14" t="s">
        <v>1438</v>
      </c>
      <c r="E1195" s="12" t="s">
        <v>28</v>
      </c>
      <c r="F1195" s="13" t="s">
        <v>29</v>
      </c>
      <c r="G1195">
        <v>10</v>
      </c>
      <c r="H1195" t="s">
        <v>30</v>
      </c>
      <c r="I1195">
        <v>10</v>
      </c>
      <c r="J1195" s="15"/>
      <c r="K1195" s="16">
        <f>636.85 - (636.85 * $E$1)</f>
        <v>636.85</v>
      </c>
      <c r="L1195" s="16">
        <f>522.01 - (522.01 * $E$1)</f>
        <v>522.01</v>
      </c>
      <c r="M1195" s="1">
        <v>636.85</v>
      </c>
      <c r="N1195" s="1">
        <v>522.01</v>
      </c>
      <c r="O1195" s="1">
        <v>541.32000000000005</v>
      </c>
      <c r="P1195" s="1">
        <v>443.71</v>
      </c>
      <c r="Q1195">
        <v>7.8E-2</v>
      </c>
      <c r="R1195">
        <v>8.1000000000000004E-5</v>
      </c>
    </row>
    <row r="1196" spans="1:18" ht="13.8" outlineLevel="2" x14ac:dyDescent="0.25">
      <c r="A1196">
        <v>65809</v>
      </c>
      <c r="B1196" t="s">
        <v>1407</v>
      </c>
      <c r="C1196" t="s">
        <v>1440</v>
      </c>
      <c r="D1196" s="14" t="s">
        <v>1438</v>
      </c>
      <c r="E1196" s="12" t="s">
        <v>28</v>
      </c>
      <c r="F1196" s="13" t="s">
        <v>29</v>
      </c>
      <c r="G1196">
        <v>5</v>
      </c>
      <c r="H1196" t="s">
        <v>30</v>
      </c>
      <c r="I1196">
        <v>5</v>
      </c>
      <c r="J1196" s="15"/>
      <c r="K1196" s="16">
        <f>1038.72 - (1038.72 * $E$1)</f>
        <v>1038.72</v>
      </c>
      <c r="L1196" s="16">
        <f>851.41 - (851.41 * $E$1)</f>
        <v>851.41</v>
      </c>
      <c r="M1196" s="1">
        <v>1038.72</v>
      </c>
      <c r="N1196" s="1">
        <v>851.41</v>
      </c>
      <c r="O1196" s="1">
        <v>882.91</v>
      </c>
      <c r="P1196" s="1">
        <v>723.7</v>
      </c>
      <c r="Q1196">
        <v>0.154</v>
      </c>
      <c r="R1196">
        <v>1.44E-4</v>
      </c>
    </row>
    <row r="1197" spans="1:18" ht="13.8" outlineLevel="2" x14ac:dyDescent="0.25">
      <c r="A1197">
        <v>65802</v>
      </c>
      <c r="B1197" t="s">
        <v>1418</v>
      </c>
      <c r="C1197" t="s">
        <v>1441</v>
      </c>
      <c r="D1197" s="14" t="s">
        <v>1442</v>
      </c>
      <c r="E1197" s="12" t="s">
        <v>28</v>
      </c>
      <c r="F1197" s="13" t="s">
        <v>29</v>
      </c>
      <c r="G1197">
        <v>10</v>
      </c>
      <c r="H1197" t="s">
        <v>30</v>
      </c>
      <c r="I1197">
        <v>10</v>
      </c>
      <c r="J1197" s="15"/>
      <c r="K1197" s="16">
        <f>573.31 - (573.31 * $E$1)</f>
        <v>573.30999999999995</v>
      </c>
      <c r="L1197" s="16">
        <f>469.93 - (469.93 * $E$1)</f>
        <v>469.93</v>
      </c>
      <c r="M1197" s="1">
        <v>573.30999999999995</v>
      </c>
      <c r="N1197" s="1">
        <v>469.93</v>
      </c>
      <c r="O1197" s="1">
        <v>487.32</v>
      </c>
      <c r="P1197" s="1">
        <v>399.44</v>
      </c>
      <c r="Q1197">
        <v>0.04</v>
      </c>
      <c r="R1197">
        <v>6.7500000000000001E-5</v>
      </c>
    </row>
    <row r="1198" spans="1:18" ht="13.8" outlineLevel="2" x14ac:dyDescent="0.25">
      <c r="A1198">
        <v>65803</v>
      </c>
      <c r="B1198" t="s">
        <v>1418</v>
      </c>
      <c r="C1198" t="s">
        <v>1443</v>
      </c>
      <c r="D1198" s="14" t="s">
        <v>1442</v>
      </c>
      <c r="E1198" s="12" t="s">
        <v>28</v>
      </c>
      <c r="F1198" s="13" t="s">
        <v>29</v>
      </c>
      <c r="G1198">
        <v>10</v>
      </c>
      <c r="H1198" t="s">
        <v>30</v>
      </c>
      <c r="I1198">
        <v>10</v>
      </c>
      <c r="J1198" s="15"/>
      <c r="K1198" s="16">
        <f>938.25 - (938.25 * $E$1)</f>
        <v>938.25</v>
      </c>
      <c r="L1198" s="16">
        <f>769.06 - (769.06 * $E$1)</f>
        <v>769.06</v>
      </c>
      <c r="M1198" s="1">
        <v>938.25</v>
      </c>
      <c r="N1198" s="1">
        <v>769.06</v>
      </c>
      <c r="O1198" s="1">
        <v>797.52</v>
      </c>
      <c r="P1198" s="1">
        <v>653.70000000000005</v>
      </c>
      <c r="Q1198">
        <v>0.1014</v>
      </c>
      <c r="R1198">
        <v>7.3499999999999998E-5</v>
      </c>
    </row>
    <row r="1199" spans="1:18" ht="13.8" outlineLevel="2" x14ac:dyDescent="0.25">
      <c r="A1199">
        <v>65804</v>
      </c>
      <c r="B1199" t="s">
        <v>1418</v>
      </c>
      <c r="C1199" t="s">
        <v>1444</v>
      </c>
      <c r="D1199" s="14" t="s">
        <v>1442</v>
      </c>
      <c r="E1199" s="12" t="s">
        <v>28</v>
      </c>
      <c r="F1199" s="13" t="s">
        <v>29</v>
      </c>
      <c r="G1199">
        <v>5</v>
      </c>
      <c r="H1199" t="s">
        <v>30</v>
      </c>
      <c r="I1199">
        <v>5</v>
      </c>
      <c r="J1199" s="15"/>
      <c r="K1199" s="16">
        <f>1382.42 - (1382.42 * $E$1)</f>
        <v>1382.42</v>
      </c>
      <c r="L1199" s="16">
        <f>1133.13 - (1133.13 * $E$1)</f>
        <v>1133.1300000000001</v>
      </c>
      <c r="M1199" s="1">
        <v>1382.42</v>
      </c>
      <c r="N1199" s="1">
        <v>1133.1300000000001</v>
      </c>
      <c r="O1199" s="1">
        <v>1175.06</v>
      </c>
      <c r="P1199" s="1">
        <v>963.16</v>
      </c>
      <c r="Q1199">
        <v>0.19600000000000001</v>
      </c>
      <c r="R1199">
        <v>2.52E-4</v>
      </c>
    </row>
    <row r="1200" spans="1:18" ht="13.8" outlineLevel="2" x14ac:dyDescent="0.25">
      <c r="A1200">
        <v>76171</v>
      </c>
      <c r="B1200" t="s">
        <v>1418</v>
      </c>
      <c r="C1200" t="s">
        <v>1445</v>
      </c>
      <c r="D1200" s="14" t="s">
        <v>1446</v>
      </c>
      <c r="E1200" s="12" t="s">
        <v>28</v>
      </c>
      <c r="F1200" s="13" t="s">
        <v>29</v>
      </c>
      <c r="G1200">
        <v>1</v>
      </c>
      <c r="H1200" t="s">
        <v>30</v>
      </c>
      <c r="I1200">
        <v>1</v>
      </c>
      <c r="J1200" s="15"/>
      <c r="K1200" s="16">
        <f>1272.52 - (1272.52 * $E$1)</f>
        <v>1272.52</v>
      </c>
      <c r="L1200" s="16">
        <f>1043.05 - (1043.05 * $E$1)</f>
        <v>1043.05</v>
      </c>
      <c r="M1200" s="1">
        <v>1272.52</v>
      </c>
      <c r="N1200" s="1">
        <v>1043.05</v>
      </c>
      <c r="O1200" s="1">
        <v>1081.6400000000001</v>
      </c>
      <c r="P1200" s="1">
        <v>886.59</v>
      </c>
      <c r="Q1200">
        <v>0.152</v>
      </c>
      <c r="R1200">
        <v>1.12E-4</v>
      </c>
    </row>
    <row r="1201" spans="1:18" ht="13.8" outlineLevel="2" x14ac:dyDescent="0.25">
      <c r="A1201">
        <v>76172</v>
      </c>
      <c r="B1201" t="s">
        <v>1418</v>
      </c>
      <c r="C1201" t="s">
        <v>1447</v>
      </c>
      <c r="D1201" s="14" t="s">
        <v>1446</v>
      </c>
      <c r="E1201" s="12" t="s">
        <v>28</v>
      </c>
      <c r="F1201" s="13" t="s">
        <v>29</v>
      </c>
      <c r="G1201">
        <v>1</v>
      </c>
      <c r="H1201" t="s">
        <v>30</v>
      </c>
      <c r="I1201">
        <v>1</v>
      </c>
      <c r="J1201" s="15"/>
      <c r="K1201" s="16">
        <f>1657.07 - (1657.07 * $E$1)</f>
        <v>1657.07</v>
      </c>
      <c r="L1201" s="16">
        <f>1358.25 - (1358.25 * $E$1)</f>
        <v>1358.25</v>
      </c>
      <c r="M1201" s="1">
        <v>1657.07</v>
      </c>
      <c r="N1201" s="1">
        <v>1358.25</v>
      </c>
      <c r="O1201" s="1">
        <v>1408.51</v>
      </c>
      <c r="P1201" s="1">
        <v>1154.51</v>
      </c>
      <c r="Q1201">
        <v>0.27800000000000002</v>
      </c>
      <c r="R1201">
        <v>2.52E-4</v>
      </c>
    </row>
    <row r="1202" spans="1:18" ht="13.8" outlineLevel="2" x14ac:dyDescent="0.25">
      <c r="A1202">
        <v>76173</v>
      </c>
      <c r="B1202" t="s">
        <v>1418</v>
      </c>
      <c r="C1202" t="s">
        <v>1448</v>
      </c>
      <c r="D1202" s="14" t="s">
        <v>1446</v>
      </c>
      <c r="E1202" s="12" t="s">
        <v>28</v>
      </c>
      <c r="F1202" s="13" t="s">
        <v>29</v>
      </c>
      <c r="G1202">
        <v>1</v>
      </c>
      <c r="H1202" t="s">
        <v>30</v>
      </c>
      <c r="I1202">
        <v>1</v>
      </c>
      <c r="J1202" s="15"/>
      <c r="K1202" s="16">
        <f>2289.9 - (2289.9 * $E$1)</f>
        <v>2289.9</v>
      </c>
      <c r="L1202" s="16">
        <f>1876.97 - (1876.97 * $E$1)</f>
        <v>1876.97</v>
      </c>
      <c r="M1202" s="1">
        <v>2289.9</v>
      </c>
      <c r="N1202" s="1">
        <v>1876.97</v>
      </c>
      <c r="O1202" s="1">
        <v>1946.42</v>
      </c>
      <c r="P1202" s="1">
        <v>1595.42</v>
      </c>
      <c r="Q1202">
        <v>0.45</v>
      </c>
      <c r="R1202">
        <v>4.4799999999999999E-4</v>
      </c>
    </row>
    <row r="1203" spans="1:18" ht="13.8" outlineLevel="2" x14ac:dyDescent="0.25">
      <c r="A1203">
        <v>66607</v>
      </c>
      <c r="B1203" t="s">
        <v>1407</v>
      </c>
      <c r="C1203" t="s">
        <v>1449</v>
      </c>
      <c r="D1203" s="14" t="s">
        <v>1450</v>
      </c>
      <c r="E1203" s="12" t="s">
        <v>28</v>
      </c>
      <c r="F1203" s="13" t="s">
        <v>29</v>
      </c>
      <c r="G1203">
        <v>10</v>
      </c>
      <c r="H1203" t="s">
        <v>30</v>
      </c>
      <c r="I1203">
        <v>10</v>
      </c>
      <c r="J1203" s="15"/>
      <c r="K1203" s="16">
        <f>363.28 - (363.28 * $E$1)</f>
        <v>363.28</v>
      </c>
      <c r="L1203" s="16">
        <f>297.77 - (297.77 * $E$1)</f>
        <v>297.77</v>
      </c>
      <c r="M1203" s="1">
        <v>363.28</v>
      </c>
      <c r="N1203" s="1">
        <v>297.77</v>
      </c>
      <c r="O1203" s="1">
        <v>308.79000000000002</v>
      </c>
      <c r="P1203" s="1">
        <v>253.1</v>
      </c>
      <c r="Q1203">
        <v>9.1999999999999998E-3</v>
      </c>
      <c r="R1203">
        <v>2.0000000000000002E-5</v>
      </c>
    </row>
    <row r="1204" spans="1:18" ht="13.8" outlineLevel="2" x14ac:dyDescent="0.25">
      <c r="A1204">
        <v>65828</v>
      </c>
      <c r="B1204" t="s">
        <v>1407</v>
      </c>
      <c r="C1204" t="s">
        <v>1451</v>
      </c>
      <c r="D1204" s="14" t="s">
        <v>1450</v>
      </c>
      <c r="E1204" s="12" t="s">
        <v>28</v>
      </c>
      <c r="F1204" s="13" t="s">
        <v>29</v>
      </c>
      <c r="G1204">
        <v>10</v>
      </c>
      <c r="H1204" t="s">
        <v>30</v>
      </c>
      <c r="I1204">
        <v>10</v>
      </c>
      <c r="J1204" s="15"/>
      <c r="K1204" s="16">
        <f>808.35 - (808.35 * $E$1)</f>
        <v>808.35</v>
      </c>
      <c r="L1204" s="16">
        <f>662.58 - (662.58 * $E$1)</f>
        <v>662.58</v>
      </c>
      <c r="M1204" s="1">
        <v>808.35</v>
      </c>
      <c r="N1204" s="1">
        <v>662.58</v>
      </c>
      <c r="O1204" s="1">
        <v>687.1</v>
      </c>
      <c r="P1204" s="1">
        <v>563.19000000000005</v>
      </c>
      <c r="Q1204">
        <v>3.0599999999999999E-2</v>
      </c>
      <c r="R1204">
        <v>2.5999999999999998E-5</v>
      </c>
    </row>
    <row r="1205" spans="1:18" ht="13.8" outlineLevel="2" x14ac:dyDescent="0.25">
      <c r="A1205">
        <v>65829</v>
      </c>
      <c r="B1205" t="s">
        <v>1407</v>
      </c>
      <c r="C1205" t="s">
        <v>1452</v>
      </c>
      <c r="D1205" s="14" t="s">
        <v>1450</v>
      </c>
      <c r="E1205" s="12" t="s">
        <v>28</v>
      </c>
      <c r="F1205" s="13" t="s">
        <v>29</v>
      </c>
      <c r="G1205">
        <v>10</v>
      </c>
      <c r="H1205" t="s">
        <v>30</v>
      </c>
      <c r="I1205">
        <v>10</v>
      </c>
      <c r="J1205" s="15"/>
      <c r="K1205" s="16">
        <f>1373.83 - (1373.83 * $E$1)</f>
        <v>1373.83</v>
      </c>
      <c r="L1205" s="16">
        <f>1126.09 - (1126.09 * $E$1)</f>
        <v>1126.0899999999999</v>
      </c>
      <c r="M1205" s="1">
        <v>1373.83</v>
      </c>
      <c r="N1205" s="1">
        <v>1126.0899999999999</v>
      </c>
      <c r="O1205" s="1">
        <v>1167.76</v>
      </c>
      <c r="P1205" s="1">
        <v>957.18</v>
      </c>
      <c r="Q1205">
        <v>7.9200000000000007E-2</v>
      </c>
      <c r="R1205">
        <v>6.0000000000000002E-5</v>
      </c>
    </row>
    <row r="1206" spans="1:18" ht="13.8" outlineLevel="2" x14ac:dyDescent="0.25">
      <c r="A1206">
        <v>65830</v>
      </c>
      <c r="B1206" t="s">
        <v>1407</v>
      </c>
      <c r="C1206" t="s">
        <v>1453</v>
      </c>
      <c r="D1206" s="14" t="s">
        <v>1450</v>
      </c>
      <c r="E1206" s="12" t="s">
        <v>28</v>
      </c>
      <c r="F1206" s="13" t="s">
        <v>29</v>
      </c>
      <c r="G1206">
        <v>5</v>
      </c>
      <c r="H1206" t="s">
        <v>30</v>
      </c>
      <c r="I1206">
        <v>5</v>
      </c>
      <c r="J1206" s="15"/>
      <c r="K1206" s="16">
        <f>2128.97 - (2128.97 * $E$1)</f>
        <v>2128.9699999999998</v>
      </c>
      <c r="L1206" s="16">
        <f>1745.06 - (1745.06 * $E$1)</f>
        <v>1745.06</v>
      </c>
      <c r="M1206" s="1">
        <v>2128.9699999999998</v>
      </c>
      <c r="N1206" s="1">
        <v>1745.06</v>
      </c>
      <c r="O1206" s="1">
        <v>1809.63</v>
      </c>
      <c r="P1206" s="1">
        <v>1483.3</v>
      </c>
      <c r="Q1206">
        <v>0.15759999999999999</v>
      </c>
      <c r="R1206">
        <v>1.5359999999999999E-4</v>
      </c>
    </row>
    <row r="1207" spans="1:18" ht="13.8" outlineLevel="2" x14ac:dyDescent="0.25">
      <c r="A1207">
        <v>66606</v>
      </c>
      <c r="B1207" t="s">
        <v>1418</v>
      </c>
      <c r="C1207" t="s">
        <v>1454</v>
      </c>
      <c r="D1207" s="14" t="s">
        <v>1455</v>
      </c>
      <c r="E1207" s="12" t="s">
        <v>28</v>
      </c>
      <c r="F1207" s="13" t="s">
        <v>29</v>
      </c>
      <c r="G1207">
        <v>10</v>
      </c>
      <c r="H1207" t="s">
        <v>30</v>
      </c>
      <c r="I1207">
        <v>10</v>
      </c>
      <c r="J1207" s="15"/>
      <c r="K1207" s="16">
        <f>536.86 - (536.86 * $E$1)</f>
        <v>536.86</v>
      </c>
      <c r="L1207" s="16">
        <f>440.05 - (440.05 * $E$1)</f>
        <v>440.05</v>
      </c>
      <c r="M1207" s="1">
        <v>536.86</v>
      </c>
      <c r="N1207" s="1">
        <v>440.05</v>
      </c>
      <c r="O1207" s="1">
        <v>456.33</v>
      </c>
      <c r="P1207" s="1">
        <v>374.04</v>
      </c>
      <c r="Q1207">
        <v>1.2999999999999999E-2</v>
      </c>
      <c r="R1207">
        <v>2.4000000000000001E-5</v>
      </c>
    </row>
    <row r="1208" spans="1:18" ht="13.8" outlineLevel="2" x14ac:dyDescent="0.25">
      <c r="A1208">
        <v>65820</v>
      </c>
      <c r="B1208" t="s">
        <v>1418</v>
      </c>
      <c r="C1208" t="s">
        <v>1456</v>
      </c>
      <c r="D1208" s="14" t="s">
        <v>1455</v>
      </c>
      <c r="E1208" s="12" t="s">
        <v>28</v>
      </c>
      <c r="F1208" s="13" t="s">
        <v>29</v>
      </c>
      <c r="G1208">
        <v>10</v>
      </c>
      <c r="H1208" t="s">
        <v>30</v>
      </c>
      <c r="I1208">
        <v>10</v>
      </c>
      <c r="J1208" s="15"/>
      <c r="K1208" s="16">
        <f>1044.95 - (1044.95 * $E$1)</f>
        <v>1044.95</v>
      </c>
      <c r="L1208" s="16">
        <f>856.52 - (856.52 * $E$1)</f>
        <v>856.52</v>
      </c>
      <c r="M1208" s="1">
        <v>1044.95</v>
      </c>
      <c r="N1208" s="1">
        <v>856.52</v>
      </c>
      <c r="O1208" s="1">
        <v>888.21</v>
      </c>
      <c r="P1208" s="1">
        <v>728.04</v>
      </c>
      <c r="Q1208">
        <v>3.7600000000000001E-2</v>
      </c>
      <c r="R1208">
        <v>3.1199999999999999E-5</v>
      </c>
    </row>
    <row r="1209" spans="1:18" ht="13.8" outlineLevel="2" x14ac:dyDescent="0.25">
      <c r="A1209">
        <v>65821</v>
      </c>
      <c r="B1209" t="s">
        <v>1418</v>
      </c>
      <c r="C1209" t="s">
        <v>1457</v>
      </c>
      <c r="D1209" s="14" t="s">
        <v>1455</v>
      </c>
      <c r="E1209" s="12" t="s">
        <v>28</v>
      </c>
      <c r="F1209" s="13" t="s">
        <v>29</v>
      </c>
      <c r="G1209">
        <v>10</v>
      </c>
      <c r="H1209" t="s">
        <v>30</v>
      </c>
      <c r="I1209">
        <v>10</v>
      </c>
      <c r="J1209" s="15"/>
      <c r="K1209" s="16">
        <f>1907.27 - (1907.27 * $E$1)</f>
        <v>1907.27</v>
      </c>
      <c r="L1209" s="16">
        <f>1563.34 - (1563.34 * $E$1)</f>
        <v>1563.34</v>
      </c>
      <c r="M1209" s="1">
        <v>1907.27</v>
      </c>
      <c r="N1209" s="1">
        <v>1563.34</v>
      </c>
      <c r="O1209" s="1">
        <v>1621.18</v>
      </c>
      <c r="P1209" s="1">
        <v>1328.84</v>
      </c>
      <c r="Q1209">
        <v>0.12</v>
      </c>
      <c r="R1209">
        <v>7.4999999999999993E-5</v>
      </c>
    </row>
    <row r="1210" spans="1:18" ht="13.8" outlineLevel="2" x14ac:dyDescent="0.25">
      <c r="A1210">
        <v>65822</v>
      </c>
      <c r="B1210" t="s">
        <v>1418</v>
      </c>
      <c r="C1210" t="s">
        <v>1458</v>
      </c>
      <c r="D1210" s="14" t="s">
        <v>1455</v>
      </c>
      <c r="E1210" s="12" t="s">
        <v>28</v>
      </c>
      <c r="F1210" s="13" t="s">
        <v>29</v>
      </c>
      <c r="G1210">
        <v>5</v>
      </c>
      <c r="H1210" t="s">
        <v>30</v>
      </c>
      <c r="I1210">
        <v>5</v>
      </c>
      <c r="J1210" s="15"/>
      <c r="K1210" s="16">
        <f>2946.45 - (2946.45 * $E$1)</f>
        <v>2946.45</v>
      </c>
      <c r="L1210" s="16">
        <f>2415.12 - (2415.12 * $E$1)</f>
        <v>2415.12</v>
      </c>
      <c r="M1210" s="1">
        <v>2946.45</v>
      </c>
      <c r="N1210" s="1">
        <v>2415.12</v>
      </c>
      <c r="O1210" s="1">
        <v>2504.48</v>
      </c>
      <c r="P1210" s="1">
        <v>2052.85</v>
      </c>
      <c r="Q1210">
        <v>0.20280000000000001</v>
      </c>
      <c r="R1210">
        <v>1.672E-4</v>
      </c>
    </row>
    <row r="1211" spans="1:18" ht="13.8" outlineLevel="2" x14ac:dyDescent="0.25">
      <c r="A1211">
        <v>65825</v>
      </c>
      <c r="B1211" t="s">
        <v>1418</v>
      </c>
      <c r="C1211" t="s">
        <v>1459</v>
      </c>
      <c r="D1211" s="14" t="s">
        <v>1460</v>
      </c>
      <c r="E1211" s="12" t="s">
        <v>28</v>
      </c>
      <c r="F1211" s="13" t="s">
        <v>29</v>
      </c>
      <c r="G1211">
        <v>10</v>
      </c>
      <c r="H1211" t="s">
        <v>30</v>
      </c>
      <c r="I1211">
        <v>10</v>
      </c>
      <c r="J1211" s="15"/>
      <c r="K1211" s="16">
        <f>1538.69 - (1538.69 * $E$1)</f>
        <v>1538.69</v>
      </c>
      <c r="L1211" s="16">
        <f>1261.22 - (1261.22 * $E$1)</f>
        <v>1261.22</v>
      </c>
      <c r="M1211" s="1">
        <v>1538.69</v>
      </c>
      <c r="N1211" s="1">
        <v>1261.22</v>
      </c>
      <c r="O1211" s="1">
        <v>1307.8900000000001</v>
      </c>
      <c r="P1211" s="1">
        <v>1072.04</v>
      </c>
      <c r="Q1211">
        <v>0.155</v>
      </c>
      <c r="R1211">
        <v>8.3999999999999995E-5</v>
      </c>
    </row>
    <row r="1212" spans="1:18" ht="13.8" outlineLevel="2" x14ac:dyDescent="0.25">
      <c r="A1212">
        <v>65826</v>
      </c>
      <c r="B1212" t="s">
        <v>1418</v>
      </c>
      <c r="C1212" t="s">
        <v>1461</v>
      </c>
      <c r="D1212" s="14" t="s">
        <v>1460</v>
      </c>
      <c r="E1212" s="12" t="s">
        <v>28</v>
      </c>
      <c r="F1212" s="13" t="s">
        <v>29</v>
      </c>
      <c r="G1212">
        <v>5</v>
      </c>
      <c r="H1212" t="s">
        <v>30</v>
      </c>
      <c r="I1212">
        <v>5</v>
      </c>
      <c r="J1212" s="15"/>
      <c r="K1212" s="16">
        <f>2165.06 - (2165.06 * $E$1)</f>
        <v>2165.06</v>
      </c>
      <c r="L1212" s="16">
        <f>1774.64 - (1774.64 * $E$1)</f>
        <v>1774.64</v>
      </c>
      <c r="M1212" s="1">
        <v>2165.06</v>
      </c>
      <c r="N1212" s="1">
        <v>1774.64</v>
      </c>
      <c r="O1212" s="1">
        <v>1840.3</v>
      </c>
      <c r="P1212" s="1">
        <v>1508.44</v>
      </c>
      <c r="Q1212">
        <v>0.33239999999999997</v>
      </c>
      <c r="R1212">
        <v>1.76E-4</v>
      </c>
    </row>
    <row r="1213" spans="1:18" ht="13.8" outlineLevel="2" x14ac:dyDescent="0.25">
      <c r="A1213">
        <v>65834</v>
      </c>
      <c r="B1213" t="s">
        <v>1407</v>
      </c>
      <c r="C1213" t="s">
        <v>1462</v>
      </c>
      <c r="D1213" s="14" t="s">
        <v>1463</v>
      </c>
      <c r="E1213" s="12" t="s">
        <v>28</v>
      </c>
      <c r="F1213" s="13" t="s">
        <v>29</v>
      </c>
      <c r="G1213">
        <v>10</v>
      </c>
      <c r="H1213" t="s">
        <v>30</v>
      </c>
      <c r="I1213">
        <v>10</v>
      </c>
      <c r="J1213" s="15"/>
      <c r="K1213" s="16">
        <f>974.22 - (974.22 * $E$1)</f>
        <v>974.22</v>
      </c>
      <c r="L1213" s="16">
        <f>798.54 - (798.54 * $E$1)</f>
        <v>798.54</v>
      </c>
      <c r="M1213" s="1">
        <v>974.22</v>
      </c>
      <c r="N1213" s="1">
        <v>798.54</v>
      </c>
      <c r="O1213" s="1">
        <v>828.09</v>
      </c>
      <c r="P1213" s="1">
        <v>678.76</v>
      </c>
      <c r="Q1213">
        <v>9.8400000000000001E-2</v>
      </c>
      <c r="R1213">
        <v>6.2399999999999999E-5</v>
      </c>
    </row>
    <row r="1214" spans="1:18" ht="13.8" outlineLevel="2" x14ac:dyDescent="0.25">
      <c r="A1214">
        <v>65835</v>
      </c>
      <c r="B1214" t="s">
        <v>1407</v>
      </c>
      <c r="C1214" t="s">
        <v>1464</v>
      </c>
      <c r="D1214" s="14" t="s">
        <v>1463</v>
      </c>
      <c r="E1214" s="12" t="s">
        <v>28</v>
      </c>
      <c r="F1214" s="13" t="s">
        <v>29</v>
      </c>
      <c r="G1214">
        <v>5</v>
      </c>
      <c r="H1214" t="s">
        <v>30</v>
      </c>
      <c r="I1214">
        <v>5</v>
      </c>
      <c r="J1214" s="15"/>
      <c r="K1214" s="16">
        <f>1425.16 - (1425.16 * $E$1)</f>
        <v>1425.16</v>
      </c>
      <c r="L1214" s="16">
        <f>1168.16 - (1168.16 * $E$1)</f>
        <v>1168.1600000000001</v>
      </c>
      <c r="M1214" s="1">
        <v>1425.16</v>
      </c>
      <c r="N1214" s="1">
        <v>1168.1600000000001</v>
      </c>
      <c r="O1214" s="1">
        <v>1211.3800000000001</v>
      </c>
      <c r="P1214" s="1">
        <v>992.94</v>
      </c>
      <c r="Q1214">
        <v>0.21199999999999999</v>
      </c>
      <c r="R1214">
        <v>1.496E-4</v>
      </c>
    </row>
    <row r="1215" spans="1:18" ht="13.8" outlineLevel="2" x14ac:dyDescent="0.25">
      <c r="A1215">
        <v>105914</v>
      </c>
      <c r="B1215" t="s">
        <v>1407</v>
      </c>
      <c r="C1215" t="s">
        <v>1465</v>
      </c>
      <c r="D1215" s="14" t="s">
        <v>1466</v>
      </c>
      <c r="E1215" s="12" t="s">
        <v>28</v>
      </c>
      <c r="F1215" s="18" t="s">
        <v>1467</v>
      </c>
      <c r="G1215">
        <v>5</v>
      </c>
      <c r="H1215" t="s">
        <v>30</v>
      </c>
      <c r="I1215">
        <v>5</v>
      </c>
      <c r="J1215" s="15"/>
      <c r="K1215" s="16">
        <f>875 - (875 * $E$1)</f>
        <v>875</v>
      </c>
      <c r="L1215" s="16">
        <f>717.21 - (717.21 * $E$1)</f>
        <v>717.21</v>
      </c>
      <c r="M1215" s="1">
        <v>875</v>
      </c>
      <c r="N1215" s="1">
        <v>717.21</v>
      </c>
      <c r="O1215" s="1">
        <v>743.75</v>
      </c>
      <c r="P1215" s="1">
        <v>609.63</v>
      </c>
      <c r="Q1215">
        <v>6.1800000000000001E-2</v>
      </c>
      <c r="R1215">
        <v>1.36E-4</v>
      </c>
    </row>
    <row r="1216" spans="1:18" ht="13.8" outlineLevel="2" x14ac:dyDescent="0.25">
      <c r="A1216">
        <v>105915</v>
      </c>
      <c r="B1216" t="s">
        <v>1407</v>
      </c>
      <c r="C1216" t="s">
        <v>1468</v>
      </c>
      <c r="D1216" s="14" t="s">
        <v>1466</v>
      </c>
      <c r="E1216" s="12" t="s">
        <v>28</v>
      </c>
      <c r="F1216" s="18" t="s">
        <v>1467</v>
      </c>
      <c r="G1216">
        <v>5</v>
      </c>
      <c r="H1216" t="s">
        <v>30</v>
      </c>
      <c r="I1216">
        <v>5</v>
      </c>
      <c r="J1216" s="15"/>
      <c r="K1216" s="16">
        <f>1005 - (1005 * $E$1)</f>
        <v>1005</v>
      </c>
      <c r="L1216" s="16">
        <f>823.77 - (823.77 * $E$1)</f>
        <v>823.77</v>
      </c>
      <c r="M1216" s="1">
        <v>1005</v>
      </c>
      <c r="N1216" s="1">
        <v>823.77</v>
      </c>
      <c r="O1216" s="1">
        <v>854.25</v>
      </c>
      <c r="P1216" s="1">
        <v>700.2</v>
      </c>
      <c r="Q1216">
        <v>0.1164</v>
      </c>
      <c r="R1216">
        <v>2.2000000000000001E-4</v>
      </c>
    </row>
    <row r="1217" spans="1:18" ht="13.8" outlineLevel="2" x14ac:dyDescent="0.25">
      <c r="A1217">
        <v>105916</v>
      </c>
      <c r="B1217" t="s">
        <v>1407</v>
      </c>
      <c r="C1217" t="s">
        <v>1469</v>
      </c>
      <c r="D1217" s="14" t="s">
        <v>1466</v>
      </c>
      <c r="E1217" s="12" t="s">
        <v>28</v>
      </c>
      <c r="F1217" s="18" t="s">
        <v>1467</v>
      </c>
      <c r="G1217">
        <v>5</v>
      </c>
      <c r="H1217" t="s">
        <v>30</v>
      </c>
      <c r="I1217">
        <v>5</v>
      </c>
      <c r="J1217" s="15"/>
      <c r="K1217" s="16">
        <f>1710 - (1710 * $E$1)</f>
        <v>1710</v>
      </c>
      <c r="L1217" s="16">
        <f>1401.64 - (1401.64 * $E$1)</f>
        <v>1401.64</v>
      </c>
      <c r="M1217" s="1">
        <v>1710</v>
      </c>
      <c r="N1217" s="1">
        <v>1401.64</v>
      </c>
      <c r="O1217" s="1">
        <v>1453.5</v>
      </c>
      <c r="P1217" s="1">
        <v>1191.3900000000001</v>
      </c>
      <c r="Q1217">
        <v>0.19139999999999999</v>
      </c>
      <c r="R1217">
        <v>3.0800000000000001E-4</v>
      </c>
    </row>
    <row r="1218" spans="1:18" ht="13.8" outlineLevel="2" x14ac:dyDescent="0.25">
      <c r="A1218">
        <v>105917</v>
      </c>
      <c r="B1218" t="s">
        <v>1407</v>
      </c>
      <c r="C1218" t="s">
        <v>1470</v>
      </c>
      <c r="D1218" s="14" t="s">
        <v>1466</v>
      </c>
      <c r="E1218" s="12" t="s">
        <v>28</v>
      </c>
      <c r="F1218" s="18" t="s">
        <v>1467</v>
      </c>
      <c r="G1218">
        <v>3</v>
      </c>
      <c r="H1218" t="s">
        <v>30</v>
      </c>
      <c r="I1218">
        <v>3</v>
      </c>
      <c r="J1218" s="15"/>
      <c r="K1218" s="16">
        <f>2155 - (2155 * $E$1)</f>
        <v>2155</v>
      </c>
      <c r="L1218" s="16">
        <f>1766.39 - (1766.39 * $E$1)</f>
        <v>1766.39</v>
      </c>
      <c r="M1218" s="1">
        <v>2155</v>
      </c>
      <c r="N1218" s="1">
        <v>1766.39</v>
      </c>
      <c r="O1218" s="1">
        <v>1831.75</v>
      </c>
      <c r="P1218" s="1">
        <v>1501.43</v>
      </c>
      <c r="Q1218">
        <v>0.25866666666666999</v>
      </c>
      <c r="R1218">
        <v>5.04E-4</v>
      </c>
    </row>
    <row r="1219" spans="1:18" ht="13.8" outlineLevel="2" x14ac:dyDescent="0.25">
      <c r="A1219">
        <v>105908</v>
      </c>
      <c r="B1219" t="s">
        <v>1418</v>
      </c>
      <c r="C1219" t="s">
        <v>1471</v>
      </c>
      <c r="D1219" s="14" t="s">
        <v>1472</v>
      </c>
      <c r="E1219" s="12" t="s">
        <v>28</v>
      </c>
      <c r="F1219" s="18" t="s">
        <v>1467</v>
      </c>
      <c r="G1219">
        <v>5</v>
      </c>
      <c r="H1219" t="s">
        <v>30</v>
      </c>
      <c r="I1219">
        <v>5</v>
      </c>
      <c r="J1219" s="15"/>
      <c r="K1219" s="16">
        <f>638 - (638 * $E$1)</f>
        <v>638</v>
      </c>
      <c r="L1219" s="16">
        <f>522.95 - (522.95 * $E$1)</f>
        <v>522.95000000000005</v>
      </c>
      <c r="M1219" s="1">
        <v>638</v>
      </c>
      <c r="N1219" s="1">
        <v>522.95000000000005</v>
      </c>
      <c r="O1219" s="1">
        <v>542.29999999999995</v>
      </c>
      <c r="P1219" s="1">
        <v>444.51</v>
      </c>
      <c r="Q1219">
        <v>7.9399999999999998E-2</v>
      </c>
      <c r="R1219">
        <v>9.4599999999999996E-5</v>
      </c>
    </row>
    <row r="1220" spans="1:18" ht="13.8" outlineLevel="2" x14ac:dyDescent="0.25">
      <c r="A1220">
        <v>105909</v>
      </c>
      <c r="B1220" t="s">
        <v>1418</v>
      </c>
      <c r="C1220" t="s">
        <v>1473</v>
      </c>
      <c r="D1220" s="14" t="s">
        <v>1472</v>
      </c>
      <c r="E1220" s="12" t="s">
        <v>28</v>
      </c>
      <c r="F1220" s="18" t="s">
        <v>1467</v>
      </c>
      <c r="G1220">
        <v>5</v>
      </c>
      <c r="H1220" t="s">
        <v>30</v>
      </c>
      <c r="I1220">
        <v>5</v>
      </c>
      <c r="J1220" s="15"/>
      <c r="K1220" s="16">
        <f>1068 - (1068 * $E$1)</f>
        <v>1068</v>
      </c>
      <c r="L1220" s="16">
        <f>875.41 - (875.41 * $E$1)</f>
        <v>875.41</v>
      </c>
      <c r="M1220" s="1">
        <v>1068</v>
      </c>
      <c r="N1220" s="1">
        <v>875.41</v>
      </c>
      <c r="O1220" s="1">
        <v>907.8</v>
      </c>
      <c r="P1220" s="1">
        <v>744.1</v>
      </c>
      <c r="Q1220">
        <v>0.15640000000000001</v>
      </c>
      <c r="R1220">
        <v>1.6320000000000001E-4</v>
      </c>
    </row>
    <row r="1221" spans="1:18" ht="13.8" outlineLevel="2" x14ac:dyDescent="0.25">
      <c r="A1221">
        <v>105910</v>
      </c>
      <c r="B1221" t="s">
        <v>1418</v>
      </c>
      <c r="C1221" t="s">
        <v>1474</v>
      </c>
      <c r="D1221" s="14" t="s">
        <v>1472</v>
      </c>
      <c r="E1221" s="12" t="s">
        <v>28</v>
      </c>
      <c r="F1221" s="18" t="s">
        <v>1467</v>
      </c>
      <c r="G1221">
        <v>5</v>
      </c>
      <c r="H1221" t="s">
        <v>30</v>
      </c>
      <c r="I1221">
        <v>5</v>
      </c>
      <c r="J1221" s="15"/>
      <c r="K1221" s="16">
        <f>1404 - (1404 * $E$1)</f>
        <v>1404</v>
      </c>
      <c r="L1221" s="16">
        <f>1150.82 - (1150.82 * $E$1)</f>
        <v>1150.82</v>
      </c>
      <c r="M1221" s="1">
        <v>1404</v>
      </c>
      <c r="N1221" s="1">
        <v>1150.82</v>
      </c>
      <c r="O1221" s="1">
        <v>1193.4000000000001</v>
      </c>
      <c r="P1221" s="1">
        <v>978.2</v>
      </c>
      <c r="Q1221">
        <v>0.2354</v>
      </c>
      <c r="R1221">
        <v>3.9599999999999998E-4</v>
      </c>
    </row>
    <row r="1222" spans="1:18" ht="13.8" outlineLevel="2" x14ac:dyDescent="0.25">
      <c r="A1222">
        <v>105911</v>
      </c>
      <c r="B1222" t="s">
        <v>1418</v>
      </c>
      <c r="C1222" t="s">
        <v>1475</v>
      </c>
      <c r="D1222" s="14" t="s">
        <v>1472</v>
      </c>
      <c r="E1222" s="12" t="s">
        <v>28</v>
      </c>
      <c r="F1222" s="18" t="s">
        <v>1467</v>
      </c>
      <c r="G1222">
        <v>3</v>
      </c>
      <c r="H1222" t="s">
        <v>30</v>
      </c>
      <c r="I1222">
        <v>3</v>
      </c>
      <c r="J1222" s="15"/>
      <c r="K1222" s="16">
        <f>1906.01 - (1906.01 * $E$1)</f>
        <v>1906.01</v>
      </c>
      <c r="L1222" s="16">
        <f>1562.3 - (1562.3 * $E$1)</f>
        <v>1562.3</v>
      </c>
      <c r="M1222" s="1">
        <v>1906.01</v>
      </c>
      <c r="N1222" s="1">
        <v>1562.3</v>
      </c>
      <c r="O1222" s="1">
        <v>1620.11</v>
      </c>
      <c r="P1222" s="1">
        <v>1327.96</v>
      </c>
      <c r="Q1222">
        <v>0.31333333333333002</v>
      </c>
      <c r="R1222">
        <v>3.9666666666667E-4</v>
      </c>
    </row>
    <row r="1223" spans="1:18" ht="13.8" outlineLevel="2" x14ac:dyDescent="0.25">
      <c r="A1223">
        <v>66807</v>
      </c>
      <c r="B1223" t="s">
        <v>1418</v>
      </c>
      <c r="C1223" t="s">
        <v>1476</v>
      </c>
      <c r="D1223" s="14" t="s">
        <v>1477</v>
      </c>
      <c r="E1223" s="12" t="s">
        <v>28</v>
      </c>
      <c r="F1223" s="13" t="s">
        <v>29</v>
      </c>
      <c r="G1223">
        <v>1</v>
      </c>
      <c r="H1223" t="s">
        <v>30</v>
      </c>
      <c r="I1223">
        <v>1</v>
      </c>
      <c r="J1223" s="15"/>
      <c r="K1223" s="16">
        <f>1881.13 - (1881.13 * $E$1)</f>
        <v>1881.13</v>
      </c>
      <c r="L1223" s="16">
        <f>1541.91 - (1541.91 * $E$1)</f>
        <v>1541.91</v>
      </c>
      <c r="M1223" s="1">
        <v>1881.13</v>
      </c>
      <c r="N1223" s="1">
        <v>1541.91</v>
      </c>
      <c r="O1223" s="1">
        <v>1598.96</v>
      </c>
      <c r="P1223" s="1">
        <v>1310.6199999999999</v>
      </c>
      <c r="Q1223">
        <v>9.6000000000000002E-2</v>
      </c>
      <c r="R1223">
        <v>8.6000000000000003E-5</v>
      </c>
    </row>
    <row r="1224" spans="1:18" ht="13.8" outlineLevel="2" x14ac:dyDescent="0.25">
      <c r="A1224">
        <v>66808</v>
      </c>
      <c r="B1224" t="s">
        <v>1418</v>
      </c>
      <c r="C1224" t="s">
        <v>1478</v>
      </c>
      <c r="D1224" s="14" t="s">
        <v>1477</v>
      </c>
      <c r="E1224" s="12" t="s">
        <v>28</v>
      </c>
      <c r="F1224" s="13" t="s">
        <v>29</v>
      </c>
      <c r="G1224">
        <v>1</v>
      </c>
      <c r="H1224" t="s">
        <v>30</v>
      </c>
      <c r="I1224">
        <v>1</v>
      </c>
      <c r="J1224" s="15"/>
      <c r="K1224" s="16">
        <f>2665.69 - (2665.69 * $E$1)</f>
        <v>2665.69</v>
      </c>
      <c r="L1224" s="16">
        <f>2184.99 - (2184.99 * $E$1)</f>
        <v>2184.9899999999998</v>
      </c>
      <c r="M1224" s="1">
        <v>2665.69</v>
      </c>
      <c r="N1224" s="1">
        <v>2184.9899999999998</v>
      </c>
      <c r="O1224" s="1">
        <v>2265.83</v>
      </c>
      <c r="P1224" s="1">
        <v>1857.24</v>
      </c>
      <c r="Q1224">
        <v>0.188</v>
      </c>
      <c r="R1224">
        <v>1.76E-4</v>
      </c>
    </row>
    <row r="1225" spans="1:18" ht="13.8" outlineLevel="2" x14ac:dyDescent="0.25">
      <c r="A1225">
        <v>69210</v>
      </c>
      <c r="B1225" t="s">
        <v>1479</v>
      </c>
      <c r="C1225" t="s">
        <v>1480</v>
      </c>
      <c r="D1225" s="14" t="s">
        <v>1481</v>
      </c>
      <c r="E1225" s="12" t="s">
        <v>28</v>
      </c>
      <c r="F1225" s="13" t="s">
        <v>29</v>
      </c>
      <c r="G1225">
        <v>1</v>
      </c>
      <c r="H1225" t="s">
        <v>30</v>
      </c>
      <c r="I1225">
        <v>1</v>
      </c>
      <c r="J1225" s="15"/>
      <c r="K1225" s="16">
        <f>380.58 - (380.58 * $E$1)</f>
        <v>380.58</v>
      </c>
      <c r="L1225" s="16">
        <f>311.95 - (311.95 * $E$1)</f>
        <v>311.95</v>
      </c>
      <c r="M1225" s="1">
        <v>380.58</v>
      </c>
      <c r="N1225" s="1">
        <v>311.95</v>
      </c>
      <c r="O1225" s="1">
        <v>323.49</v>
      </c>
      <c r="P1225" s="1">
        <v>265.16000000000003</v>
      </c>
      <c r="Q1225">
        <v>0.02</v>
      </c>
      <c r="R1225">
        <v>3.7500000000000001E-4</v>
      </c>
    </row>
    <row r="1226" spans="1:18" ht="13.8" outlineLevel="2" x14ac:dyDescent="0.25">
      <c r="A1226">
        <v>69211</v>
      </c>
      <c r="B1226" t="s">
        <v>1479</v>
      </c>
      <c r="C1226" t="s">
        <v>1482</v>
      </c>
      <c r="D1226" s="14" t="s">
        <v>1481</v>
      </c>
      <c r="E1226" s="12" t="s">
        <v>28</v>
      </c>
      <c r="F1226" s="13" t="s">
        <v>29</v>
      </c>
      <c r="G1226">
        <v>1</v>
      </c>
      <c r="H1226" t="s">
        <v>30</v>
      </c>
      <c r="I1226">
        <v>1</v>
      </c>
      <c r="J1226" s="15"/>
      <c r="K1226" s="16">
        <f>623.3 - (623.3 * $E$1)</f>
        <v>623.29999999999995</v>
      </c>
      <c r="L1226" s="16">
        <f>510.9 - (510.9 * $E$1)</f>
        <v>510.9</v>
      </c>
      <c r="M1226" s="1">
        <v>623.29999999999995</v>
      </c>
      <c r="N1226" s="1">
        <v>510.9</v>
      </c>
      <c r="O1226" s="1">
        <v>529.79999999999995</v>
      </c>
      <c r="P1226" s="1">
        <v>434.27</v>
      </c>
      <c r="Q1226">
        <v>0.05</v>
      </c>
      <c r="R1226">
        <v>3.7500000000000001E-4</v>
      </c>
    </row>
    <row r="1227" spans="1:18" ht="13.8" outlineLevel="2" x14ac:dyDescent="0.25">
      <c r="A1227">
        <v>69212</v>
      </c>
      <c r="B1227" t="s">
        <v>1479</v>
      </c>
      <c r="C1227" t="s">
        <v>1483</v>
      </c>
      <c r="D1227" s="14" t="s">
        <v>1481</v>
      </c>
      <c r="E1227" s="12" t="s">
        <v>28</v>
      </c>
      <c r="F1227" s="13" t="s">
        <v>29</v>
      </c>
      <c r="G1227">
        <v>1</v>
      </c>
      <c r="H1227" t="s">
        <v>30</v>
      </c>
      <c r="I1227">
        <v>1</v>
      </c>
      <c r="J1227" s="15"/>
      <c r="K1227" s="16">
        <f>762.45 - (762.45 * $E$1)</f>
        <v>762.45</v>
      </c>
      <c r="L1227" s="16">
        <f>624.96 - (624.96 * $E$1)</f>
        <v>624.96</v>
      </c>
      <c r="M1227" s="1">
        <v>762.45</v>
      </c>
      <c r="N1227" s="1">
        <v>624.96</v>
      </c>
      <c r="O1227" s="1">
        <v>648.08000000000004</v>
      </c>
      <c r="P1227" s="1">
        <v>531.22</v>
      </c>
      <c r="Q1227">
        <v>0.1</v>
      </c>
      <c r="R1227">
        <v>3.7500000000000001E-4</v>
      </c>
    </row>
    <row r="1228" spans="1:18" ht="13.8" outlineLevel="2" x14ac:dyDescent="0.25">
      <c r="A1228">
        <v>69213</v>
      </c>
      <c r="B1228" t="s">
        <v>1479</v>
      </c>
      <c r="C1228" t="s">
        <v>1484</v>
      </c>
      <c r="D1228" s="14" t="s">
        <v>1481</v>
      </c>
      <c r="E1228" s="12" t="s">
        <v>28</v>
      </c>
      <c r="F1228" s="13" t="s">
        <v>29</v>
      </c>
      <c r="G1228">
        <v>1</v>
      </c>
      <c r="H1228" t="s">
        <v>30</v>
      </c>
      <c r="I1228">
        <v>1</v>
      </c>
      <c r="J1228" s="15"/>
      <c r="K1228" s="16">
        <f>1108.14 - (1108.14 * $E$1)</f>
        <v>1108.1400000000001</v>
      </c>
      <c r="L1228" s="16">
        <f>908.31 - (908.31 * $E$1)</f>
        <v>908.31</v>
      </c>
      <c r="M1228" s="1">
        <v>1108.1400000000001</v>
      </c>
      <c r="N1228" s="1">
        <v>908.31</v>
      </c>
      <c r="O1228" s="1">
        <v>941.92</v>
      </c>
      <c r="P1228" s="1">
        <v>772.06</v>
      </c>
      <c r="Q1228">
        <v>0.19</v>
      </c>
      <c r="R1228">
        <v>3.7500000000000001E-4</v>
      </c>
    </row>
    <row r="1229" spans="1:18" ht="13.8" outlineLevel="2" x14ac:dyDescent="0.25">
      <c r="A1229">
        <v>69203</v>
      </c>
      <c r="B1229" t="s">
        <v>1485</v>
      </c>
      <c r="C1229" t="s">
        <v>1486</v>
      </c>
      <c r="D1229" s="14" t="s">
        <v>1487</v>
      </c>
      <c r="E1229" s="12" t="s">
        <v>28</v>
      </c>
      <c r="F1229" s="13" t="s">
        <v>29</v>
      </c>
      <c r="G1229">
        <v>1</v>
      </c>
      <c r="H1229" t="s">
        <v>30</v>
      </c>
      <c r="I1229">
        <v>1</v>
      </c>
      <c r="J1229" s="15"/>
      <c r="K1229" s="16">
        <f>539.92 - (539.92 * $E$1)</f>
        <v>539.91999999999996</v>
      </c>
      <c r="L1229" s="16">
        <f>442.56 - (442.56 * $E$1)</f>
        <v>442.56</v>
      </c>
      <c r="M1229" s="1">
        <v>539.91999999999996</v>
      </c>
      <c r="N1229" s="1">
        <v>442.56</v>
      </c>
      <c r="O1229" s="1">
        <v>458.93</v>
      </c>
      <c r="P1229" s="1">
        <v>376.18</v>
      </c>
      <c r="Q1229">
        <v>0.02</v>
      </c>
      <c r="R1229">
        <v>3.7500000000000001E-4</v>
      </c>
    </row>
    <row r="1230" spans="1:18" ht="13.8" outlineLevel="2" x14ac:dyDescent="0.25">
      <c r="A1230">
        <v>69204</v>
      </c>
      <c r="B1230" t="s">
        <v>1485</v>
      </c>
      <c r="C1230" t="s">
        <v>1488</v>
      </c>
      <c r="D1230" s="14" t="s">
        <v>1487</v>
      </c>
      <c r="E1230" s="12" t="s">
        <v>28</v>
      </c>
      <c r="F1230" s="13" t="s">
        <v>29</v>
      </c>
      <c r="G1230">
        <v>1</v>
      </c>
      <c r="H1230" t="s">
        <v>30</v>
      </c>
      <c r="I1230">
        <v>1</v>
      </c>
      <c r="J1230" s="15"/>
      <c r="K1230" s="16">
        <f>719.46 - (719.46 * $E$1)</f>
        <v>719.46</v>
      </c>
      <c r="L1230" s="16">
        <f>589.72 - (589.72 * $E$1)</f>
        <v>589.72</v>
      </c>
      <c r="M1230" s="1">
        <v>719.46</v>
      </c>
      <c r="N1230" s="1">
        <v>589.72</v>
      </c>
      <c r="O1230" s="1">
        <v>611.54</v>
      </c>
      <c r="P1230" s="1">
        <v>501.26</v>
      </c>
      <c r="Q1230">
        <v>7.0000000000000007E-2</v>
      </c>
      <c r="R1230">
        <v>3.7500000000000001E-4</v>
      </c>
    </row>
    <row r="1231" spans="1:18" ht="13.8" outlineLevel="2" x14ac:dyDescent="0.25">
      <c r="A1231">
        <v>69205</v>
      </c>
      <c r="B1231" t="s">
        <v>1485</v>
      </c>
      <c r="C1231" t="s">
        <v>1489</v>
      </c>
      <c r="D1231" s="14" t="s">
        <v>1487</v>
      </c>
      <c r="E1231" s="12" t="s">
        <v>28</v>
      </c>
      <c r="F1231" s="13" t="s">
        <v>29</v>
      </c>
      <c r="G1231">
        <v>1</v>
      </c>
      <c r="H1231" t="s">
        <v>30</v>
      </c>
      <c r="I1231">
        <v>1</v>
      </c>
      <c r="J1231" s="15"/>
      <c r="K1231" s="16">
        <f>1017.98 - (1017.98 * $E$1)</f>
        <v>1017.98</v>
      </c>
      <c r="L1231" s="16">
        <f>834.41 - (834.41 * $E$1)</f>
        <v>834.41</v>
      </c>
      <c r="M1231" s="1">
        <v>1017.98</v>
      </c>
      <c r="N1231" s="1">
        <v>834.41</v>
      </c>
      <c r="O1231" s="1">
        <v>865.28</v>
      </c>
      <c r="P1231" s="1">
        <v>709.25</v>
      </c>
      <c r="Q1231">
        <v>0.13</v>
      </c>
      <c r="R1231">
        <v>3.7500000000000001E-4</v>
      </c>
    </row>
    <row r="1232" spans="1:18" ht="13.8" outlineLevel="2" x14ac:dyDescent="0.25">
      <c r="A1232">
        <v>69206</v>
      </c>
      <c r="B1232" t="s">
        <v>1485</v>
      </c>
      <c r="C1232" t="s">
        <v>1490</v>
      </c>
      <c r="D1232" s="14" t="s">
        <v>1487</v>
      </c>
      <c r="E1232" s="12" t="s">
        <v>28</v>
      </c>
      <c r="F1232" s="13" t="s">
        <v>29</v>
      </c>
      <c r="G1232">
        <v>1</v>
      </c>
      <c r="H1232" t="s">
        <v>30</v>
      </c>
      <c r="I1232">
        <v>1</v>
      </c>
      <c r="J1232" s="15"/>
      <c r="K1232" s="16">
        <f>1470.15 - (1470.15 * $E$1)</f>
        <v>1470.15</v>
      </c>
      <c r="L1232" s="16">
        <f>1205.04 - (1205.04 * $E$1)</f>
        <v>1205.04</v>
      </c>
      <c r="M1232" s="1">
        <v>1470.15</v>
      </c>
      <c r="N1232" s="1">
        <v>1205.04</v>
      </c>
      <c r="O1232" s="1">
        <v>1249.6300000000001</v>
      </c>
      <c r="P1232" s="1">
        <v>1024.28</v>
      </c>
      <c r="Q1232">
        <v>0.25</v>
      </c>
      <c r="R1232">
        <v>3.7500000000000001E-4</v>
      </c>
    </row>
    <row r="1233" spans="1:18" ht="16.5" customHeight="1" outlineLevel="1" x14ac:dyDescent="0.35">
      <c r="A1233" s="9"/>
      <c r="B1233" s="10" t="s">
        <v>1491</v>
      </c>
      <c r="C1233" s="10"/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1"/>
    </row>
    <row r="1234" spans="1:18" ht="13.8" outlineLevel="2" x14ac:dyDescent="0.25">
      <c r="A1234">
        <v>65810</v>
      </c>
      <c r="B1234" t="s">
        <v>1407</v>
      </c>
      <c r="C1234" t="s">
        <v>1492</v>
      </c>
      <c r="D1234" s="14" t="s">
        <v>1493</v>
      </c>
      <c r="E1234" s="12" t="s">
        <v>28</v>
      </c>
      <c r="F1234" s="13" t="s">
        <v>29</v>
      </c>
      <c r="G1234">
        <v>1</v>
      </c>
      <c r="H1234" t="s">
        <v>30</v>
      </c>
      <c r="I1234">
        <v>1</v>
      </c>
      <c r="J1234" s="15"/>
      <c r="K1234" s="16">
        <f>1410.23 - (1410.23 * $E$1)</f>
        <v>1410.23</v>
      </c>
      <c r="L1234" s="16">
        <f>1155.93 - (1155.93 * $E$1)</f>
        <v>1155.93</v>
      </c>
      <c r="M1234" s="1">
        <v>1410.23</v>
      </c>
      <c r="N1234" s="1">
        <v>1155.93</v>
      </c>
      <c r="O1234" s="1">
        <v>1198.7</v>
      </c>
      <c r="P1234" s="1">
        <v>982.54</v>
      </c>
      <c r="Q1234">
        <v>0.2</v>
      </c>
      <c r="R1234">
        <v>3.7500000000000001E-4</v>
      </c>
    </row>
    <row r="1235" spans="1:18" ht="13.8" outlineLevel="2" x14ac:dyDescent="0.25">
      <c r="A1235">
        <v>65811</v>
      </c>
      <c r="B1235" t="s">
        <v>1407</v>
      </c>
      <c r="C1235" t="s">
        <v>1494</v>
      </c>
      <c r="D1235" s="14" t="s">
        <v>1493</v>
      </c>
      <c r="E1235" s="12" t="s">
        <v>28</v>
      </c>
      <c r="F1235" s="13" t="s">
        <v>29</v>
      </c>
      <c r="G1235">
        <v>1</v>
      </c>
      <c r="H1235" t="s">
        <v>30</v>
      </c>
      <c r="I1235">
        <v>1</v>
      </c>
      <c r="J1235" s="15"/>
      <c r="K1235" s="16">
        <f>3897.44 - (3897.44 * $E$1)</f>
        <v>3897.44</v>
      </c>
      <c r="L1235" s="16">
        <f>3194.62 - (3194.62 * $E$1)</f>
        <v>3194.62</v>
      </c>
      <c r="M1235" s="1">
        <v>3897.44</v>
      </c>
      <c r="N1235" s="1">
        <v>3194.62</v>
      </c>
      <c r="O1235" s="1">
        <v>3312.82</v>
      </c>
      <c r="P1235" s="1">
        <v>2715.43</v>
      </c>
      <c r="Q1235">
        <v>0.45</v>
      </c>
      <c r="R1235">
        <v>3.7500000000000001E-4</v>
      </c>
    </row>
    <row r="1236" spans="1:18" ht="13.8" outlineLevel="2" x14ac:dyDescent="0.25">
      <c r="A1236">
        <v>69487</v>
      </c>
      <c r="B1236" t="s">
        <v>1407</v>
      </c>
      <c r="C1236" t="s">
        <v>1495</v>
      </c>
      <c r="D1236" s="14" t="s">
        <v>1493</v>
      </c>
      <c r="E1236" s="12" t="s">
        <v>28</v>
      </c>
      <c r="F1236" s="13" t="s">
        <v>29</v>
      </c>
      <c r="G1236">
        <v>1</v>
      </c>
      <c r="H1236" t="s">
        <v>30</v>
      </c>
      <c r="I1236">
        <v>1</v>
      </c>
      <c r="J1236" s="15"/>
      <c r="K1236" s="16">
        <f>8372.99 - (8372.99 * $E$1)</f>
        <v>8372.99</v>
      </c>
      <c r="L1236" s="16">
        <f>6863.11 - (6863.11 * $E$1)</f>
        <v>6863.11</v>
      </c>
      <c r="M1236" s="1">
        <v>8372.99</v>
      </c>
      <c r="N1236" s="1">
        <v>6863.11</v>
      </c>
      <c r="O1236" s="1">
        <v>7117.05</v>
      </c>
      <c r="P1236" s="1">
        <v>5833.64</v>
      </c>
      <c r="Q1236">
        <v>0.6</v>
      </c>
      <c r="R1236">
        <v>3.7500000000000001E-4</v>
      </c>
    </row>
    <row r="1237" spans="1:18" ht="13.8" outlineLevel="2" x14ac:dyDescent="0.25">
      <c r="A1237">
        <v>65805</v>
      </c>
      <c r="B1237" t="s">
        <v>1418</v>
      </c>
      <c r="C1237" t="s">
        <v>1496</v>
      </c>
      <c r="D1237" s="14" t="s">
        <v>1497</v>
      </c>
      <c r="E1237" s="12" t="s">
        <v>28</v>
      </c>
      <c r="F1237" s="13" t="s">
        <v>29</v>
      </c>
      <c r="G1237">
        <v>1</v>
      </c>
      <c r="H1237" t="s">
        <v>30</v>
      </c>
      <c r="I1237">
        <v>1</v>
      </c>
      <c r="J1237" s="15"/>
      <c r="K1237" s="16">
        <f>1895.25 - (1895.25 * $E$1)</f>
        <v>1895.25</v>
      </c>
      <c r="L1237" s="16">
        <f>1553.48 - (1553.48 * $E$1)</f>
        <v>1553.48</v>
      </c>
      <c r="M1237" s="1">
        <v>1895.25</v>
      </c>
      <c r="N1237" s="1">
        <v>1553.48</v>
      </c>
      <c r="O1237" s="1">
        <v>1610.96</v>
      </c>
      <c r="P1237" s="1">
        <v>1320.46</v>
      </c>
      <c r="Q1237">
        <v>0.3</v>
      </c>
      <c r="R1237">
        <v>3.7500000000000001E-4</v>
      </c>
    </row>
    <row r="1238" spans="1:18" ht="13.8" outlineLevel="2" x14ac:dyDescent="0.25">
      <c r="A1238">
        <v>65806</v>
      </c>
      <c r="B1238" t="s">
        <v>1418</v>
      </c>
      <c r="C1238" t="s">
        <v>1498</v>
      </c>
      <c r="D1238" s="14" t="s">
        <v>1497</v>
      </c>
      <c r="E1238" s="12" t="s">
        <v>28</v>
      </c>
      <c r="F1238" s="13" t="s">
        <v>29</v>
      </c>
      <c r="G1238">
        <v>1</v>
      </c>
      <c r="H1238" t="s">
        <v>30</v>
      </c>
      <c r="I1238">
        <v>1</v>
      </c>
      <c r="J1238" s="15"/>
      <c r="K1238" s="16">
        <f>9230.34 - (9230.34 * $E$1)</f>
        <v>9230.34</v>
      </c>
      <c r="L1238" s="16">
        <f>7565.85 - (7565.85 * $E$1)</f>
        <v>7565.85</v>
      </c>
      <c r="M1238" s="1">
        <v>9230.34</v>
      </c>
      <c r="N1238" s="1">
        <v>7565.85</v>
      </c>
      <c r="O1238" s="1">
        <v>7845.79</v>
      </c>
      <c r="P1238" s="1">
        <v>6430.97</v>
      </c>
      <c r="Q1238">
        <v>0.6</v>
      </c>
      <c r="R1238">
        <v>3.7500000000000001E-4</v>
      </c>
    </row>
    <row r="1239" spans="1:18" ht="13.8" outlineLevel="2" x14ac:dyDescent="0.25">
      <c r="A1239">
        <v>69489</v>
      </c>
      <c r="B1239" t="s">
        <v>1418</v>
      </c>
      <c r="C1239" t="s">
        <v>1499</v>
      </c>
      <c r="D1239" s="14" t="s">
        <v>1497</v>
      </c>
      <c r="E1239" s="12" t="s">
        <v>28</v>
      </c>
      <c r="F1239" s="13" t="s">
        <v>29</v>
      </c>
      <c r="G1239">
        <v>1</v>
      </c>
      <c r="H1239" t="s">
        <v>30</v>
      </c>
      <c r="I1239">
        <v>1</v>
      </c>
      <c r="J1239" s="15"/>
      <c r="K1239" s="16">
        <f>10956.75 - (10956.75 * $E$1)</f>
        <v>10956.75</v>
      </c>
      <c r="L1239" s="16">
        <f>8980.94 - (8980.94 * $E$1)</f>
        <v>8980.94</v>
      </c>
      <c r="M1239" s="1">
        <v>10956.75</v>
      </c>
      <c r="N1239" s="1">
        <v>8980.94</v>
      </c>
      <c r="O1239" s="1">
        <v>9313.23</v>
      </c>
      <c r="P1239" s="1">
        <v>7633.8</v>
      </c>
      <c r="Q1239">
        <v>0.9</v>
      </c>
      <c r="R1239">
        <v>7.5000000000000002E-4</v>
      </c>
    </row>
    <row r="1240" spans="1:18" ht="13.8" outlineLevel="2" x14ac:dyDescent="0.25">
      <c r="A1240">
        <v>65831</v>
      </c>
      <c r="B1240" t="s">
        <v>1407</v>
      </c>
      <c r="C1240" t="s">
        <v>1500</v>
      </c>
      <c r="D1240" s="14" t="s">
        <v>1501</v>
      </c>
      <c r="E1240" s="12" t="s">
        <v>28</v>
      </c>
      <c r="F1240" s="13" t="s">
        <v>29</v>
      </c>
      <c r="G1240">
        <v>1</v>
      </c>
      <c r="H1240" t="s">
        <v>30</v>
      </c>
      <c r="I1240">
        <v>1</v>
      </c>
      <c r="J1240" s="15"/>
      <c r="K1240" s="16">
        <f>2804.33 - (2804.33 * $E$1)</f>
        <v>2804.33</v>
      </c>
      <c r="L1240" s="16">
        <f>2298.63 - (2298.63 * $E$1)</f>
        <v>2298.63</v>
      </c>
      <c r="M1240" s="1">
        <v>2804.33</v>
      </c>
      <c r="N1240" s="1">
        <v>2298.63</v>
      </c>
      <c r="O1240" s="1">
        <v>2383.6799999999998</v>
      </c>
      <c r="P1240" s="1">
        <v>1953.84</v>
      </c>
      <c r="Q1240">
        <v>0.2</v>
      </c>
      <c r="R1240">
        <v>3.7500000000000001E-4</v>
      </c>
    </row>
    <row r="1241" spans="1:18" ht="13.8" outlineLevel="2" x14ac:dyDescent="0.25">
      <c r="A1241">
        <v>65832</v>
      </c>
      <c r="B1241" t="s">
        <v>1407</v>
      </c>
      <c r="C1241" t="s">
        <v>1502</v>
      </c>
      <c r="D1241" s="14" t="s">
        <v>1501</v>
      </c>
      <c r="E1241" s="12" t="s">
        <v>28</v>
      </c>
      <c r="F1241" s="13" t="s">
        <v>29</v>
      </c>
      <c r="G1241">
        <v>1</v>
      </c>
      <c r="H1241" t="s">
        <v>30</v>
      </c>
      <c r="I1241">
        <v>1</v>
      </c>
      <c r="J1241" s="15"/>
      <c r="K1241" s="16">
        <f>5395.23 - (5395.23 * $E$1)</f>
        <v>5395.23</v>
      </c>
      <c r="L1241" s="16">
        <f>4422.32 - (4422.32 * $E$1)</f>
        <v>4422.32</v>
      </c>
      <c r="M1241" s="1">
        <v>5395.23</v>
      </c>
      <c r="N1241" s="1">
        <v>4422.32</v>
      </c>
      <c r="O1241" s="1">
        <v>4585.95</v>
      </c>
      <c r="P1241" s="1">
        <v>3758.97</v>
      </c>
      <c r="Q1241">
        <v>0.45</v>
      </c>
      <c r="R1241">
        <v>3.7500000000000001E-4</v>
      </c>
    </row>
    <row r="1242" spans="1:18" ht="13.8" outlineLevel="2" x14ac:dyDescent="0.25">
      <c r="A1242">
        <v>65823</v>
      </c>
      <c r="B1242" t="s">
        <v>1418</v>
      </c>
      <c r="C1242" t="s">
        <v>1503</v>
      </c>
      <c r="D1242" s="14" t="s">
        <v>1504</v>
      </c>
      <c r="E1242" s="12" t="s">
        <v>28</v>
      </c>
      <c r="F1242" s="13" t="s">
        <v>29</v>
      </c>
      <c r="G1242">
        <v>1</v>
      </c>
      <c r="H1242" t="s">
        <v>30</v>
      </c>
      <c r="I1242">
        <v>1</v>
      </c>
      <c r="J1242" s="15"/>
      <c r="K1242" s="16">
        <f>3965.71 - (3965.71 * $E$1)</f>
        <v>3965.71</v>
      </c>
      <c r="L1242" s="16">
        <f>3250.58 - (3250.58 * $E$1)</f>
        <v>3250.58</v>
      </c>
      <c r="M1242" s="1">
        <v>3965.71</v>
      </c>
      <c r="N1242" s="1">
        <v>3250.58</v>
      </c>
      <c r="O1242" s="1">
        <v>3370.85</v>
      </c>
      <c r="P1242" s="1">
        <v>2762.99</v>
      </c>
      <c r="Q1242">
        <v>0.3</v>
      </c>
      <c r="R1242">
        <v>3.7500000000000001E-4</v>
      </c>
    </row>
    <row r="1243" spans="1:18" ht="13.8" outlineLevel="2" x14ac:dyDescent="0.25">
      <c r="A1243">
        <v>65824</v>
      </c>
      <c r="B1243" t="s">
        <v>1418</v>
      </c>
      <c r="C1243" t="s">
        <v>1505</v>
      </c>
      <c r="D1243" s="14" t="s">
        <v>1504</v>
      </c>
      <c r="E1243" s="12" t="s">
        <v>28</v>
      </c>
      <c r="F1243" s="13" t="s">
        <v>29</v>
      </c>
      <c r="G1243">
        <v>1</v>
      </c>
      <c r="H1243" t="s">
        <v>30</v>
      </c>
      <c r="I1243">
        <v>1</v>
      </c>
      <c r="J1243" s="15"/>
      <c r="K1243" s="16">
        <f>11120.28 - (11120.28 * $E$1)</f>
        <v>11120.28</v>
      </c>
      <c r="L1243" s="16">
        <f>9114.98 - (9114.98 * $E$1)</f>
        <v>9114.98</v>
      </c>
      <c r="M1243" s="1">
        <v>11120.28</v>
      </c>
      <c r="N1243" s="1">
        <v>9114.98</v>
      </c>
      <c r="O1243" s="1">
        <v>9452.23</v>
      </c>
      <c r="P1243" s="1">
        <v>7747.73</v>
      </c>
      <c r="Q1243">
        <v>0.6</v>
      </c>
      <c r="R1243">
        <v>3.7500000000000001E-4</v>
      </c>
    </row>
    <row r="1244" spans="1:18" ht="13.8" outlineLevel="2" x14ac:dyDescent="0.25">
      <c r="A1244">
        <v>65827</v>
      </c>
      <c r="B1244" t="s">
        <v>1418</v>
      </c>
      <c r="C1244" t="s">
        <v>1506</v>
      </c>
      <c r="D1244" s="14" t="s">
        <v>1507</v>
      </c>
      <c r="E1244" s="12" t="s">
        <v>28</v>
      </c>
      <c r="F1244" s="13" t="s">
        <v>29</v>
      </c>
      <c r="G1244">
        <v>1</v>
      </c>
      <c r="H1244" t="s">
        <v>30</v>
      </c>
      <c r="I1244">
        <v>1</v>
      </c>
      <c r="J1244" s="15"/>
      <c r="K1244" s="16">
        <f>3634.04 - (3634.04 * $E$1)</f>
        <v>3634.04</v>
      </c>
      <c r="L1244" s="16">
        <f>2978.72 - (2978.72 * $E$1)</f>
        <v>2978.72</v>
      </c>
      <c r="M1244" s="1">
        <v>3634.04</v>
      </c>
      <c r="N1244" s="1">
        <v>2978.72</v>
      </c>
      <c r="O1244" s="1">
        <v>3088.93</v>
      </c>
      <c r="P1244" s="1">
        <v>2531.91</v>
      </c>
      <c r="Q1244">
        <v>0.55000000000000004</v>
      </c>
      <c r="R1244">
        <v>3.2600000000000001E-4</v>
      </c>
    </row>
    <row r="1245" spans="1:18" ht="13.8" outlineLevel="2" x14ac:dyDescent="0.25">
      <c r="A1245">
        <v>65836</v>
      </c>
      <c r="B1245" t="s">
        <v>1407</v>
      </c>
      <c r="C1245" t="s">
        <v>1508</v>
      </c>
      <c r="D1245" s="14" t="s">
        <v>1509</v>
      </c>
      <c r="E1245" s="12" t="s">
        <v>28</v>
      </c>
      <c r="F1245" s="13" t="s">
        <v>29</v>
      </c>
      <c r="G1245">
        <v>1</v>
      </c>
      <c r="H1245" t="s">
        <v>30</v>
      </c>
      <c r="I1245">
        <v>1</v>
      </c>
      <c r="J1245" s="15"/>
      <c r="K1245" s="16">
        <f>3388.86 - (3388.86 * $E$1)</f>
        <v>3388.86</v>
      </c>
      <c r="L1245" s="16">
        <f>2777.75 - (2777.75 * $E$1)</f>
        <v>2777.75</v>
      </c>
      <c r="M1245" s="1">
        <v>3388.86</v>
      </c>
      <c r="N1245" s="1">
        <v>2777.75</v>
      </c>
      <c r="O1245" s="1">
        <v>2880.53</v>
      </c>
      <c r="P1245" s="1">
        <v>2361.09</v>
      </c>
      <c r="Q1245">
        <v>0.36</v>
      </c>
      <c r="R1245">
        <v>5.04E-4</v>
      </c>
    </row>
    <row r="1246" spans="1:18" ht="13.8" outlineLevel="2" x14ac:dyDescent="0.25">
      <c r="A1246">
        <v>105918</v>
      </c>
      <c r="B1246" t="s">
        <v>1407</v>
      </c>
      <c r="C1246" t="s">
        <v>1510</v>
      </c>
      <c r="D1246" s="14" t="s">
        <v>1511</v>
      </c>
      <c r="E1246" s="12" t="s">
        <v>28</v>
      </c>
      <c r="F1246" s="18" t="s">
        <v>1467</v>
      </c>
      <c r="G1246">
        <v>2</v>
      </c>
      <c r="H1246" t="s">
        <v>30</v>
      </c>
      <c r="I1246">
        <v>2</v>
      </c>
      <c r="J1246" s="15"/>
      <c r="K1246" s="16">
        <f>3470 - (3470 * $E$1)</f>
        <v>3470</v>
      </c>
      <c r="L1246" s="16">
        <f>2844.26 - (2844.26 * $E$1)</f>
        <v>2844.26</v>
      </c>
      <c r="M1246" s="1">
        <v>3470</v>
      </c>
      <c r="N1246" s="1">
        <v>2844.26</v>
      </c>
      <c r="O1246" s="1">
        <v>2949.5</v>
      </c>
      <c r="P1246" s="1">
        <v>2417.62</v>
      </c>
      <c r="Q1246">
        <v>0.3785</v>
      </c>
      <c r="R1246">
        <v>7.5100000000000004E-4</v>
      </c>
    </row>
    <row r="1247" spans="1:18" ht="13.8" outlineLevel="2" x14ac:dyDescent="0.25">
      <c r="A1247">
        <v>105919</v>
      </c>
      <c r="B1247" t="s">
        <v>1407</v>
      </c>
      <c r="C1247" t="s">
        <v>1512</v>
      </c>
      <c r="D1247" s="14" t="s">
        <v>1511</v>
      </c>
      <c r="E1247" s="12" t="s">
        <v>28</v>
      </c>
      <c r="F1247" s="18" t="s">
        <v>1467</v>
      </c>
      <c r="G1247">
        <v>2</v>
      </c>
      <c r="H1247" t="s">
        <v>30</v>
      </c>
      <c r="I1247">
        <v>2</v>
      </c>
      <c r="J1247" s="15"/>
      <c r="K1247" s="16">
        <f>6280 - (6280 * $E$1)</f>
        <v>6280</v>
      </c>
      <c r="L1247" s="16">
        <f>5147.54 - (5147.54 * $E$1)</f>
        <v>5147.54</v>
      </c>
      <c r="M1247" s="1">
        <v>6280</v>
      </c>
      <c r="N1247" s="1">
        <v>5147.54</v>
      </c>
      <c r="O1247" s="1">
        <v>5338</v>
      </c>
      <c r="P1247" s="1">
        <v>4375.41</v>
      </c>
      <c r="Q1247">
        <v>0.59050000000000002</v>
      </c>
      <c r="R1247">
        <v>1.1440000000000001E-3</v>
      </c>
    </row>
    <row r="1248" spans="1:18" ht="13.8" outlineLevel="2" x14ac:dyDescent="0.25">
      <c r="A1248">
        <v>105912</v>
      </c>
      <c r="B1248" t="s">
        <v>1418</v>
      </c>
      <c r="C1248" t="s">
        <v>1513</v>
      </c>
      <c r="D1248" s="14" t="s">
        <v>1514</v>
      </c>
      <c r="E1248" s="12" t="s">
        <v>28</v>
      </c>
      <c r="F1248" s="18" t="s">
        <v>1467</v>
      </c>
      <c r="G1248">
        <v>2</v>
      </c>
      <c r="H1248" t="s">
        <v>30</v>
      </c>
      <c r="I1248">
        <v>2</v>
      </c>
      <c r="J1248" s="15"/>
      <c r="K1248" s="16">
        <f>3162 - (3162 * $E$1)</f>
        <v>3162</v>
      </c>
      <c r="L1248" s="16">
        <f>2591.8 - (2591.8 * $E$1)</f>
        <v>2591.8000000000002</v>
      </c>
      <c r="M1248" s="1">
        <v>3162</v>
      </c>
      <c r="N1248" s="1">
        <v>2591.8000000000002</v>
      </c>
      <c r="O1248" s="1">
        <v>2687.7</v>
      </c>
      <c r="P1248" s="1">
        <v>2203.0300000000002</v>
      </c>
      <c r="Q1248">
        <v>0.51200000000000001</v>
      </c>
      <c r="R1248">
        <v>7.2599999999999997E-4</v>
      </c>
    </row>
    <row r="1249" spans="1:18" ht="13.8" outlineLevel="2" x14ac:dyDescent="0.25">
      <c r="A1249">
        <v>105913</v>
      </c>
      <c r="B1249" t="s">
        <v>1418</v>
      </c>
      <c r="C1249" t="s">
        <v>1515</v>
      </c>
      <c r="D1249" s="14" t="s">
        <v>1514</v>
      </c>
      <c r="E1249" s="12" t="s">
        <v>28</v>
      </c>
      <c r="F1249" s="18" t="s">
        <v>1467</v>
      </c>
      <c r="G1249">
        <v>2</v>
      </c>
      <c r="H1249" t="s">
        <v>30</v>
      </c>
      <c r="I1249">
        <v>2</v>
      </c>
      <c r="J1249" s="15"/>
      <c r="K1249" s="16">
        <f>6286 - (6286 * $E$1)</f>
        <v>6286</v>
      </c>
      <c r="L1249" s="16">
        <f>5152.46 - (5152.46 * $E$1)</f>
        <v>5152.46</v>
      </c>
      <c r="M1249" s="1">
        <v>6286</v>
      </c>
      <c r="N1249" s="1">
        <v>5152.46</v>
      </c>
      <c r="O1249" s="1">
        <v>5343.1</v>
      </c>
      <c r="P1249" s="1">
        <v>4379.59</v>
      </c>
      <c r="Q1249">
        <v>0.76700000000000002</v>
      </c>
      <c r="R1249">
        <v>9.6599999999999995E-4</v>
      </c>
    </row>
    <row r="1250" spans="1:18" ht="13.8" outlineLevel="2" x14ac:dyDescent="0.25">
      <c r="A1250">
        <v>78398</v>
      </c>
      <c r="B1250" t="s">
        <v>1407</v>
      </c>
      <c r="C1250" t="s">
        <v>1516</v>
      </c>
      <c r="D1250" s="14" t="s">
        <v>1517</v>
      </c>
      <c r="E1250" s="12" t="s">
        <v>28</v>
      </c>
      <c r="F1250" s="13" t="s">
        <v>29</v>
      </c>
      <c r="G1250">
        <v>1</v>
      </c>
      <c r="H1250" t="s">
        <v>30</v>
      </c>
      <c r="I1250">
        <v>1</v>
      </c>
      <c r="J1250" s="15"/>
      <c r="K1250" s="16">
        <f>15528.1 - (15528.1 * $E$1)</f>
        <v>15528.1</v>
      </c>
      <c r="L1250" s="16">
        <f>12727.95 - (12727.95 * $E$1)</f>
        <v>12727.95</v>
      </c>
      <c r="M1250" s="1">
        <v>15528.1</v>
      </c>
      <c r="N1250" s="1">
        <v>12727.95</v>
      </c>
      <c r="O1250" s="1">
        <v>13198.88</v>
      </c>
      <c r="P1250" s="1">
        <v>10818.76</v>
      </c>
      <c r="Q1250">
        <v>0.52</v>
      </c>
      <c r="R1250">
        <v>5.9000000000000003E-4</v>
      </c>
    </row>
    <row r="1251" spans="1:18" ht="13.8" outlineLevel="2" x14ac:dyDescent="0.25">
      <c r="A1251">
        <v>78399</v>
      </c>
      <c r="B1251" t="s">
        <v>1407</v>
      </c>
      <c r="C1251" t="s">
        <v>1518</v>
      </c>
      <c r="D1251" s="14" t="s">
        <v>1517</v>
      </c>
      <c r="E1251" s="12" t="s">
        <v>28</v>
      </c>
      <c r="F1251" s="13" t="s">
        <v>29</v>
      </c>
      <c r="G1251">
        <v>1</v>
      </c>
      <c r="H1251" t="s">
        <v>30</v>
      </c>
      <c r="I1251">
        <v>1</v>
      </c>
      <c r="J1251" s="15"/>
      <c r="K1251" s="16">
        <f>15475.94 - (15475.94 * $E$1)</f>
        <v>15475.94</v>
      </c>
      <c r="L1251" s="16">
        <f>12685.2 - (12685.2 * $E$1)</f>
        <v>12685.2</v>
      </c>
      <c r="M1251" s="1">
        <v>15475.94</v>
      </c>
      <c r="N1251" s="1">
        <v>12685.2</v>
      </c>
      <c r="O1251" s="1">
        <v>13154.55</v>
      </c>
      <c r="P1251" s="1">
        <v>10782.42</v>
      </c>
      <c r="Q1251">
        <v>0.56000000000000005</v>
      </c>
      <c r="R1251">
        <v>6.7400000000000001E-4</v>
      </c>
    </row>
    <row r="1252" spans="1:18" ht="13.8" outlineLevel="2" x14ac:dyDescent="0.25">
      <c r="A1252">
        <v>78400</v>
      </c>
      <c r="B1252" t="s">
        <v>1407</v>
      </c>
      <c r="C1252" t="s">
        <v>1519</v>
      </c>
      <c r="D1252" s="14" t="s">
        <v>1517</v>
      </c>
      <c r="E1252" s="12" t="s">
        <v>28</v>
      </c>
      <c r="F1252" s="13" t="s">
        <v>29</v>
      </c>
      <c r="G1252">
        <v>1</v>
      </c>
      <c r="H1252" t="s">
        <v>30</v>
      </c>
      <c r="I1252">
        <v>1</v>
      </c>
      <c r="J1252" s="15"/>
      <c r="K1252" s="16">
        <f>20230.1 - (20230.1 * $E$1)</f>
        <v>20230.099999999999</v>
      </c>
      <c r="L1252" s="16">
        <f>16582.05 - (16582.05 * $E$1)</f>
        <v>16582.05</v>
      </c>
      <c r="M1252" s="1">
        <v>20230.099999999999</v>
      </c>
      <c r="N1252" s="1">
        <v>16582.05</v>
      </c>
      <c r="O1252" s="1">
        <v>17195.59</v>
      </c>
      <c r="P1252" s="1">
        <v>14094.74</v>
      </c>
      <c r="Q1252">
        <v>0.79</v>
      </c>
      <c r="R1252">
        <v>8.4000000000000003E-4</v>
      </c>
    </row>
    <row r="1253" spans="1:18" ht="13.8" outlineLevel="2" x14ac:dyDescent="0.25">
      <c r="A1253">
        <v>78401</v>
      </c>
      <c r="B1253" t="s">
        <v>1407</v>
      </c>
      <c r="C1253" t="s">
        <v>1520</v>
      </c>
      <c r="D1253" s="14" t="s">
        <v>1517</v>
      </c>
      <c r="E1253" s="12" t="s">
        <v>28</v>
      </c>
      <c r="F1253" s="13" t="s">
        <v>29</v>
      </c>
      <c r="G1253">
        <v>1</v>
      </c>
      <c r="H1253" t="s">
        <v>30</v>
      </c>
      <c r="I1253">
        <v>1</v>
      </c>
      <c r="J1253" s="15"/>
      <c r="K1253" s="16">
        <f>20445.66 - (20445.66 * $E$1)</f>
        <v>20445.66</v>
      </c>
      <c r="L1253" s="16">
        <f>16758.74 - (16758.74 * $E$1)</f>
        <v>16758.740000000002</v>
      </c>
      <c r="M1253" s="1">
        <v>20445.66</v>
      </c>
      <c r="N1253" s="1">
        <v>16758.740000000002</v>
      </c>
      <c r="O1253" s="1">
        <v>17378.810000000001</v>
      </c>
      <c r="P1253" s="1">
        <v>14244.93</v>
      </c>
      <c r="Q1253">
        <v>0.87</v>
      </c>
      <c r="R1253">
        <v>8.4000000000000003E-4</v>
      </c>
    </row>
    <row r="1254" spans="1:18" ht="13.8" outlineLevel="2" x14ac:dyDescent="0.25">
      <c r="A1254">
        <v>78402</v>
      </c>
      <c r="B1254" t="s">
        <v>1407</v>
      </c>
      <c r="C1254" t="s">
        <v>1521</v>
      </c>
      <c r="D1254" s="14" t="s">
        <v>1517</v>
      </c>
      <c r="E1254" s="12" t="s">
        <v>28</v>
      </c>
      <c r="F1254" s="13" t="s">
        <v>29</v>
      </c>
      <c r="G1254">
        <v>1</v>
      </c>
      <c r="H1254" t="s">
        <v>30</v>
      </c>
      <c r="I1254">
        <v>1</v>
      </c>
      <c r="J1254" s="15"/>
      <c r="K1254" s="16">
        <f>20351.16 - (20351.16 * $E$1)</f>
        <v>20351.16</v>
      </c>
      <c r="L1254" s="16">
        <f>16681.28 - (16681.28 * $E$1)</f>
        <v>16681.28</v>
      </c>
      <c r="M1254" s="1">
        <v>20351.16</v>
      </c>
      <c r="N1254" s="1">
        <v>16681.28</v>
      </c>
      <c r="O1254" s="1">
        <v>17298.490000000002</v>
      </c>
      <c r="P1254" s="1">
        <v>14179.09</v>
      </c>
      <c r="Q1254">
        <v>1</v>
      </c>
      <c r="R1254">
        <v>9.9700000000000006E-4</v>
      </c>
    </row>
    <row r="1255" spans="1:18" ht="33.75" customHeight="1" x14ac:dyDescent="0.35">
      <c r="A1255" s="9"/>
      <c r="B1255" s="10" t="s">
        <v>1522</v>
      </c>
      <c r="C1255" s="10"/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1"/>
    </row>
    <row r="1256" spans="1:18" ht="16.5" customHeight="1" outlineLevel="1" x14ac:dyDescent="0.35">
      <c r="A1256" s="9"/>
      <c r="B1256" s="10" t="s">
        <v>1523</v>
      </c>
      <c r="C1256" s="10"/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1"/>
    </row>
    <row r="1257" spans="1:18" ht="13.8" outlineLevel="2" x14ac:dyDescent="0.25">
      <c r="A1257">
        <v>71132</v>
      </c>
      <c r="B1257" t="s">
        <v>1524</v>
      </c>
      <c r="C1257" t="s">
        <v>1525</v>
      </c>
      <c r="D1257" s="14" t="s">
        <v>1526</v>
      </c>
      <c r="E1257" s="12" t="s">
        <v>28</v>
      </c>
      <c r="F1257" s="13" t="s">
        <v>29</v>
      </c>
      <c r="G1257">
        <v>1</v>
      </c>
      <c r="H1257" t="s">
        <v>30</v>
      </c>
      <c r="I1257">
        <v>1</v>
      </c>
      <c r="J1257" s="15"/>
      <c r="K1257" s="16">
        <f>4043.91 - (4043.91 * $E$1)</f>
        <v>4043.91</v>
      </c>
      <c r="L1257" s="16">
        <f>3314.68 - (3314.68 * $E$1)</f>
        <v>3314.68</v>
      </c>
      <c r="M1257" s="1">
        <v>4043.91</v>
      </c>
      <c r="N1257" s="1">
        <v>3314.68</v>
      </c>
      <c r="O1257" s="1">
        <v>3437.32</v>
      </c>
      <c r="P1257" s="1">
        <v>2817.48</v>
      </c>
      <c r="Q1257">
        <v>0.45</v>
      </c>
      <c r="R1257">
        <v>7.7999999999999999E-4</v>
      </c>
    </row>
    <row r="1258" spans="1:18" ht="13.8" outlineLevel="2" x14ac:dyDescent="0.25">
      <c r="A1258">
        <v>71134</v>
      </c>
      <c r="B1258" t="s">
        <v>1524</v>
      </c>
      <c r="C1258" t="s">
        <v>1527</v>
      </c>
      <c r="D1258" s="14" t="s">
        <v>1526</v>
      </c>
      <c r="E1258" s="12" t="s">
        <v>28</v>
      </c>
      <c r="F1258" s="13" t="s">
        <v>29</v>
      </c>
      <c r="G1258">
        <v>1</v>
      </c>
      <c r="H1258" t="s">
        <v>30</v>
      </c>
      <c r="I1258">
        <v>1</v>
      </c>
      <c r="J1258" s="15"/>
      <c r="K1258" s="16">
        <f>4967.02 - (4967.02 * $E$1)</f>
        <v>4967.0200000000004</v>
      </c>
      <c r="L1258" s="16">
        <f>4071.33 - (4071.33 * $E$1)</f>
        <v>4071.33</v>
      </c>
      <c r="M1258" s="1">
        <v>4967.0200000000004</v>
      </c>
      <c r="N1258" s="1">
        <v>4071.33</v>
      </c>
      <c r="O1258" s="1">
        <v>4221.97</v>
      </c>
      <c r="P1258" s="1">
        <v>3460.63</v>
      </c>
      <c r="Q1258">
        <v>0.59</v>
      </c>
      <c r="R1258">
        <v>7.7999999999999999E-4</v>
      </c>
    </row>
    <row r="1259" spans="1:18" ht="13.8" outlineLevel="2" x14ac:dyDescent="0.25">
      <c r="A1259">
        <v>71136</v>
      </c>
      <c r="B1259" t="s">
        <v>1524</v>
      </c>
      <c r="C1259" t="s">
        <v>1528</v>
      </c>
      <c r="D1259" s="14" t="s">
        <v>1526</v>
      </c>
      <c r="E1259" s="12" t="s">
        <v>28</v>
      </c>
      <c r="F1259" s="13" t="s">
        <v>29</v>
      </c>
      <c r="G1259">
        <v>1</v>
      </c>
      <c r="H1259" t="s">
        <v>30</v>
      </c>
      <c r="I1259">
        <v>1</v>
      </c>
      <c r="J1259" s="15"/>
      <c r="K1259" s="16">
        <f>5787.73 - (5787.73 * $E$1)</f>
        <v>5787.73</v>
      </c>
      <c r="L1259" s="16">
        <f>4744.04 - (4744.04 * $E$1)</f>
        <v>4744.04</v>
      </c>
      <c r="M1259" s="1">
        <v>5787.73</v>
      </c>
      <c r="N1259" s="1">
        <v>4744.04</v>
      </c>
      <c r="O1259" s="1">
        <v>4919.57</v>
      </c>
      <c r="P1259" s="1">
        <v>4032.43</v>
      </c>
      <c r="Q1259">
        <v>0.72</v>
      </c>
      <c r="R1259">
        <v>1.0399999999999999E-3</v>
      </c>
    </row>
    <row r="1260" spans="1:18" ht="13.8" outlineLevel="2" x14ac:dyDescent="0.25">
      <c r="A1260">
        <v>71133</v>
      </c>
      <c r="B1260" t="s">
        <v>1524</v>
      </c>
      <c r="C1260" t="s">
        <v>1529</v>
      </c>
      <c r="D1260" s="14" t="s">
        <v>1526</v>
      </c>
      <c r="E1260" s="12" t="s">
        <v>28</v>
      </c>
      <c r="F1260" s="13" t="s">
        <v>29</v>
      </c>
      <c r="G1260">
        <v>1</v>
      </c>
      <c r="H1260" t="s">
        <v>30</v>
      </c>
      <c r="I1260">
        <v>1</v>
      </c>
      <c r="J1260" s="15"/>
      <c r="K1260" s="16">
        <f>5725.48 - (5725.48 * $E$1)</f>
        <v>5725.48</v>
      </c>
      <c r="L1260" s="16">
        <f>4693.02 - (4693.02 * $E$1)</f>
        <v>4693.0200000000004</v>
      </c>
      <c r="M1260" s="1">
        <v>5725.48</v>
      </c>
      <c r="N1260" s="1">
        <v>4693.0200000000004</v>
      </c>
      <c r="O1260" s="1">
        <v>4866.66</v>
      </c>
      <c r="P1260" s="1">
        <v>3989.07</v>
      </c>
      <c r="Q1260">
        <v>0.56000000000000005</v>
      </c>
      <c r="R1260">
        <v>7.7999999999999999E-4</v>
      </c>
    </row>
    <row r="1261" spans="1:18" ht="13.8" outlineLevel="2" x14ac:dyDescent="0.25">
      <c r="A1261">
        <v>71135</v>
      </c>
      <c r="B1261" t="s">
        <v>1524</v>
      </c>
      <c r="C1261" t="s">
        <v>1530</v>
      </c>
      <c r="D1261" s="14" t="s">
        <v>1526</v>
      </c>
      <c r="E1261" s="12" t="s">
        <v>28</v>
      </c>
      <c r="F1261" s="13" t="s">
        <v>29</v>
      </c>
      <c r="G1261">
        <v>1</v>
      </c>
      <c r="H1261" t="s">
        <v>30</v>
      </c>
      <c r="I1261">
        <v>1</v>
      </c>
      <c r="J1261" s="15"/>
      <c r="K1261" s="16">
        <f>8332.2 - (8332.2 * $E$1)</f>
        <v>8332.2000000000007</v>
      </c>
      <c r="L1261" s="16">
        <f>6829.67 - (6829.67 * $E$1)</f>
        <v>6829.67</v>
      </c>
      <c r="M1261" s="1">
        <v>8332.2000000000007</v>
      </c>
      <c r="N1261" s="1">
        <v>6829.67</v>
      </c>
      <c r="O1261" s="1">
        <v>7082.37</v>
      </c>
      <c r="P1261" s="1">
        <v>5805.22</v>
      </c>
      <c r="Q1261">
        <v>0.92</v>
      </c>
      <c r="R1261">
        <v>7.7999999999999999E-4</v>
      </c>
    </row>
    <row r="1262" spans="1:18" ht="13.8" outlineLevel="2" x14ac:dyDescent="0.25">
      <c r="A1262">
        <v>71137</v>
      </c>
      <c r="B1262" t="s">
        <v>1524</v>
      </c>
      <c r="C1262" t="s">
        <v>1531</v>
      </c>
      <c r="D1262" s="14" t="s">
        <v>1526</v>
      </c>
      <c r="E1262" s="12" t="s">
        <v>28</v>
      </c>
      <c r="F1262" s="13" t="s">
        <v>29</v>
      </c>
      <c r="G1262">
        <v>1</v>
      </c>
      <c r="H1262" t="s">
        <v>30</v>
      </c>
      <c r="I1262">
        <v>1</v>
      </c>
      <c r="J1262" s="15"/>
      <c r="K1262" s="16">
        <f>11585.57 - (11585.57 * $E$1)</f>
        <v>11585.57</v>
      </c>
      <c r="L1262" s="16">
        <f>9496.37 - (9496.37 * $E$1)</f>
        <v>9496.3700000000008</v>
      </c>
      <c r="M1262" s="1">
        <v>11585.57</v>
      </c>
      <c r="N1262" s="1">
        <v>9496.3700000000008</v>
      </c>
      <c r="O1262" s="1">
        <v>9847.74</v>
      </c>
      <c r="P1262" s="1">
        <v>8071.91</v>
      </c>
      <c r="Q1262">
        <v>1.36</v>
      </c>
      <c r="R1262">
        <v>1.0399999999999999E-3</v>
      </c>
    </row>
    <row r="1263" spans="1:18" ht="13.8" outlineLevel="2" x14ac:dyDescent="0.25">
      <c r="A1263">
        <v>71125</v>
      </c>
      <c r="B1263" t="s">
        <v>1524</v>
      </c>
      <c r="C1263" t="s">
        <v>1532</v>
      </c>
      <c r="D1263" s="14" t="s">
        <v>1533</v>
      </c>
      <c r="E1263" s="12" t="s">
        <v>28</v>
      </c>
      <c r="F1263" s="13" t="s">
        <v>29</v>
      </c>
      <c r="G1263">
        <v>1</v>
      </c>
      <c r="H1263" t="s">
        <v>30</v>
      </c>
      <c r="I1263">
        <v>1</v>
      </c>
      <c r="J1263" s="15"/>
      <c r="K1263" s="16">
        <f>3916.83 - (3916.83 * $E$1)</f>
        <v>3916.83</v>
      </c>
      <c r="L1263" s="16">
        <f>3210.52 - (3210.52 * $E$1)</f>
        <v>3210.52</v>
      </c>
      <c r="M1263" s="1">
        <v>3916.83</v>
      </c>
      <c r="N1263" s="1">
        <v>3210.52</v>
      </c>
      <c r="O1263" s="1">
        <v>3329.31</v>
      </c>
      <c r="P1263" s="1">
        <v>2728.94</v>
      </c>
      <c r="Q1263">
        <v>0.44</v>
      </c>
      <c r="R1263">
        <v>7.7999999999999999E-4</v>
      </c>
    </row>
    <row r="1264" spans="1:18" ht="13.8" outlineLevel="2" x14ac:dyDescent="0.25">
      <c r="A1264">
        <v>71127</v>
      </c>
      <c r="B1264" t="s">
        <v>1524</v>
      </c>
      <c r="C1264" t="s">
        <v>1534</v>
      </c>
      <c r="D1264" s="14" t="s">
        <v>1533</v>
      </c>
      <c r="E1264" s="12" t="s">
        <v>28</v>
      </c>
      <c r="F1264" s="13" t="s">
        <v>29</v>
      </c>
      <c r="G1264">
        <v>1</v>
      </c>
      <c r="H1264" t="s">
        <v>30</v>
      </c>
      <c r="I1264">
        <v>1</v>
      </c>
      <c r="J1264" s="15"/>
      <c r="K1264" s="16">
        <f>4910 - (4910 * $E$1)</f>
        <v>4910</v>
      </c>
      <c r="L1264" s="16">
        <f>4024.59 - (4024.59 * $E$1)</f>
        <v>4024.59</v>
      </c>
      <c r="M1264" s="1">
        <v>4910</v>
      </c>
      <c r="N1264" s="1">
        <v>4024.59</v>
      </c>
      <c r="O1264" s="1">
        <v>4173.5</v>
      </c>
      <c r="P1264" s="1">
        <v>3420.9</v>
      </c>
      <c r="Q1264">
        <v>0.51</v>
      </c>
      <c r="R1264">
        <v>7.7999999999999999E-4</v>
      </c>
    </row>
    <row r="1265" spans="1:18" ht="13.8" outlineLevel="2" x14ac:dyDescent="0.25">
      <c r="A1265">
        <v>71129</v>
      </c>
      <c r="B1265" t="s">
        <v>1524</v>
      </c>
      <c r="C1265" t="s">
        <v>1535</v>
      </c>
      <c r="D1265" s="14" t="s">
        <v>1533</v>
      </c>
      <c r="E1265" s="12" t="s">
        <v>28</v>
      </c>
      <c r="F1265" s="13" t="s">
        <v>29</v>
      </c>
      <c r="G1265">
        <v>1</v>
      </c>
      <c r="H1265" t="s">
        <v>30</v>
      </c>
      <c r="I1265">
        <v>1</v>
      </c>
      <c r="J1265" s="15"/>
      <c r="K1265" s="16">
        <f>5311.09 - (5311.09 * $E$1)</f>
        <v>5311.09</v>
      </c>
      <c r="L1265" s="16">
        <f>4353.35 - (4353.35 * $E$1)</f>
        <v>4353.3500000000004</v>
      </c>
      <c r="M1265" s="1">
        <v>5311.09</v>
      </c>
      <c r="N1265" s="1">
        <v>4353.3500000000004</v>
      </c>
      <c r="O1265" s="1">
        <v>4514.42</v>
      </c>
      <c r="P1265" s="1">
        <v>3700.35</v>
      </c>
      <c r="Q1265">
        <v>0.65</v>
      </c>
      <c r="R1265">
        <v>1.0399999999999999E-3</v>
      </c>
    </row>
    <row r="1266" spans="1:18" ht="13.8" outlineLevel="2" x14ac:dyDescent="0.25">
      <c r="A1266">
        <v>71126</v>
      </c>
      <c r="B1266" t="s">
        <v>1524</v>
      </c>
      <c r="C1266" t="s">
        <v>1536</v>
      </c>
      <c r="D1266" s="14" t="s">
        <v>1533</v>
      </c>
      <c r="E1266" s="12" t="s">
        <v>28</v>
      </c>
      <c r="F1266" s="13" t="s">
        <v>29</v>
      </c>
      <c r="G1266">
        <v>1</v>
      </c>
      <c r="H1266" t="s">
        <v>30</v>
      </c>
      <c r="I1266">
        <v>1</v>
      </c>
      <c r="J1266" s="15"/>
      <c r="K1266" s="16">
        <f>5209.44 - (5209.44 * $E$1)</f>
        <v>5209.4399999999996</v>
      </c>
      <c r="L1266" s="16">
        <f>4270.03 - (4270.03 * $E$1)</f>
        <v>4270.03</v>
      </c>
      <c r="M1266" s="1">
        <v>5209.4399999999996</v>
      </c>
      <c r="N1266" s="1">
        <v>4270.03</v>
      </c>
      <c r="O1266" s="1">
        <v>4428.0200000000004</v>
      </c>
      <c r="P1266" s="1">
        <v>3629.53</v>
      </c>
      <c r="Q1266">
        <v>0.53</v>
      </c>
      <c r="R1266">
        <v>7.7999999999999999E-4</v>
      </c>
    </row>
    <row r="1267" spans="1:18" ht="13.8" outlineLevel="2" x14ac:dyDescent="0.25">
      <c r="A1267">
        <v>71128</v>
      </c>
      <c r="B1267" t="s">
        <v>1524</v>
      </c>
      <c r="C1267" t="s">
        <v>1537</v>
      </c>
      <c r="D1267" s="14" t="s">
        <v>1533</v>
      </c>
      <c r="E1267" s="12" t="s">
        <v>28</v>
      </c>
      <c r="F1267" s="13" t="s">
        <v>29</v>
      </c>
      <c r="G1267">
        <v>1</v>
      </c>
      <c r="H1267" t="s">
        <v>30</v>
      </c>
      <c r="I1267">
        <v>1</v>
      </c>
      <c r="J1267" s="15"/>
      <c r="K1267" s="16">
        <f>6443.45 - (6443.45 * $E$1)</f>
        <v>6443.45</v>
      </c>
      <c r="L1267" s="16">
        <f>5281.52 - (5281.52 * $E$1)</f>
        <v>5281.52</v>
      </c>
      <c r="M1267" s="1">
        <v>6443.45</v>
      </c>
      <c r="N1267" s="1">
        <v>5281.52</v>
      </c>
      <c r="O1267" s="1">
        <v>5476.94</v>
      </c>
      <c r="P1267" s="1">
        <v>4489.29</v>
      </c>
      <c r="Q1267">
        <v>0.75</v>
      </c>
      <c r="R1267">
        <v>7.7999999999999999E-4</v>
      </c>
    </row>
    <row r="1268" spans="1:18" ht="13.8" outlineLevel="2" x14ac:dyDescent="0.25">
      <c r="A1268">
        <v>71130</v>
      </c>
      <c r="B1268" t="s">
        <v>1524</v>
      </c>
      <c r="C1268" t="s">
        <v>1538</v>
      </c>
      <c r="D1268" s="14" t="s">
        <v>1533</v>
      </c>
      <c r="E1268" s="12" t="s">
        <v>28</v>
      </c>
      <c r="F1268" s="13" t="s">
        <v>29</v>
      </c>
      <c r="G1268">
        <v>1</v>
      </c>
      <c r="H1268" t="s">
        <v>30</v>
      </c>
      <c r="I1268">
        <v>1</v>
      </c>
      <c r="J1268" s="15"/>
      <c r="K1268" s="16">
        <f>9593.14 - (9593.14 * $E$1)</f>
        <v>9593.14</v>
      </c>
      <c r="L1268" s="16">
        <f>7863.23 - (7863.23 * $E$1)</f>
        <v>7863.23</v>
      </c>
      <c r="M1268" s="1">
        <v>9593.14</v>
      </c>
      <c r="N1268" s="1">
        <v>7863.23</v>
      </c>
      <c r="O1268" s="1">
        <v>8154.17</v>
      </c>
      <c r="P1268" s="1">
        <v>6683.75</v>
      </c>
      <c r="Q1268">
        <v>1.1299999999999999</v>
      </c>
      <c r="R1268">
        <v>1.0399999999999999E-3</v>
      </c>
    </row>
    <row r="1269" spans="1:18" ht="13.8" outlineLevel="2" x14ac:dyDescent="0.25">
      <c r="A1269">
        <v>70515</v>
      </c>
      <c r="B1269" t="s">
        <v>1524</v>
      </c>
      <c r="C1269" t="s">
        <v>1539</v>
      </c>
      <c r="D1269" s="14" t="s">
        <v>1540</v>
      </c>
      <c r="E1269" s="12" t="s">
        <v>28</v>
      </c>
      <c r="F1269" s="13" t="s">
        <v>29</v>
      </c>
      <c r="G1269">
        <v>1</v>
      </c>
      <c r="H1269" t="s">
        <v>30</v>
      </c>
      <c r="I1269">
        <v>1</v>
      </c>
      <c r="J1269" s="15"/>
      <c r="K1269" s="16">
        <f>2068.45 - (2068.45 * $E$1)</f>
        <v>2068.4499999999998</v>
      </c>
      <c r="L1269" s="16">
        <f>1695.45 - (1695.45 * $E$1)</f>
        <v>1695.45</v>
      </c>
      <c r="M1269" s="1">
        <v>2068.4499999999998</v>
      </c>
      <c r="N1269" s="1">
        <v>1695.45</v>
      </c>
      <c r="O1269" s="1">
        <v>1758.18</v>
      </c>
      <c r="P1269" s="1">
        <v>1441.13</v>
      </c>
      <c r="Q1269">
        <v>0.2</v>
      </c>
      <c r="R1269">
        <v>9.2800000000000001E-4</v>
      </c>
    </row>
    <row r="1270" spans="1:18" ht="13.8" outlineLevel="2" x14ac:dyDescent="0.25">
      <c r="A1270">
        <v>65528</v>
      </c>
      <c r="B1270" t="s">
        <v>1524</v>
      </c>
      <c r="C1270" t="s">
        <v>1541</v>
      </c>
      <c r="D1270" s="14" t="s">
        <v>1540</v>
      </c>
      <c r="E1270" s="12" t="s">
        <v>28</v>
      </c>
      <c r="F1270" s="13" t="s">
        <v>29</v>
      </c>
      <c r="G1270">
        <v>1</v>
      </c>
      <c r="H1270" t="s">
        <v>30</v>
      </c>
      <c r="I1270">
        <v>1</v>
      </c>
      <c r="J1270" s="15"/>
      <c r="K1270" s="16">
        <f>2574.65 - (2574.65 * $E$1)</f>
        <v>2574.65</v>
      </c>
      <c r="L1270" s="16">
        <f>2110.37 - (2110.37 * $E$1)</f>
        <v>2110.37</v>
      </c>
      <c r="M1270" s="1">
        <v>2574.65</v>
      </c>
      <c r="N1270" s="1">
        <v>2110.37</v>
      </c>
      <c r="O1270" s="1">
        <v>2188.4499999999998</v>
      </c>
      <c r="P1270" s="1">
        <v>1793.81</v>
      </c>
      <c r="Q1270">
        <v>0.35</v>
      </c>
      <c r="R1270">
        <v>9.2800000000000001E-4</v>
      </c>
    </row>
    <row r="1271" spans="1:18" ht="13.8" outlineLevel="2" x14ac:dyDescent="0.25">
      <c r="A1271">
        <v>65529</v>
      </c>
      <c r="B1271" t="s">
        <v>1524</v>
      </c>
      <c r="C1271" t="s">
        <v>1542</v>
      </c>
      <c r="D1271" s="14" t="s">
        <v>1540</v>
      </c>
      <c r="E1271" s="12" t="s">
        <v>28</v>
      </c>
      <c r="F1271" s="13" t="s">
        <v>29</v>
      </c>
      <c r="G1271">
        <v>1</v>
      </c>
      <c r="H1271" t="s">
        <v>30</v>
      </c>
      <c r="I1271">
        <v>1</v>
      </c>
      <c r="J1271" s="15"/>
      <c r="K1271" s="16">
        <f>3359.4 - (3359.4 * $E$1)</f>
        <v>3359.4</v>
      </c>
      <c r="L1271" s="16">
        <f>2753.61 - (2753.61 * $E$1)</f>
        <v>2753.61</v>
      </c>
      <c r="M1271" s="1">
        <v>3359.4</v>
      </c>
      <c r="N1271" s="1">
        <v>2753.61</v>
      </c>
      <c r="O1271" s="1">
        <v>2855.49</v>
      </c>
      <c r="P1271" s="1">
        <v>2340.5700000000002</v>
      </c>
      <c r="Q1271">
        <v>0.28000000000000003</v>
      </c>
      <c r="R1271">
        <v>2.3630000000000001E-3</v>
      </c>
    </row>
    <row r="1272" spans="1:18" ht="13.8" outlineLevel="2" x14ac:dyDescent="0.25">
      <c r="A1272">
        <v>65530</v>
      </c>
      <c r="B1272" t="s">
        <v>1524</v>
      </c>
      <c r="C1272" t="s">
        <v>1543</v>
      </c>
      <c r="D1272" s="14" t="s">
        <v>1540</v>
      </c>
      <c r="E1272" s="12" t="s">
        <v>28</v>
      </c>
      <c r="F1272" s="13" t="s">
        <v>29</v>
      </c>
      <c r="G1272">
        <v>1</v>
      </c>
      <c r="H1272" t="s">
        <v>30</v>
      </c>
      <c r="I1272">
        <v>1</v>
      </c>
      <c r="J1272" s="15"/>
      <c r="K1272" s="16">
        <f>3665.42 - (3665.42 * $E$1)</f>
        <v>3665.42</v>
      </c>
      <c r="L1272" s="16">
        <f>3004.44 - (3004.44 * $E$1)</f>
        <v>3004.44</v>
      </c>
      <c r="M1272" s="1">
        <v>3665.42</v>
      </c>
      <c r="N1272" s="1">
        <v>3004.44</v>
      </c>
      <c r="O1272" s="1">
        <v>3115.6</v>
      </c>
      <c r="P1272" s="1">
        <v>2553.77</v>
      </c>
      <c r="Q1272">
        <v>0.85</v>
      </c>
      <c r="R1272">
        <v>4.0000000000000001E-3</v>
      </c>
    </row>
    <row r="1273" spans="1:18" ht="13.8" outlineLevel="2" x14ac:dyDescent="0.25">
      <c r="A1273">
        <v>70516</v>
      </c>
      <c r="B1273" t="s">
        <v>1524</v>
      </c>
      <c r="C1273" t="s">
        <v>1544</v>
      </c>
      <c r="D1273" s="14" t="s">
        <v>1540</v>
      </c>
      <c r="E1273" s="12" t="s">
        <v>28</v>
      </c>
      <c r="F1273" s="13" t="s">
        <v>29</v>
      </c>
      <c r="G1273">
        <v>1</v>
      </c>
      <c r="H1273" t="s">
        <v>30</v>
      </c>
      <c r="I1273">
        <v>1</v>
      </c>
      <c r="J1273" s="15"/>
      <c r="K1273" s="16">
        <f>3193.36 - (3193.36 * $E$1)</f>
        <v>3193.36</v>
      </c>
      <c r="L1273" s="16">
        <f>2617.51 - (2617.51 * $E$1)</f>
        <v>2617.5100000000002</v>
      </c>
      <c r="M1273" s="1">
        <v>3193.36</v>
      </c>
      <c r="N1273" s="1">
        <v>2617.5100000000002</v>
      </c>
      <c r="O1273" s="1">
        <v>2714.36</v>
      </c>
      <c r="P1273" s="1">
        <v>2224.88</v>
      </c>
      <c r="Q1273">
        <v>0.24</v>
      </c>
      <c r="R1273">
        <v>9.2800000000000001E-4</v>
      </c>
    </row>
    <row r="1274" spans="1:18" ht="13.8" outlineLevel="2" x14ac:dyDescent="0.25">
      <c r="A1274">
        <v>65532</v>
      </c>
      <c r="B1274" t="s">
        <v>1524</v>
      </c>
      <c r="C1274" t="s">
        <v>1545</v>
      </c>
      <c r="D1274" s="14" t="s">
        <v>1540</v>
      </c>
      <c r="E1274" s="12" t="s">
        <v>28</v>
      </c>
      <c r="F1274" s="13" t="s">
        <v>29</v>
      </c>
      <c r="G1274">
        <v>1</v>
      </c>
      <c r="H1274" t="s">
        <v>30</v>
      </c>
      <c r="I1274">
        <v>1</v>
      </c>
      <c r="J1274" s="15"/>
      <c r="K1274" s="16">
        <f>3951.42 - (3951.42 * $E$1)</f>
        <v>3951.42</v>
      </c>
      <c r="L1274" s="16">
        <f>3238.87 - (3238.87 * $E$1)</f>
        <v>3238.87</v>
      </c>
      <c r="M1274" s="1">
        <v>3951.42</v>
      </c>
      <c r="N1274" s="1">
        <v>3238.87</v>
      </c>
      <c r="O1274" s="1">
        <v>3358.71</v>
      </c>
      <c r="P1274" s="1">
        <v>2753.04</v>
      </c>
      <c r="Q1274">
        <v>0.51</v>
      </c>
      <c r="R1274">
        <v>9.2800000000000001E-4</v>
      </c>
    </row>
    <row r="1275" spans="1:18" ht="13.8" outlineLevel="2" x14ac:dyDescent="0.25">
      <c r="A1275">
        <v>65533</v>
      </c>
      <c r="B1275" t="s">
        <v>1524</v>
      </c>
      <c r="C1275" t="s">
        <v>1546</v>
      </c>
      <c r="D1275" s="14" t="s">
        <v>1540</v>
      </c>
      <c r="E1275" s="12" t="s">
        <v>28</v>
      </c>
      <c r="F1275" s="13" t="s">
        <v>29</v>
      </c>
      <c r="G1275">
        <v>1</v>
      </c>
      <c r="H1275" t="s">
        <v>30</v>
      </c>
      <c r="I1275">
        <v>1</v>
      </c>
      <c r="J1275" s="15"/>
      <c r="K1275" s="16">
        <f>5583.76 - (5583.76 * $E$1)</f>
        <v>5583.76</v>
      </c>
      <c r="L1275" s="16">
        <f>4576.85 - (4576.85 * $E$1)</f>
        <v>4576.8500000000004</v>
      </c>
      <c r="M1275" s="1">
        <v>5583.76</v>
      </c>
      <c r="N1275" s="1">
        <v>4576.8500000000004</v>
      </c>
      <c r="O1275" s="1">
        <v>4746.1899999999996</v>
      </c>
      <c r="P1275" s="1">
        <v>3890.32</v>
      </c>
      <c r="Q1275">
        <v>1.06</v>
      </c>
      <c r="R1275">
        <v>2.0799999999999998E-3</v>
      </c>
    </row>
    <row r="1276" spans="1:18" ht="13.8" outlineLevel="2" x14ac:dyDescent="0.25">
      <c r="A1276">
        <v>65534</v>
      </c>
      <c r="B1276" t="s">
        <v>1524</v>
      </c>
      <c r="C1276" t="s">
        <v>1547</v>
      </c>
      <c r="D1276" s="14" t="s">
        <v>1540</v>
      </c>
      <c r="E1276" s="12" t="s">
        <v>28</v>
      </c>
      <c r="F1276" s="13" t="s">
        <v>29</v>
      </c>
      <c r="G1276">
        <v>1</v>
      </c>
      <c r="H1276" t="s">
        <v>30</v>
      </c>
      <c r="I1276">
        <v>1</v>
      </c>
      <c r="J1276" s="15"/>
      <c r="K1276" s="16">
        <f>8823.08 - (8823.08 * $E$1)</f>
        <v>8823.08</v>
      </c>
      <c r="L1276" s="16">
        <f>7232.03 - (7232.03 * $E$1)</f>
        <v>7232.03</v>
      </c>
      <c r="M1276" s="1">
        <v>8823.08</v>
      </c>
      <c r="N1276" s="1">
        <v>7232.03</v>
      </c>
      <c r="O1276" s="1">
        <v>7499.62</v>
      </c>
      <c r="P1276" s="1">
        <v>6147.23</v>
      </c>
      <c r="Q1276">
        <v>1.66</v>
      </c>
      <c r="R1276">
        <v>2.0799999999999998E-3</v>
      </c>
    </row>
    <row r="1277" spans="1:18" ht="13.8" outlineLevel="2" x14ac:dyDescent="0.25">
      <c r="A1277">
        <v>70517</v>
      </c>
      <c r="B1277" t="s">
        <v>1524</v>
      </c>
      <c r="C1277" t="s">
        <v>1548</v>
      </c>
      <c r="D1277" s="14" t="s">
        <v>1540</v>
      </c>
      <c r="E1277" s="12" t="s">
        <v>28</v>
      </c>
      <c r="F1277" s="13" t="s">
        <v>29</v>
      </c>
      <c r="G1277">
        <v>1</v>
      </c>
      <c r="H1277" t="s">
        <v>30</v>
      </c>
      <c r="I1277">
        <v>1</v>
      </c>
      <c r="J1277" s="15"/>
      <c r="K1277" s="16">
        <f>2883.17 - (2883.17 * $E$1)</f>
        <v>2883.17</v>
      </c>
      <c r="L1277" s="16">
        <f>2363.25 - (2363.25 * $E$1)</f>
        <v>2363.25</v>
      </c>
      <c r="M1277" s="1">
        <v>2883.17</v>
      </c>
      <c r="N1277" s="1">
        <v>2363.25</v>
      </c>
      <c r="O1277" s="1">
        <v>2450.69</v>
      </c>
      <c r="P1277" s="1">
        <v>2008.76</v>
      </c>
      <c r="Q1277">
        <v>0.26</v>
      </c>
      <c r="R1277">
        <v>9.2800000000000001E-4</v>
      </c>
    </row>
    <row r="1278" spans="1:18" ht="13.8" outlineLevel="2" x14ac:dyDescent="0.25">
      <c r="A1278">
        <v>65561</v>
      </c>
      <c r="B1278" t="s">
        <v>1524</v>
      </c>
      <c r="C1278" t="s">
        <v>1549</v>
      </c>
      <c r="D1278" s="14" t="s">
        <v>1540</v>
      </c>
      <c r="E1278" s="12" t="s">
        <v>28</v>
      </c>
      <c r="F1278" s="13" t="s">
        <v>29</v>
      </c>
      <c r="G1278">
        <v>1</v>
      </c>
      <c r="H1278" t="s">
        <v>30</v>
      </c>
      <c r="I1278">
        <v>1</v>
      </c>
      <c r="J1278" s="15"/>
      <c r="K1278" s="16">
        <f>3261.3 - (3261.3 * $E$1)</f>
        <v>3261.3</v>
      </c>
      <c r="L1278" s="16">
        <f>2673.2 - (2673.2 * $E$1)</f>
        <v>2673.2</v>
      </c>
      <c r="M1278" s="1">
        <v>3261.3</v>
      </c>
      <c r="N1278" s="1">
        <v>2673.2</v>
      </c>
      <c r="O1278" s="1">
        <v>2772.11</v>
      </c>
      <c r="P1278" s="1">
        <v>2272.2199999999998</v>
      </c>
      <c r="Q1278">
        <v>0.45</v>
      </c>
      <c r="R1278">
        <v>9.2800000000000001E-4</v>
      </c>
    </row>
    <row r="1279" spans="1:18" ht="13.8" outlineLevel="2" x14ac:dyDescent="0.25">
      <c r="A1279">
        <v>65562</v>
      </c>
      <c r="B1279" t="s">
        <v>1524</v>
      </c>
      <c r="C1279" t="s">
        <v>1550</v>
      </c>
      <c r="D1279" s="14" t="s">
        <v>1540</v>
      </c>
      <c r="E1279" s="12" t="s">
        <v>28</v>
      </c>
      <c r="F1279" s="13" t="s">
        <v>29</v>
      </c>
      <c r="G1279">
        <v>1</v>
      </c>
      <c r="H1279" t="s">
        <v>30</v>
      </c>
      <c r="I1279">
        <v>1</v>
      </c>
      <c r="J1279" s="15"/>
      <c r="K1279" s="16">
        <f>4341.38 - (4341.38 * $E$1)</f>
        <v>4341.38</v>
      </c>
      <c r="L1279" s="16">
        <f>3558.51 - (3558.51 * $E$1)</f>
        <v>3558.51</v>
      </c>
      <c r="M1279" s="1">
        <v>4341.38</v>
      </c>
      <c r="N1279" s="1">
        <v>3558.51</v>
      </c>
      <c r="O1279" s="1">
        <v>3690.17</v>
      </c>
      <c r="P1279" s="1">
        <v>3024.73</v>
      </c>
      <c r="Q1279">
        <v>0.71</v>
      </c>
      <c r="R1279">
        <v>2.0799999999999998E-3</v>
      </c>
    </row>
    <row r="1280" spans="1:18" ht="13.8" outlineLevel="2" x14ac:dyDescent="0.25">
      <c r="A1280">
        <v>65563</v>
      </c>
      <c r="B1280" t="s">
        <v>1524</v>
      </c>
      <c r="C1280" t="s">
        <v>1551</v>
      </c>
      <c r="D1280" s="14" t="s">
        <v>1540</v>
      </c>
      <c r="E1280" s="12" t="s">
        <v>28</v>
      </c>
      <c r="F1280" s="13" t="s">
        <v>29</v>
      </c>
      <c r="G1280">
        <v>1</v>
      </c>
      <c r="H1280" t="s">
        <v>30</v>
      </c>
      <c r="I1280">
        <v>1</v>
      </c>
      <c r="J1280" s="15"/>
      <c r="K1280" s="16">
        <f>5210.85 - (5210.85 * $E$1)</f>
        <v>5210.8500000000004</v>
      </c>
      <c r="L1280" s="16">
        <f>4271.19 - (4271.19 * $E$1)</f>
        <v>4271.1899999999996</v>
      </c>
      <c r="M1280" s="1">
        <v>5210.8500000000004</v>
      </c>
      <c r="N1280" s="1">
        <v>4271.1899999999996</v>
      </c>
      <c r="O1280" s="1">
        <v>4429.22</v>
      </c>
      <c r="P1280" s="1">
        <v>3630.51</v>
      </c>
      <c r="Q1280">
        <v>0.45</v>
      </c>
      <c r="R1280">
        <v>3.0400000000000002E-4</v>
      </c>
    </row>
    <row r="1281" spans="1:18" ht="13.8" outlineLevel="2" x14ac:dyDescent="0.25">
      <c r="A1281">
        <v>70518</v>
      </c>
      <c r="B1281" t="s">
        <v>1524</v>
      </c>
      <c r="C1281" t="s">
        <v>1552</v>
      </c>
      <c r="D1281" s="14" t="s">
        <v>1540</v>
      </c>
      <c r="E1281" s="12" t="s">
        <v>28</v>
      </c>
      <c r="F1281" s="13" t="s">
        <v>29</v>
      </c>
      <c r="G1281">
        <v>1</v>
      </c>
      <c r="H1281" t="s">
        <v>30</v>
      </c>
      <c r="I1281">
        <v>1</v>
      </c>
      <c r="J1281" s="15"/>
      <c r="K1281" s="16">
        <f>3624.24 - (3624.24 * $E$1)</f>
        <v>3624.24</v>
      </c>
      <c r="L1281" s="16">
        <f>2970.69 - (2970.69 * $E$1)</f>
        <v>2970.69</v>
      </c>
      <c r="M1281" s="1">
        <v>3624.24</v>
      </c>
      <c r="N1281" s="1">
        <v>2970.69</v>
      </c>
      <c r="O1281" s="1">
        <v>3080.61</v>
      </c>
      <c r="P1281" s="1">
        <v>2525.09</v>
      </c>
      <c r="Q1281">
        <v>0.31</v>
      </c>
      <c r="R1281">
        <v>9.2800000000000001E-4</v>
      </c>
    </row>
    <row r="1282" spans="1:18" ht="13.8" outlineLevel="2" x14ac:dyDescent="0.25">
      <c r="A1282">
        <v>65565</v>
      </c>
      <c r="B1282" t="s">
        <v>1524</v>
      </c>
      <c r="C1282" t="s">
        <v>1553</v>
      </c>
      <c r="D1282" s="14" t="s">
        <v>1540</v>
      </c>
      <c r="E1282" s="12" t="s">
        <v>28</v>
      </c>
      <c r="F1282" s="13" t="s">
        <v>29</v>
      </c>
      <c r="G1282">
        <v>1</v>
      </c>
      <c r="H1282" t="s">
        <v>30</v>
      </c>
      <c r="I1282">
        <v>1</v>
      </c>
      <c r="J1282" s="15"/>
      <c r="K1282" s="16">
        <f>4798.66 - (4798.66 * $E$1)</f>
        <v>4798.66</v>
      </c>
      <c r="L1282" s="16">
        <f>3933.33 - (3933.33 * $E$1)</f>
        <v>3933.33</v>
      </c>
      <c r="M1282" s="1">
        <v>4798.66</v>
      </c>
      <c r="N1282" s="1">
        <v>3933.33</v>
      </c>
      <c r="O1282" s="1">
        <v>4078.86</v>
      </c>
      <c r="P1282" s="1">
        <v>3343.33</v>
      </c>
      <c r="Q1282">
        <v>0.61</v>
      </c>
      <c r="R1282">
        <v>9.2800000000000001E-4</v>
      </c>
    </row>
    <row r="1283" spans="1:18" ht="13.8" outlineLevel="2" x14ac:dyDescent="0.25">
      <c r="A1283">
        <v>65566</v>
      </c>
      <c r="B1283" t="s">
        <v>1524</v>
      </c>
      <c r="C1283" t="s">
        <v>1554</v>
      </c>
      <c r="D1283" s="14" t="s">
        <v>1540</v>
      </c>
      <c r="E1283" s="12" t="s">
        <v>28</v>
      </c>
      <c r="F1283" s="13" t="s">
        <v>29</v>
      </c>
      <c r="G1283">
        <v>1</v>
      </c>
      <c r="H1283" t="s">
        <v>30</v>
      </c>
      <c r="I1283">
        <v>1</v>
      </c>
      <c r="J1283" s="15"/>
      <c r="K1283" s="16">
        <f>5775.42 - (5775.42 * $E$1)</f>
        <v>5775.42</v>
      </c>
      <c r="L1283" s="16">
        <f>4733.95 - (4733.95 * $E$1)</f>
        <v>4733.95</v>
      </c>
      <c r="M1283" s="1">
        <v>5775.42</v>
      </c>
      <c r="N1283" s="1">
        <v>4733.95</v>
      </c>
      <c r="O1283" s="1">
        <v>4909.1099999999997</v>
      </c>
      <c r="P1283" s="1">
        <v>4023.86</v>
      </c>
      <c r="Q1283">
        <v>0.59</v>
      </c>
      <c r="R1283">
        <v>2.8E-3</v>
      </c>
    </row>
    <row r="1284" spans="1:18" ht="13.8" outlineLevel="2" x14ac:dyDescent="0.25">
      <c r="A1284">
        <v>65567</v>
      </c>
      <c r="B1284" t="s">
        <v>1524</v>
      </c>
      <c r="C1284" t="s">
        <v>1555</v>
      </c>
      <c r="D1284" s="14" t="s">
        <v>1540</v>
      </c>
      <c r="E1284" s="12" t="s">
        <v>28</v>
      </c>
      <c r="F1284" s="13" t="s">
        <v>29</v>
      </c>
      <c r="G1284">
        <v>1</v>
      </c>
      <c r="H1284" t="s">
        <v>30</v>
      </c>
      <c r="I1284">
        <v>1</v>
      </c>
      <c r="J1284" s="15"/>
      <c r="K1284" s="16">
        <f>10044.52 - (10044.52 * $E$1)</f>
        <v>10044.52</v>
      </c>
      <c r="L1284" s="16">
        <f>8233.21 - (8233.21 * $E$1)</f>
        <v>8233.2099999999991</v>
      </c>
      <c r="M1284" s="1">
        <v>10044.52</v>
      </c>
      <c r="N1284" s="1">
        <v>8233.2099999999991</v>
      </c>
      <c r="O1284" s="1">
        <v>8537.84</v>
      </c>
      <c r="P1284" s="1">
        <v>6998.23</v>
      </c>
      <c r="Q1284">
        <v>1.84</v>
      </c>
      <c r="R1284">
        <v>2.0799999999999998E-3</v>
      </c>
    </row>
    <row r="1285" spans="1:18" ht="13.8" outlineLevel="2" x14ac:dyDescent="0.25">
      <c r="A1285">
        <v>70519</v>
      </c>
      <c r="B1285" t="s">
        <v>1524</v>
      </c>
      <c r="C1285" t="s">
        <v>1556</v>
      </c>
      <c r="D1285" s="14" t="s">
        <v>1557</v>
      </c>
      <c r="E1285" s="12" t="s">
        <v>28</v>
      </c>
      <c r="F1285" s="13" t="s">
        <v>29</v>
      </c>
      <c r="G1285">
        <v>1</v>
      </c>
      <c r="H1285" t="s">
        <v>30</v>
      </c>
      <c r="I1285">
        <v>1</v>
      </c>
      <c r="J1285" s="15"/>
      <c r="K1285" s="16">
        <f>2707.9 - (2707.9 * $E$1)</f>
        <v>2707.9</v>
      </c>
      <c r="L1285" s="16">
        <f>2219.59 - (2219.59 * $E$1)</f>
        <v>2219.59</v>
      </c>
      <c r="M1285" s="1">
        <v>2707.9</v>
      </c>
      <c r="N1285" s="1">
        <v>2219.59</v>
      </c>
      <c r="O1285" s="1">
        <v>2301.71</v>
      </c>
      <c r="P1285" s="1">
        <v>1886.65</v>
      </c>
      <c r="Q1285">
        <v>0.24</v>
      </c>
      <c r="R1285">
        <v>9.2800000000000001E-4</v>
      </c>
    </row>
    <row r="1286" spans="1:18" ht="13.8" outlineLevel="2" x14ac:dyDescent="0.25">
      <c r="A1286">
        <v>65536</v>
      </c>
      <c r="B1286" t="s">
        <v>1524</v>
      </c>
      <c r="C1286" t="s">
        <v>1558</v>
      </c>
      <c r="D1286" s="14" t="s">
        <v>1557</v>
      </c>
      <c r="E1286" s="12" t="s">
        <v>28</v>
      </c>
      <c r="F1286" s="13" t="s">
        <v>29</v>
      </c>
      <c r="G1286">
        <v>1</v>
      </c>
      <c r="H1286" t="s">
        <v>30</v>
      </c>
      <c r="I1286">
        <v>1</v>
      </c>
      <c r="J1286" s="15"/>
      <c r="K1286" s="16">
        <f>2992.94 - (2992.94 * $E$1)</f>
        <v>2992.94</v>
      </c>
      <c r="L1286" s="16">
        <f>2453.23 - (2453.23 * $E$1)</f>
        <v>2453.23</v>
      </c>
      <c r="M1286" s="1">
        <v>2992.94</v>
      </c>
      <c r="N1286" s="1">
        <v>2453.23</v>
      </c>
      <c r="O1286" s="1">
        <v>2544</v>
      </c>
      <c r="P1286" s="1">
        <v>2085.25</v>
      </c>
      <c r="Q1286">
        <v>0.34799999999999998</v>
      </c>
      <c r="R1286">
        <v>2.9160000000000002E-3</v>
      </c>
    </row>
    <row r="1287" spans="1:18" ht="13.8" outlineLevel="2" x14ac:dyDescent="0.25">
      <c r="A1287">
        <v>65537</v>
      </c>
      <c r="B1287" t="s">
        <v>1524</v>
      </c>
      <c r="C1287" t="s">
        <v>1559</v>
      </c>
      <c r="D1287" s="14" t="s">
        <v>1557</v>
      </c>
      <c r="E1287" s="12" t="s">
        <v>28</v>
      </c>
      <c r="F1287" s="13" t="s">
        <v>29</v>
      </c>
      <c r="G1287">
        <v>1</v>
      </c>
      <c r="H1287" t="s">
        <v>30</v>
      </c>
      <c r="I1287">
        <v>1</v>
      </c>
      <c r="J1287" s="15"/>
      <c r="K1287" s="16">
        <f>3797.71 - (3797.71 * $E$1)</f>
        <v>3797.71</v>
      </c>
      <c r="L1287" s="16">
        <f>3112.88 - (3112.88 * $E$1)</f>
        <v>3112.88</v>
      </c>
      <c r="M1287" s="1">
        <v>3797.71</v>
      </c>
      <c r="N1287" s="1">
        <v>3112.88</v>
      </c>
      <c r="O1287" s="1">
        <v>3228.06</v>
      </c>
      <c r="P1287" s="1">
        <v>2645.95</v>
      </c>
      <c r="Q1287">
        <v>0.33</v>
      </c>
      <c r="R1287">
        <v>4.8960000000000002E-3</v>
      </c>
    </row>
    <row r="1288" spans="1:18" ht="13.8" outlineLevel="2" x14ac:dyDescent="0.25">
      <c r="A1288">
        <v>65538</v>
      </c>
      <c r="B1288" t="s">
        <v>1524</v>
      </c>
      <c r="C1288" t="s">
        <v>1560</v>
      </c>
      <c r="D1288" s="14" t="s">
        <v>1557</v>
      </c>
      <c r="E1288" s="12" t="s">
        <v>28</v>
      </c>
      <c r="F1288" s="13" t="s">
        <v>29</v>
      </c>
      <c r="G1288">
        <v>1</v>
      </c>
      <c r="H1288" t="s">
        <v>30</v>
      </c>
      <c r="I1288">
        <v>1</v>
      </c>
      <c r="J1288" s="15"/>
      <c r="K1288" s="16">
        <f>4794.32 - (4794.32 * $E$1)</f>
        <v>4794.32</v>
      </c>
      <c r="L1288" s="16">
        <f>3929.77 - (3929.77 * $E$1)</f>
        <v>3929.77</v>
      </c>
      <c r="M1288" s="1">
        <v>4794.32</v>
      </c>
      <c r="N1288" s="1">
        <v>3929.77</v>
      </c>
      <c r="O1288" s="1">
        <v>4075.17</v>
      </c>
      <c r="P1288" s="1">
        <v>3340.3</v>
      </c>
      <c r="Q1288">
        <v>0.85</v>
      </c>
      <c r="R1288">
        <v>2.0799999999999998E-3</v>
      </c>
    </row>
    <row r="1289" spans="1:18" ht="13.8" outlineLevel="2" x14ac:dyDescent="0.25">
      <c r="A1289">
        <v>70520</v>
      </c>
      <c r="B1289" t="s">
        <v>1524</v>
      </c>
      <c r="C1289" t="s">
        <v>1561</v>
      </c>
      <c r="D1289" s="14" t="s">
        <v>1557</v>
      </c>
      <c r="E1289" s="12" t="s">
        <v>28</v>
      </c>
      <c r="F1289" s="13" t="s">
        <v>29</v>
      </c>
      <c r="G1289">
        <v>1</v>
      </c>
      <c r="H1289" t="s">
        <v>30</v>
      </c>
      <c r="I1289">
        <v>1</v>
      </c>
      <c r="J1289" s="15"/>
      <c r="K1289" s="16">
        <f>3751.85 - (3751.85 * $E$1)</f>
        <v>3751.85</v>
      </c>
      <c r="L1289" s="16">
        <f>3075.29 - (3075.29 * $E$1)</f>
        <v>3075.29</v>
      </c>
      <c r="M1289" s="1">
        <v>3751.85</v>
      </c>
      <c r="N1289" s="1">
        <v>3075.29</v>
      </c>
      <c r="O1289" s="1">
        <v>3189.08</v>
      </c>
      <c r="P1289" s="1">
        <v>2614</v>
      </c>
      <c r="Q1289">
        <v>0.28000000000000003</v>
      </c>
      <c r="R1289">
        <v>9.2800000000000001E-4</v>
      </c>
    </row>
    <row r="1290" spans="1:18" ht="13.8" outlineLevel="2" x14ac:dyDescent="0.25">
      <c r="A1290">
        <v>65540</v>
      </c>
      <c r="B1290" t="s">
        <v>1524</v>
      </c>
      <c r="C1290" t="s">
        <v>1562</v>
      </c>
      <c r="D1290" s="14" t="s">
        <v>1557</v>
      </c>
      <c r="E1290" s="12" t="s">
        <v>28</v>
      </c>
      <c r="F1290" s="13" t="s">
        <v>29</v>
      </c>
      <c r="G1290">
        <v>1</v>
      </c>
      <c r="H1290" t="s">
        <v>30</v>
      </c>
      <c r="I1290">
        <v>1</v>
      </c>
      <c r="J1290" s="15"/>
      <c r="K1290" s="16">
        <f>4821.2 - (4821.2 * $E$1)</f>
        <v>4821.2</v>
      </c>
      <c r="L1290" s="16">
        <f>3951.8 - (3951.8 * $E$1)</f>
        <v>3951.8</v>
      </c>
      <c r="M1290" s="1">
        <v>4821.2</v>
      </c>
      <c r="N1290" s="1">
        <v>3951.8</v>
      </c>
      <c r="O1290" s="1">
        <v>4098.0200000000004</v>
      </c>
      <c r="P1290" s="1">
        <v>3359.03</v>
      </c>
      <c r="Q1290">
        <v>0.51</v>
      </c>
      <c r="R1290">
        <v>9.2800000000000001E-4</v>
      </c>
    </row>
    <row r="1291" spans="1:18" ht="13.8" outlineLevel="2" x14ac:dyDescent="0.25">
      <c r="A1291">
        <v>65541</v>
      </c>
      <c r="B1291" t="s">
        <v>1524</v>
      </c>
      <c r="C1291" t="s">
        <v>1563</v>
      </c>
      <c r="D1291" s="14" t="s">
        <v>1557</v>
      </c>
      <c r="E1291" s="12" t="s">
        <v>28</v>
      </c>
      <c r="F1291" s="13" t="s">
        <v>29</v>
      </c>
      <c r="G1291">
        <v>1</v>
      </c>
      <c r="H1291" t="s">
        <v>30</v>
      </c>
      <c r="I1291">
        <v>1</v>
      </c>
      <c r="J1291" s="15"/>
      <c r="K1291" s="16">
        <f>6720.05 - (6720.05 * $E$1)</f>
        <v>6720.05</v>
      </c>
      <c r="L1291" s="16">
        <f>5508.24 - (5508.24 * $E$1)</f>
        <v>5508.24</v>
      </c>
      <c r="M1291" s="1">
        <v>6720.05</v>
      </c>
      <c r="N1291" s="1">
        <v>5508.24</v>
      </c>
      <c r="O1291" s="1">
        <v>5712.04</v>
      </c>
      <c r="P1291" s="1">
        <v>4682</v>
      </c>
      <c r="Q1291">
        <v>0.63</v>
      </c>
      <c r="R1291">
        <v>3.4650000000000002E-3</v>
      </c>
    </row>
    <row r="1292" spans="1:18" ht="13.8" outlineLevel="2" x14ac:dyDescent="0.25">
      <c r="A1292">
        <v>65542</v>
      </c>
      <c r="B1292" t="s">
        <v>1524</v>
      </c>
      <c r="C1292" t="s">
        <v>1564</v>
      </c>
      <c r="D1292" s="14" t="s">
        <v>1557</v>
      </c>
      <c r="E1292" s="12" t="s">
        <v>28</v>
      </c>
      <c r="F1292" s="13" t="s">
        <v>29</v>
      </c>
      <c r="G1292">
        <v>1</v>
      </c>
      <c r="H1292" t="s">
        <v>30</v>
      </c>
      <c r="I1292">
        <v>1</v>
      </c>
      <c r="J1292" s="15"/>
      <c r="K1292" s="16">
        <f>10972.03 - (10972.03 * $E$1)</f>
        <v>10972.03</v>
      </c>
      <c r="L1292" s="16">
        <f>8993.47 - (8993.47 * $E$1)</f>
        <v>8993.4699999999993</v>
      </c>
      <c r="M1292" s="1">
        <v>10972.03</v>
      </c>
      <c r="N1292" s="1">
        <v>8993.4699999999993</v>
      </c>
      <c r="O1292" s="1">
        <v>9326.23</v>
      </c>
      <c r="P1292" s="1">
        <v>7644.45</v>
      </c>
      <c r="Q1292">
        <v>1.66</v>
      </c>
      <c r="R1292">
        <v>2.0799999999999998E-3</v>
      </c>
    </row>
    <row r="1293" spans="1:18" ht="13.8" outlineLevel="2" x14ac:dyDescent="0.25">
      <c r="A1293">
        <v>70521</v>
      </c>
      <c r="B1293" t="s">
        <v>1524</v>
      </c>
      <c r="C1293" t="s">
        <v>1565</v>
      </c>
      <c r="D1293" s="14" t="s">
        <v>1557</v>
      </c>
      <c r="E1293" s="12" t="s">
        <v>28</v>
      </c>
      <c r="F1293" s="13" t="s">
        <v>29</v>
      </c>
      <c r="G1293">
        <v>1</v>
      </c>
      <c r="H1293" t="s">
        <v>30</v>
      </c>
      <c r="I1293">
        <v>1</v>
      </c>
      <c r="J1293" s="15"/>
      <c r="K1293" s="16">
        <f>3425.59 - (3425.59 * $E$1)</f>
        <v>3425.59</v>
      </c>
      <c r="L1293" s="16">
        <f>2807.86 - (2807.86 * $E$1)</f>
        <v>2807.86</v>
      </c>
      <c r="M1293" s="1">
        <v>3425.59</v>
      </c>
      <c r="N1293" s="1">
        <v>2807.86</v>
      </c>
      <c r="O1293" s="1">
        <v>2911.75</v>
      </c>
      <c r="P1293" s="1">
        <v>2386.6799999999998</v>
      </c>
      <c r="Q1293">
        <v>0.3</v>
      </c>
      <c r="R1293">
        <v>9.2800000000000001E-4</v>
      </c>
    </row>
    <row r="1294" spans="1:18" ht="13.8" outlineLevel="2" x14ac:dyDescent="0.25">
      <c r="A1294">
        <v>65569</v>
      </c>
      <c r="B1294" t="s">
        <v>1524</v>
      </c>
      <c r="C1294" t="s">
        <v>1566</v>
      </c>
      <c r="D1294" s="14" t="s">
        <v>1557</v>
      </c>
      <c r="E1294" s="12" t="s">
        <v>28</v>
      </c>
      <c r="F1294" s="13" t="s">
        <v>29</v>
      </c>
      <c r="G1294">
        <v>1</v>
      </c>
      <c r="H1294" t="s">
        <v>30</v>
      </c>
      <c r="I1294">
        <v>1</v>
      </c>
      <c r="J1294" s="15"/>
      <c r="K1294" s="16">
        <f>3913.09 - (3913.09 * $E$1)</f>
        <v>3913.09</v>
      </c>
      <c r="L1294" s="16">
        <f>3207.45 - (3207.45 * $E$1)</f>
        <v>3207.45</v>
      </c>
      <c r="M1294" s="1">
        <v>3913.09</v>
      </c>
      <c r="N1294" s="1">
        <v>3207.45</v>
      </c>
      <c r="O1294" s="1">
        <v>3326.13</v>
      </c>
      <c r="P1294" s="1">
        <v>2726.33</v>
      </c>
      <c r="Q1294">
        <v>0.45</v>
      </c>
      <c r="R1294">
        <v>9.2800000000000001E-4</v>
      </c>
    </row>
    <row r="1295" spans="1:18" ht="13.8" outlineLevel="2" x14ac:dyDescent="0.25">
      <c r="A1295">
        <v>65570</v>
      </c>
      <c r="B1295" t="s">
        <v>1524</v>
      </c>
      <c r="C1295" t="s">
        <v>1567</v>
      </c>
      <c r="D1295" s="14" t="s">
        <v>1557</v>
      </c>
      <c r="E1295" s="12" t="s">
        <v>28</v>
      </c>
      <c r="F1295" s="13" t="s">
        <v>29</v>
      </c>
      <c r="G1295">
        <v>1</v>
      </c>
      <c r="H1295" t="s">
        <v>30</v>
      </c>
      <c r="I1295">
        <v>1</v>
      </c>
      <c r="J1295" s="15"/>
      <c r="K1295" s="16">
        <f>4756.05 - (4756.05 * $E$1)</f>
        <v>4756.05</v>
      </c>
      <c r="L1295" s="16">
        <f>3898.4 - (3898.4 * $E$1)</f>
        <v>3898.4</v>
      </c>
      <c r="M1295" s="1">
        <v>4756.05</v>
      </c>
      <c r="N1295" s="1">
        <v>3898.4</v>
      </c>
      <c r="O1295" s="1">
        <v>4042.64</v>
      </c>
      <c r="P1295" s="1">
        <v>3313.64</v>
      </c>
      <c r="Q1295">
        <v>0.71</v>
      </c>
      <c r="R1295">
        <v>2.0799999999999998E-3</v>
      </c>
    </row>
    <row r="1296" spans="1:18" ht="13.8" outlineLevel="2" x14ac:dyDescent="0.25">
      <c r="A1296">
        <v>65571</v>
      </c>
      <c r="B1296" t="s">
        <v>1524</v>
      </c>
      <c r="C1296" t="s">
        <v>1568</v>
      </c>
      <c r="D1296" s="14" t="s">
        <v>1557</v>
      </c>
      <c r="E1296" s="12" t="s">
        <v>28</v>
      </c>
      <c r="F1296" s="13" t="s">
        <v>29</v>
      </c>
      <c r="G1296">
        <v>1</v>
      </c>
      <c r="H1296" t="s">
        <v>30</v>
      </c>
      <c r="I1296">
        <v>1</v>
      </c>
      <c r="J1296" s="15"/>
      <c r="K1296" s="16">
        <f>6164.42 - (6164.42 * $E$1)</f>
        <v>6164.42</v>
      </c>
      <c r="L1296" s="16">
        <f>5052.8 - (5052.8 * $E$1)</f>
        <v>5052.8</v>
      </c>
      <c r="M1296" s="1">
        <v>6164.42</v>
      </c>
      <c r="N1296" s="1">
        <v>5052.8</v>
      </c>
      <c r="O1296" s="1">
        <v>5239.75</v>
      </c>
      <c r="P1296" s="1">
        <v>4294.88</v>
      </c>
      <c r="Q1296">
        <v>1.06</v>
      </c>
      <c r="R1296">
        <v>2.0799999999999998E-3</v>
      </c>
    </row>
    <row r="1297" spans="1:18" ht="13.8" outlineLevel="2" x14ac:dyDescent="0.25">
      <c r="A1297">
        <v>70522</v>
      </c>
      <c r="B1297" t="s">
        <v>1524</v>
      </c>
      <c r="C1297" t="s">
        <v>1569</v>
      </c>
      <c r="D1297" s="14" t="s">
        <v>1557</v>
      </c>
      <c r="E1297" s="12" t="s">
        <v>28</v>
      </c>
      <c r="F1297" s="13" t="s">
        <v>29</v>
      </c>
      <c r="G1297">
        <v>1</v>
      </c>
      <c r="H1297" t="s">
        <v>30</v>
      </c>
      <c r="I1297">
        <v>1</v>
      </c>
      <c r="J1297" s="15"/>
      <c r="K1297" s="16">
        <f>4541.89 - (4541.89 * $E$1)</f>
        <v>4541.8900000000003</v>
      </c>
      <c r="L1297" s="16">
        <f>3722.86 - (3722.86 * $E$1)</f>
        <v>3722.86</v>
      </c>
      <c r="M1297" s="1">
        <v>4541.8900000000003</v>
      </c>
      <c r="N1297" s="1">
        <v>3722.86</v>
      </c>
      <c r="O1297" s="1">
        <v>3860.61</v>
      </c>
      <c r="P1297" s="1">
        <v>3164.43</v>
      </c>
      <c r="Q1297">
        <v>0.35</v>
      </c>
      <c r="R1297">
        <v>9.2800000000000001E-4</v>
      </c>
    </row>
    <row r="1298" spans="1:18" ht="13.8" outlineLevel="2" x14ac:dyDescent="0.25">
      <c r="A1298">
        <v>65573</v>
      </c>
      <c r="B1298" t="s">
        <v>1524</v>
      </c>
      <c r="C1298" t="s">
        <v>1570</v>
      </c>
      <c r="D1298" s="14" t="s">
        <v>1557</v>
      </c>
      <c r="E1298" s="12" t="s">
        <v>28</v>
      </c>
      <c r="F1298" s="13" t="s">
        <v>29</v>
      </c>
      <c r="G1298">
        <v>1</v>
      </c>
      <c r="H1298" t="s">
        <v>30</v>
      </c>
      <c r="I1298">
        <v>1</v>
      </c>
      <c r="J1298" s="15"/>
      <c r="K1298" s="16">
        <f>5712.48 - (5712.48 * $E$1)</f>
        <v>5712.48</v>
      </c>
      <c r="L1298" s="16">
        <f>4682.36 - (4682.36 * $E$1)</f>
        <v>4682.3599999999997</v>
      </c>
      <c r="M1298" s="1">
        <v>5712.48</v>
      </c>
      <c r="N1298" s="1">
        <v>4682.3599999999997</v>
      </c>
      <c r="O1298" s="1">
        <v>4855.6099999999997</v>
      </c>
      <c r="P1298" s="1">
        <v>3980.01</v>
      </c>
      <c r="Q1298">
        <v>0.61</v>
      </c>
      <c r="R1298">
        <v>9.2800000000000001E-4</v>
      </c>
    </row>
    <row r="1299" spans="1:18" ht="13.8" outlineLevel="2" x14ac:dyDescent="0.25">
      <c r="A1299">
        <v>65574</v>
      </c>
      <c r="B1299" t="s">
        <v>1524</v>
      </c>
      <c r="C1299" t="s">
        <v>1571</v>
      </c>
      <c r="D1299" s="14" t="s">
        <v>1557</v>
      </c>
      <c r="E1299" s="12" t="s">
        <v>28</v>
      </c>
      <c r="F1299" s="13" t="s">
        <v>29</v>
      </c>
      <c r="G1299">
        <v>1</v>
      </c>
      <c r="H1299" t="s">
        <v>30</v>
      </c>
      <c r="I1299">
        <v>1</v>
      </c>
      <c r="J1299" s="15"/>
      <c r="K1299" s="16">
        <f>7715.26 - (7715.26 * $E$1)</f>
        <v>7715.26</v>
      </c>
      <c r="L1299" s="16">
        <f>6323.98 - (6323.98 * $E$1)</f>
        <v>6323.98</v>
      </c>
      <c r="M1299" s="1">
        <v>7715.26</v>
      </c>
      <c r="N1299" s="1">
        <v>6323.98</v>
      </c>
      <c r="O1299" s="1">
        <v>6557.97</v>
      </c>
      <c r="P1299" s="1">
        <v>5375.38</v>
      </c>
      <c r="Q1299">
        <v>1.1599999999999999</v>
      </c>
      <c r="R1299">
        <v>2.0799999999999998E-3</v>
      </c>
    </row>
    <row r="1300" spans="1:18" ht="13.8" outlineLevel="2" x14ac:dyDescent="0.25">
      <c r="A1300">
        <v>65575</v>
      </c>
      <c r="B1300" t="s">
        <v>1524</v>
      </c>
      <c r="C1300" t="s">
        <v>1572</v>
      </c>
      <c r="D1300" s="14" t="s">
        <v>1557</v>
      </c>
      <c r="E1300" s="12" t="s">
        <v>28</v>
      </c>
      <c r="F1300" s="13" t="s">
        <v>29</v>
      </c>
      <c r="G1300">
        <v>1</v>
      </c>
      <c r="H1300" t="s">
        <v>30</v>
      </c>
      <c r="I1300">
        <v>1</v>
      </c>
      <c r="J1300" s="15"/>
      <c r="K1300" s="16">
        <f>12236.19 - (12236.19 * $E$1)</f>
        <v>12236.19</v>
      </c>
      <c r="L1300" s="16">
        <f>10029.66 - (10029.66 * $E$1)</f>
        <v>10029.66</v>
      </c>
      <c r="M1300" s="1">
        <v>12236.19</v>
      </c>
      <c r="N1300" s="1">
        <v>10029.66</v>
      </c>
      <c r="O1300" s="1">
        <v>10400.76</v>
      </c>
      <c r="P1300" s="1">
        <v>8525.2099999999991</v>
      </c>
      <c r="Q1300">
        <v>1.86</v>
      </c>
      <c r="R1300">
        <v>2.0799999999999998E-3</v>
      </c>
    </row>
    <row r="1301" spans="1:18" ht="13.8" outlineLevel="2" x14ac:dyDescent="0.25">
      <c r="A1301">
        <v>66832</v>
      </c>
      <c r="B1301" t="s">
        <v>1524</v>
      </c>
      <c r="C1301" t="s">
        <v>1573</v>
      </c>
      <c r="D1301" s="14" t="s">
        <v>1574</v>
      </c>
      <c r="E1301" s="12" t="s">
        <v>28</v>
      </c>
      <c r="F1301" s="13" t="s">
        <v>29</v>
      </c>
      <c r="G1301">
        <v>1</v>
      </c>
      <c r="H1301" t="s">
        <v>30</v>
      </c>
      <c r="I1301">
        <v>1</v>
      </c>
      <c r="J1301" s="15"/>
      <c r="K1301" s="16">
        <f>586.48 - (586.48 * $E$1)</f>
        <v>586.48</v>
      </c>
      <c r="L1301" s="16">
        <f>480.72 - (480.72 * $E$1)</f>
        <v>480.72</v>
      </c>
      <c r="M1301" s="1">
        <v>586.48</v>
      </c>
      <c r="N1301" s="1">
        <v>480.72</v>
      </c>
      <c r="O1301" s="1">
        <v>498.51</v>
      </c>
      <c r="P1301" s="1">
        <v>408.61</v>
      </c>
      <c r="Q1301">
        <v>0.03</v>
      </c>
      <c r="R1301">
        <v>3.8400000000000001E-4</v>
      </c>
    </row>
    <row r="1302" spans="1:18" ht="13.8" outlineLevel="2" x14ac:dyDescent="0.25">
      <c r="A1302">
        <v>66833</v>
      </c>
      <c r="B1302" t="s">
        <v>1524</v>
      </c>
      <c r="C1302" t="s">
        <v>1575</v>
      </c>
      <c r="D1302" s="14" t="s">
        <v>1574</v>
      </c>
      <c r="E1302" s="12" t="s">
        <v>28</v>
      </c>
      <c r="F1302" s="13" t="s">
        <v>29</v>
      </c>
      <c r="G1302">
        <v>1</v>
      </c>
      <c r="H1302" t="s">
        <v>30</v>
      </c>
      <c r="I1302">
        <v>1</v>
      </c>
      <c r="J1302" s="15"/>
      <c r="K1302" s="16">
        <f>672.37 - (672.37 * $E$1)</f>
        <v>672.37</v>
      </c>
      <c r="L1302" s="16">
        <f>551.12 - (551.12 * $E$1)</f>
        <v>551.12</v>
      </c>
      <c r="M1302" s="1">
        <v>672.37</v>
      </c>
      <c r="N1302" s="1">
        <v>551.12</v>
      </c>
      <c r="O1302" s="1">
        <v>571.51</v>
      </c>
      <c r="P1302" s="1">
        <v>468.45</v>
      </c>
      <c r="Q1302">
        <v>0.05</v>
      </c>
      <c r="R1302">
        <v>3.8400000000000001E-4</v>
      </c>
    </row>
    <row r="1303" spans="1:18" ht="13.8" outlineLevel="2" x14ac:dyDescent="0.25">
      <c r="A1303">
        <v>66834</v>
      </c>
      <c r="B1303" t="s">
        <v>1524</v>
      </c>
      <c r="C1303" t="s">
        <v>1576</v>
      </c>
      <c r="D1303" s="14" t="s">
        <v>1574</v>
      </c>
      <c r="E1303" s="12" t="s">
        <v>28</v>
      </c>
      <c r="F1303" s="13" t="s">
        <v>29</v>
      </c>
      <c r="G1303">
        <v>1</v>
      </c>
      <c r="H1303" t="s">
        <v>30</v>
      </c>
      <c r="I1303">
        <v>1</v>
      </c>
      <c r="J1303" s="15"/>
      <c r="K1303" s="16">
        <f>1009.46 - (1009.46 * $E$1)</f>
        <v>1009.46</v>
      </c>
      <c r="L1303" s="16">
        <f>827.43 - (827.43 * $E$1)</f>
        <v>827.43</v>
      </c>
      <c r="M1303" s="1">
        <v>1009.46</v>
      </c>
      <c r="N1303" s="1">
        <v>827.43</v>
      </c>
      <c r="O1303" s="1">
        <v>858.04</v>
      </c>
      <c r="P1303" s="1">
        <v>703.32</v>
      </c>
      <c r="Q1303">
        <v>0.11</v>
      </c>
      <c r="R1303">
        <v>3.8400000000000001E-4</v>
      </c>
    </row>
    <row r="1304" spans="1:18" ht="13.8" outlineLevel="2" x14ac:dyDescent="0.25">
      <c r="A1304">
        <v>66835</v>
      </c>
      <c r="B1304" t="s">
        <v>1524</v>
      </c>
      <c r="C1304" t="s">
        <v>1577</v>
      </c>
      <c r="D1304" s="14" t="s">
        <v>1574</v>
      </c>
      <c r="E1304" s="12" t="s">
        <v>28</v>
      </c>
      <c r="F1304" s="13" t="s">
        <v>29</v>
      </c>
      <c r="G1304">
        <v>1</v>
      </c>
      <c r="H1304" t="s">
        <v>30</v>
      </c>
      <c r="I1304">
        <v>1</v>
      </c>
      <c r="J1304" s="15"/>
      <c r="K1304" s="16">
        <f>1619.72 - (1619.72 * $E$1)</f>
        <v>1619.72</v>
      </c>
      <c r="L1304" s="16">
        <f>1327.64 - (1327.64 * $E$1)</f>
        <v>1327.64</v>
      </c>
      <c r="M1304" s="1">
        <v>1619.72</v>
      </c>
      <c r="N1304" s="1">
        <v>1327.64</v>
      </c>
      <c r="O1304" s="1">
        <v>1376.76</v>
      </c>
      <c r="P1304" s="1">
        <v>1128.49</v>
      </c>
      <c r="Q1304">
        <v>0.2</v>
      </c>
      <c r="R1304">
        <v>3.8400000000000001E-4</v>
      </c>
    </row>
    <row r="1305" spans="1:18" ht="13.8" outlineLevel="2" x14ac:dyDescent="0.25">
      <c r="A1305">
        <v>67031</v>
      </c>
      <c r="B1305" t="s">
        <v>1524</v>
      </c>
      <c r="C1305" t="s">
        <v>1578</v>
      </c>
      <c r="D1305" s="14" t="s">
        <v>1574</v>
      </c>
      <c r="E1305" s="12" t="s">
        <v>28</v>
      </c>
      <c r="F1305" s="13" t="s">
        <v>29</v>
      </c>
      <c r="G1305">
        <v>1</v>
      </c>
      <c r="H1305" t="s">
        <v>30</v>
      </c>
      <c r="I1305">
        <v>1</v>
      </c>
      <c r="J1305" s="15"/>
      <c r="K1305" s="16">
        <f>2163.89 - (2163.89 * $E$1)</f>
        <v>2163.89</v>
      </c>
      <c r="L1305" s="16">
        <f>1773.68 - (1773.68 * $E$1)</f>
        <v>1773.68</v>
      </c>
      <c r="M1305" s="1">
        <v>2163.89</v>
      </c>
      <c r="N1305" s="1">
        <v>1773.68</v>
      </c>
      <c r="O1305" s="1">
        <v>1839.31</v>
      </c>
      <c r="P1305" s="1">
        <v>1507.63</v>
      </c>
      <c r="Q1305">
        <v>0.22</v>
      </c>
      <c r="R1305">
        <v>3.8400000000000001E-4</v>
      </c>
    </row>
    <row r="1306" spans="1:18" ht="13.8" outlineLevel="2" x14ac:dyDescent="0.25">
      <c r="A1306">
        <v>67076</v>
      </c>
      <c r="B1306" t="s">
        <v>1524</v>
      </c>
      <c r="C1306" t="s">
        <v>1579</v>
      </c>
      <c r="D1306" s="14" t="s">
        <v>1574</v>
      </c>
      <c r="E1306" s="12" t="s">
        <v>28</v>
      </c>
      <c r="F1306" s="13" t="s">
        <v>29</v>
      </c>
      <c r="G1306">
        <v>1</v>
      </c>
      <c r="H1306" t="s">
        <v>30</v>
      </c>
      <c r="I1306">
        <v>1</v>
      </c>
      <c r="J1306" s="15"/>
      <c r="K1306" s="16">
        <f>5910.02 - (5910.02 * $E$1)</f>
        <v>5910.02</v>
      </c>
      <c r="L1306" s="16">
        <f>4844.28 - (4844.28 * $E$1)</f>
        <v>4844.28</v>
      </c>
      <c r="M1306" s="1">
        <v>5910.02</v>
      </c>
      <c r="N1306" s="1">
        <v>4844.28</v>
      </c>
      <c r="O1306" s="1">
        <v>5023.5200000000004</v>
      </c>
      <c r="P1306" s="1">
        <v>4117.6400000000003</v>
      </c>
      <c r="Q1306">
        <v>0.45</v>
      </c>
      <c r="R1306">
        <v>3.8400000000000001E-4</v>
      </c>
    </row>
    <row r="1307" spans="1:18" ht="13.8" outlineLevel="2" x14ac:dyDescent="0.25">
      <c r="A1307">
        <v>71999</v>
      </c>
      <c r="B1307" t="s">
        <v>1524</v>
      </c>
      <c r="C1307" t="s">
        <v>1580</v>
      </c>
      <c r="D1307" s="14" t="s">
        <v>1574</v>
      </c>
      <c r="E1307" s="12" t="s">
        <v>28</v>
      </c>
      <c r="F1307" s="13" t="s">
        <v>29</v>
      </c>
      <c r="G1307">
        <v>1</v>
      </c>
      <c r="H1307" t="s">
        <v>30</v>
      </c>
      <c r="I1307">
        <v>1</v>
      </c>
      <c r="J1307" s="15"/>
      <c r="K1307" s="16">
        <f>10144.14 - (10144.14 * $E$1)</f>
        <v>10144.14</v>
      </c>
      <c r="L1307" s="16">
        <f>8314.87 - (8314.87 * $E$1)</f>
        <v>8314.8700000000008</v>
      </c>
      <c r="M1307" s="1">
        <v>10144.14</v>
      </c>
      <c r="N1307" s="1">
        <v>8314.8700000000008</v>
      </c>
      <c r="O1307" s="1">
        <v>8622.52</v>
      </c>
      <c r="P1307" s="1">
        <v>7067.64</v>
      </c>
      <c r="Q1307">
        <v>0.68</v>
      </c>
      <c r="R1307">
        <v>4.64E-4</v>
      </c>
    </row>
    <row r="1308" spans="1:18" ht="13.8" outlineLevel="2" x14ac:dyDescent="0.25">
      <c r="A1308">
        <v>74213</v>
      </c>
      <c r="B1308" t="s">
        <v>1524</v>
      </c>
      <c r="C1308" t="s">
        <v>1581</v>
      </c>
      <c r="D1308" s="14" t="s">
        <v>1582</v>
      </c>
      <c r="E1308" s="12" t="s">
        <v>28</v>
      </c>
      <c r="F1308" s="13" t="s">
        <v>29</v>
      </c>
      <c r="G1308">
        <v>1</v>
      </c>
      <c r="H1308" t="s">
        <v>30</v>
      </c>
      <c r="I1308">
        <v>1</v>
      </c>
      <c r="J1308" s="15"/>
      <c r="K1308" s="16">
        <f>1573.47 - (1573.47 * $E$1)</f>
        <v>1573.47</v>
      </c>
      <c r="L1308" s="16">
        <f>1289.73 - (1289.73 * $E$1)</f>
        <v>1289.73</v>
      </c>
      <c r="M1308" s="1">
        <v>1573.47</v>
      </c>
      <c r="N1308" s="1">
        <v>1289.73</v>
      </c>
      <c r="O1308" s="1">
        <v>1337.45</v>
      </c>
      <c r="P1308" s="1">
        <v>1096.27</v>
      </c>
      <c r="Q1308">
        <v>0.17</v>
      </c>
      <c r="R1308">
        <v>7.8399999999999997E-4</v>
      </c>
    </row>
    <row r="1309" spans="1:18" ht="13.8" outlineLevel="2" x14ac:dyDescent="0.25">
      <c r="A1309">
        <v>74214</v>
      </c>
      <c r="B1309" t="s">
        <v>1524</v>
      </c>
      <c r="C1309" t="s">
        <v>1583</v>
      </c>
      <c r="D1309" s="14" t="s">
        <v>1582</v>
      </c>
      <c r="E1309" s="12" t="s">
        <v>28</v>
      </c>
      <c r="F1309" s="13" t="s">
        <v>29</v>
      </c>
      <c r="G1309">
        <v>1</v>
      </c>
      <c r="H1309" t="s">
        <v>30</v>
      </c>
      <c r="I1309">
        <v>1</v>
      </c>
      <c r="J1309" s="15"/>
      <c r="K1309" s="16">
        <f>1942.39 - (1942.39 * $E$1)</f>
        <v>1942.39</v>
      </c>
      <c r="L1309" s="16">
        <f>1592.12 - (1592.12 * $E$1)</f>
        <v>1592.12</v>
      </c>
      <c r="M1309" s="1">
        <v>1942.39</v>
      </c>
      <c r="N1309" s="1">
        <v>1592.12</v>
      </c>
      <c r="O1309" s="1">
        <v>1651.03</v>
      </c>
      <c r="P1309" s="1">
        <v>1353.3</v>
      </c>
      <c r="Q1309">
        <v>0.2</v>
      </c>
      <c r="R1309">
        <v>7.8399999999999997E-4</v>
      </c>
    </row>
    <row r="1310" spans="1:18" ht="13.8" outlineLevel="2" x14ac:dyDescent="0.25">
      <c r="A1310">
        <v>74215</v>
      </c>
      <c r="B1310" t="s">
        <v>1524</v>
      </c>
      <c r="C1310" t="s">
        <v>1584</v>
      </c>
      <c r="D1310" s="14" t="s">
        <v>1582</v>
      </c>
      <c r="E1310" s="12" t="s">
        <v>28</v>
      </c>
      <c r="F1310" s="13" t="s">
        <v>29</v>
      </c>
      <c r="G1310">
        <v>1</v>
      </c>
      <c r="H1310" t="s">
        <v>30</v>
      </c>
      <c r="I1310">
        <v>1</v>
      </c>
      <c r="J1310" s="15"/>
      <c r="K1310" s="16">
        <f>2394.93 - (2394.93 * $E$1)</f>
        <v>2394.9299999999998</v>
      </c>
      <c r="L1310" s="16">
        <f>1963.06 - (1963.06 * $E$1)</f>
        <v>1963.06</v>
      </c>
      <c r="M1310" s="1">
        <v>2394.9299999999998</v>
      </c>
      <c r="N1310" s="1">
        <v>1963.06</v>
      </c>
      <c r="O1310" s="1">
        <v>2035.69</v>
      </c>
      <c r="P1310" s="1">
        <v>1668.6</v>
      </c>
      <c r="Q1310">
        <v>0.31</v>
      </c>
      <c r="R1310">
        <v>7.8399999999999997E-4</v>
      </c>
    </row>
    <row r="1311" spans="1:18" ht="13.8" outlineLevel="2" x14ac:dyDescent="0.25">
      <c r="A1311">
        <v>74216</v>
      </c>
      <c r="B1311" t="s">
        <v>1524</v>
      </c>
      <c r="C1311" t="s">
        <v>1585</v>
      </c>
      <c r="D1311" s="14" t="s">
        <v>1582</v>
      </c>
      <c r="E1311" s="12" t="s">
        <v>28</v>
      </c>
      <c r="F1311" s="13" t="s">
        <v>29</v>
      </c>
      <c r="G1311">
        <v>1</v>
      </c>
      <c r="H1311" t="s">
        <v>30</v>
      </c>
      <c r="I1311">
        <v>1</v>
      </c>
      <c r="J1311" s="15"/>
      <c r="K1311" s="16">
        <f>3197.03 - (3197.03 * $E$1)</f>
        <v>3197.03</v>
      </c>
      <c r="L1311" s="16">
        <f>2620.52 - (2620.52 * $E$1)</f>
        <v>2620.52</v>
      </c>
      <c r="M1311" s="1">
        <v>3197.03</v>
      </c>
      <c r="N1311" s="1">
        <v>2620.52</v>
      </c>
      <c r="O1311" s="1">
        <v>2717.48</v>
      </c>
      <c r="P1311" s="1">
        <v>2227.44</v>
      </c>
      <c r="Q1311">
        <v>0.52</v>
      </c>
      <c r="R1311">
        <v>7.8399999999999997E-4</v>
      </c>
    </row>
    <row r="1312" spans="1:18" ht="13.8" outlineLevel="2" x14ac:dyDescent="0.25">
      <c r="A1312">
        <v>74217</v>
      </c>
      <c r="B1312" t="s">
        <v>1524</v>
      </c>
      <c r="C1312" t="s">
        <v>1586</v>
      </c>
      <c r="D1312" s="14" t="s">
        <v>1582</v>
      </c>
      <c r="E1312" s="12" t="s">
        <v>28</v>
      </c>
      <c r="F1312" s="13" t="s">
        <v>29</v>
      </c>
      <c r="G1312">
        <v>1</v>
      </c>
      <c r="H1312" t="s">
        <v>30</v>
      </c>
      <c r="I1312">
        <v>1</v>
      </c>
      <c r="J1312" s="15"/>
      <c r="K1312" s="16">
        <f>4495.61 - (4495.61 * $E$1)</f>
        <v>4495.6099999999997</v>
      </c>
      <c r="L1312" s="16">
        <f>3684.93 - (3684.93 * $E$1)</f>
        <v>3684.93</v>
      </c>
      <c r="M1312" s="1">
        <v>4495.6099999999997</v>
      </c>
      <c r="N1312" s="1">
        <v>3684.93</v>
      </c>
      <c r="O1312" s="1">
        <v>3821.27</v>
      </c>
      <c r="P1312" s="1">
        <v>3132.19</v>
      </c>
      <c r="Q1312">
        <v>0.48599999999999999</v>
      </c>
      <c r="R1312">
        <v>3.075E-3</v>
      </c>
    </row>
    <row r="1313" spans="1:18" ht="13.8" outlineLevel="2" x14ac:dyDescent="0.25">
      <c r="A1313">
        <v>82481</v>
      </c>
      <c r="B1313" t="s">
        <v>1524</v>
      </c>
      <c r="C1313" t="s">
        <v>1587</v>
      </c>
      <c r="D1313" s="14" t="s">
        <v>1588</v>
      </c>
      <c r="E1313" s="12" t="s">
        <v>28</v>
      </c>
      <c r="F1313" s="13" t="s">
        <v>29</v>
      </c>
      <c r="G1313">
        <v>1</v>
      </c>
      <c r="H1313" t="s">
        <v>30</v>
      </c>
      <c r="I1313">
        <v>1</v>
      </c>
      <c r="J1313" s="15"/>
      <c r="K1313" s="16">
        <f>953.13 - (953.13 * $E$1)</f>
        <v>953.13</v>
      </c>
      <c r="L1313" s="16">
        <f>781.25 - (781.25 * $E$1)</f>
        <v>781.25</v>
      </c>
      <c r="M1313" s="1">
        <v>953.13</v>
      </c>
      <c r="N1313" s="1">
        <v>781.25</v>
      </c>
      <c r="O1313" s="1">
        <v>810.16</v>
      </c>
      <c r="P1313" s="1">
        <v>664.06</v>
      </c>
      <c r="Q1313">
        <v>3.5000000000000003E-2</v>
      </c>
      <c r="R1313">
        <v>8.8199999999999997E-4</v>
      </c>
    </row>
    <row r="1314" spans="1:18" ht="13.8" outlineLevel="2" x14ac:dyDescent="0.25">
      <c r="A1314">
        <v>82482</v>
      </c>
      <c r="B1314" t="s">
        <v>1524</v>
      </c>
      <c r="C1314" t="s">
        <v>1589</v>
      </c>
      <c r="D1314" s="14" t="s">
        <v>1588</v>
      </c>
      <c r="E1314" s="12" t="s">
        <v>28</v>
      </c>
      <c r="F1314" s="13" t="s">
        <v>29</v>
      </c>
      <c r="G1314">
        <v>1</v>
      </c>
      <c r="H1314" t="s">
        <v>30</v>
      </c>
      <c r="I1314">
        <v>1</v>
      </c>
      <c r="J1314" s="15"/>
      <c r="K1314" s="16">
        <f>1022.25 - (1022.25 * $E$1)</f>
        <v>1022.25</v>
      </c>
      <c r="L1314" s="16">
        <f>837.91 - (837.91 * $E$1)</f>
        <v>837.91</v>
      </c>
      <c r="M1314" s="1">
        <v>1022.25</v>
      </c>
      <c r="N1314" s="1">
        <v>837.91</v>
      </c>
      <c r="O1314" s="1">
        <v>868.91</v>
      </c>
      <c r="P1314" s="1">
        <v>712.22</v>
      </c>
      <c r="Q1314">
        <v>4.4999999999999998E-2</v>
      </c>
      <c r="R1314">
        <v>1.176E-3</v>
      </c>
    </row>
    <row r="1315" spans="1:18" ht="13.8" outlineLevel="2" x14ac:dyDescent="0.25">
      <c r="A1315">
        <v>82483</v>
      </c>
      <c r="B1315" t="s">
        <v>1524</v>
      </c>
      <c r="C1315" t="s">
        <v>1590</v>
      </c>
      <c r="D1315" s="14" t="s">
        <v>1588</v>
      </c>
      <c r="E1315" s="12" t="s">
        <v>28</v>
      </c>
      <c r="F1315" s="13" t="s">
        <v>29</v>
      </c>
      <c r="G1315">
        <v>1</v>
      </c>
      <c r="H1315" t="s">
        <v>30</v>
      </c>
      <c r="I1315">
        <v>1</v>
      </c>
      <c r="J1315" s="15"/>
      <c r="K1315" s="16">
        <f>1179.25 - (1179.25 * $E$1)</f>
        <v>1179.25</v>
      </c>
      <c r="L1315" s="16">
        <f>966.6 - (966.6 * $E$1)</f>
        <v>966.6</v>
      </c>
      <c r="M1315" s="1">
        <v>1179.25</v>
      </c>
      <c r="N1315" s="1">
        <v>966.6</v>
      </c>
      <c r="O1315" s="1">
        <v>1002.36</v>
      </c>
      <c r="P1315" s="1">
        <v>821.61</v>
      </c>
      <c r="Q1315">
        <v>4.4999999999999998E-2</v>
      </c>
      <c r="R1315">
        <v>1.176E-3</v>
      </c>
    </row>
    <row r="1316" spans="1:18" ht="13.8" outlineLevel="2" x14ac:dyDescent="0.25">
      <c r="A1316">
        <v>82484</v>
      </c>
      <c r="B1316" t="s">
        <v>1524</v>
      </c>
      <c r="C1316" t="s">
        <v>1591</v>
      </c>
      <c r="D1316" s="14" t="s">
        <v>1588</v>
      </c>
      <c r="E1316" s="12" t="s">
        <v>28</v>
      </c>
      <c r="F1316" s="13" t="s">
        <v>29</v>
      </c>
      <c r="G1316">
        <v>1</v>
      </c>
      <c r="H1316" t="s">
        <v>30</v>
      </c>
      <c r="I1316">
        <v>1</v>
      </c>
      <c r="J1316" s="15"/>
      <c r="K1316" s="16">
        <f>1173.26 - (1173.26 * $E$1)</f>
        <v>1173.26</v>
      </c>
      <c r="L1316" s="16">
        <f>961.69 - (961.69 * $E$1)</f>
        <v>961.69</v>
      </c>
      <c r="M1316" s="1">
        <v>1173.26</v>
      </c>
      <c r="N1316" s="1">
        <v>961.69</v>
      </c>
      <c r="O1316" s="1">
        <v>997.27</v>
      </c>
      <c r="P1316" s="1">
        <v>817.44</v>
      </c>
      <c r="Q1316">
        <v>7.0000000000000007E-2</v>
      </c>
      <c r="R1316">
        <v>8.8199999999999997E-4</v>
      </c>
    </row>
    <row r="1317" spans="1:18" ht="13.8" outlineLevel="2" x14ac:dyDescent="0.25">
      <c r="A1317">
        <v>82485</v>
      </c>
      <c r="B1317" t="s">
        <v>1524</v>
      </c>
      <c r="C1317" t="s">
        <v>1592</v>
      </c>
      <c r="D1317" s="14" t="s">
        <v>1588</v>
      </c>
      <c r="E1317" s="12" t="s">
        <v>28</v>
      </c>
      <c r="F1317" s="13" t="s">
        <v>29</v>
      </c>
      <c r="G1317">
        <v>1</v>
      </c>
      <c r="H1317" t="s">
        <v>30</v>
      </c>
      <c r="I1317">
        <v>1</v>
      </c>
      <c r="J1317" s="15"/>
      <c r="K1317" s="16">
        <f>1250.6 - (1250.6 * $E$1)</f>
        <v>1250.5999999999999</v>
      </c>
      <c r="L1317" s="16">
        <f>1025.08 - (1025.08 * $E$1)</f>
        <v>1025.08</v>
      </c>
      <c r="M1317" s="1">
        <v>1250.5999999999999</v>
      </c>
      <c r="N1317" s="1">
        <v>1025.08</v>
      </c>
      <c r="O1317" s="1">
        <v>1063.01</v>
      </c>
      <c r="P1317" s="1">
        <v>871.32</v>
      </c>
      <c r="Q1317">
        <v>5.5E-2</v>
      </c>
      <c r="R1317">
        <v>1.176E-3</v>
      </c>
    </row>
    <row r="1318" spans="1:18" ht="13.8" outlineLevel="2" x14ac:dyDescent="0.25">
      <c r="A1318">
        <v>82486</v>
      </c>
      <c r="B1318" t="s">
        <v>1524</v>
      </c>
      <c r="C1318" t="s">
        <v>1593</v>
      </c>
      <c r="D1318" s="14" t="s">
        <v>1588</v>
      </c>
      <c r="E1318" s="12" t="s">
        <v>28</v>
      </c>
      <c r="F1318" s="13" t="s">
        <v>29</v>
      </c>
      <c r="G1318">
        <v>1</v>
      </c>
      <c r="H1318" t="s">
        <v>30</v>
      </c>
      <c r="I1318">
        <v>1</v>
      </c>
      <c r="J1318" s="15"/>
      <c r="K1318" s="16">
        <f>1414.37 - (1414.37 * $E$1)</f>
        <v>1414.37</v>
      </c>
      <c r="L1318" s="16">
        <f>1159.32 - (1159.32 * $E$1)</f>
        <v>1159.32</v>
      </c>
      <c r="M1318" s="1">
        <v>1414.37</v>
      </c>
      <c r="N1318" s="1">
        <v>1159.32</v>
      </c>
      <c r="O1318" s="1">
        <v>1202.21</v>
      </c>
      <c r="P1318" s="1">
        <v>985.42</v>
      </c>
      <c r="Q1318">
        <v>0.06</v>
      </c>
      <c r="R1318">
        <v>1.176E-3</v>
      </c>
    </row>
    <row r="1319" spans="1:18" ht="13.8" outlineLevel="2" x14ac:dyDescent="0.25">
      <c r="A1319">
        <v>71139</v>
      </c>
      <c r="B1319" t="s">
        <v>1594</v>
      </c>
      <c r="C1319" t="s">
        <v>1595</v>
      </c>
      <c r="D1319" s="14" t="s">
        <v>1596</v>
      </c>
      <c r="E1319" s="12" t="s">
        <v>28</v>
      </c>
      <c r="F1319" s="13" t="s">
        <v>29</v>
      </c>
      <c r="G1319">
        <v>1</v>
      </c>
      <c r="H1319" t="s">
        <v>30</v>
      </c>
      <c r="I1319">
        <v>1</v>
      </c>
      <c r="J1319" s="15"/>
      <c r="K1319" s="16">
        <f>7743.75 - (7743.75 * $E$1)</f>
        <v>7743.75</v>
      </c>
      <c r="L1319" s="16">
        <f>6347.34 - (6347.34 * $E$1)</f>
        <v>6347.34</v>
      </c>
      <c r="M1319" s="1">
        <v>7743.75</v>
      </c>
      <c r="N1319" s="1">
        <v>6347.34</v>
      </c>
      <c r="O1319" s="1">
        <v>6582.19</v>
      </c>
      <c r="P1319" s="1">
        <v>5395.24</v>
      </c>
      <c r="Q1319">
        <v>1.2</v>
      </c>
      <c r="R1319">
        <v>2.0479999999999999E-3</v>
      </c>
    </row>
    <row r="1320" spans="1:18" ht="13.8" outlineLevel="2" x14ac:dyDescent="0.25">
      <c r="A1320">
        <v>71141</v>
      </c>
      <c r="B1320" t="s">
        <v>1594</v>
      </c>
      <c r="C1320" t="s">
        <v>1597</v>
      </c>
      <c r="D1320" s="14" t="s">
        <v>1596</v>
      </c>
      <c r="E1320" s="12" t="s">
        <v>28</v>
      </c>
      <c r="F1320" s="13" t="s">
        <v>29</v>
      </c>
      <c r="G1320">
        <v>1</v>
      </c>
      <c r="H1320" t="s">
        <v>30</v>
      </c>
      <c r="I1320">
        <v>1</v>
      </c>
      <c r="J1320" s="15"/>
      <c r="K1320" s="16">
        <f>8929.88 - (8929.88 * $E$1)</f>
        <v>8929.8799999999992</v>
      </c>
      <c r="L1320" s="16">
        <f>7319.57 - (7319.57 * $E$1)</f>
        <v>7319.57</v>
      </c>
      <c r="M1320" s="1">
        <v>8929.8799999999992</v>
      </c>
      <c r="N1320" s="1">
        <v>7319.57</v>
      </c>
      <c r="O1320" s="1">
        <v>7590.39</v>
      </c>
      <c r="P1320" s="1">
        <v>6221.63</v>
      </c>
      <c r="Q1320">
        <v>1.4</v>
      </c>
      <c r="R1320">
        <v>3.3800000000000002E-3</v>
      </c>
    </row>
    <row r="1321" spans="1:18" ht="13.8" outlineLevel="2" x14ac:dyDescent="0.25">
      <c r="A1321">
        <v>71143</v>
      </c>
      <c r="B1321" t="s">
        <v>1594</v>
      </c>
      <c r="C1321" t="s">
        <v>1598</v>
      </c>
      <c r="D1321" s="14" t="s">
        <v>1596</v>
      </c>
      <c r="E1321" s="12" t="s">
        <v>28</v>
      </c>
      <c r="F1321" s="13" t="s">
        <v>29</v>
      </c>
      <c r="G1321">
        <v>1</v>
      </c>
      <c r="H1321" t="s">
        <v>30</v>
      </c>
      <c r="I1321">
        <v>1</v>
      </c>
      <c r="J1321" s="15"/>
      <c r="K1321" s="16">
        <f>10970.91 - (10970.91 * $E$1)</f>
        <v>10970.91</v>
      </c>
      <c r="L1321" s="16">
        <f>8992.55 - (8992.55 * $E$1)</f>
        <v>8992.5499999999993</v>
      </c>
      <c r="M1321" s="1">
        <v>10970.91</v>
      </c>
      <c r="N1321" s="1">
        <v>8992.5499999999993</v>
      </c>
      <c r="O1321" s="1">
        <v>9325.27</v>
      </c>
      <c r="P1321" s="1">
        <v>7643.67</v>
      </c>
      <c r="Q1321">
        <v>1.9</v>
      </c>
      <c r="R1321">
        <v>3.3800000000000002E-3</v>
      </c>
    </row>
    <row r="1322" spans="1:18" ht="13.8" outlineLevel="2" x14ac:dyDescent="0.25">
      <c r="A1322">
        <v>71140</v>
      </c>
      <c r="B1322" t="s">
        <v>1594</v>
      </c>
      <c r="C1322" t="s">
        <v>1599</v>
      </c>
      <c r="D1322" s="14" t="s">
        <v>1596</v>
      </c>
      <c r="E1322" s="12" t="s">
        <v>28</v>
      </c>
      <c r="F1322" s="13" t="s">
        <v>29</v>
      </c>
      <c r="G1322">
        <v>1</v>
      </c>
      <c r="H1322" t="s">
        <v>30</v>
      </c>
      <c r="I1322">
        <v>1</v>
      </c>
      <c r="J1322" s="15"/>
      <c r="K1322" s="16">
        <f>9984.87 - (9984.87 * $E$1)</f>
        <v>9984.8700000000008</v>
      </c>
      <c r="L1322" s="16">
        <f>8184.32 - (8184.32 * $E$1)</f>
        <v>8184.32</v>
      </c>
      <c r="M1322" s="1">
        <v>9984.8700000000008</v>
      </c>
      <c r="N1322" s="1">
        <v>8184.32</v>
      </c>
      <c r="O1322" s="1">
        <v>8487.14</v>
      </c>
      <c r="P1322" s="1">
        <v>6956.67</v>
      </c>
      <c r="Q1322">
        <v>1.3</v>
      </c>
      <c r="R1322">
        <v>2.0479999999999999E-3</v>
      </c>
    </row>
    <row r="1323" spans="1:18" ht="13.8" outlineLevel="2" x14ac:dyDescent="0.25">
      <c r="A1323">
        <v>71142</v>
      </c>
      <c r="B1323" t="s">
        <v>1594</v>
      </c>
      <c r="C1323" t="s">
        <v>1600</v>
      </c>
      <c r="D1323" s="14" t="s">
        <v>1596</v>
      </c>
      <c r="E1323" s="12" t="s">
        <v>28</v>
      </c>
      <c r="F1323" s="13" t="s">
        <v>29</v>
      </c>
      <c r="G1323">
        <v>1</v>
      </c>
      <c r="H1323" t="s">
        <v>30</v>
      </c>
      <c r="I1323">
        <v>1</v>
      </c>
      <c r="J1323" s="15"/>
      <c r="K1323" s="16">
        <f>11918.88 - (11918.88 * $E$1)</f>
        <v>11918.88</v>
      </c>
      <c r="L1323" s="16">
        <f>9769.57 - (9769.57 * $E$1)</f>
        <v>9769.57</v>
      </c>
      <c r="M1323" s="1">
        <v>11918.88</v>
      </c>
      <c r="N1323" s="1">
        <v>9769.57</v>
      </c>
      <c r="O1323" s="1">
        <v>10131.040000000001</v>
      </c>
      <c r="P1323" s="1">
        <v>8304.1299999999992</v>
      </c>
      <c r="Q1323">
        <v>1.8</v>
      </c>
      <c r="R1323">
        <v>3.3800000000000002E-3</v>
      </c>
    </row>
    <row r="1324" spans="1:18" ht="13.8" outlineLevel="2" x14ac:dyDescent="0.25">
      <c r="A1324">
        <v>71144</v>
      </c>
      <c r="B1324" t="s">
        <v>1594</v>
      </c>
      <c r="C1324" t="s">
        <v>1601</v>
      </c>
      <c r="D1324" s="14" t="s">
        <v>1596</v>
      </c>
      <c r="E1324" s="12" t="s">
        <v>28</v>
      </c>
      <c r="F1324" s="13" t="s">
        <v>29</v>
      </c>
      <c r="G1324">
        <v>1</v>
      </c>
      <c r="H1324" t="s">
        <v>30</v>
      </c>
      <c r="I1324">
        <v>1</v>
      </c>
      <c r="J1324" s="15"/>
      <c r="K1324" s="16">
        <f>15997.52 - (15997.52 * $E$1)</f>
        <v>15997.52</v>
      </c>
      <c r="L1324" s="16">
        <f>13112.72 - (13112.72 * $E$1)</f>
        <v>13112.72</v>
      </c>
      <c r="M1324" s="1">
        <v>15997.52</v>
      </c>
      <c r="N1324" s="1">
        <v>13112.72</v>
      </c>
      <c r="O1324" s="1">
        <v>13597.89</v>
      </c>
      <c r="P1324" s="1">
        <v>11145.81</v>
      </c>
      <c r="Q1324">
        <v>2.6</v>
      </c>
      <c r="R1324">
        <v>3.3800000000000002E-3</v>
      </c>
    </row>
    <row r="1325" spans="1:18" ht="13.8" outlineLevel="2" x14ac:dyDescent="0.25">
      <c r="A1325">
        <v>71146</v>
      </c>
      <c r="B1325" t="s">
        <v>1594</v>
      </c>
      <c r="C1325" t="s">
        <v>1602</v>
      </c>
      <c r="D1325" s="14" t="s">
        <v>1603</v>
      </c>
      <c r="E1325" s="12" t="s">
        <v>28</v>
      </c>
      <c r="F1325" s="13" t="s">
        <v>29</v>
      </c>
      <c r="G1325">
        <v>1</v>
      </c>
      <c r="H1325" t="s">
        <v>30</v>
      </c>
      <c r="I1325">
        <v>1</v>
      </c>
      <c r="J1325" s="15"/>
      <c r="K1325" s="16">
        <f>8833.95 - (8833.95 * $E$1)</f>
        <v>8833.9500000000007</v>
      </c>
      <c r="L1325" s="16">
        <f>7240.94 - (7240.94 * $E$1)</f>
        <v>7240.94</v>
      </c>
      <c r="M1325" s="1">
        <v>8833.9500000000007</v>
      </c>
      <c r="N1325" s="1">
        <v>7240.94</v>
      </c>
      <c r="O1325" s="1">
        <v>7508.85</v>
      </c>
      <c r="P1325" s="1">
        <v>6154.8</v>
      </c>
      <c r="Q1325">
        <v>1.3</v>
      </c>
      <c r="R1325">
        <v>3.3800000000000002E-3</v>
      </c>
    </row>
    <row r="1326" spans="1:18" ht="13.8" outlineLevel="2" x14ac:dyDescent="0.25">
      <c r="A1326">
        <v>71148</v>
      </c>
      <c r="B1326" t="s">
        <v>1594</v>
      </c>
      <c r="C1326" t="s">
        <v>1604</v>
      </c>
      <c r="D1326" s="14" t="s">
        <v>1603</v>
      </c>
      <c r="E1326" s="12" t="s">
        <v>28</v>
      </c>
      <c r="F1326" s="13" t="s">
        <v>29</v>
      </c>
      <c r="G1326">
        <v>1</v>
      </c>
      <c r="H1326" t="s">
        <v>30</v>
      </c>
      <c r="I1326">
        <v>1</v>
      </c>
      <c r="J1326" s="15"/>
      <c r="K1326" s="16">
        <f>10109.94 - (10109.94 * $E$1)</f>
        <v>10109.94</v>
      </c>
      <c r="L1326" s="16">
        <f>8286.84 - (8286.84 * $E$1)</f>
        <v>8286.84</v>
      </c>
      <c r="M1326" s="1">
        <v>10109.94</v>
      </c>
      <c r="N1326" s="1">
        <v>8286.84</v>
      </c>
      <c r="O1326" s="1">
        <v>8593.4500000000007</v>
      </c>
      <c r="P1326" s="1">
        <v>7043.81</v>
      </c>
      <c r="Q1326">
        <v>1.7</v>
      </c>
      <c r="R1326">
        <v>3.3800000000000002E-3</v>
      </c>
    </row>
    <row r="1327" spans="1:18" ht="13.8" outlineLevel="2" x14ac:dyDescent="0.25">
      <c r="A1327">
        <v>71150</v>
      </c>
      <c r="B1327" t="s">
        <v>1594</v>
      </c>
      <c r="C1327" t="s">
        <v>1605</v>
      </c>
      <c r="D1327" s="14" t="s">
        <v>1603</v>
      </c>
      <c r="E1327" s="12" t="s">
        <v>28</v>
      </c>
      <c r="F1327" s="13" t="s">
        <v>29</v>
      </c>
      <c r="G1327">
        <v>1</v>
      </c>
      <c r="H1327" t="s">
        <v>30</v>
      </c>
      <c r="I1327">
        <v>1</v>
      </c>
      <c r="J1327" s="15"/>
      <c r="K1327" s="16">
        <f>12266.66 - (12266.66 * $E$1)</f>
        <v>12266.66</v>
      </c>
      <c r="L1327" s="16">
        <f>10054.64 - (10054.64 * $E$1)</f>
        <v>10054.64</v>
      </c>
      <c r="M1327" s="1">
        <v>12266.66</v>
      </c>
      <c r="N1327" s="1">
        <v>10054.64</v>
      </c>
      <c r="O1327" s="1">
        <v>10426.66</v>
      </c>
      <c r="P1327" s="1">
        <v>8546.44</v>
      </c>
      <c r="Q1327">
        <v>2.1</v>
      </c>
      <c r="R1327">
        <v>3.3800000000000002E-3</v>
      </c>
    </row>
    <row r="1328" spans="1:18" ht="13.8" outlineLevel="2" x14ac:dyDescent="0.25">
      <c r="A1328">
        <v>71147</v>
      </c>
      <c r="B1328" t="s">
        <v>1594</v>
      </c>
      <c r="C1328" t="s">
        <v>1606</v>
      </c>
      <c r="D1328" s="14" t="s">
        <v>1603</v>
      </c>
      <c r="E1328" s="12" t="s">
        <v>28</v>
      </c>
      <c r="F1328" s="13" t="s">
        <v>29</v>
      </c>
      <c r="G1328">
        <v>1</v>
      </c>
      <c r="H1328" t="s">
        <v>30</v>
      </c>
      <c r="I1328">
        <v>1</v>
      </c>
      <c r="J1328" s="15"/>
      <c r="K1328" s="16">
        <f>10467.1 - (10467.1 * $E$1)</f>
        <v>10467.1</v>
      </c>
      <c r="L1328" s="16">
        <f>8579.59 - (8579.59 * $E$1)</f>
        <v>8579.59</v>
      </c>
      <c r="M1328" s="1">
        <v>10467.1</v>
      </c>
      <c r="N1328" s="1">
        <v>8579.59</v>
      </c>
      <c r="O1328" s="1">
        <v>8897.0300000000007</v>
      </c>
      <c r="P1328" s="1">
        <v>7292.65</v>
      </c>
      <c r="Q1328">
        <v>1.5</v>
      </c>
      <c r="R1328">
        <v>3.3800000000000002E-3</v>
      </c>
    </row>
    <row r="1329" spans="1:18" ht="13.8" outlineLevel="2" x14ac:dyDescent="0.25">
      <c r="A1329">
        <v>71149</v>
      </c>
      <c r="B1329" t="s">
        <v>1594</v>
      </c>
      <c r="C1329" t="s">
        <v>1607</v>
      </c>
      <c r="D1329" s="14" t="s">
        <v>1603</v>
      </c>
      <c r="E1329" s="12" t="s">
        <v>28</v>
      </c>
      <c r="F1329" s="13" t="s">
        <v>29</v>
      </c>
      <c r="G1329">
        <v>1</v>
      </c>
      <c r="H1329" t="s">
        <v>30</v>
      </c>
      <c r="I1329">
        <v>1</v>
      </c>
      <c r="J1329" s="15"/>
      <c r="K1329" s="16">
        <f>12680.16 - (12680.16 * $E$1)</f>
        <v>12680.16</v>
      </c>
      <c r="L1329" s="16">
        <f>10393.57 - (10393.57 * $E$1)</f>
        <v>10393.57</v>
      </c>
      <c r="M1329" s="1">
        <v>12680.16</v>
      </c>
      <c r="N1329" s="1">
        <v>10393.57</v>
      </c>
      <c r="O1329" s="1">
        <v>10778.13</v>
      </c>
      <c r="P1329" s="1">
        <v>8834.5300000000007</v>
      </c>
      <c r="Q1329">
        <v>2.1</v>
      </c>
      <c r="R1329">
        <v>3.3800000000000002E-3</v>
      </c>
    </row>
    <row r="1330" spans="1:18" ht="13.8" outlineLevel="2" x14ac:dyDescent="0.25">
      <c r="A1330">
        <v>71151</v>
      </c>
      <c r="B1330" t="s">
        <v>1594</v>
      </c>
      <c r="C1330" t="s">
        <v>1608</v>
      </c>
      <c r="D1330" s="14" t="s">
        <v>1603</v>
      </c>
      <c r="E1330" s="12" t="s">
        <v>28</v>
      </c>
      <c r="F1330" s="13" t="s">
        <v>29</v>
      </c>
      <c r="G1330">
        <v>1</v>
      </c>
      <c r="H1330" t="s">
        <v>30</v>
      </c>
      <c r="I1330">
        <v>1</v>
      </c>
      <c r="J1330" s="15"/>
      <c r="K1330" s="16">
        <f>19264.28 - (19264.28 * $E$1)</f>
        <v>19264.28</v>
      </c>
      <c r="L1330" s="16">
        <f>15790.39 - (15790.39 * $E$1)</f>
        <v>15790.39</v>
      </c>
      <c r="M1330" s="1">
        <v>19264.28</v>
      </c>
      <c r="N1330" s="1">
        <v>15790.39</v>
      </c>
      <c r="O1330" s="1">
        <v>16374.63</v>
      </c>
      <c r="P1330" s="1">
        <v>13421.83</v>
      </c>
      <c r="Q1330">
        <v>2.9</v>
      </c>
      <c r="R1330">
        <v>3.3800000000000002E-3</v>
      </c>
    </row>
    <row r="1331" spans="1:18" ht="13.8" outlineLevel="2" x14ac:dyDescent="0.25">
      <c r="A1331">
        <v>66837</v>
      </c>
      <c r="B1331" t="s">
        <v>1594</v>
      </c>
      <c r="C1331" t="s">
        <v>1609</v>
      </c>
      <c r="D1331" s="14" t="s">
        <v>1610</v>
      </c>
      <c r="E1331" s="12" t="s">
        <v>28</v>
      </c>
      <c r="F1331" s="13" t="s">
        <v>29</v>
      </c>
      <c r="G1331">
        <v>1</v>
      </c>
      <c r="H1331" t="s">
        <v>30</v>
      </c>
      <c r="I1331">
        <v>1</v>
      </c>
      <c r="J1331" s="15"/>
      <c r="K1331" s="16">
        <f>794.9 - (794.9 * $E$1)</f>
        <v>794.9</v>
      </c>
      <c r="L1331" s="16">
        <f>651.56 - (651.56 * $E$1)</f>
        <v>651.55999999999995</v>
      </c>
      <c r="M1331" s="1">
        <v>794.9</v>
      </c>
      <c r="N1331" s="1">
        <v>651.55999999999995</v>
      </c>
      <c r="O1331" s="1">
        <v>675.67</v>
      </c>
      <c r="P1331" s="1">
        <v>553.83000000000004</v>
      </c>
      <c r="Q1331">
        <v>0.04</v>
      </c>
      <c r="R1331">
        <v>3.8400000000000001E-4</v>
      </c>
    </row>
    <row r="1332" spans="1:18" ht="13.8" outlineLevel="2" x14ac:dyDescent="0.25">
      <c r="A1332">
        <v>66838</v>
      </c>
      <c r="B1332" t="s">
        <v>1594</v>
      </c>
      <c r="C1332" t="s">
        <v>1611</v>
      </c>
      <c r="D1332" s="14" t="s">
        <v>1610</v>
      </c>
      <c r="E1332" s="12" t="s">
        <v>28</v>
      </c>
      <c r="F1332" s="13" t="s">
        <v>29</v>
      </c>
      <c r="G1332">
        <v>1</v>
      </c>
      <c r="H1332" t="s">
        <v>30</v>
      </c>
      <c r="I1332">
        <v>1</v>
      </c>
      <c r="J1332" s="15"/>
      <c r="K1332" s="16">
        <f>1027.86 - (1027.86 * $E$1)</f>
        <v>1027.8599999999999</v>
      </c>
      <c r="L1332" s="16">
        <f>842.51 - (842.51 * $E$1)</f>
        <v>842.51</v>
      </c>
      <c r="M1332" s="1">
        <v>1027.8599999999999</v>
      </c>
      <c r="N1332" s="1">
        <v>842.51</v>
      </c>
      <c r="O1332" s="1">
        <v>873.68</v>
      </c>
      <c r="P1332" s="1">
        <v>716.13</v>
      </c>
      <c r="Q1332">
        <v>7.0000000000000007E-2</v>
      </c>
      <c r="R1332">
        <v>3.8400000000000001E-4</v>
      </c>
    </row>
    <row r="1333" spans="1:18" ht="13.8" outlineLevel="2" x14ac:dyDescent="0.25">
      <c r="A1333">
        <v>66839</v>
      </c>
      <c r="B1333" t="s">
        <v>1594</v>
      </c>
      <c r="C1333" t="s">
        <v>1612</v>
      </c>
      <c r="D1333" s="14" t="s">
        <v>1610</v>
      </c>
      <c r="E1333" s="12" t="s">
        <v>28</v>
      </c>
      <c r="F1333" s="13" t="s">
        <v>29</v>
      </c>
      <c r="G1333">
        <v>1</v>
      </c>
      <c r="H1333" t="s">
        <v>30</v>
      </c>
      <c r="I1333">
        <v>1</v>
      </c>
      <c r="J1333" s="15"/>
      <c r="K1333" s="16">
        <f>1151.38 - (1151.38 * $E$1)</f>
        <v>1151.3800000000001</v>
      </c>
      <c r="L1333" s="16">
        <f>943.75 - (943.75 * $E$1)</f>
        <v>943.75</v>
      </c>
      <c r="M1333" s="1">
        <v>1151.3800000000001</v>
      </c>
      <c r="N1333" s="1">
        <v>943.75</v>
      </c>
      <c r="O1333" s="1">
        <v>978.67</v>
      </c>
      <c r="P1333" s="1">
        <v>802.19</v>
      </c>
      <c r="Q1333">
        <v>0.14000000000000001</v>
      </c>
      <c r="R1333">
        <v>3.8400000000000001E-4</v>
      </c>
    </row>
    <row r="1334" spans="1:18" ht="13.8" outlineLevel="2" x14ac:dyDescent="0.25">
      <c r="A1334">
        <v>66840</v>
      </c>
      <c r="B1334" t="s">
        <v>1594</v>
      </c>
      <c r="C1334" t="s">
        <v>1613</v>
      </c>
      <c r="D1334" s="14" t="s">
        <v>1610</v>
      </c>
      <c r="E1334" s="12" t="s">
        <v>28</v>
      </c>
      <c r="F1334" s="13" t="s">
        <v>29</v>
      </c>
      <c r="G1334">
        <v>1</v>
      </c>
      <c r="H1334" t="s">
        <v>30</v>
      </c>
      <c r="I1334">
        <v>1</v>
      </c>
      <c r="J1334" s="15"/>
      <c r="K1334" s="16">
        <f>2049.44 - (2049.44 * $E$1)</f>
        <v>2049.44</v>
      </c>
      <c r="L1334" s="16">
        <f>1679.87 - (1679.87 * $E$1)</f>
        <v>1679.87</v>
      </c>
      <c r="M1334" s="1">
        <v>2049.44</v>
      </c>
      <c r="N1334" s="1">
        <v>1679.87</v>
      </c>
      <c r="O1334" s="1">
        <v>1742.03</v>
      </c>
      <c r="P1334" s="1">
        <v>1427.89</v>
      </c>
      <c r="Q1334">
        <v>0.26</v>
      </c>
      <c r="R1334">
        <v>3.8400000000000001E-4</v>
      </c>
    </row>
    <row r="1335" spans="1:18" ht="13.8" outlineLevel="2" x14ac:dyDescent="0.25">
      <c r="A1335">
        <v>67032</v>
      </c>
      <c r="B1335" t="s">
        <v>1594</v>
      </c>
      <c r="C1335" t="s">
        <v>1614</v>
      </c>
      <c r="D1335" s="14" t="s">
        <v>1610</v>
      </c>
      <c r="E1335" s="12" t="s">
        <v>28</v>
      </c>
      <c r="F1335" s="13" t="s">
        <v>29</v>
      </c>
      <c r="G1335">
        <v>1</v>
      </c>
      <c r="H1335" t="s">
        <v>30</v>
      </c>
      <c r="I1335">
        <v>1</v>
      </c>
      <c r="J1335" s="15"/>
      <c r="K1335" s="16">
        <f>2744.3 - (2744.3 * $E$1)</f>
        <v>2744.3</v>
      </c>
      <c r="L1335" s="16">
        <f>2249.43 - (2249.43 * $E$1)</f>
        <v>2249.4299999999998</v>
      </c>
      <c r="M1335" s="1">
        <v>2744.3</v>
      </c>
      <c r="N1335" s="1">
        <v>2249.4299999999998</v>
      </c>
      <c r="O1335" s="1">
        <v>2332.66</v>
      </c>
      <c r="P1335" s="1">
        <v>1912.02</v>
      </c>
      <c r="Q1335">
        <v>0.31</v>
      </c>
      <c r="R1335">
        <v>3.8400000000000001E-4</v>
      </c>
    </row>
    <row r="1336" spans="1:18" ht="13.8" outlineLevel="2" x14ac:dyDescent="0.25">
      <c r="A1336">
        <v>67077</v>
      </c>
      <c r="B1336" t="s">
        <v>1594</v>
      </c>
      <c r="C1336" t="s">
        <v>1615</v>
      </c>
      <c r="D1336" s="14" t="s">
        <v>1610</v>
      </c>
      <c r="E1336" s="12" t="s">
        <v>28</v>
      </c>
      <c r="F1336" s="13" t="s">
        <v>29</v>
      </c>
      <c r="G1336">
        <v>1</v>
      </c>
      <c r="H1336" t="s">
        <v>30</v>
      </c>
      <c r="I1336">
        <v>1</v>
      </c>
      <c r="J1336" s="15"/>
      <c r="K1336" s="16">
        <f>12401.65 - (12401.65 * $E$1)</f>
        <v>12401.65</v>
      </c>
      <c r="L1336" s="16">
        <f>10165.29 - (10165.29 * $E$1)</f>
        <v>10165.290000000001</v>
      </c>
      <c r="M1336" s="1">
        <v>12401.65</v>
      </c>
      <c r="N1336" s="1">
        <v>10165.290000000001</v>
      </c>
      <c r="O1336" s="1">
        <v>10541.41</v>
      </c>
      <c r="P1336" s="1">
        <v>8640.5</v>
      </c>
      <c r="Q1336">
        <v>0.67</v>
      </c>
      <c r="R1336">
        <v>6.2399999999999999E-4</v>
      </c>
    </row>
    <row r="1337" spans="1:18" ht="13.8" outlineLevel="2" x14ac:dyDescent="0.25">
      <c r="A1337">
        <v>72000</v>
      </c>
      <c r="B1337" t="s">
        <v>1594</v>
      </c>
      <c r="C1337" t="s">
        <v>1616</v>
      </c>
      <c r="D1337" s="14" t="s">
        <v>1610</v>
      </c>
      <c r="E1337" s="12" t="s">
        <v>28</v>
      </c>
      <c r="F1337" s="13" t="s">
        <v>29</v>
      </c>
      <c r="G1337">
        <v>1</v>
      </c>
      <c r="H1337" t="s">
        <v>30</v>
      </c>
      <c r="I1337">
        <v>1</v>
      </c>
      <c r="J1337" s="15"/>
      <c r="K1337" s="16">
        <f>13439.06 - (13439.06 * $E$1)</f>
        <v>13439.06</v>
      </c>
      <c r="L1337" s="16">
        <f>11015.62 - (11015.62 * $E$1)</f>
        <v>11015.62</v>
      </c>
      <c r="M1337" s="1">
        <v>13439.06</v>
      </c>
      <c r="N1337" s="1">
        <v>11015.62</v>
      </c>
      <c r="O1337" s="1">
        <v>11423.2</v>
      </c>
      <c r="P1337" s="1">
        <v>9363.2800000000007</v>
      </c>
      <c r="Q1337">
        <v>0.96</v>
      </c>
      <c r="R1337">
        <v>6.2399999999999999E-4</v>
      </c>
    </row>
    <row r="1338" spans="1:18" ht="13.8" outlineLevel="2" x14ac:dyDescent="0.25">
      <c r="A1338">
        <v>65543</v>
      </c>
      <c r="B1338" t="s">
        <v>1594</v>
      </c>
      <c r="C1338" t="s">
        <v>1617</v>
      </c>
      <c r="D1338" s="14" t="s">
        <v>1618</v>
      </c>
      <c r="E1338" s="12" t="s">
        <v>28</v>
      </c>
      <c r="F1338" s="13" t="s">
        <v>29</v>
      </c>
      <c r="G1338">
        <v>1</v>
      </c>
      <c r="H1338" t="s">
        <v>30</v>
      </c>
      <c r="I1338">
        <v>1</v>
      </c>
      <c r="J1338" s="15"/>
      <c r="K1338" s="16">
        <f>1834.92 - (1834.92 * $E$1)</f>
        <v>1834.92</v>
      </c>
      <c r="L1338" s="16">
        <f>1504.03 - (1504.03 * $E$1)</f>
        <v>1504.03</v>
      </c>
      <c r="M1338" s="1">
        <v>1834.92</v>
      </c>
      <c r="N1338" s="1">
        <v>1504.03</v>
      </c>
      <c r="O1338" s="1">
        <v>1559.68</v>
      </c>
      <c r="P1338" s="1">
        <v>1278.43</v>
      </c>
      <c r="Q1338">
        <v>0.2</v>
      </c>
      <c r="R1338">
        <v>1.088E-3</v>
      </c>
    </row>
    <row r="1339" spans="1:18" ht="13.8" outlineLevel="2" x14ac:dyDescent="0.25">
      <c r="A1339">
        <v>65544</v>
      </c>
      <c r="B1339" t="s">
        <v>1594</v>
      </c>
      <c r="C1339" t="s">
        <v>1619</v>
      </c>
      <c r="D1339" s="14" t="s">
        <v>1618</v>
      </c>
      <c r="E1339" s="12" t="s">
        <v>28</v>
      </c>
      <c r="F1339" s="13" t="s">
        <v>29</v>
      </c>
      <c r="G1339">
        <v>1</v>
      </c>
      <c r="H1339" t="s">
        <v>30</v>
      </c>
      <c r="I1339">
        <v>1</v>
      </c>
      <c r="J1339" s="15"/>
      <c r="K1339" s="16">
        <f>2595.38 - (2595.38 * $E$1)</f>
        <v>2595.38</v>
      </c>
      <c r="L1339" s="16">
        <f>2127.36 - (2127.36 * $E$1)</f>
        <v>2127.36</v>
      </c>
      <c r="M1339" s="1">
        <v>2595.38</v>
      </c>
      <c r="N1339" s="1">
        <v>2127.36</v>
      </c>
      <c r="O1339" s="1">
        <v>2206.0700000000002</v>
      </c>
      <c r="P1339" s="1">
        <v>1808.26</v>
      </c>
      <c r="Q1339">
        <v>0.31</v>
      </c>
      <c r="R1339">
        <v>1.088E-3</v>
      </c>
    </row>
    <row r="1340" spans="1:18" ht="13.8" outlineLevel="2" x14ac:dyDescent="0.25">
      <c r="A1340">
        <v>65545</v>
      </c>
      <c r="B1340" t="s">
        <v>1594</v>
      </c>
      <c r="C1340" t="s">
        <v>1620</v>
      </c>
      <c r="D1340" s="14" t="s">
        <v>1618</v>
      </c>
      <c r="E1340" s="12" t="s">
        <v>28</v>
      </c>
      <c r="F1340" s="13" t="s">
        <v>29</v>
      </c>
      <c r="G1340">
        <v>1</v>
      </c>
      <c r="H1340" t="s">
        <v>30</v>
      </c>
      <c r="I1340">
        <v>1</v>
      </c>
      <c r="J1340" s="15"/>
      <c r="K1340" s="16">
        <f>3471.16 - (3471.16 * $E$1)</f>
        <v>3471.16</v>
      </c>
      <c r="L1340" s="16">
        <f>2845.21 - (2845.21 * $E$1)</f>
        <v>2845.21</v>
      </c>
      <c r="M1340" s="1">
        <v>3471.16</v>
      </c>
      <c r="N1340" s="1">
        <v>2845.21</v>
      </c>
      <c r="O1340" s="1">
        <v>2950.48</v>
      </c>
      <c r="P1340" s="1">
        <v>2418.4299999999998</v>
      </c>
      <c r="Q1340">
        <v>0.48</v>
      </c>
      <c r="R1340">
        <v>2.3400000000000001E-3</v>
      </c>
    </row>
    <row r="1341" spans="1:18" ht="13.8" outlineLevel="2" x14ac:dyDescent="0.25">
      <c r="A1341">
        <v>65546</v>
      </c>
      <c r="B1341" t="s">
        <v>1594</v>
      </c>
      <c r="C1341" t="s">
        <v>1621</v>
      </c>
      <c r="D1341" s="14" t="s">
        <v>1618</v>
      </c>
      <c r="E1341" s="12" t="s">
        <v>28</v>
      </c>
      <c r="F1341" s="13" t="s">
        <v>29</v>
      </c>
      <c r="G1341">
        <v>1</v>
      </c>
      <c r="H1341" t="s">
        <v>30</v>
      </c>
      <c r="I1341">
        <v>1</v>
      </c>
      <c r="J1341" s="15"/>
      <c r="K1341" s="16">
        <f>5241.88 - (5241.88 * $E$1)</f>
        <v>5241.88</v>
      </c>
      <c r="L1341" s="16">
        <f>4296.62 - (4296.62 * $E$1)</f>
        <v>4296.62</v>
      </c>
      <c r="M1341" s="1">
        <v>5241.88</v>
      </c>
      <c r="N1341" s="1">
        <v>4296.62</v>
      </c>
      <c r="O1341" s="1">
        <v>4455.59</v>
      </c>
      <c r="P1341" s="1">
        <v>3652.13</v>
      </c>
      <c r="Q1341">
        <v>1</v>
      </c>
      <c r="R1341">
        <v>2.8600000000000001E-3</v>
      </c>
    </row>
    <row r="1342" spans="1:18" ht="13.8" outlineLevel="2" x14ac:dyDescent="0.25">
      <c r="A1342">
        <v>65547</v>
      </c>
      <c r="B1342" t="s">
        <v>1594</v>
      </c>
      <c r="C1342" t="s">
        <v>1622</v>
      </c>
      <c r="D1342" s="14" t="s">
        <v>1618</v>
      </c>
      <c r="E1342" s="12" t="s">
        <v>28</v>
      </c>
      <c r="F1342" s="13" t="s">
        <v>29</v>
      </c>
      <c r="G1342">
        <v>1</v>
      </c>
      <c r="H1342" t="s">
        <v>30</v>
      </c>
      <c r="I1342">
        <v>1</v>
      </c>
      <c r="J1342" s="15"/>
      <c r="K1342" s="16">
        <f>3971.03 - (3971.03 * $E$1)</f>
        <v>3971.03</v>
      </c>
      <c r="L1342" s="16">
        <f>3254.94 - (3254.94 * $E$1)</f>
        <v>3254.94</v>
      </c>
      <c r="M1342" s="1">
        <v>3971.03</v>
      </c>
      <c r="N1342" s="1">
        <v>3254.94</v>
      </c>
      <c r="O1342" s="1">
        <v>3375.37</v>
      </c>
      <c r="P1342" s="1">
        <v>2766.7</v>
      </c>
      <c r="Q1342">
        <v>0.23</v>
      </c>
      <c r="R1342">
        <v>6.0999999999999997E-4</v>
      </c>
    </row>
    <row r="1343" spans="1:18" ht="13.8" outlineLevel="2" x14ac:dyDescent="0.25">
      <c r="A1343">
        <v>65548</v>
      </c>
      <c r="B1343" t="s">
        <v>1594</v>
      </c>
      <c r="C1343" t="s">
        <v>1623</v>
      </c>
      <c r="D1343" s="14" t="s">
        <v>1618</v>
      </c>
      <c r="E1343" s="12" t="s">
        <v>28</v>
      </c>
      <c r="F1343" s="13" t="s">
        <v>29</v>
      </c>
      <c r="G1343">
        <v>1</v>
      </c>
      <c r="H1343" t="s">
        <v>30</v>
      </c>
      <c r="I1343">
        <v>1</v>
      </c>
      <c r="J1343" s="15"/>
      <c r="K1343" s="16">
        <f>5158.83 - (5158.83 * $E$1)</f>
        <v>5158.83</v>
      </c>
      <c r="L1343" s="16">
        <f>4228.55 - (4228.55 * $E$1)</f>
        <v>4228.55</v>
      </c>
      <c r="M1343" s="1">
        <v>5158.83</v>
      </c>
      <c r="N1343" s="1">
        <v>4228.55</v>
      </c>
      <c r="O1343" s="1">
        <v>4385.01</v>
      </c>
      <c r="P1343" s="1">
        <v>3594.27</v>
      </c>
      <c r="Q1343">
        <v>0.49</v>
      </c>
      <c r="R1343">
        <v>1.088E-3</v>
      </c>
    </row>
    <row r="1344" spans="1:18" ht="13.8" outlineLevel="2" x14ac:dyDescent="0.25">
      <c r="A1344">
        <v>65549</v>
      </c>
      <c r="B1344" t="s">
        <v>1594</v>
      </c>
      <c r="C1344" t="s">
        <v>1624</v>
      </c>
      <c r="D1344" s="14" t="s">
        <v>1618</v>
      </c>
      <c r="E1344" s="12" t="s">
        <v>28</v>
      </c>
      <c r="F1344" s="13" t="s">
        <v>29</v>
      </c>
      <c r="G1344">
        <v>1</v>
      </c>
      <c r="H1344" t="s">
        <v>30</v>
      </c>
      <c r="I1344">
        <v>1</v>
      </c>
      <c r="J1344" s="15"/>
      <c r="K1344" s="16">
        <f>6577.9 - (6577.9 * $E$1)</f>
        <v>6577.9</v>
      </c>
      <c r="L1344" s="16">
        <f>5391.72 - (5391.72 * $E$1)</f>
        <v>5391.72</v>
      </c>
      <c r="M1344" s="1">
        <v>6577.9</v>
      </c>
      <c r="N1344" s="1">
        <v>5391.72</v>
      </c>
      <c r="O1344" s="1">
        <v>5591.21</v>
      </c>
      <c r="P1344" s="1">
        <v>4582.96</v>
      </c>
      <c r="Q1344">
        <v>0.92</v>
      </c>
      <c r="R1344">
        <v>2.3400000000000001E-3</v>
      </c>
    </row>
    <row r="1345" spans="1:18" ht="13.8" outlineLevel="2" x14ac:dyDescent="0.25">
      <c r="A1345">
        <v>65550</v>
      </c>
      <c r="B1345" t="s">
        <v>1594</v>
      </c>
      <c r="C1345" t="s">
        <v>1625</v>
      </c>
      <c r="D1345" s="14" t="s">
        <v>1618</v>
      </c>
      <c r="E1345" s="12" t="s">
        <v>28</v>
      </c>
      <c r="F1345" s="13" t="s">
        <v>29</v>
      </c>
      <c r="G1345">
        <v>1</v>
      </c>
      <c r="H1345" t="s">
        <v>30</v>
      </c>
      <c r="I1345">
        <v>1</v>
      </c>
      <c r="J1345" s="15"/>
      <c r="K1345" s="16">
        <f>10490.05 - (10490.05 * $E$1)</f>
        <v>10490.05</v>
      </c>
      <c r="L1345" s="16">
        <f>8598.4 - (8598.4 * $E$1)</f>
        <v>8598.4</v>
      </c>
      <c r="M1345" s="1">
        <v>10490.05</v>
      </c>
      <c r="N1345" s="1">
        <v>8598.4</v>
      </c>
      <c r="O1345" s="1">
        <v>8916.5400000000009</v>
      </c>
      <c r="P1345" s="1">
        <v>7308.64</v>
      </c>
      <c r="Q1345">
        <v>1.84</v>
      </c>
      <c r="R1345">
        <v>2.8600000000000001E-3</v>
      </c>
    </row>
    <row r="1346" spans="1:18" ht="13.8" outlineLevel="2" x14ac:dyDescent="0.25">
      <c r="A1346">
        <v>65576</v>
      </c>
      <c r="B1346" t="s">
        <v>1594</v>
      </c>
      <c r="C1346" t="s">
        <v>1626</v>
      </c>
      <c r="D1346" s="14" t="s">
        <v>1618</v>
      </c>
      <c r="E1346" s="12" t="s">
        <v>28</v>
      </c>
      <c r="F1346" s="13" t="s">
        <v>29</v>
      </c>
      <c r="G1346">
        <v>1</v>
      </c>
      <c r="H1346" t="s">
        <v>30</v>
      </c>
      <c r="I1346">
        <v>1</v>
      </c>
      <c r="J1346" s="15"/>
      <c r="K1346" s="16">
        <f>2495.99 - (2495.99 * $E$1)</f>
        <v>2495.9899999999998</v>
      </c>
      <c r="L1346" s="16">
        <f>2045.89 - (2045.89 * $E$1)</f>
        <v>2045.89</v>
      </c>
      <c r="M1346" s="1">
        <v>2495.9899999999998</v>
      </c>
      <c r="N1346" s="1">
        <v>2045.89</v>
      </c>
      <c r="O1346" s="1">
        <v>2121.59</v>
      </c>
      <c r="P1346" s="1">
        <v>1739.01</v>
      </c>
      <c r="Q1346">
        <v>0.25</v>
      </c>
      <c r="R1346">
        <v>1.088E-3</v>
      </c>
    </row>
    <row r="1347" spans="1:18" ht="13.8" outlineLevel="2" x14ac:dyDescent="0.25">
      <c r="A1347">
        <v>65577</v>
      </c>
      <c r="B1347" t="s">
        <v>1594</v>
      </c>
      <c r="C1347" t="s">
        <v>1627</v>
      </c>
      <c r="D1347" s="14" t="s">
        <v>1618</v>
      </c>
      <c r="E1347" s="12" t="s">
        <v>28</v>
      </c>
      <c r="F1347" s="13" t="s">
        <v>29</v>
      </c>
      <c r="G1347">
        <v>1</v>
      </c>
      <c r="H1347" t="s">
        <v>30</v>
      </c>
      <c r="I1347">
        <v>1</v>
      </c>
      <c r="J1347" s="15"/>
      <c r="K1347" s="16">
        <f>3936.64 - (3936.64 * $E$1)</f>
        <v>3936.64</v>
      </c>
      <c r="L1347" s="16">
        <f>3226.75 - (3226.75 * $E$1)</f>
        <v>3226.75</v>
      </c>
      <c r="M1347" s="1">
        <v>3936.64</v>
      </c>
      <c r="N1347" s="1">
        <v>3226.75</v>
      </c>
      <c r="O1347" s="1">
        <v>3346.14</v>
      </c>
      <c r="P1347" s="1">
        <v>2742.74</v>
      </c>
      <c r="Q1347">
        <v>0.4</v>
      </c>
      <c r="R1347">
        <v>1.088E-3</v>
      </c>
    </row>
    <row r="1348" spans="1:18" ht="13.8" outlineLevel="2" x14ac:dyDescent="0.25">
      <c r="A1348">
        <v>65578</v>
      </c>
      <c r="B1348" t="s">
        <v>1594</v>
      </c>
      <c r="C1348" t="s">
        <v>1628</v>
      </c>
      <c r="D1348" s="14" t="s">
        <v>1618</v>
      </c>
      <c r="E1348" s="12" t="s">
        <v>28</v>
      </c>
      <c r="F1348" s="13" t="s">
        <v>29</v>
      </c>
      <c r="G1348">
        <v>1</v>
      </c>
      <c r="H1348" t="s">
        <v>30</v>
      </c>
      <c r="I1348">
        <v>1</v>
      </c>
      <c r="J1348" s="15"/>
      <c r="K1348" s="16">
        <f>4673.41 - (4673.41 * $E$1)</f>
        <v>4673.41</v>
      </c>
      <c r="L1348" s="16">
        <f>3830.66 - (3830.66 * $E$1)</f>
        <v>3830.66</v>
      </c>
      <c r="M1348" s="1">
        <v>4673.41</v>
      </c>
      <c r="N1348" s="1">
        <v>3830.66</v>
      </c>
      <c r="O1348" s="1">
        <v>3972.39</v>
      </c>
      <c r="P1348" s="1">
        <v>3256.06</v>
      </c>
      <c r="Q1348">
        <v>0.6</v>
      </c>
      <c r="R1348">
        <v>2.3400000000000001E-3</v>
      </c>
    </row>
    <row r="1349" spans="1:18" ht="13.8" outlineLevel="2" x14ac:dyDescent="0.25">
      <c r="A1349">
        <v>65579</v>
      </c>
      <c r="B1349" t="s">
        <v>1594</v>
      </c>
      <c r="C1349" t="s">
        <v>1629</v>
      </c>
      <c r="D1349" s="14" t="s">
        <v>1618</v>
      </c>
      <c r="E1349" s="12" t="s">
        <v>28</v>
      </c>
      <c r="F1349" s="13" t="s">
        <v>29</v>
      </c>
      <c r="G1349">
        <v>1</v>
      </c>
      <c r="H1349" t="s">
        <v>30</v>
      </c>
      <c r="I1349">
        <v>1</v>
      </c>
      <c r="J1349" s="15"/>
      <c r="K1349" s="16">
        <f>7543.86 - (7543.86 * $E$1)</f>
        <v>7543.86</v>
      </c>
      <c r="L1349" s="16">
        <f>6183.49 - (6183.49 * $E$1)</f>
        <v>6183.49</v>
      </c>
      <c r="M1349" s="1">
        <v>7543.86</v>
      </c>
      <c r="N1349" s="1">
        <v>6183.49</v>
      </c>
      <c r="O1349" s="1">
        <v>6412.28</v>
      </c>
      <c r="P1349" s="1">
        <v>5255.97</v>
      </c>
      <c r="Q1349">
        <v>1.27</v>
      </c>
      <c r="R1349">
        <v>2.8600000000000001E-3</v>
      </c>
    </row>
    <row r="1350" spans="1:18" ht="13.8" outlineLevel="2" x14ac:dyDescent="0.25">
      <c r="A1350">
        <v>65580</v>
      </c>
      <c r="B1350" t="s">
        <v>1594</v>
      </c>
      <c r="C1350" t="s">
        <v>1630</v>
      </c>
      <c r="D1350" s="14" t="s">
        <v>1618</v>
      </c>
      <c r="E1350" s="12" t="s">
        <v>28</v>
      </c>
      <c r="F1350" s="13" t="s">
        <v>29</v>
      </c>
      <c r="G1350">
        <v>1</v>
      </c>
      <c r="H1350" t="s">
        <v>30</v>
      </c>
      <c r="I1350">
        <v>1</v>
      </c>
      <c r="J1350" s="15"/>
      <c r="K1350" s="16">
        <f>4591.54 - (4591.54 * $E$1)</f>
        <v>4591.54</v>
      </c>
      <c r="L1350" s="16">
        <f>3763.56 - (3763.56 * $E$1)</f>
        <v>3763.56</v>
      </c>
      <c r="M1350" s="1">
        <v>4591.54</v>
      </c>
      <c r="N1350" s="1">
        <v>3763.56</v>
      </c>
      <c r="O1350" s="1">
        <v>3902.81</v>
      </c>
      <c r="P1350" s="1">
        <v>3199.03</v>
      </c>
      <c r="Q1350">
        <v>0.3</v>
      </c>
      <c r="R1350">
        <v>1.088E-3</v>
      </c>
    </row>
    <row r="1351" spans="1:18" ht="13.8" outlineLevel="2" x14ac:dyDescent="0.25">
      <c r="A1351">
        <v>65581</v>
      </c>
      <c r="B1351" t="s">
        <v>1594</v>
      </c>
      <c r="C1351" t="s">
        <v>1631</v>
      </c>
      <c r="D1351" s="14" t="s">
        <v>1618</v>
      </c>
      <c r="E1351" s="12" t="s">
        <v>28</v>
      </c>
      <c r="F1351" s="13" t="s">
        <v>29</v>
      </c>
      <c r="G1351">
        <v>1</v>
      </c>
      <c r="H1351" t="s">
        <v>30</v>
      </c>
      <c r="I1351">
        <v>1</v>
      </c>
      <c r="J1351" s="15"/>
      <c r="K1351" s="16">
        <f>6342.83 - (6342.83 * $E$1)</f>
        <v>6342.83</v>
      </c>
      <c r="L1351" s="16">
        <f>5199.04 - (5199.04 * $E$1)</f>
        <v>5199.04</v>
      </c>
      <c r="M1351" s="1">
        <v>6342.83</v>
      </c>
      <c r="N1351" s="1">
        <v>5199.04</v>
      </c>
      <c r="O1351" s="1">
        <v>5391.4</v>
      </c>
      <c r="P1351" s="1">
        <v>4419.18</v>
      </c>
      <c r="Q1351">
        <v>0.57999999999999996</v>
      </c>
      <c r="R1351">
        <v>1.088E-3</v>
      </c>
    </row>
    <row r="1352" spans="1:18" ht="13.8" outlineLevel="2" x14ac:dyDescent="0.25">
      <c r="A1352">
        <v>65582</v>
      </c>
      <c r="B1352" t="s">
        <v>1594</v>
      </c>
      <c r="C1352" t="s">
        <v>1632</v>
      </c>
      <c r="D1352" s="14" t="s">
        <v>1618</v>
      </c>
      <c r="E1352" s="12" t="s">
        <v>28</v>
      </c>
      <c r="F1352" s="13" t="s">
        <v>29</v>
      </c>
      <c r="G1352">
        <v>1</v>
      </c>
      <c r="H1352" t="s">
        <v>30</v>
      </c>
      <c r="I1352">
        <v>1</v>
      </c>
      <c r="J1352" s="15"/>
      <c r="K1352" s="16">
        <f>7844 - (7844 * $E$1)</f>
        <v>7844</v>
      </c>
      <c r="L1352" s="16">
        <f>6429.51 - (6429.51 * $E$1)</f>
        <v>6429.51</v>
      </c>
      <c r="M1352" s="1">
        <v>7844</v>
      </c>
      <c r="N1352" s="1">
        <v>6429.51</v>
      </c>
      <c r="O1352" s="1">
        <v>6667.4</v>
      </c>
      <c r="P1352" s="1">
        <v>5465.08</v>
      </c>
      <c r="Q1352">
        <v>1.04</v>
      </c>
      <c r="R1352">
        <v>2.3400000000000001E-3</v>
      </c>
    </row>
    <row r="1353" spans="1:18" ht="13.8" outlineLevel="2" x14ac:dyDescent="0.25">
      <c r="A1353">
        <v>65583</v>
      </c>
      <c r="B1353" t="s">
        <v>1594</v>
      </c>
      <c r="C1353" t="s">
        <v>1633</v>
      </c>
      <c r="D1353" s="14" t="s">
        <v>1618</v>
      </c>
      <c r="E1353" s="12" t="s">
        <v>28</v>
      </c>
      <c r="F1353" s="13" t="s">
        <v>29</v>
      </c>
      <c r="G1353">
        <v>1</v>
      </c>
      <c r="H1353" t="s">
        <v>30</v>
      </c>
      <c r="I1353">
        <v>1</v>
      </c>
      <c r="J1353" s="15"/>
      <c r="K1353" s="16">
        <f>12413.22 - (12413.22 * $E$1)</f>
        <v>12413.22</v>
      </c>
      <c r="L1353" s="16">
        <f>10174.77 - (10174.77 * $E$1)</f>
        <v>10174.77</v>
      </c>
      <c r="M1353" s="1">
        <v>12413.22</v>
      </c>
      <c r="N1353" s="1">
        <v>10174.77</v>
      </c>
      <c r="O1353" s="1">
        <v>10551.24</v>
      </c>
      <c r="P1353" s="1">
        <v>8648.5499999999993</v>
      </c>
      <c r="Q1353">
        <v>2.1</v>
      </c>
      <c r="R1353">
        <v>2.8600000000000001E-3</v>
      </c>
    </row>
    <row r="1354" spans="1:18" ht="13.8" outlineLevel="2" x14ac:dyDescent="0.25">
      <c r="A1354">
        <v>65551</v>
      </c>
      <c r="B1354" t="s">
        <v>1594</v>
      </c>
      <c r="C1354" t="s">
        <v>1634</v>
      </c>
      <c r="D1354" s="14" t="s">
        <v>1635</v>
      </c>
      <c r="E1354" s="12" t="s">
        <v>28</v>
      </c>
      <c r="F1354" s="13" t="s">
        <v>29</v>
      </c>
      <c r="G1354">
        <v>1</v>
      </c>
      <c r="H1354" t="s">
        <v>30</v>
      </c>
      <c r="I1354">
        <v>1</v>
      </c>
      <c r="J1354" s="15"/>
      <c r="K1354" s="16">
        <f>2172.82 - (2172.82 * $E$1)</f>
        <v>2172.8200000000002</v>
      </c>
      <c r="L1354" s="16">
        <f>1781 - (1781 * $E$1)</f>
        <v>1781</v>
      </c>
      <c r="M1354" s="1">
        <v>2172.8200000000002</v>
      </c>
      <c r="N1354" s="1">
        <v>1781</v>
      </c>
      <c r="O1354" s="1">
        <v>1846.9</v>
      </c>
      <c r="P1354" s="1">
        <v>1513.85</v>
      </c>
      <c r="Q1354">
        <v>0.21</v>
      </c>
      <c r="R1354">
        <v>1.088E-3</v>
      </c>
    </row>
    <row r="1355" spans="1:18" ht="13.8" outlineLevel="2" x14ac:dyDescent="0.25">
      <c r="A1355">
        <v>65552</v>
      </c>
      <c r="B1355" t="s">
        <v>1594</v>
      </c>
      <c r="C1355" t="s">
        <v>1636</v>
      </c>
      <c r="D1355" s="14" t="s">
        <v>1635</v>
      </c>
      <c r="E1355" s="12" t="s">
        <v>28</v>
      </c>
      <c r="F1355" s="13" t="s">
        <v>29</v>
      </c>
      <c r="G1355">
        <v>1</v>
      </c>
      <c r="H1355" t="s">
        <v>30</v>
      </c>
      <c r="I1355">
        <v>1</v>
      </c>
      <c r="J1355" s="15"/>
      <c r="K1355" s="16">
        <f>2999.05 - (2999.05 * $E$1)</f>
        <v>2999.05</v>
      </c>
      <c r="L1355" s="16">
        <f>2458.24 - (2458.24 * $E$1)</f>
        <v>2458.2399999999998</v>
      </c>
      <c r="M1355" s="1">
        <v>2999.05</v>
      </c>
      <c r="N1355" s="1">
        <v>2458.2399999999998</v>
      </c>
      <c r="O1355" s="1">
        <v>2549.19</v>
      </c>
      <c r="P1355" s="1">
        <v>2089.5</v>
      </c>
      <c r="Q1355">
        <v>0.32600000000000001</v>
      </c>
      <c r="R1355">
        <v>3.2669999999999999E-3</v>
      </c>
    </row>
    <row r="1356" spans="1:18" ht="13.8" outlineLevel="2" x14ac:dyDescent="0.25">
      <c r="A1356">
        <v>65553</v>
      </c>
      <c r="B1356" t="s">
        <v>1594</v>
      </c>
      <c r="C1356" t="s">
        <v>1637</v>
      </c>
      <c r="D1356" s="14" t="s">
        <v>1635</v>
      </c>
      <c r="E1356" s="12" t="s">
        <v>28</v>
      </c>
      <c r="F1356" s="13" t="s">
        <v>29</v>
      </c>
      <c r="G1356">
        <v>1</v>
      </c>
      <c r="H1356" t="s">
        <v>30</v>
      </c>
      <c r="I1356">
        <v>1</v>
      </c>
      <c r="J1356" s="15"/>
      <c r="K1356" s="16">
        <f>3877.6 - (3877.6 * $E$1)</f>
        <v>3877.6</v>
      </c>
      <c r="L1356" s="16">
        <f>3178.36 - (3178.36 * $E$1)</f>
        <v>3178.36</v>
      </c>
      <c r="M1356" s="1">
        <v>3877.6</v>
      </c>
      <c r="N1356" s="1">
        <v>3178.36</v>
      </c>
      <c r="O1356" s="1">
        <v>3295.96</v>
      </c>
      <c r="P1356" s="1">
        <v>2701.61</v>
      </c>
      <c r="Q1356">
        <v>0.56000000000000005</v>
      </c>
      <c r="R1356">
        <v>3.5339999999999998E-3</v>
      </c>
    </row>
    <row r="1357" spans="1:18" ht="13.8" outlineLevel="2" x14ac:dyDescent="0.25">
      <c r="A1357">
        <v>65554</v>
      </c>
      <c r="B1357" t="s">
        <v>1594</v>
      </c>
      <c r="C1357" t="s">
        <v>1638</v>
      </c>
      <c r="D1357" s="14" t="s">
        <v>1635</v>
      </c>
      <c r="E1357" s="12" t="s">
        <v>28</v>
      </c>
      <c r="F1357" s="13" t="s">
        <v>29</v>
      </c>
      <c r="G1357">
        <v>1</v>
      </c>
      <c r="H1357" t="s">
        <v>30</v>
      </c>
      <c r="I1357">
        <v>1</v>
      </c>
      <c r="J1357" s="15"/>
      <c r="K1357" s="16">
        <f>5547.28 - (5547.28 * $E$1)</f>
        <v>5547.28</v>
      </c>
      <c r="L1357" s="16">
        <f>4546.95 - (4546.95 * $E$1)</f>
        <v>4546.95</v>
      </c>
      <c r="M1357" s="1">
        <v>5547.28</v>
      </c>
      <c r="N1357" s="1">
        <v>4546.95</v>
      </c>
      <c r="O1357" s="1">
        <v>4715.1899999999996</v>
      </c>
      <c r="P1357" s="1">
        <v>3864.91</v>
      </c>
      <c r="Q1357">
        <v>1.03</v>
      </c>
      <c r="R1357">
        <v>2.8600000000000001E-3</v>
      </c>
    </row>
    <row r="1358" spans="1:18" ht="13.8" outlineLevel="2" x14ac:dyDescent="0.25">
      <c r="A1358">
        <v>65555</v>
      </c>
      <c r="B1358" t="s">
        <v>1594</v>
      </c>
      <c r="C1358" t="s">
        <v>1639</v>
      </c>
      <c r="D1358" s="14" t="s">
        <v>1635</v>
      </c>
      <c r="E1358" s="12" t="s">
        <v>28</v>
      </c>
      <c r="F1358" s="13" t="s">
        <v>29</v>
      </c>
      <c r="G1358">
        <v>1</v>
      </c>
      <c r="H1358" t="s">
        <v>30</v>
      </c>
      <c r="I1358">
        <v>1</v>
      </c>
      <c r="J1358" s="15"/>
      <c r="K1358" s="16">
        <f>4656.89 - (4656.89 * $E$1)</f>
        <v>4656.8900000000003</v>
      </c>
      <c r="L1358" s="16">
        <f>3817.12 - (3817.12 * $E$1)</f>
        <v>3817.12</v>
      </c>
      <c r="M1358" s="1">
        <v>4656.8900000000003</v>
      </c>
      <c r="N1358" s="1">
        <v>3817.12</v>
      </c>
      <c r="O1358" s="1">
        <v>3958.35</v>
      </c>
      <c r="P1358" s="1">
        <v>3244.55</v>
      </c>
      <c r="Q1358">
        <v>0.25</v>
      </c>
      <c r="R1358">
        <v>1.088E-3</v>
      </c>
    </row>
    <row r="1359" spans="1:18" ht="13.8" outlineLevel="2" x14ac:dyDescent="0.25">
      <c r="A1359">
        <v>65556</v>
      </c>
      <c r="B1359" t="s">
        <v>1594</v>
      </c>
      <c r="C1359" t="s">
        <v>1640</v>
      </c>
      <c r="D1359" s="14" t="s">
        <v>1635</v>
      </c>
      <c r="E1359" s="12" t="s">
        <v>28</v>
      </c>
      <c r="F1359" s="13" t="s">
        <v>29</v>
      </c>
      <c r="G1359">
        <v>1</v>
      </c>
      <c r="H1359" t="s">
        <v>30</v>
      </c>
      <c r="I1359">
        <v>1</v>
      </c>
      <c r="J1359" s="15"/>
      <c r="K1359" s="16">
        <f>5673.67 - (5673.67 * $E$1)</f>
        <v>5673.67</v>
      </c>
      <c r="L1359" s="16">
        <f>4650.55 - (4650.55 * $E$1)</f>
        <v>4650.55</v>
      </c>
      <c r="M1359" s="1">
        <v>5673.67</v>
      </c>
      <c r="N1359" s="1">
        <v>4650.55</v>
      </c>
      <c r="O1359" s="1">
        <v>4822.62</v>
      </c>
      <c r="P1359" s="1">
        <v>3952.97</v>
      </c>
      <c r="Q1359">
        <v>0.55000000000000004</v>
      </c>
      <c r="R1359">
        <v>1.088E-3</v>
      </c>
    </row>
    <row r="1360" spans="1:18" ht="13.8" outlineLevel="2" x14ac:dyDescent="0.25">
      <c r="A1360">
        <v>65557</v>
      </c>
      <c r="B1360" t="s">
        <v>1594</v>
      </c>
      <c r="C1360" t="s">
        <v>1641</v>
      </c>
      <c r="D1360" s="14" t="s">
        <v>1635</v>
      </c>
      <c r="E1360" s="12" t="s">
        <v>28</v>
      </c>
      <c r="F1360" s="13" t="s">
        <v>29</v>
      </c>
      <c r="G1360">
        <v>1</v>
      </c>
      <c r="H1360" t="s">
        <v>30</v>
      </c>
      <c r="I1360">
        <v>1</v>
      </c>
      <c r="J1360" s="15"/>
      <c r="K1360" s="16">
        <f>8199.35 - (8199.35 * $E$1)</f>
        <v>8199.35</v>
      </c>
      <c r="L1360" s="16">
        <f>6720.78 - (6720.78 * $E$1)</f>
        <v>6720.78</v>
      </c>
      <c r="M1360" s="1">
        <v>8199.35</v>
      </c>
      <c r="N1360" s="1">
        <v>6720.78</v>
      </c>
      <c r="O1360" s="1">
        <v>6969.45</v>
      </c>
      <c r="P1360" s="1">
        <v>5712.66</v>
      </c>
      <c r="Q1360">
        <v>1.05</v>
      </c>
      <c r="R1360">
        <v>2.3400000000000001E-3</v>
      </c>
    </row>
    <row r="1361" spans="1:18" ht="13.8" outlineLevel="2" x14ac:dyDescent="0.25">
      <c r="A1361">
        <v>65558</v>
      </c>
      <c r="B1361" t="s">
        <v>1594</v>
      </c>
      <c r="C1361" t="s">
        <v>1642</v>
      </c>
      <c r="D1361" s="14" t="s">
        <v>1635</v>
      </c>
      <c r="E1361" s="12" t="s">
        <v>28</v>
      </c>
      <c r="F1361" s="13" t="s">
        <v>29</v>
      </c>
      <c r="G1361">
        <v>1</v>
      </c>
      <c r="H1361" t="s">
        <v>30</v>
      </c>
      <c r="I1361">
        <v>1</v>
      </c>
      <c r="J1361" s="15"/>
      <c r="K1361" s="16">
        <f>12155.84 - (12155.84 * $E$1)</f>
        <v>12155.84</v>
      </c>
      <c r="L1361" s="16">
        <f>9963.8 - (9963.8 * $E$1)</f>
        <v>9963.7999999999993</v>
      </c>
      <c r="M1361" s="1">
        <v>12155.84</v>
      </c>
      <c r="N1361" s="1">
        <v>9963.7999999999993</v>
      </c>
      <c r="O1361" s="1">
        <v>10332.459999999999</v>
      </c>
      <c r="P1361" s="1">
        <v>8469.23</v>
      </c>
      <c r="Q1361">
        <v>2.1</v>
      </c>
      <c r="R1361">
        <v>2.8600000000000001E-3</v>
      </c>
    </row>
    <row r="1362" spans="1:18" ht="13.8" outlineLevel="2" x14ac:dyDescent="0.25">
      <c r="A1362">
        <v>65584</v>
      </c>
      <c r="B1362" t="s">
        <v>1594</v>
      </c>
      <c r="C1362" t="s">
        <v>1643</v>
      </c>
      <c r="D1362" s="14" t="s">
        <v>1635</v>
      </c>
      <c r="E1362" s="12" t="s">
        <v>28</v>
      </c>
      <c r="F1362" s="13" t="s">
        <v>29</v>
      </c>
      <c r="G1362">
        <v>1</v>
      </c>
      <c r="H1362" t="s">
        <v>30</v>
      </c>
      <c r="I1362">
        <v>1</v>
      </c>
      <c r="J1362" s="15"/>
      <c r="K1362" s="16">
        <f>3050.02 - (3050.02 * $E$1)</f>
        <v>3050.02</v>
      </c>
      <c r="L1362" s="16">
        <f>2500.02 - (2500.02 * $E$1)</f>
        <v>2500.02</v>
      </c>
      <c r="M1362" s="1">
        <v>3050.02</v>
      </c>
      <c r="N1362" s="1">
        <v>2500.02</v>
      </c>
      <c r="O1362" s="1">
        <v>2592.52</v>
      </c>
      <c r="P1362" s="1">
        <v>2125.02</v>
      </c>
      <c r="Q1362">
        <v>0.27</v>
      </c>
      <c r="R1362">
        <v>1.088E-3</v>
      </c>
    </row>
    <row r="1363" spans="1:18" ht="13.8" outlineLevel="2" x14ac:dyDescent="0.25">
      <c r="A1363">
        <v>65585</v>
      </c>
      <c r="B1363" t="s">
        <v>1594</v>
      </c>
      <c r="C1363" t="s">
        <v>1644</v>
      </c>
      <c r="D1363" s="14" t="s">
        <v>1635</v>
      </c>
      <c r="E1363" s="12" t="s">
        <v>28</v>
      </c>
      <c r="F1363" s="13" t="s">
        <v>29</v>
      </c>
      <c r="G1363">
        <v>1</v>
      </c>
      <c r="H1363" t="s">
        <v>30</v>
      </c>
      <c r="I1363">
        <v>1</v>
      </c>
      <c r="J1363" s="15"/>
      <c r="K1363" s="16">
        <f>4508.6 - (4508.6 * $E$1)</f>
        <v>4508.6000000000004</v>
      </c>
      <c r="L1363" s="16">
        <f>3695.57 - (3695.57 * $E$1)</f>
        <v>3695.57</v>
      </c>
      <c r="M1363" s="1">
        <v>4508.6000000000004</v>
      </c>
      <c r="N1363" s="1">
        <v>3695.57</v>
      </c>
      <c r="O1363" s="1">
        <v>3832.31</v>
      </c>
      <c r="P1363" s="1">
        <v>3141.23</v>
      </c>
      <c r="Q1363">
        <v>0.48</v>
      </c>
      <c r="R1363">
        <v>1.088E-3</v>
      </c>
    </row>
    <row r="1364" spans="1:18" ht="13.8" outlineLevel="2" x14ac:dyDescent="0.25">
      <c r="A1364">
        <v>65586</v>
      </c>
      <c r="B1364" t="s">
        <v>1594</v>
      </c>
      <c r="C1364" t="s">
        <v>1645</v>
      </c>
      <c r="D1364" s="14" t="s">
        <v>1635</v>
      </c>
      <c r="E1364" s="12" t="s">
        <v>28</v>
      </c>
      <c r="F1364" s="13" t="s">
        <v>29</v>
      </c>
      <c r="G1364">
        <v>1</v>
      </c>
      <c r="H1364" t="s">
        <v>30</v>
      </c>
      <c r="I1364">
        <v>1</v>
      </c>
      <c r="J1364" s="15"/>
      <c r="K1364" s="16">
        <f>5405.01 - (5405.01 * $E$1)</f>
        <v>5405.01</v>
      </c>
      <c r="L1364" s="16">
        <f>4430.34 - (4430.34 * $E$1)</f>
        <v>4430.34</v>
      </c>
      <c r="M1364" s="1">
        <v>5405.01</v>
      </c>
      <c r="N1364" s="1">
        <v>4430.34</v>
      </c>
      <c r="O1364" s="1">
        <v>4594.26</v>
      </c>
      <c r="P1364" s="1">
        <v>3765.79</v>
      </c>
      <c r="Q1364">
        <v>0.68</v>
      </c>
      <c r="R1364">
        <v>2.3400000000000001E-3</v>
      </c>
    </row>
    <row r="1365" spans="1:18" ht="13.8" outlineLevel="2" x14ac:dyDescent="0.25">
      <c r="A1365">
        <v>65587</v>
      </c>
      <c r="B1365" t="s">
        <v>1594</v>
      </c>
      <c r="C1365" t="s">
        <v>1646</v>
      </c>
      <c r="D1365" s="14" t="s">
        <v>1635</v>
      </c>
      <c r="E1365" s="12" t="s">
        <v>28</v>
      </c>
      <c r="F1365" s="13" t="s">
        <v>29</v>
      </c>
      <c r="G1365">
        <v>1</v>
      </c>
      <c r="H1365" t="s">
        <v>30</v>
      </c>
      <c r="I1365">
        <v>1</v>
      </c>
      <c r="J1365" s="15"/>
      <c r="K1365" s="16">
        <f>7563.24 - (7563.24 * $E$1)</f>
        <v>7563.24</v>
      </c>
      <c r="L1365" s="16">
        <f>6199.38 - (6199.38 * $E$1)</f>
        <v>6199.38</v>
      </c>
      <c r="M1365" s="1">
        <v>7563.24</v>
      </c>
      <c r="N1365" s="1">
        <v>6199.38</v>
      </c>
      <c r="O1365" s="1">
        <v>6428.76</v>
      </c>
      <c r="P1365" s="1">
        <v>5269.47</v>
      </c>
      <c r="Q1365">
        <v>1.32</v>
      </c>
      <c r="R1365">
        <v>2.8600000000000001E-3</v>
      </c>
    </row>
    <row r="1366" spans="1:18" ht="13.8" outlineLevel="2" x14ac:dyDescent="0.25">
      <c r="A1366">
        <v>65588</v>
      </c>
      <c r="B1366" t="s">
        <v>1594</v>
      </c>
      <c r="C1366" t="s">
        <v>1647</v>
      </c>
      <c r="D1366" s="14" t="s">
        <v>1635</v>
      </c>
      <c r="E1366" s="12" t="s">
        <v>28</v>
      </c>
      <c r="F1366" s="13" t="s">
        <v>29</v>
      </c>
      <c r="G1366">
        <v>1</v>
      </c>
      <c r="H1366" t="s">
        <v>30</v>
      </c>
      <c r="I1366">
        <v>1</v>
      </c>
      <c r="J1366" s="15"/>
      <c r="K1366" s="16">
        <f>5297.24 - (5297.24 * $E$1)</f>
        <v>5297.24</v>
      </c>
      <c r="L1366" s="16">
        <f>4342 - (4342 * $E$1)</f>
        <v>4342</v>
      </c>
      <c r="M1366" s="1">
        <v>5297.24</v>
      </c>
      <c r="N1366" s="1">
        <v>4342</v>
      </c>
      <c r="O1366" s="1">
        <v>4502.6499999999996</v>
      </c>
      <c r="P1366" s="1">
        <v>3690.7</v>
      </c>
      <c r="Q1366">
        <v>0.32</v>
      </c>
      <c r="R1366">
        <v>1.088E-3</v>
      </c>
    </row>
    <row r="1367" spans="1:18" ht="13.8" outlineLevel="2" x14ac:dyDescent="0.25">
      <c r="A1367">
        <v>65589</v>
      </c>
      <c r="B1367" t="s">
        <v>1594</v>
      </c>
      <c r="C1367" t="s">
        <v>1648</v>
      </c>
      <c r="D1367" s="14" t="s">
        <v>1635</v>
      </c>
      <c r="E1367" s="12" t="s">
        <v>28</v>
      </c>
      <c r="F1367" s="13" t="s">
        <v>29</v>
      </c>
      <c r="G1367">
        <v>1</v>
      </c>
      <c r="H1367" t="s">
        <v>30</v>
      </c>
      <c r="I1367">
        <v>1</v>
      </c>
      <c r="J1367" s="15"/>
      <c r="K1367" s="16">
        <f>7309.78 - (7309.78 * $E$1)</f>
        <v>7309.78</v>
      </c>
      <c r="L1367" s="16">
        <f>5991.62 - (5991.62 * $E$1)</f>
        <v>5991.62</v>
      </c>
      <c r="M1367" s="1">
        <v>7309.78</v>
      </c>
      <c r="N1367" s="1">
        <v>5991.62</v>
      </c>
      <c r="O1367" s="1">
        <v>6213.31</v>
      </c>
      <c r="P1367" s="1">
        <v>5092.88</v>
      </c>
      <c r="Q1367">
        <v>0.7</v>
      </c>
      <c r="R1367">
        <v>1.088E-3</v>
      </c>
    </row>
    <row r="1368" spans="1:18" ht="13.8" outlineLevel="2" x14ac:dyDescent="0.25">
      <c r="A1368">
        <v>65590</v>
      </c>
      <c r="B1368" t="s">
        <v>1594</v>
      </c>
      <c r="C1368" t="s">
        <v>1649</v>
      </c>
      <c r="D1368" s="14" t="s">
        <v>1635</v>
      </c>
      <c r="E1368" s="12" t="s">
        <v>28</v>
      </c>
      <c r="F1368" s="13" t="s">
        <v>29</v>
      </c>
      <c r="G1368">
        <v>1</v>
      </c>
      <c r="H1368" t="s">
        <v>30</v>
      </c>
      <c r="I1368">
        <v>1</v>
      </c>
      <c r="J1368" s="15"/>
      <c r="K1368" s="16">
        <f>9401.59 - (9401.59 * $E$1)</f>
        <v>9401.59</v>
      </c>
      <c r="L1368" s="16">
        <f>7706.22 - (7706.22 * $E$1)</f>
        <v>7706.22</v>
      </c>
      <c r="M1368" s="1">
        <v>9401.59</v>
      </c>
      <c r="N1368" s="1">
        <v>7706.22</v>
      </c>
      <c r="O1368" s="1">
        <v>7991.35</v>
      </c>
      <c r="P1368" s="1">
        <v>6550.29</v>
      </c>
      <c r="Q1368">
        <v>1.22</v>
      </c>
      <c r="R1368">
        <v>2.3400000000000001E-3</v>
      </c>
    </row>
    <row r="1369" spans="1:18" ht="13.8" outlineLevel="2" x14ac:dyDescent="0.25">
      <c r="A1369">
        <v>65591</v>
      </c>
      <c r="B1369" t="s">
        <v>1594</v>
      </c>
      <c r="C1369" t="s">
        <v>1650</v>
      </c>
      <c r="D1369" s="14" t="s">
        <v>1635</v>
      </c>
      <c r="E1369" s="12" t="s">
        <v>28</v>
      </c>
      <c r="F1369" s="13" t="s">
        <v>29</v>
      </c>
      <c r="G1369">
        <v>1</v>
      </c>
      <c r="H1369" t="s">
        <v>30</v>
      </c>
      <c r="I1369">
        <v>1</v>
      </c>
      <c r="J1369" s="15"/>
      <c r="K1369" s="16">
        <f>14037.23 - (14037.23 * $E$1)</f>
        <v>14037.23</v>
      </c>
      <c r="L1369" s="16">
        <f>11505.93 - (11505.93 * $E$1)</f>
        <v>11505.93</v>
      </c>
      <c r="M1369" s="1">
        <v>14037.23</v>
      </c>
      <c r="N1369" s="1">
        <v>11505.93</v>
      </c>
      <c r="O1369" s="1">
        <v>11931.65</v>
      </c>
      <c r="P1369" s="1">
        <v>9780.0400000000009</v>
      </c>
      <c r="Q1369">
        <v>2.38</v>
      </c>
      <c r="R1369">
        <v>2.8600000000000001E-3</v>
      </c>
    </row>
    <row r="1370" spans="1:18" ht="13.8" outlineLevel="2" x14ac:dyDescent="0.25">
      <c r="A1370">
        <v>74219</v>
      </c>
      <c r="B1370" t="s">
        <v>1594</v>
      </c>
      <c r="C1370" t="s">
        <v>1651</v>
      </c>
      <c r="D1370" s="14" t="s">
        <v>1652</v>
      </c>
      <c r="E1370" s="12" t="s">
        <v>28</v>
      </c>
      <c r="F1370" s="13" t="s">
        <v>29</v>
      </c>
      <c r="G1370">
        <v>1</v>
      </c>
      <c r="H1370" t="s">
        <v>30</v>
      </c>
      <c r="I1370">
        <v>1</v>
      </c>
      <c r="J1370" s="15"/>
      <c r="K1370" s="16">
        <f>2127.24 - (2127.24 * $E$1)</f>
        <v>2127.2399999999998</v>
      </c>
      <c r="L1370" s="16">
        <f>1743.64 - (1743.64 * $E$1)</f>
        <v>1743.64</v>
      </c>
      <c r="M1370" s="1">
        <v>2127.2399999999998</v>
      </c>
      <c r="N1370" s="1">
        <v>1743.64</v>
      </c>
      <c r="O1370" s="1">
        <v>1808.15</v>
      </c>
      <c r="P1370" s="1">
        <v>1482.09</v>
      </c>
      <c r="Q1370">
        <v>0.16</v>
      </c>
      <c r="R1370">
        <v>8.6399999999999997E-4</v>
      </c>
    </row>
    <row r="1371" spans="1:18" ht="13.8" outlineLevel="2" x14ac:dyDescent="0.25">
      <c r="A1371">
        <v>74220</v>
      </c>
      <c r="B1371" t="s">
        <v>1594</v>
      </c>
      <c r="C1371" t="s">
        <v>1653</v>
      </c>
      <c r="D1371" s="14" t="s">
        <v>1652</v>
      </c>
      <c r="E1371" s="12" t="s">
        <v>28</v>
      </c>
      <c r="F1371" s="13" t="s">
        <v>29</v>
      </c>
      <c r="G1371">
        <v>1</v>
      </c>
      <c r="H1371" t="s">
        <v>30</v>
      </c>
      <c r="I1371">
        <v>1</v>
      </c>
      <c r="J1371" s="15"/>
      <c r="K1371" s="16">
        <f>2758.68 - (2758.68 * $E$1)</f>
        <v>2758.68</v>
      </c>
      <c r="L1371" s="16">
        <f>2261.21 - (2261.21 * $E$1)</f>
        <v>2261.21</v>
      </c>
      <c r="M1371" s="1">
        <v>2758.68</v>
      </c>
      <c r="N1371" s="1">
        <v>2261.21</v>
      </c>
      <c r="O1371" s="1">
        <v>2344.87</v>
      </c>
      <c r="P1371" s="1">
        <v>1922.03</v>
      </c>
      <c r="Q1371">
        <v>0.22</v>
      </c>
      <c r="R1371">
        <v>9.2800000000000001E-4</v>
      </c>
    </row>
    <row r="1372" spans="1:18" ht="13.8" outlineLevel="2" x14ac:dyDescent="0.25">
      <c r="A1372">
        <v>74221</v>
      </c>
      <c r="B1372" t="s">
        <v>1594</v>
      </c>
      <c r="C1372" t="s">
        <v>1654</v>
      </c>
      <c r="D1372" s="14" t="s">
        <v>1652</v>
      </c>
      <c r="E1372" s="12" t="s">
        <v>28</v>
      </c>
      <c r="F1372" s="13" t="s">
        <v>29</v>
      </c>
      <c r="G1372">
        <v>1</v>
      </c>
      <c r="H1372" t="s">
        <v>30</v>
      </c>
      <c r="I1372">
        <v>1</v>
      </c>
      <c r="J1372" s="15"/>
      <c r="K1372" s="16">
        <f>2875.15 - (2875.15 * $E$1)</f>
        <v>2875.15</v>
      </c>
      <c r="L1372" s="16">
        <f>2356.68 - (2356.68 * $E$1)</f>
        <v>2356.6799999999998</v>
      </c>
      <c r="M1372" s="1">
        <v>2875.15</v>
      </c>
      <c r="N1372" s="1">
        <v>2356.6799999999998</v>
      </c>
      <c r="O1372" s="1">
        <v>2443.88</v>
      </c>
      <c r="P1372" s="1">
        <v>2003.18</v>
      </c>
      <c r="Q1372">
        <v>0.39</v>
      </c>
      <c r="R1372">
        <v>1.088E-3</v>
      </c>
    </row>
    <row r="1373" spans="1:18" ht="13.8" outlineLevel="2" x14ac:dyDescent="0.25">
      <c r="A1373">
        <v>74222</v>
      </c>
      <c r="B1373" t="s">
        <v>1594</v>
      </c>
      <c r="C1373" t="s">
        <v>1655</v>
      </c>
      <c r="D1373" s="14" t="s">
        <v>1652</v>
      </c>
      <c r="E1373" s="12" t="s">
        <v>28</v>
      </c>
      <c r="F1373" s="13" t="s">
        <v>29</v>
      </c>
      <c r="G1373">
        <v>1</v>
      </c>
      <c r="H1373" t="s">
        <v>30</v>
      </c>
      <c r="I1373">
        <v>1</v>
      </c>
      <c r="J1373" s="15"/>
      <c r="K1373" s="16">
        <f>3967.49 - (3967.49 * $E$1)</f>
        <v>3967.49</v>
      </c>
      <c r="L1373" s="16">
        <f>3252.04 - (3252.04 * $E$1)</f>
        <v>3252.04</v>
      </c>
      <c r="M1373" s="1">
        <v>3967.49</v>
      </c>
      <c r="N1373" s="1">
        <v>3252.04</v>
      </c>
      <c r="O1373" s="1">
        <v>3372.37</v>
      </c>
      <c r="P1373" s="1">
        <v>2764.23</v>
      </c>
      <c r="Q1373">
        <v>0.6</v>
      </c>
      <c r="R1373">
        <v>1.088E-3</v>
      </c>
    </row>
    <row r="1374" spans="1:18" ht="13.8" outlineLevel="2" x14ac:dyDescent="0.25">
      <c r="A1374">
        <v>74223</v>
      </c>
      <c r="B1374" t="s">
        <v>1594</v>
      </c>
      <c r="C1374" t="s">
        <v>1656</v>
      </c>
      <c r="D1374" s="14" t="s">
        <v>1652</v>
      </c>
      <c r="E1374" s="12" t="s">
        <v>28</v>
      </c>
      <c r="F1374" s="13" t="s">
        <v>29</v>
      </c>
      <c r="G1374">
        <v>1</v>
      </c>
      <c r="H1374" t="s">
        <v>30</v>
      </c>
      <c r="I1374">
        <v>1</v>
      </c>
      <c r="J1374" s="15"/>
      <c r="K1374" s="16">
        <f>5086.18 - (5086.18 * $E$1)</f>
        <v>5086.18</v>
      </c>
      <c r="L1374" s="16">
        <f>4169 - (4169 * $E$1)</f>
        <v>4169</v>
      </c>
      <c r="M1374" s="1">
        <v>5086.18</v>
      </c>
      <c r="N1374" s="1">
        <v>4169</v>
      </c>
      <c r="O1374" s="1">
        <v>4323.25</v>
      </c>
      <c r="P1374" s="1">
        <v>3543.65</v>
      </c>
      <c r="Q1374">
        <v>0.65</v>
      </c>
      <c r="R1374">
        <v>1.248E-3</v>
      </c>
    </row>
    <row r="1375" spans="1:18" ht="13.8" outlineLevel="2" x14ac:dyDescent="0.25">
      <c r="A1375">
        <v>88053</v>
      </c>
      <c r="B1375" t="s">
        <v>1594</v>
      </c>
      <c r="C1375" t="s">
        <v>1657</v>
      </c>
      <c r="D1375" s="14" t="s">
        <v>1658</v>
      </c>
      <c r="E1375" s="12" t="s">
        <v>28</v>
      </c>
      <c r="F1375" s="13" t="s">
        <v>29</v>
      </c>
      <c r="G1375">
        <v>1</v>
      </c>
      <c r="H1375" t="s">
        <v>30</v>
      </c>
      <c r="I1375">
        <v>1</v>
      </c>
      <c r="J1375" s="15"/>
      <c r="K1375" s="16">
        <f>310.51 - (310.51 * $E$1)</f>
        <v>310.51</v>
      </c>
      <c r="L1375" s="16">
        <f>254.52 - (254.52 * $E$1)</f>
        <v>254.52</v>
      </c>
      <c r="M1375" s="1">
        <v>310.51</v>
      </c>
      <c r="N1375" s="1">
        <v>254.52</v>
      </c>
      <c r="O1375" s="1">
        <v>263.94</v>
      </c>
      <c r="P1375" s="1">
        <v>216.34</v>
      </c>
      <c r="Q1375">
        <v>2.5999999999999999E-2</v>
      </c>
      <c r="R1375">
        <v>3.2000000000000003E-4</v>
      </c>
    </row>
    <row r="1376" spans="1:18" ht="13.8" outlineLevel="2" x14ac:dyDescent="0.25">
      <c r="A1376">
        <v>88054</v>
      </c>
      <c r="B1376" t="s">
        <v>1594</v>
      </c>
      <c r="C1376" t="s">
        <v>1659</v>
      </c>
      <c r="D1376" s="14" t="s">
        <v>1658</v>
      </c>
      <c r="E1376" s="12" t="s">
        <v>28</v>
      </c>
      <c r="F1376" s="13" t="s">
        <v>29</v>
      </c>
      <c r="G1376">
        <v>1</v>
      </c>
      <c r="H1376" t="s">
        <v>30</v>
      </c>
      <c r="I1376">
        <v>1</v>
      </c>
      <c r="J1376" s="15"/>
      <c r="K1376" s="16">
        <f>350.51 - (350.51 * $E$1)</f>
        <v>350.51</v>
      </c>
      <c r="L1376" s="16">
        <f>287.3 - (287.3 * $E$1)</f>
        <v>287.3</v>
      </c>
      <c r="M1376" s="1">
        <v>350.51</v>
      </c>
      <c r="N1376" s="1">
        <v>287.3</v>
      </c>
      <c r="O1376" s="1">
        <v>297.93</v>
      </c>
      <c r="P1376" s="1">
        <v>244.21</v>
      </c>
      <c r="Q1376">
        <v>3.3000000000000002E-2</v>
      </c>
      <c r="R1376">
        <v>4.0000000000000002E-4</v>
      </c>
    </row>
    <row r="1377" spans="1:18" ht="13.8" outlineLevel="2" x14ac:dyDescent="0.25">
      <c r="A1377">
        <v>88055</v>
      </c>
      <c r="B1377" t="s">
        <v>1594</v>
      </c>
      <c r="C1377" t="s">
        <v>1660</v>
      </c>
      <c r="D1377" s="14" t="s">
        <v>1658</v>
      </c>
      <c r="E1377" s="12" t="s">
        <v>28</v>
      </c>
      <c r="F1377" s="13" t="s">
        <v>29</v>
      </c>
      <c r="G1377">
        <v>1</v>
      </c>
      <c r="H1377" t="s">
        <v>30</v>
      </c>
      <c r="I1377">
        <v>1</v>
      </c>
      <c r="J1377" s="15"/>
      <c r="K1377" s="16">
        <f>474.65 - (474.65 * $E$1)</f>
        <v>474.65</v>
      </c>
      <c r="L1377" s="16">
        <f>389.06 - (389.06 * $E$1)</f>
        <v>389.06</v>
      </c>
      <c r="M1377" s="1">
        <v>474.65</v>
      </c>
      <c r="N1377" s="1">
        <v>389.06</v>
      </c>
      <c r="O1377" s="1">
        <v>403.46</v>
      </c>
      <c r="P1377" s="1">
        <v>330.7</v>
      </c>
      <c r="Q1377">
        <v>4.8000000000000001E-2</v>
      </c>
      <c r="R1377">
        <v>5.9999999999999995E-4</v>
      </c>
    </row>
    <row r="1378" spans="1:18" ht="13.8" outlineLevel="2" x14ac:dyDescent="0.25">
      <c r="A1378">
        <v>69174</v>
      </c>
      <c r="B1378" t="s">
        <v>1594</v>
      </c>
      <c r="C1378" t="s">
        <v>1661</v>
      </c>
      <c r="D1378" s="14" t="s">
        <v>1658</v>
      </c>
      <c r="E1378" s="12" t="s">
        <v>28</v>
      </c>
      <c r="F1378" s="13" t="s">
        <v>29</v>
      </c>
      <c r="G1378">
        <v>1</v>
      </c>
      <c r="H1378" t="s">
        <v>30</v>
      </c>
      <c r="I1378">
        <v>1</v>
      </c>
      <c r="J1378" s="15"/>
      <c r="K1378" s="16">
        <f>356.87 - (356.87 * $E$1)</f>
        <v>356.87</v>
      </c>
      <c r="L1378" s="16">
        <f>292.52 - (292.52 * $E$1)</f>
        <v>292.52</v>
      </c>
      <c r="M1378" s="1">
        <v>356.87</v>
      </c>
      <c r="N1378" s="1">
        <v>292.52</v>
      </c>
      <c r="O1378" s="1">
        <v>303.33999999999997</v>
      </c>
      <c r="P1378" s="1">
        <v>248.64</v>
      </c>
      <c r="Q1378">
        <v>0.03</v>
      </c>
      <c r="R1378">
        <v>3.3E-4</v>
      </c>
    </row>
    <row r="1379" spans="1:18" ht="13.8" outlineLevel="2" x14ac:dyDescent="0.25">
      <c r="A1379">
        <v>69175</v>
      </c>
      <c r="B1379" t="s">
        <v>1594</v>
      </c>
      <c r="C1379" t="s">
        <v>1662</v>
      </c>
      <c r="D1379" s="14" t="s">
        <v>1658</v>
      </c>
      <c r="E1379" s="12" t="s">
        <v>28</v>
      </c>
      <c r="F1379" s="13" t="s">
        <v>29</v>
      </c>
      <c r="G1379">
        <v>1</v>
      </c>
      <c r="H1379" t="s">
        <v>30</v>
      </c>
      <c r="I1379">
        <v>1</v>
      </c>
      <c r="J1379" s="15"/>
      <c r="K1379" s="16">
        <f>405.37 - (405.37 * $E$1)</f>
        <v>405.37</v>
      </c>
      <c r="L1379" s="16">
        <f>332.27 - (332.27 * $E$1)</f>
        <v>332.27</v>
      </c>
      <c r="M1379" s="1">
        <v>405.37</v>
      </c>
      <c r="N1379" s="1">
        <v>332.27</v>
      </c>
      <c r="O1379" s="1">
        <v>344.56</v>
      </c>
      <c r="P1379" s="1">
        <v>282.43</v>
      </c>
      <c r="Q1379">
        <v>0.04</v>
      </c>
      <c r="R1379">
        <v>3.3E-4</v>
      </c>
    </row>
    <row r="1380" spans="1:18" ht="13.8" outlineLevel="2" x14ac:dyDescent="0.25">
      <c r="A1380">
        <v>69176</v>
      </c>
      <c r="B1380" t="s">
        <v>1594</v>
      </c>
      <c r="C1380" t="s">
        <v>1663</v>
      </c>
      <c r="D1380" s="14" t="s">
        <v>1658</v>
      </c>
      <c r="E1380" s="12" t="s">
        <v>28</v>
      </c>
      <c r="F1380" s="13" t="s">
        <v>29</v>
      </c>
      <c r="G1380">
        <v>1</v>
      </c>
      <c r="H1380" t="s">
        <v>30</v>
      </c>
      <c r="I1380">
        <v>1</v>
      </c>
      <c r="J1380" s="15"/>
      <c r="K1380" s="16">
        <f>554.89 - (554.89 * $E$1)</f>
        <v>554.89</v>
      </c>
      <c r="L1380" s="16">
        <f>454.83 - (454.83 * $E$1)</f>
        <v>454.83</v>
      </c>
      <c r="M1380" s="1">
        <v>554.89</v>
      </c>
      <c r="N1380" s="1">
        <v>454.83</v>
      </c>
      <c r="O1380" s="1">
        <v>471.66</v>
      </c>
      <c r="P1380" s="1">
        <v>386.61</v>
      </c>
      <c r="Q1380">
        <v>0.05</v>
      </c>
      <c r="R1380">
        <v>3.3E-4</v>
      </c>
    </row>
    <row r="1381" spans="1:18" ht="13.8" outlineLevel="2" x14ac:dyDescent="0.25">
      <c r="A1381">
        <v>88059</v>
      </c>
      <c r="B1381" t="s">
        <v>1594</v>
      </c>
      <c r="C1381" t="s">
        <v>1664</v>
      </c>
      <c r="D1381" s="14" t="s">
        <v>1658</v>
      </c>
      <c r="E1381" s="12" t="s">
        <v>28</v>
      </c>
      <c r="F1381" s="13" t="s">
        <v>29</v>
      </c>
      <c r="G1381">
        <v>1</v>
      </c>
      <c r="H1381" t="s">
        <v>30</v>
      </c>
      <c r="I1381">
        <v>1</v>
      </c>
      <c r="J1381" s="15"/>
      <c r="K1381" s="16">
        <f>372.76 - (372.76 * $E$1)</f>
        <v>372.76</v>
      </c>
      <c r="L1381" s="16">
        <f>305.54 - (305.54 * $E$1)</f>
        <v>305.54000000000002</v>
      </c>
      <c r="M1381" s="1">
        <v>372.76</v>
      </c>
      <c r="N1381" s="1">
        <v>305.54000000000002</v>
      </c>
      <c r="O1381" s="1">
        <v>316.83999999999997</v>
      </c>
      <c r="P1381" s="1">
        <v>259.70999999999998</v>
      </c>
      <c r="Q1381">
        <v>2.8000000000000001E-2</v>
      </c>
      <c r="R1381">
        <v>3.2000000000000003E-4</v>
      </c>
    </row>
    <row r="1382" spans="1:18" ht="13.8" outlineLevel="2" x14ac:dyDescent="0.25">
      <c r="A1382">
        <v>88060</v>
      </c>
      <c r="B1382" t="s">
        <v>1594</v>
      </c>
      <c r="C1382" t="s">
        <v>1665</v>
      </c>
      <c r="D1382" s="14" t="s">
        <v>1658</v>
      </c>
      <c r="E1382" s="12" t="s">
        <v>28</v>
      </c>
      <c r="F1382" s="13" t="s">
        <v>29</v>
      </c>
      <c r="G1382">
        <v>1</v>
      </c>
      <c r="H1382" t="s">
        <v>30</v>
      </c>
      <c r="I1382">
        <v>1</v>
      </c>
      <c r="J1382" s="15"/>
      <c r="K1382" s="16">
        <f>417.28 - (417.28 * $E$1)</f>
        <v>417.28</v>
      </c>
      <c r="L1382" s="16">
        <f>342.03 - (342.03 * $E$1)</f>
        <v>342.03</v>
      </c>
      <c r="M1382" s="1">
        <v>417.28</v>
      </c>
      <c r="N1382" s="1">
        <v>342.03</v>
      </c>
      <c r="O1382" s="1">
        <v>354.69</v>
      </c>
      <c r="P1382" s="1">
        <v>290.73</v>
      </c>
      <c r="Q1382">
        <v>3.6999999999999998E-2</v>
      </c>
      <c r="R1382">
        <v>4.0000000000000002E-4</v>
      </c>
    </row>
    <row r="1383" spans="1:18" ht="13.8" outlineLevel="2" x14ac:dyDescent="0.25">
      <c r="A1383">
        <v>88061</v>
      </c>
      <c r="B1383" t="s">
        <v>1594</v>
      </c>
      <c r="C1383" t="s">
        <v>1666</v>
      </c>
      <c r="D1383" s="14" t="s">
        <v>1658</v>
      </c>
      <c r="E1383" s="12" t="s">
        <v>28</v>
      </c>
      <c r="F1383" s="13" t="s">
        <v>29</v>
      </c>
      <c r="G1383">
        <v>1</v>
      </c>
      <c r="H1383" t="s">
        <v>30</v>
      </c>
      <c r="I1383">
        <v>1</v>
      </c>
      <c r="J1383" s="15"/>
      <c r="K1383" s="16">
        <f>610.88 - (610.88 * $E$1)</f>
        <v>610.88</v>
      </c>
      <c r="L1383" s="16">
        <f>500.72 - (500.72 * $E$1)</f>
        <v>500.72</v>
      </c>
      <c r="M1383" s="1">
        <v>610.88</v>
      </c>
      <c r="N1383" s="1">
        <v>500.72</v>
      </c>
      <c r="O1383" s="1">
        <v>519.25</v>
      </c>
      <c r="P1383" s="1">
        <v>425.61</v>
      </c>
      <c r="Q1383">
        <v>5.7000000000000002E-2</v>
      </c>
      <c r="R1383">
        <v>5.9999999999999995E-4</v>
      </c>
    </row>
    <row r="1384" spans="1:18" ht="13.8" outlineLevel="2" x14ac:dyDescent="0.25">
      <c r="A1384">
        <v>69177</v>
      </c>
      <c r="B1384" t="s">
        <v>1594</v>
      </c>
      <c r="C1384" t="s">
        <v>1667</v>
      </c>
      <c r="D1384" s="14" t="s">
        <v>1658</v>
      </c>
      <c r="E1384" s="12" t="s">
        <v>28</v>
      </c>
      <c r="F1384" s="13" t="s">
        <v>29</v>
      </c>
      <c r="G1384">
        <v>1</v>
      </c>
      <c r="H1384" t="s">
        <v>30</v>
      </c>
      <c r="I1384">
        <v>1</v>
      </c>
      <c r="J1384" s="15"/>
      <c r="K1384" s="16">
        <f>422.35 - (422.35 * $E$1)</f>
        <v>422.35</v>
      </c>
      <c r="L1384" s="16">
        <f>346.19 - (346.19 * $E$1)</f>
        <v>346.19</v>
      </c>
      <c r="M1384" s="1">
        <v>422.35</v>
      </c>
      <c r="N1384" s="1">
        <v>346.19</v>
      </c>
      <c r="O1384" s="1">
        <v>359</v>
      </c>
      <c r="P1384" s="1">
        <v>294.26</v>
      </c>
      <c r="Q1384">
        <v>0.03</v>
      </c>
      <c r="R1384">
        <v>3.3E-4</v>
      </c>
    </row>
    <row r="1385" spans="1:18" ht="13.8" outlineLevel="2" x14ac:dyDescent="0.25">
      <c r="A1385">
        <v>69178</v>
      </c>
      <c r="B1385" t="s">
        <v>1594</v>
      </c>
      <c r="C1385" t="s">
        <v>1668</v>
      </c>
      <c r="D1385" s="14" t="s">
        <v>1658</v>
      </c>
      <c r="E1385" s="12" t="s">
        <v>28</v>
      </c>
      <c r="F1385" s="13" t="s">
        <v>29</v>
      </c>
      <c r="G1385">
        <v>1</v>
      </c>
      <c r="H1385" t="s">
        <v>30</v>
      </c>
      <c r="I1385">
        <v>1</v>
      </c>
      <c r="J1385" s="15"/>
      <c r="K1385" s="16">
        <f>474.09 - (474.09 * $E$1)</f>
        <v>474.09</v>
      </c>
      <c r="L1385" s="16">
        <f>388.6 - (388.6 * $E$1)</f>
        <v>388.6</v>
      </c>
      <c r="M1385" s="1">
        <v>474.09</v>
      </c>
      <c r="N1385" s="1">
        <v>388.6</v>
      </c>
      <c r="O1385" s="1">
        <v>402.98</v>
      </c>
      <c r="P1385" s="1">
        <v>330.31</v>
      </c>
      <c r="Q1385">
        <v>0.04</v>
      </c>
      <c r="R1385">
        <v>3.3E-4</v>
      </c>
    </row>
    <row r="1386" spans="1:18" ht="13.8" outlineLevel="2" x14ac:dyDescent="0.25">
      <c r="A1386">
        <v>69179</v>
      </c>
      <c r="B1386" t="s">
        <v>1594</v>
      </c>
      <c r="C1386" t="s">
        <v>1669</v>
      </c>
      <c r="D1386" s="14" t="s">
        <v>1658</v>
      </c>
      <c r="E1386" s="12" t="s">
        <v>28</v>
      </c>
      <c r="F1386" s="13" t="s">
        <v>29</v>
      </c>
      <c r="G1386">
        <v>1</v>
      </c>
      <c r="H1386" t="s">
        <v>30</v>
      </c>
      <c r="I1386">
        <v>1</v>
      </c>
      <c r="J1386" s="15"/>
      <c r="K1386" s="16">
        <f>701.52 - (701.52 * $E$1)</f>
        <v>701.52</v>
      </c>
      <c r="L1386" s="16">
        <f>575.02 - (575.02 * $E$1)</f>
        <v>575.02</v>
      </c>
      <c r="M1386" s="1">
        <v>701.52</v>
      </c>
      <c r="N1386" s="1">
        <v>575.02</v>
      </c>
      <c r="O1386" s="1">
        <v>596.29999999999995</v>
      </c>
      <c r="P1386" s="1">
        <v>488.77</v>
      </c>
      <c r="Q1386">
        <v>6.2E-2</v>
      </c>
      <c r="R1386">
        <v>3.7800000000000003E-4</v>
      </c>
    </row>
    <row r="1387" spans="1:18" ht="13.8" outlineLevel="2" x14ac:dyDescent="0.25">
      <c r="A1387">
        <v>88056</v>
      </c>
      <c r="B1387" t="s">
        <v>1594</v>
      </c>
      <c r="C1387" t="s">
        <v>1670</v>
      </c>
      <c r="D1387" s="14" t="s">
        <v>1658</v>
      </c>
      <c r="E1387" s="12" t="s">
        <v>28</v>
      </c>
      <c r="F1387" s="13" t="s">
        <v>29</v>
      </c>
      <c r="G1387">
        <v>1</v>
      </c>
      <c r="H1387" t="s">
        <v>30</v>
      </c>
      <c r="I1387">
        <v>1</v>
      </c>
      <c r="J1387" s="15"/>
      <c r="K1387" s="16">
        <f>531.7 - (531.7 * $E$1)</f>
        <v>531.70000000000005</v>
      </c>
      <c r="L1387" s="16">
        <f>435.82 - (435.82 * $E$1)</f>
        <v>435.82</v>
      </c>
      <c r="M1387" s="1">
        <v>531.70000000000005</v>
      </c>
      <c r="N1387" s="1">
        <v>435.82</v>
      </c>
      <c r="O1387" s="1">
        <v>451.95</v>
      </c>
      <c r="P1387" s="1">
        <v>370.45</v>
      </c>
      <c r="Q1387">
        <v>5.8999999999999997E-2</v>
      </c>
      <c r="R1387">
        <v>3.4600000000000001E-4</v>
      </c>
    </row>
    <row r="1388" spans="1:18" ht="13.8" outlineLevel="2" x14ac:dyDescent="0.25">
      <c r="A1388">
        <v>88057</v>
      </c>
      <c r="B1388" t="s">
        <v>1594</v>
      </c>
      <c r="C1388" t="s">
        <v>1671</v>
      </c>
      <c r="D1388" s="14" t="s">
        <v>1658</v>
      </c>
      <c r="E1388" s="12" t="s">
        <v>28</v>
      </c>
      <c r="F1388" s="13" t="s">
        <v>29</v>
      </c>
      <c r="G1388">
        <v>1</v>
      </c>
      <c r="H1388" t="s">
        <v>30</v>
      </c>
      <c r="I1388">
        <v>1</v>
      </c>
      <c r="J1388" s="15"/>
      <c r="K1388" s="16">
        <f>539.74 - (539.74 * $E$1)</f>
        <v>539.74</v>
      </c>
      <c r="L1388" s="16">
        <f>442.41 - (442.41 * $E$1)</f>
        <v>442.41</v>
      </c>
      <c r="M1388" s="1">
        <v>539.74</v>
      </c>
      <c r="N1388" s="1">
        <v>442.41</v>
      </c>
      <c r="O1388" s="1">
        <v>458.78</v>
      </c>
      <c r="P1388" s="1">
        <v>376.05</v>
      </c>
      <c r="Q1388">
        <v>6.0999999999999999E-2</v>
      </c>
      <c r="R1388">
        <v>4.3199999999999998E-4</v>
      </c>
    </row>
    <row r="1389" spans="1:18" ht="13.8" outlineLevel="2" x14ac:dyDescent="0.25">
      <c r="A1389">
        <v>88058</v>
      </c>
      <c r="B1389" t="s">
        <v>1594</v>
      </c>
      <c r="C1389" t="s">
        <v>1672</v>
      </c>
      <c r="D1389" s="14" t="s">
        <v>1658</v>
      </c>
      <c r="E1389" s="12" t="s">
        <v>28</v>
      </c>
      <c r="F1389" s="13" t="s">
        <v>29</v>
      </c>
      <c r="G1389">
        <v>1</v>
      </c>
      <c r="H1389" t="s">
        <v>30</v>
      </c>
      <c r="I1389">
        <v>1</v>
      </c>
      <c r="J1389" s="15"/>
      <c r="K1389" s="16">
        <f>657.58 - (657.58 * $E$1)</f>
        <v>657.58</v>
      </c>
      <c r="L1389" s="16">
        <f>539 - (539 * $E$1)</f>
        <v>539</v>
      </c>
      <c r="M1389" s="1">
        <v>657.58</v>
      </c>
      <c r="N1389" s="1">
        <v>539</v>
      </c>
      <c r="O1389" s="1">
        <v>558.94000000000005</v>
      </c>
      <c r="P1389" s="1">
        <v>458.15</v>
      </c>
      <c r="Q1389">
        <v>7.0000000000000007E-2</v>
      </c>
      <c r="R1389">
        <v>6.4800000000000003E-4</v>
      </c>
    </row>
    <row r="1390" spans="1:18" ht="13.8" outlineLevel="2" x14ac:dyDescent="0.25">
      <c r="A1390">
        <v>74677</v>
      </c>
      <c r="B1390" t="s">
        <v>1594</v>
      </c>
      <c r="C1390" t="s">
        <v>1673</v>
      </c>
      <c r="D1390" s="14" t="s">
        <v>1658</v>
      </c>
      <c r="E1390" s="12" t="s">
        <v>28</v>
      </c>
      <c r="F1390" s="13" t="s">
        <v>29</v>
      </c>
      <c r="G1390">
        <v>1</v>
      </c>
      <c r="H1390" t="s">
        <v>30</v>
      </c>
      <c r="I1390">
        <v>1</v>
      </c>
      <c r="J1390" s="15"/>
      <c r="K1390" s="16">
        <f>551.6 - (551.6 * $E$1)</f>
        <v>551.6</v>
      </c>
      <c r="L1390" s="16">
        <f>452.13 - (452.13 * $E$1)</f>
        <v>452.13</v>
      </c>
      <c r="M1390" s="1">
        <v>551.6</v>
      </c>
      <c r="N1390" s="1">
        <v>452.13</v>
      </c>
      <c r="O1390" s="1">
        <v>468.86</v>
      </c>
      <c r="P1390" s="1">
        <v>384.31</v>
      </c>
      <c r="Q1390">
        <v>0.06</v>
      </c>
      <c r="R1390">
        <v>4.64E-4</v>
      </c>
    </row>
    <row r="1391" spans="1:18" ht="13.8" outlineLevel="2" x14ac:dyDescent="0.25">
      <c r="A1391">
        <v>74678</v>
      </c>
      <c r="B1391" t="s">
        <v>1594</v>
      </c>
      <c r="C1391" t="s">
        <v>1674</v>
      </c>
      <c r="D1391" s="14" t="s">
        <v>1658</v>
      </c>
      <c r="E1391" s="12" t="s">
        <v>28</v>
      </c>
      <c r="F1391" s="13" t="s">
        <v>29</v>
      </c>
      <c r="G1391">
        <v>1</v>
      </c>
      <c r="H1391" t="s">
        <v>30</v>
      </c>
      <c r="I1391">
        <v>1</v>
      </c>
      <c r="J1391" s="15"/>
      <c r="K1391" s="16">
        <f>572.34 - (572.34 * $E$1)</f>
        <v>572.34</v>
      </c>
      <c r="L1391" s="16">
        <f>469.13 - (469.13 * $E$1)</f>
        <v>469.13</v>
      </c>
      <c r="M1391" s="1">
        <v>572.34</v>
      </c>
      <c r="N1391" s="1">
        <v>469.13</v>
      </c>
      <c r="O1391" s="1">
        <v>486.49</v>
      </c>
      <c r="P1391" s="1">
        <v>398.76</v>
      </c>
      <c r="Q1391">
        <v>6.5000000000000002E-2</v>
      </c>
      <c r="R1391">
        <v>4.64E-4</v>
      </c>
    </row>
    <row r="1392" spans="1:18" ht="13.8" outlineLevel="2" x14ac:dyDescent="0.25">
      <c r="A1392">
        <v>74679</v>
      </c>
      <c r="B1392" t="s">
        <v>1594</v>
      </c>
      <c r="C1392" t="s">
        <v>1675</v>
      </c>
      <c r="D1392" s="14" t="s">
        <v>1658</v>
      </c>
      <c r="E1392" s="12" t="s">
        <v>28</v>
      </c>
      <c r="F1392" s="13" t="s">
        <v>29</v>
      </c>
      <c r="G1392">
        <v>1</v>
      </c>
      <c r="H1392" t="s">
        <v>30</v>
      </c>
      <c r="I1392">
        <v>1</v>
      </c>
      <c r="J1392" s="15"/>
      <c r="K1392" s="16">
        <f>720.85 - (720.85 * $E$1)</f>
        <v>720.85</v>
      </c>
      <c r="L1392" s="16">
        <f>590.86 - (590.86 * $E$1)</f>
        <v>590.86</v>
      </c>
      <c r="M1392" s="1">
        <v>720.85</v>
      </c>
      <c r="N1392" s="1">
        <v>590.86</v>
      </c>
      <c r="O1392" s="1">
        <v>612.72</v>
      </c>
      <c r="P1392" s="1">
        <v>502.23</v>
      </c>
      <c r="Q1392">
        <v>7.4999999999999997E-2</v>
      </c>
      <c r="R1392">
        <v>4.64E-4</v>
      </c>
    </row>
    <row r="1393" spans="1:18" ht="13.8" outlineLevel="2" x14ac:dyDescent="0.25">
      <c r="A1393">
        <v>88062</v>
      </c>
      <c r="B1393" t="s">
        <v>1594</v>
      </c>
      <c r="C1393" t="s">
        <v>1676</v>
      </c>
      <c r="D1393" s="14" t="s">
        <v>1658</v>
      </c>
      <c r="E1393" s="12" t="s">
        <v>28</v>
      </c>
      <c r="F1393" s="13" t="s">
        <v>29</v>
      </c>
      <c r="G1393">
        <v>1</v>
      </c>
      <c r="H1393" t="s">
        <v>30</v>
      </c>
      <c r="I1393">
        <v>1</v>
      </c>
      <c r="J1393" s="15"/>
      <c r="K1393" s="16">
        <f>576.34 - (576.34 * $E$1)</f>
        <v>576.34</v>
      </c>
      <c r="L1393" s="16">
        <f>472.41 - (472.41 * $E$1)</f>
        <v>472.41</v>
      </c>
      <c r="M1393" s="1">
        <v>576.34</v>
      </c>
      <c r="N1393" s="1">
        <v>472.41</v>
      </c>
      <c r="O1393" s="1">
        <v>489.89</v>
      </c>
      <c r="P1393" s="1">
        <v>401.55</v>
      </c>
      <c r="Q1393">
        <v>6.2E-2</v>
      </c>
      <c r="R1393">
        <v>3.4600000000000001E-4</v>
      </c>
    </row>
    <row r="1394" spans="1:18" ht="13.8" outlineLevel="2" x14ac:dyDescent="0.25">
      <c r="A1394">
        <v>88063</v>
      </c>
      <c r="B1394" t="s">
        <v>1594</v>
      </c>
      <c r="C1394" t="s">
        <v>1677</v>
      </c>
      <c r="D1394" s="14" t="s">
        <v>1658</v>
      </c>
      <c r="E1394" s="12" t="s">
        <v>28</v>
      </c>
      <c r="F1394" s="13" t="s">
        <v>29</v>
      </c>
      <c r="G1394">
        <v>1</v>
      </c>
      <c r="H1394" t="s">
        <v>30</v>
      </c>
      <c r="I1394">
        <v>1</v>
      </c>
      <c r="J1394" s="15"/>
      <c r="K1394" s="16">
        <f>657.82 - (657.82 * $E$1)</f>
        <v>657.82</v>
      </c>
      <c r="L1394" s="16">
        <f>539.2 - (539.2 * $E$1)</f>
        <v>539.20000000000005</v>
      </c>
      <c r="M1394" s="1">
        <v>657.82</v>
      </c>
      <c r="N1394" s="1">
        <v>539.20000000000005</v>
      </c>
      <c r="O1394" s="1">
        <v>559.15</v>
      </c>
      <c r="P1394" s="1">
        <v>458.32</v>
      </c>
      <c r="Q1394">
        <v>6.6000000000000003E-2</v>
      </c>
      <c r="R1394">
        <v>4.3199999999999998E-4</v>
      </c>
    </row>
    <row r="1395" spans="1:18" ht="13.8" outlineLevel="2" x14ac:dyDescent="0.25">
      <c r="A1395">
        <v>88064</v>
      </c>
      <c r="B1395" t="s">
        <v>1594</v>
      </c>
      <c r="C1395" t="s">
        <v>1678</v>
      </c>
      <c r="D1395" s="14" t="s">
        <v>1658</v>
      </c>
      <c r="E1395" s="12" t="s">
        <v>28</v>
      </c>
      <c r="F1395" s="13" t="s">
        <v>29</v>
      </c>
      <c r="G1395">
        <v>1</v>
      </c>
      <c r="H1395" t="s">
        <v>30</v>
      </c>
      <c r="I1395">
        <v>1</v>
      </c>
      <c r="J1395" s="15"/>
      <c r="K1395" s="16">
        <f>790.26 - (790.26 * $E$1)</f>
        <v>790.26</v>
      </c>
      <c r="L1395" s="16">
        <f>647.75 - (647.75 * $E$1)</f>
        <v>647.75</v>
      </c>
      <c r="M1395" s="1">
        <v>790.26</v>
      </c>
      <c r="N1395" s="1">
        <v>647.75</v>
      </c>
      <c r="O1395" s="1">
        <v>671.72</v>
      </c>
      <c r="P1395" s="1">
        <v>550.59</v>
      </c>
      <c r="Q1395">
        <v>0.08</v>
      </c>
      <c r="R1395">
        <v>6.4800000000000003E-4</v>
      </c>
    </row>
    <row r="1396" spans="1:18" ht="13.8" outlineLevel="2" x14ac:dyDescent="0.25">
      <c r="A1396">
        <v>74680</v>
      </c>
      <c r="B1396" t="s">
        <v>1594</v>
      </c>
      <c r="C1396" t="s">
        <v>1679</v>
      </c>
      <c r="D1396" s="14" t="s">
        <v>1658</v>
      </c>
      <c r="E1396" s="12" t="s">
        <v>28</v>
      </c>
      <c r="F1396" s="13" t="s">
        <v>29</v>
      </c>
      <c r="G1396">
        <v>1</v>
      </c>
      <c r="H1396" t="s">
        <v>30</v>
      </c>
      <c r="I1396">
        <v>1</v>
      </c>
      <c r="J1396" s="15"/>
      <c r="K1396" s="16">
        <f>597.62 - (597.62 * $E$1)</f>
        <v>597.62</v>
      </c>
      <c r="L1396" s="16">
        <f>489.85 - (489.85 * $E$1)</f>
        <v>489.85</v>
      </c>
      <c r="M1396" s="1">
        <v>597.62</v>
      </c>
      <c r="N1396" s="1">
        <v>489.85</v>
      </c>
      <c r="O1396" s="1">
        <v>507.97</v>
      </c>
      <c r="P1396" s="1">
        <v>416.37</v>
      </c>
      <c r="Q1396">
        <v>6.5000000000000002E-2</v>
      </c>
      <c r="R1396">
        <v>4.64E-4</v>
      </c>
    </row>
    <row r="1397" spans="1:18" ht="13.8" outlineLevel="2" x14ac:dyDescent="0.25">
      <c r="A1397">
        <v>74681</v>
      </c>
      <c r="B1397" t="s">
        <v>1594</v>
      </c>
      <c r="C1397" t="s">
        <v>1680</v>
      </c>
      <c r="D1397" s="14" t="s">
        <v>1658</v>
      </c>
      <c r="E1397" s="12" t="s">
        <v>28</v>
      </c>
      <c r="F1397" s="13" t="s">
        <v>29</v>
      </c>
      <c r="G1397">
        <v>1</v>
      </c>
      <c r="H1397" t="s">
        <v>30</v>
      </c>
      <c r="I1397">
        <v>1</v>
      </c>
      <c r="J1397" s="15"/>
      <c r="K1397" s="16">
        <f>684.04 - (684.04 * $E$1)</f>
        <v>684.04</v>
      </c>
      <c r="L1397" s="16">
        <f>560.69 - (560.69 * $E$1)</f>
        <v>560.69000000000005</v>
      </c>
      <c r="M1397" s="1">
        <v>684.04</v>
      </c>
      <c r="N1397" s="1">
        <v>560.69000000000005</v>
      </c>
      <c r="O1397" s="1">
        <v>581.44000000000005</v>
      </c>
      <c r="P1397" s="1">
        <v>476.59</v>
      </c>
      <c r="Q1397">
        <v>7.4999999999999997E-2</v>
      </c>
      <c r="R1397">
        <v>4.64E-4</v>
      </c>
    </row>
    <row r="1398" spans="1:18" ht="13.8" outlineLevel="2" x14ac:dyDescent="0.25">
      <c r="A1398">
        <v>74682</v>
      </c>
      <c r="B1398" t="s">
        <v>1594</v>
      </c>
      <c r="C1398" t="s">
        <v>1681</v>
      </c>
      <c r="D1398" s="14" t="s">
        <v>1658</v>
      </c>
      <c r="E1398" s="12" t="s">
        <v>28</v>
      </c>
      <c r="F1398" s="13" t="s">
        <v>29</v>
      </c>
      <c r="G1398">
        <v>1</v>
      </c>
      <c r="H1398" t="s">
        <v>30</v>
      </c>
      <c r="I1398">
        <v>1</v>
      </c>
      <c r="J1398" s="15"/>
      <c r="K1398" s="16">
        <f>848.56 - (848.56 * $E$1)</f>
        <v>848.56</v>
      </c>
      <c r="L1398" s="16">
        <f>695.54 - (695.54 * $E$1)</f>
        <v>695.54</v>
      </c>
      <c r="M1398" s="1">
        <v>848.56</v>
      </c>
      <c r="N1398" s="1">
        <v>695.54</v>
      </c>
      <c r="O1398" s="1">
        <v>721.27</v>
      </c>
      <c r="P1398" s="1">
        <v>591.21</v>
      </c>
      <c r="Q1398">
        <v>8.5000000000000006E-2</v>
      </c>
      <c r="R1398">
        <v>4.64E-4</v>
      </c>
    </row>
    <row r="1399" spans="1:18" ht="16.5" customHeight="1" outlineLevel="1" x14ac:dyDescent="0.35">
      <c r="A1399" s="9"/>
      <c r="B1399" s="10" t="s">
        <v>1682</v>
      </c>
      <c r="C1399" s="10"/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1"/>
    </row>
    <row r="1400" spans="1:18" ht="13.8" outlineLevel="2" x14ac:dyDescent="0.25">
      <c r="A1400">
        <v>76417</v>
      </c>
      <c r="B1400" t="s">
        <v>1524</v>
      </c>
      <c r="C1400" t="s">
        <v>1683</v>
      </c>
      <c r="D1400" s="14" t="s">
        <v>1684</v>
      </c>
      <c r="E1400" s="12" t="s">
        <v>28</v>
      </c>
      <c r="F1400" s="13" t="s">
        <v>29</v>
      </c>
      <c r="G1400">
        <v>3</v>
      </c>
      <c r="H1400" t="s">
        <v>30</v>
      </c>
      <c r="I1400">
        <v>3</v>
      </c>
      <c r="J1400" s="15"/>
      <c r="K1400" s="16">
        <f>1962.08 - (1962.08 * $E$1)</f>
        <v>1962.08</v>
      </c>
      <c r="L1400" s="16">
        <f>1608.26 - (1608.26 * $E$1)</f>
        <v>1608.26</v>
      </c>
      <c r="M1400" s="1">
        <v>1962.08</v>
      </c>
      <c r="N1400" s="1">
        <v>1608.26</v>
      </c>
      <c r="O1400" s="1">
        <v>1667.77</v>
      </c>
      <c r="P1400" s="1">
        <v>1367.02</v>
      </c>
      <c r="Q1400">
        <v>0.25333333333333002</v>
      </c>
      <c r="R1400">
        <v>3.3600000000000001E-3</v>
      </c>
    </row>
    <row r="1401" spans="1:18" ht="13.8" outlineLevel="2" x14ac:dyDescent="0.25">
      <c r="A1401">
        <v>76419</v>
      </c>
      <c r="B1401" t="s">
        <v>1524</v>
      </c>
      <c r="C1401" t="s">
        <v>1685</v>
      </c>
      <c r="D1401" s="14" t="s">
        <v>1684</v>
      </c>
      <c r="E1401" s="12" t="s">
        <v>28</v>
      </c>
      <c r="F1401" s="13" t="s">
        <v>29</v>
      </c>
      <c r="G1401">
        <v>3</v>
      </c>
      <c r="H1401" t="s">
        <v>30</v>
      </c>
      <c r="I1401">
        <v>3</v>
      </c>
      <c r="J1401" s="15"/>
      <c r="K1401" s="16">
        <f>2079.89 - (2079.89 * $E$1)</f>
        <v>2079.89</v>
      </c>
      <c r="L1401" s="16">
        <f>1704.83 - (1704.83 * $E$1)</f>
        <v>1704.83</v>
      </c>
      <c r="M1401" s="1">
        <v>2079.89</v>
      </c>
      <c r="N1401" s="1">
        <v>1704.83</v>
      </c>
      <c r="O1401" s="1">
        <v>1767.91</v>
      </c>
      <c r="P1401" s="1">
        <v>1449.11</v>
      </c>
      <c r="Q1401">
        <v>0.26333333333332998</v>
      </c>
      <c r="R1401">
        <v>3.3600000000000001E-3</v>
      </c>
    </row>
    <row r="1402" spans="1:18" ht="13.8" outlineLevel="2" x14ac:dyDescent="0.25">
      <c r="A1402">
        <v>76421</v>
      </c>
      <c r="B1402" t="s">
        <v>1524</v>
      </c>
      <c r="C1402" t="s">
        <v>1686</v>
      </c>
      <c r="D1402" s="14" t="s">
        <v>1684</v>
      </c>
      <c r="E1402" s="12" t="s">
        <v>28</v>
      </c>
      <c r="F1402" s="13" t="s">
        <v>29</v>
      </c>
      <c r="G1402">
        <v>3</v>
      </c>
      <c r="H1402" t="s">
        <v>30</v>
      </c>
      <c r="I1402">
        <v>3</v>
      </c>
      <c r="J1402" s="15"/>
      <c r="K1402" s="16">
        <f>2615.79 - (2615.79 * $E$1)</f>
        <v>2615.79</v>
      </c>
      <c r="L1402" s="16">
        <f>2144.09 - (2144.09 * $E$1)</f>
        <v>2144.09</v>
      </c>
      <c r="M1402" s="1">
        <v>2615.79</v>
      </c>
      <c r="N1402" s="1">
        <v>2144.09</v>
      </c>
      <c r="O1402" s="1">
        <v>2223.42</v>
      </c>
      <c r="P1402" s="1">
        <v>1822.48</v>
      </c>
      <c r="Q1402">
        <v>0.29666666666667002</v>
      </c>
      <c r="R1402">
        <v>3.3600000000000001E-3</v>
      </c>
    </row>
    <row r="1403" spans="1:18" ht="13.8" outlineLevel="2" x14ac:dyDescent="0.25">
      <c r="A1403">
        <v>76423</v>
      </c>
      <c r="B1403" t="s">
        <v>1524</v>
      </c>
      <c r="C1403" t="s">
        <v>1687</v>
      </c>
      <c r="D1403" s="14" t="s">
        <v>1684</v>
      </c>
      <c r="E1403" s="12" t="s">
        <v>28</v>
      </c>
      <c r="F1403" s="13" t="s">
        <v>29</v>
      </c>
      <c r="G1403">
        <v>3</v>
      </c>
      <c r="H1403" t="s">
        <v>30</v>
      </c>
      <c r="I1403">
        <v>3</v>
      </c>
      <c r="J1403" s="15"/>
      <c r="K1403" s="16">
        <f>3196.11 - (3196.11 * $E$1)</f>
        <v>3196.11</v>
      </c>
      <c r="L1403" s="16">
        <f>2619.76 - (2619.76 * $E$1)</f>
        <v>2619.7600000000002</v>
      </c>
      <c r="M1403" s="1">
        <v>3196.11</v>
      </c>
      <c r="N1403" s="1">
        <v>2619.7600000000002</v>
      </c>
      <c r="O1403" s="1">
        <v>2716.69</v>
      </c>
      <c r="P1403" s="1">
        <v>2226.8000000000002</v>
      </c>
      <c r="Q1403">
        <v>0.33333333333332998</v>
      </c>
      <c r="R1403">
        <v>3.3600000000000001E-3</v>
      </c>
    </row>
    <row r="1404" spans="1:18" ht="13.8" outlineLevel="2" x14ac:dyDescent="0.25">
      <c r="A1404">
        <v>76425</v>
      </c>
      <c r="B1404" t="s">
        <v>1524</v>
      </c>
      <c r="C1404" t="s">
        <v>1688</v>
      </c>
      <c r="D1404" s="14" t="s">
        <v>1684</v>
      </c>
      <c r="E1404" s="12" t="s">
        <v>28</v>
      </c>
      <c r="F1404" s="13" t="s">
        <v>29</v>
      </c>
      <c r="G1404">
        <v>3</v>
      </c>
      <c r="H1404" t="s">
        <v>30</v>
      </c>
      <c r="I1404">
        <v>3</v>
      </c>
      <c r="J1404" s="15"/>
      <c r="K1404" s="16">
        <f>3628.68 - (3628.68 * $E$1)</f>
        <v>3628.68</v>
      </c>
      <c r="L1404" s="16">
        <f>2974.33 - (2974.33 * $E$1)</f>
        <v>2974.33</v>
      </c>
      <c r="M1404" s="1">
        <v>3628.68</v>
      </c>
      <c r="N1404" s="1">
        <v>2974.33</v>
      </c>
      <c r="O1404" s="1">
        <v>3084.38</v>
      </c>
      <c r="P1404" s="1">
        <v>2528.1799999999998</v>
      </c>
      <c r="Q1404">
        <v>0.36666666666667003</v>
      </c>
      <c r="R1404">
        <v>3.3600000000000001E-3</v>
      </c>
    </row>
    <row r="1405" spans="1:18" ht="13.8" outlineLevel="2" x14ac:dyDescent="0.25">
      <c r="A1405">
        <v>82907</v>
      </c>
      <c r="B1405" t="s">
        <v>1524</v>
      </c>
      <c r="C1405" t="s">
        <v>1689</v>
      </c>
      <c r="D1405" s="14" t="s">
        <v>1684</v>
      </c>
      <c r="E1405" s="12" t="s">
        <v>28</v>
      </c>
      <c r="F1405" s="13" t="s">
        <v>29</v>
      </c>
      <c r="G1405">
        <v>3</v>
      </c>
      <c r="H1405" t="s">
        <v>30</v>
      </c>
      <c r="I1405">
        <v>3</v>
      </c>
      <c r="J1405" s="15"/>
      <c r="K1405" s="16">
        <f>3995.38 - (3995.38 * $E$1)</f>
        <v>3995.38</v>
      </c>
      <c r="L1405" s="16">
        <f>3274.9 - (3274.9 * $E$1)</f>
        <v>3274.9</v>
      </c>
      <c r="M1405" s="1">
        <v>3995.38</v>
      </c>
      <c r="N1405" s="1">
        <v>3274.9</v>
      </c>
      <c r="O1405" s="1">
        <v>3396.07</v>
      </c>
      <c r="P1405" s="1">
        <v>2783.67</v>
      </c>
      <c r="Q1405">
        <v>0.39333333333332998</v>
      </c>
      <c r="R1405">
        <v>3.3600000000000001E-3</v>
      </c>
    </row>
    <row r="1406" spans="1:18" ht="13.8" outlineLevel="2" x14ac:dyDescent="0.25">
      <c r="A1406">
        <v>76418</v>
      </c>
      <c r="B1406" t="s">
        <v>1524</v>
      </c>
      <c r="C1406" t="s">
        <v>1690</v>
      </c>
      <c r="D1406" s="14" t="s">
        <v>1684</v>
      </c>
      <c r="E1406" s="12" t="s">
        <v>28</v>
      </c>
      <c r="F1406" s="13" t="s">
        <v>29</v>
      </c>
      <c r="G1406">
        <v>3</v>
      </c>
      <c r="H1406" t="s">
        <v>30</v>
      </c>
      <c r="I1406">
        <v>3</v>
      </c>
      <c r="J1406" s="15"/>
      <c r="K1406" s="16">
        <f>2510.72 - (2510.72 * $E$1)</f>
        <v>2510.7199999999998</v>
      </c>
      <c r="L1406" s="16">
        <f>2057.97 - (2057.97 * $E$1)</f>
        <v>2057.9699999999998</v>
      </c>
      <c r="M1406" s="1">
        <v>2510.7199999999998</v>
      </c>
      <c r="N1406" s="1">
        <v>2057.9699999999998</v>
      </c>
      <c r="O1406" s="1">
        <v>2134.11</v>
      </c>
      <c r="P1406" s="1">
        <v>1749.27</v>
      </c>
      <c r="Q1406">
        <v>0.28333333333333</v>
      </c>
      <c r="R1406">
        <v>3.3600000000000001E-3</v>
      </c>
    </row>
    <row r="1407" spans="1:18" ht="13.8" outlineLevel="2" x14ac:dyDescent="0.25">
      <c r="A1407">
        <v>76420</v>
      </c>
      <c r="B1407" t="s">
        <v>1524</v>
      </c>
      <c r="C1407" t="s">
        <v>1691</v>
      </c>
      <c r="D1407" s="14" t="s">
        <v>1684</v>
      </c>
      <c r="E1407" s="12" t="s">
        <v>28</v>
      </c>
      <c r="F1407" s="13" t="s">
        <v>29</v>
      </c>
      <c r="G1407">
        <v>3</v>
      </c>
      <c r="H1407" t="s">
        <v>30</v>
      </c>
      <c r="I1407">
        <v>3</v>
      </c>
      <c r="J1407" s="15"/>
      <c r="K1407" s="16">
        <f>3013.8 - (3013.8 * $E$1)</f>
        <v>3013.8</v>
      </c>
      <c r="L1407" s="16">
        <f>2470.33 - (2470.33 * $E$1)</f>
        <v>2470.33</v>
      </c>
      <c r="M1407" s="1">
        <v>3013.8</v>
      </c>
      <c r="N1407" s="1">
        <v>2470.33</v>
      </c>
      <c r="O1407" s="1">
        <v>2561.73</v>
      </c>
      <c r="P1407" s="1">
        <v>2099.7800000000002</v>
      </c>
      <c r="Q1407">
        <v>0.34</v>
      </c>
      <c r="R1407">
        <v>3.3600000000000001E-3</v>
      </c>
    </row>
    <row r="1408" spans="1:18" ht="13.8" outlineLevel="2" x14ac:dyDescent="0.25">
      <c r="A1408">
        <v>76422</v>
      </c>
      <c r="B1408" t="s">
        <v>1524</v>
      </c>
      <c r="C1408" t="s">
        <v>1692</v>
      </c>
      <c r="D1408" s="14" t="s">
        <v>1684</v>
      </c>
      <c r="E1408" s="12" t="s">
        <v>28</v>
      </c>
      <c r="F1408" s="13" t="s">
        <v>29</v>
      </c>
      <c r="G1408">
        <v>3</v>
      </c>
      <c r="H1408" t="s">
        <v>30</v>
      </c>
      <c r="I1408">
        <v>3</v>
      </c>
      <c r="J1408" s="15"/>
      <c r="K1408" s="16">
        <f>3786.51 - (3786.51 * $E$1)</f>
        <v>3786.51</v>
      </c>
      <c r="L1408" s="16">
        <f>3103.7 - (3103.7 * $E$1)</f>
        <v>3103.7</v>
      </c>
      <c r="M1408" s="1">
        <v>3786.51</v>
      </c>
      <c r="N1408" s="1">
        <v>3103.7</v>
      </c>
      <c r="O1408" s="1">
        <v>3218.54</v>
      </c>
      <c r="P1408" s="1">
        <v>2638.15</v>
      </c>
      <c r="Q1408">
        <v>0.45666666666667</v>
      </c>
      <c r="R1408">
        <v>3.3600000000000001E-3</v>
      </c>
    </row>
    <row r="1409" spans="1:18" ht="13.8" outlineLevel="2" x14ac:dyDescent="0.25">
      <c r="A1409">
        <v>76424</v>
      </c>
      <c r="B1409" t="s">
        <v>1524</v>
      </c>
      <c r="C1409" t="s">
        <v>1693</v>
      </c>
      <c r="D1409" s="14" t="s">
        <v>1684</v>
      </c>
      <c r="E1409" s="12" t="s">
        <v>28</v>
      </c>
      <c r="F1409" s="13" t="s">
        <v>29</v>
      </c>
      <c r="G1409">
        <v>3</v>
      </c>
      <c r="H1409" t="s">
        <v>30</v>
      </c>
      <c r="I1409">
        <v>3</v>
      </c>
      <c r="J1409" s="15"/>
      <c r="K1409" s="16">
        <f>5630.29 - (5630.29 * $E$1)</f>
        <v>5630.29</v>
      </c>
      <c r="L1409" s="16">
        <f>4614.99 - (4614.99 * $E$1)</f>
        <v>4614.99</v>
      </c>
      <c r="M1409" s="1">
        <v>5630.29</v>
      </c>
      <c r="N1409" s="1">
        <v>4614.99</v>
      </c>
      <c r="O1409" s="1">
        <v>4785.74</v>
      </c>
      <c r="P1409" s="1">
        <v>3922.74</v>
      </c>
      <c r="Q1409">
        <v>0.54333333333333</v>
      </c>
      <c r="R1409">
        <v>3.3600000000000001E-3</v>
      </c>
    </row>
    <row r="1410" spans="1:18" ht="13.8" outlineLevel="2" x14ac:dyDescent="0.25">
      <c r="A1410">
        <v>76426</v>
      </c>
      <c r="B1410" t="s">
        <v>1524</v>
      </c>
      <c r="C1410" t="s">
        <v>1694</v>
      </c>
      <c r="D1410" s="14" t="s">
        <v>1684</v>
      </c>
      <c r="E1410" s="12" t="s">
        <v>28</v>
      </c>
      <c r="F1410" s="13" t="s">
        <v>29</v>
      </c>
      <c r="G1410">
        <v>3</v>
      </c>
      <c r="H1410" t="s">
        <v>30</v>
      </c>
      <c r="I1410">
        <v>3</v>
      </c>
      <c r="J1410" s="15"/>
      <c r="K1410" s="16">
        <f>9528.03 - (9528.03 * $E$1)</f>
        <v>9528.0300000000007</v>
      </c>
      <c r="L1410" s="16">
        <f>7809.86 - (7809.86 * $E$1)</f>
        <v>7809.86</v>
      </c>
      <c r="M1410" s="1">
        <v>9528.0300000000007</v>
      </c>
      <c r="N1410" s="1">
        <v>7809.86</v>
      </c>
      <c r="O1410" s="1">
        <v>8098.82</v>
      </c>
      <c r="P1410" s="1">
        <v>6638.38</v>
      </c>
      <c r="Q1410">
        <v>0.77666666666666995</v>
      </c>
      <c r="R1410">
        <v>3.3600000000000001E-3</v>
      </c>
    </row>
    <row r="1411" spans="1:18" ht="13.8" outlineLevel="2" x14ac:dyDescent="0.25">
      <c r="A1411">
        <v>76427</v>
      </c>
      <c r="B1411" t="s">
        <v>1524</v>
      </c>
      <c r="C1411" t="s">
        <v>1695</v>
      </c>
      <c r="D1411" s="14" t="s">
        <v>1684</v>
      </c>
      <c r="E1411" s="12" t="s">
        <v>28</v>
      </c>
      <c r="F1411" s="13" t="s">
        <v>29</v>
      </c>
      <c r="G1411">
        <v>3</v>
      </c>
      <c r="H1411" t="s">
        <v>30</v>
      </c>
      <c r="I1411">
        <v>3</v>
      </c>
      <c r="J1411" s="15"/>
      <c r="K1411" s="16">
        <f>15388.95 - (15388.95 * $E$1)</f>
        <v>15388.95</v>
      </c>
      <c r="L1411" s="16">
        <f>12613.89 - (12613.89 * $E$1)</f>
        <v>12613.89</v>
      </c>
      <c r="M1411" s="1">
        <v>15388.95</v>
      </c>
      <c r="N1411" s="1">
        <v>12613.89</v>
      </c>
      <c r="O1411" s="1">
        <v>13080.6</v>
      </c>
      <c r="P1411" s="1">
        <v>10721.81</v>
      </c>
      <c r="Q1411">
        <v>0.99333333333332996</v>
      </c>
      <c r="R1411">
        <v>3.3600000000000001E-3</v>
      </c>
    </row>
    <row r="1412" spans="1:18" ht="13.8" outlineLevel="2" x14ac:dyDescent="0.25">
      <c r="A1412">
        <v>77337</v>
      </c>
      <c r="B1412" t="s">
        <v>1524</v>
      </c>
      <c r="C1412" t="s">
        <v>1696</v>
      </c>
      <c r="D1412" s="14" t="s">
        <v>1697</v>
      </c>
      <c r="E1412" s="12" t="s">
        <v>28</v>
      </c>
      <c r="F1412" s="13" t="s">
        <v>29</v>
      </c>
      <c r="G1412">
        <v>1</v>
      </c>
      <c r="H1412" t="s">
        <v>30</v>
      </c>
      <c r="I1412">
        <v>1</v>
      </c>
      <c r="J1412" s="15"/>
      <c r="K1412" s="16">
        <f>7069.08 - (7069.08 * $E$1)</f>
        <v>7069.08</v>
      </c>
      <c r="L1412" s="16">
        <f>5794.33 - (5794.33 * $E$1)</f>
        <v>5794.33</v>
      </c>
      <c r="M1412" s="1">
        <v>7069.08</v>
      </c>
      <c r="N1412" s="1">
        <v>5794.33</v>
      </c>
      <c r="O1412" s="1">
        <v>6008.72</v>
      </c>
      <c r="P1412" s="1">
        <v>4925.18</v>
      </c>
      <c r="Q1412">
        <v>0.88</v>
      </c>
      <c r="R1412">
        <v>1.0224E-2</v>
      </c>
    </row>
    <row r="1413" spans="1:18" ht="13.8" outlineLevel="2" x14ac:dyDescent="0.25">
      <c r="A1413">
        <v>77338</v>
      </c>
      <c r="B1413" t="s">
        <v>1524</v>
      </c>
      <c r="C1413" t="s">
        <v>1698</v>
      </c>
      <c r="D1413" s="14" t="s">
        <v>1697</v>
      </c>
      <c r="E1413" s="12" t="s">
        <v>28</v>
      </c>
      <c r="F1413" s="13" t="s">
        <v>29</v>
      </c>
      <c r="G1413">
        <v>1</v>
      </c>
      <c r="H1413" t="s">
        <v>30</v>
      </c>
      <c r="I1413">
        <v>1</v>
      </c>
      <c r="J1413" s="15"/>
      <c r="K1413" s="16">
        <f>8320.23 - (8320.23 * $E$1)</f>
        <v>8320.23</v>
      </c>
      <c r="L1413" s="16">
        <f>6819.86 - (6819.86 * $E$1)</f>
        <v>6819.86</v>
      </c>
      <c r="M1413" s="1">
        <v>8320.23</v>
      </c>
      <c r="N1413" s="1">
        <v>6819.86</v>
      </c>
      <c r="O1413" s="1">
        <v>7072.19</v>
      </c>
      <c r="P1413" s="1">
        <v>5796.88</v>
      </c>
      <c r="Q1413">
        <v>1</v>
      </c>
      <c r="R1413">
        <v>1.2168E-2</v>
      </c>
    </row>
    <row r="1414" spans="1:18" ht="13.8" outlineLevel="2" x14ac:dyDescent="0.25">
      <c r="A1414">
        <v>77339</v>
      </c>
      <c r="B1414" t="s">
        <v>1524</v>
      </c>
      <c r="C1414" t="s">
        <v>1699</v>
      </c>
      <c r="D1414" s="14" t="s">
        <v>1697</v>
      </c>
      <c r="E1414" s="12" t="s">
        <v>28</v>
      </c>
      <c r="F1414" s="13" t="s">
        <v>29</v>
      </c>
      <c r="G1414">
        <v>1</v>
      </c>
      <c r="H1414" t="s">
        <v>30</v>
      </c>
      <c r="I1414">
        <v>1</v>
      </c>
      <c r="J1414" s="15"/>
      <c r="K1414" s="16">
        <f>7628.5 - (7628.5 * $E$1)</f>
        <v>7628.5</v>
      </c>
      <c r="L1414" s="16">
        <f>6252.87 - (6252.87 * $E$1)</f>
        <v>6252.87</v>
      </c>
      <c r="M1414" s="1">
        <v>7628.5</v>
      </c>
      <c r="N1414" s="1">
        <v>6252.87</v>
      </c>
      <c r="O1414" s="1">
        <v>6484.23</v>
      </c>
      <c r="P1414" s="1">
        <v>5314.94</v>
      </c>
      <c r="Q1414">
        <v>1</v>
      </c>
      <c r="R1414">
        <v>1.1998999999999999E-2</v>
      </c>
    </row>
    <row r="1415" spans="1:18" ht="13.8" outlineLevel="2" x14ac:dyDescent="0.25">
      <c r="A1415">
        <v>77340</v>
      </c>
      <c r="B1415" t="s">
        <v>1524</v>
      </c>
      <c r="C1415" t="s">
        <v>1700</v>
      </c>
      <c r="D1415" s="14" t="s">
        <v>1697</v>
      </c>
      <c r="E1415" s="12" t="s">
        <v>28</v>
      </c>
      <c r="F1415" s="13" t="s">
        <v>29</v>
      </c>
      <c r="G1415">
        <v>1</v>
      </c>
      <c r="H1415" t="s">
        <v>30</v>
      </c>
      <c r="I1415">
        <v>1</v>
      </c>
      <c r="J1415" s="15"/>
      <c r="K1415" s="16">
        <f>10265.4 - (10265.4 * $E$1)</f>
        <v>10265.4</v>
      </c>
      <c r="L1415" s="16">
        <f>8414.26 - (8414.26 * $E$1)</f>
        <v>8414.26</v>
      </c>
      <c r="M1415" s="1">
        <v>10265.4</v>
      </c>
      <c r="N1415" s="1">
        <v>8414.26</v>
      </c>
      <c r="O1415" s="1">
        <v>8725.59</v>
      </c>
      <c r="P1415" s="1">
        <v>7152.12</v>
      </c>
      <c r="Q1415">
        <v>1.2</v>
      </c>
      <c r="R1415">
        <v>1.1232000000000001E-2</v>
      </c>
    </row>
    <row r="1416" spans="1:18" ht="13.8" outlineLevel="2" x14ac:dyDescent="0.25">
      <c r="A1416">
        <v>77341</v>
      </c>
      <c r="B1416" t="s">
        <v>1524</v>
      </c>
      <c r="C1416" t="s">
        <v>1701</v>
      </c>
      <c r="D1416" s="14" t="s">
        <v>1697</v>
      </c>
      <c r="E1416" s="12" t="s">
        <v>28</v>
      </c>
      <c r="F1416" s="13" t="s">
        <v>29</v>
      </c>
      <c r="G1416">
        <v>1</v>
      </c>
      <c r="H1416" t="s">
        <v>30</v>
      </c>
      <c r="I1416">
        <v>1</v>
      </c>
      <c r="J1416" s="15"/>
      <c r="K1416" s="16">
        <f>9026.78 - (9026.78 * $E$1)</f>
        <v>9026.7800000000007</v>
      </c>
      <c r="L1416" s="16">
        <f>7399 - (7399 * $E$1)</f>
        <v>7399</v>
      </c>
      <c r="M1416" s="1">
        <v>9026.7800000000007</v>
      </c>
      <c r="N1416" s="1">
        <v>7399</v>
      </c>
      <c r="O1416" s="1">
        <v>7672.76</v>
      </c>
      <c r="P1416" s="1">
        <v>6289.15</v>
      </c>
      <c r="Q1416">
        <v>1.1000000000000001</v>
      </c>
      <c r="R1416">
        <v>1.2168E-2</v>
      </c>
    </row>
    <row r="1417" spans="1:18" ht="13.8" outlineLevel="2" x14ac:dyDescent="0.25">
      <c r="A1417">
        <v>77342</v>
      </c>
      <c r="B1417" t="s">
        <v>1524</v>
      </c>
      <c r="C1417" t="s">
        <v>1702</v>
      </c>
      <c r="D1417" s="14" t="s">
        <v>1697</v>
      </c>
      <c r="E1417" s="12" t="s">
        <v>28</v>
      </c>
      <c r="F1417" s="13" t="s">
        <v>29</v>
      </c>
      <c r="G1417">
        <v>1</v>
      </c>
      <c r="H1417" t="s">
        <v>30</v>
      </c>
      <c r="I1417">
        <v>1</v>
      </c>
      <c r="J1417" s="15"/>
      <c r="K1417" s="16">
        <f>13433.16 - (13433.16 * $E$1)</f>
        <v>13433.16</v>
      </c>
      <c r="L1417" s="16">
        <f>11010.79 - (11010.79 * $E$1)</f>
        <v>11010.79</v>
      </c>
      <c r="M1417" s="1">
        <v>13433.16</v>
      </c>
      <c r="N1417" s="1">
        <v>11010.79</v>
      </c>
      <c r="O1417" s="1">
        <v>11418.19</v>
      </c>
      <c r="P1417" s="1">
        <v>9359.17</v>
      </c>
      <c r="Q1417">
        <v>1.56</v>
      </c>
      <c r="R1417">
        <v>1.1405999999999999E-2</v>
      </c>
    </row>
    <row r="1418" spans="1:18" ht="13.8" outlineLevel="2" x14ac:dyDescent="0.25">
      <c r="A1418">
        <v>92349</v>
      </c>
      <c r="B1418" t="s">
        <v>1524</v>
      </c>
      <c r="C1418" t="s">
        <v>1703</v>
      </c>
      <c r="D1418" s="14" t="s">
        <v>1697</v>
      </c>
      <c r="E1418" s="12" t="s">
        <v>28</v>
      </c>
      <c r="F1418" s="13" t="s">
        <v>29</v>
      </c>
      <c r="G1418">
        <v>1</v>
      </c>
      <c r="H1418" t="s">
        <v>30</v>
      </c>
      <c r="I1418">
        <v>1</v>
      </c>
      <c r="J1418" s="15"/>
      <c r="K1418" s="16">
        <f>12208.44 - (12208.44 * $E$1)</f>
        <v>12208.44</v>
      </c>
      <c r="L1418" s="16">
        <f>10006.92 - (10006.92 * $E$1)</f>
        <v>10006.92</v>
      </c>
      <c r="M1418" s="1">
        <v>12208.44</v>
      </c>
      <c r="N1418" s="1">
        <v>10006.92</v>
      </c>
      <c r="O1418" s="1">
        <v>10377.18</v>
      </c>
      <c r="P1418" s="1">
        <v>8505.8799999999992</v>
      </c>
      <c r="Q1418">
        <v>1.6</v>
      </c>
      <c r="R1418">
        <v>1.704E-2</v>
      </c>
    </row>
    <row r="1419" spans="1:18" ht="13.8" outlineLevel="2" x14ac:dyDescent="0.25">
      <c r="A1419">
        <v>92350</v>
      </c>
      <c r="B1419" t="s">
        <v>1524</v>
      </c>
      <c r="C1419" t="s">
        <v>1704</v>
      </c>
      <c r="D1419" s="14" t="s">
        <v>1697</v>
      </c>
      <c r="E1419" s="12" t="s">
        <v>28</v>
      </c>
      <c r="F1419" s="13" t="s">
        <v>29</v>
      </c>
      <c r="G1419">
        <v>1</v>
      </c>
      <c r="H1419" t="s">
        <v>30</v>
      </c>
      <c r="I1419">
        <v>1</v>
      </c>
      <c r="J1419" s="15"/>
      <c r="K1419" s="16">
        <f>21036.09 - (21036.09 * $E$1)</f>
        <v>21036.09</v>
      </c>
      <c r="L1419" s="16">
        <f>17242.7 - (17242.7 * $E$1)</f>
        <v>17242.7</v>
      </c>
      <c r="M1419" s="1">
        <v>21036.09</v>
      </c>
      <c r="N1419" s="1">
        <v>17242.7</v>
      </c>
      <c r="O1419" s="1">
        <v>17880.68</v>
      </c>
      <c r="P1419" s="1">
        <v>14656.3</v>
      </c>
      <c r="Q1419">
        <v>2.7</v>
      </c>
      <c r="R1419">
        <v>1.704E-2</v>
      </c>
    </row>
    <row r="1420" spans="1:18" ht="13.8" outlineLevel="2" x14ac:dyDescent="0.25">
      <c r="A1420">
        <v>88123</v>
      </c>
      <c r="B1420" t="s">
        <v>1524</v>
      </c>
      <c r="C1420" t="s">
        <v>1705</v>
      </c>
      <c r="D1420" s="14" t="s">
        <v>1706</v>
      </c>
      <c r="E1420" s="12" t="s">
        <v>28</v>
      </c>
      <c r="F1420" s="13" t="s">
        <v>29</v>
      </c>
      <c r="G1420">
        <v>1</v>
      </c>
      <c r="H1420" t="s">
        <v>30</v>
      </c>
      <c r="I1420">
        <v>1</v>
      </c>
      <c r="J1420" s="15"/>
      <c r="K1420" s="16">
        <f>9033.65 - (9033.65 * $E$1)</f>
        <v>9033.65</v>
      </c>
      <c r="L1420" s="16">
        <f>7404.63 - (7404.63 * $E$1)</f>
        <v>7404.63</v>
      </c>
      <c r="M1420" s="1">
        <v>9033.65</v>
      </c>
      <c r="N1420" s="1">
        <v>7404.63</v>
      </c>
      <c r="O1420" s="1">
        <v>7678.6</v>
      </c>
      <c r="P1420" s="1">
        <v>6293.94</v>
      </c>
      <c r="Q1420">
        <v>1</v>
      </c>
      <c r="R1420">
        <v>1.0224E-2</v>
      </c>
    </row>
    <row r="1421" spans="1:18" ht="13.8" outlineLevel="2" x14ac:dyDescent="0.25">
      <c r="A1421">
        <v>88124</v>
      </c>
      <c r="B1421" t="s">
        <v>1524</v>
      </c>
      <c r="C1421" t="s">
        <v>1707</v>
      </c>
      <c r="D1421" s="14" t="s">
        <v>1706</v>
      </c>
      <c r="E1421" s="12" t="s">
        <v>28</v>
      </c>
      <c r="F1421" s="13" t="s">
        <v>29</v>
      </c>
      <c r="G1421">
        <v>1</v>
      </c>
      <c r="H1421" t="s">
        <v>30</v>
      </c>
      <c r="I1421">
        <v>1</v>
      </c>
      <c r="J1421" s="15"/>
      <c r="K1421" s="16">
        <f>10493.07 - (10493.07 * $E$1)</f>
        <v>10493.07</v>
      </c>
      <c r="L1421" s="16">
        <f>8600.88 - (8600.88 * $E$1)</f>
        <v>8600.8799999999992</v>
      </c>
      <c r="M1421" s="1">
        <v>10493.07</v>
      </c>
      <c r="N1421" s="1">
        <v>8600.8799999999992</v>
      </c>
      <c r="O1421" s="1">
        <v>8919.11</v>
      </c>
      <c r="P1421" s="1">
        <v>7310.75</v>
      </c>
      <c r="Q1421">
        <v>1.1000000000000001</v>
      </c>
      <c r="R1421">
        <v>1.0224E-2</v>
      </c>
    </row>
    <row r="1422" spans="1:18" ht="13.8" outlineLevel="2" x14ac:dyDescent="0.25">
      <c r="A1422">
        <v>88125</v>
      </c>
      <c r="B1422" t="s">
        <v>1524</v>
      </c>
      <c r="C1422" t="s">
        <v>1708</v>
      </c>
      <c r="D1422" s="14" t="s">
        <v>1706</v>
      </c>
      <c r="E1422" s="12" t="s">
        <v>28</v>
      </c>
      <c r="F1422" s="13" t="s">
        <v>29</v>
      </c>
      <c r="G1422">
        <v>1</v>
      </c>
      <c r="H1422" t="s">
        <v>30</v>
      </c>
      <c r="I1422">
        <v>1</v>
      </c>
      <c r="J1422" s="15"/>
      <c r="K1422" s="16">
        <f>9261.09 - (9261.09 * $E$1)</f>
        <v>9261.09</v>
      </c>
      <c r="L1422" s="16">
        <f>7591.06 - (7591.06 * $E$1)</f>
        <v>7591.06</v>
      </c>
      <c r="M1422" s="1">
        <v>9261.09</v>
      </c>
      <c r="N1422" s="1">
        <v>7591.06</v>
      </c>
      <c r="O1422" s="1">
        <v>7871.93</v>
      </c>
      <c r="P1422" s="1">
        <v>6452.4</v>
      </c>
      <c r="Q1422">
        <v>1.2</v>
      </c>
      <c r="R1422">
        <v>1.0224E-2</v>
      </c>
    </row>
    <row r="1423" spans="1:18" ht="13.8" outlineLevel="2" x14ac:dyDescent="0.25">
      <c r="A1423">
        <v>88126</v>
      </c>
      <c r="B1423" t="s">
        <v>1524</v>
      </c>
      <c r="C1423" t="s">
        <v>1709</v>
      </c>
      <c r="D1423" s="14" t="s">
        <v>1706</v>
      </c>
      <c r="E1423" s="12" t="s">
        <v>28</v>
      </c>
      <c r="F1423" s="13" t="s">
        <v>29</v>
      </c>
      <c r="G1423">
        <v>1</v>
      </c>
      <c r="H1423" t="s">
        <v>30</v>
      </c>
      <c r="I1423">
        <v>1</v>
      </c>
      <c r="J1423" s="15"/>
      <c r="K1423" s="16">
        <f>12040.01 - (12040.01 * $E$1)</f>
        <v>12040.01</v>
      </c>
      <c r="L1423" s="16">
        <f>9868.86 - (9868.86 * $E$1)</f>
        <v>9868.86</v>
      </c>
      <c r="M1423" s="1">
        <v>12040.01</v>
      </c>
      <c r="N1423" s="1">
        <v>9868.86</v>
      </c>
      <c r="O1423" s="1">
        <v>10234.01</v>
      </c>
      <c r="P1423" s="1">
        <v>8388.5300000000007</v>
      </c>
      <c r="Q1423">
        <v>1.4</v>
      </c>
      <c r="R1423">
        <v>1.0224E-2</v>
      </c>
    </row>
    <row r="1424" spans="1:18" ht="13.8" outlineLevel="2" x14ac:dyDescent="0.25">
      <c r="A1424">
        <v>88127</v>
      </c>
      <c r="B1424" t="s">
        <v>1524</v>
      </c>
      <c r="C1424" t="s">
        <v>1710</v>
      </c>
      <c r="D1424" s="14" t="s">
        <v>1706</v>
      </c>
      <c r="E1424" s="12" t="s">
        <v>28</v>
      </c>
      <c r="F1424" s="13" t="s">
        <v>29</v>
      </c>
      <c r="G1424">
        <v>1</v>
      </c>
      <c r="H1424" t="s">
        <v>30</v>
      </c>
      <c r="I1424">
        <v>1</v>
      </c>
      <c r="J1424" s="15"/>
      <c r="K1424" s="16">
        <f>11511.88 - (11511.88 * $E$1)</f>
        <v>11511.88</v>
      </c>
      <c r="L1424" s="16">
        <f>9435.97 - (9435.97 * $E$1)</f>
        <v>9435.9699999999993</v>
      </c>
      <c r="M1424" s="1">
        <v>11511.88</v>
      </c>
      <c r="N1424" s="1">
        <v>9435.9699999999993</v>
      </c>
      <c r="O1424" s="1">
        <v>9785.1</v>
      </c>
      <c r="P1424" s="1">
        <v>8020.57</v>
      </c>
      <c r="Q1424">
        <v>1.4</v>
      </c>
      <c r="R1424">
        <v>1.704E-2</v>
      </c>
    </row>
    <row r="1425" spans="1:18" ht="13.8" outlineLevel="2" x14ac:dyDescent="0.25">
      <c r="A1425">
        <v>88128</v>
      </c>
      <c r="B1425" t="s">
        <v>1524</v>
      </c>
      <c r="C1425" t="s">
        <v>1711</v>
      </c>
      <c r="D1425" s="14" t="s">
        <v>1706</v>
      </c>
      <c r="E1425" s="12" t="s">
        <v>28</v>
      </c>
      <c r="F1425" s="13" t="s">
        <v>29</v>
      </c>
      <c r="G1425">
        <v>1</v>
      </c>
      <c r="H1425" t="s">
        <v>30</v>
      </c>
      <c r="I1425">
        <v>1</v>
      </c>
      <c r="J1425" s="15"/>
      <c r="K1425" s="16">
        <f>14525.26 - (14525.26 * $E$1)</f>
        <v>14525.26</v>
      </c>
      <c r="L1425" s="16">
        <f>11905.95 - (11905.95 * $E$1)</f>
        <v>11905.95</v>
      </c>
      <c r="M1425" s="1">
        <v>14525.26</v>
      </c>
      <c r="N1425" s="1">
        <v>11905.95</v>
      </c>
      <c r="O1425" s="1">
        <v>12346.47</v>
      </c>
      <c r="P1425" s="1">
        <v>10120.06</v>
      </c>
      <c r="Q1425">
        <v>1.9</v>
      </c>
      <c r="R1425">
        <v>1.704E-2</v>
      </c>
    </row>
    <row r="1426" spans="1:18" ht="13.8" outlineLevel="2" x14ac:dyDescent="0.25">
      <c r="A1426">
        <v>88129</v>
      </c>
      <c r="B1426" t="s">
        <v>1524</v>
      </c>
      <c r="C1426" t="s">
        <v>1712</v>
      </c>
      <c r="D1426" s="14" t="s">
        <v>1706</v>
      </c>
      <c r="E1426" s="12" t="s">
        <v>28</v>
      </c>
      <c r="F1426" s="13" t="s">
        <v>29</v>
      </c>
      <c r="G1426">
        <v>1</v>
      </c>
      <c r="H1426" t="s">
        <v>30</v>
      </c>
      <c r="I1426">
        <v>1</v>
      </c>
      <c r="J1426" s="15"/>
      <c r="K1426" s="16">
        <f>12063.21 - (12063.21 * $E$1)</f>
        <v>12063.21</v>
      </c>
      <c r="L1426" s="16">
        <f>9887.88 - (9887.88 * $E$1)</f>
        <v>9887.8799999999992</v>
      </c>
      <c r="M1426" s="1">
        <v>12063.21</v>
      </c>
      <c r="N1426" s="1">
        <v>9887.8799999999992</v>
      </c>
      <c r="O1426" s="1">
        <v>10253.73</v>
      </c>
      <c r="P1426" s="1">
        <v>8404.7000000000007</v>
      </c>
      <c r="Q1426">
        <v>1.5</v>
      </c>
      <c r="R1426">
        <v>1.704E-2</v>
      </c>
    </row>
    <row r="1427" spans="1:18" ht="13.8" outlineLevel="2" x14ac:dyDescent="0.25">
      <c r="A1427">
        <v>88130</v>
      </c>
      <c r="B1427" t="s">
        <v>1524</v>
      </c>
      <c r="C1427" t="s">
        <v>1713</v>
      </c>
      <c r="D1427" s="14" t="s">
        <v>1706</v>
      </c>
      <c r="E1427" s="12" t="s">
        <v>28</v>
      </c>
      <c r="F1427" s="13" t="s">
        <v>29</v>
      </c>
      <c r="G1427">
        <v>1</v>
      </c>
      <c r="H1427" t="s">
        <v>30</v>
      </c>
      <c r="I1427">
        <v>1</v>
      </c>
      <c r="J1427" s="15"/>
      <c r="K1427" s="16">
        <f>18996.52 - (18996.52 * $E$1)</f>
        <v>18996.52</v>
      </c>
      <c r="L1427" s="16">
        <f>15570.92 - (15570.92 * $E$1)</f>
        <v>15570.92</v>
      </c>
      <c r="M1427" s="1">
        <v>18996.52</v>
      </c>
      <c r="N1427" s="1">
        <v>15570.92</v>
      </c>
      <c r="O1427" s="1">
        <v>16147.04</v>
      </c>
      <c r="P1427" s="1">
        <v>13235.28</v>
      </c>
      <c r="Q1427">
        <v>2.6</v>
      </c>
      <c r="R1427">
        <v>1.704E-2</v>
      </c>
    </row>
    <row r="1428" spans="1:18" ht="13.8" outlineLevel="2" x14ac:dyDescent="0.25">
      <c r="A1428">
        <v>75552</v>
      </c>
      <c r="B1428" t="s">
        <v>1524</v>
      </c>
      <c r="C1428" t="s">
        <v>1714</v>
      </c>
      <c r="D1428" s="14" t="s">
        <v>1715</v>
      </c>
      <c r="E1428" s="12" t="s">
        <v>28</v>
      </c>
      <c r="F1428" s="13" t="s">
        <v>29</v>
      </c>
      <c r="G1428">
        <v>1</v>
      </c>
      <c r="H1428" t="s">
        <v>30</v>
      </c>
      <c r="I1428">
        <v>1</v>
      </c>
      <c r="J1428" s="15"/>
      <c r="K1428" s="16">
        <f>4897.69 - (4897.69 * $E$1)</f>
        <v>4897.6899999999996</v>
      </c>
      <c r="L1428" s="16">
        <f>4014.5 - (4014.5 * $E$1)</f>
        <v>4014.5</v>
      </c>
      <c r="M1428" s="1">
        <v>4897.6899999999996</v>
      </c>
      <c r="N1428" s="1">
        <v>4014.5</v>
      </c>
      <c r="O1428" s="1">
        <v>4163.04</v>
      </c>
      <c r="P1428" s="1">
        <v>3412.33</v>
      </c>
      <c r="Q1428">
        <v>0.77</v>
      </c>
      <c r="R1428">
        <v>5.751E-3</v>
      </c>
    </row>
    <row r="1429" spans="1:18" ht="13.8" outlineLevel="2" x14ac:dyDescent="0.25">
      <c r="A1429">
        <v>75554</v>
      </c>
      <c r="B1429" t="s">
        <v>1524</v>
      </c>
      <c r="C1429" t="s">
        <v>1716</v>
      </c>
      <c r="D1429" s="14" t="s">
        <v>1715</v>
      </c>
      <c r="E1429" s="12" t="s">
        <v>28</v>
      </c>
      <c r="F1429" s="13" t="s">
        <v>29</v>
      </c>
      <c r="G1429">
        <v>1</v>
      </c>
      <c r="H1429" t="s">
        <v>30</v>
      </c>
      <c r="I1429">
        <v>1</v>
      </c>
      <c r="J1429" s="15"/>
      <c r="K1429" s="16">
        <f>5297.23 - (5297.23 * $E$1)</f>
        <v>5297.23</v>
      </c>
      <c r="L1429" s="16">
        <f>4341.99 - (4341.99 * $E$1)</f>
        <v>4341.99</v>
      </c>
      <c r="M1429" s="1">
        <v>5297.23</v>
      </c>
      <c r="N1429" s="1">
        <v>4341.99</v>
      </c>
      <c r="O1429" s="1">
        <v>4502.6400000000003</v>
      </c>
      <c r="P1429" s="1">
        <v>3690.69</v>
      </c>
      <c r="Q1429">
        <v>0.94</v>
      </c>
      <c r="R1429">
        <v>5.751E-3</v>
      </c>
    </row>
    <row r="1430" spans="1:18" ht="13.8" outlineLevel="2" x14ac:dyDescent="0.25">
      <c r="A1430">
        <v>75556</v>
      </c>
      <c r="B1430" t="s">
        <v>1524</v>
      </c>
      <c r="C1430" t="s">
        <v>1717</v>
      </c>
      <c r="D1430" s="14" t="s">
        <v>1715</v>
      </c>
      <c r="E1430" s="12" t="s">
        <v>28</v>
      </c>
      <c r="F1430" s="13" t="s">
        <v>29</v>
      </c>
      <c r="G1430">
        <v>1</v>
      </c>
      <c r="H1430" t="s">
        <v>30</v>
      </c>
      <c r="I1430">
        <v>1</v>
      </c>
      <c r="J1430" s="15"/>
      <c r="K1430" s="16">
        <f>6579.33 - (6579.33 * $E$1)</f>
        <v>6579.33</v>
      </c>
      <c r="L1430" s="16">
        <f>5392.89 - (5392.89 * $E$1)</f>
        <v>5392.89</v>
      </c>
      <c r="M1430" s="1">
        <v>6579.33</v>
      </c>
      <c r="N1430" s="1">
        <v>5392.89</v>
      </c>
      <c r="O1430" s="1">
        <v>5592.43</v>
      </c>
      <c r="P1430" s="1">
        <v>4583.96</v>
      </c>
      <c r="Q1430">
        <v>1.2</v>
      </c>
      <c r="R1430">
        <v>5.751E-3</v>
      </c>
    </row>
    <row r="1431" spans="1:18" ht="13.8" outlineLevel="2" x14ac:dyDescent="0.25">
      <c r="A1431">
        <v>75553</v>
      </c>
      <c r="B1431" t="s">
        <v>1524</v>
      </c>
      <c r="C1431" t="s">
        <v>1718</v>
      </c>
      <c r="D1431" s="14" t="s">
        <v>1715</v>
      </c>
      <c r="E1431" s="12" t="s">
        <v>28</v>
      </c>
      <c r="F1431" s="13" t="s">
        <v>29</v>
      </c>
      <c r="G1431">
        <v>1</v>
      </c>
      <c r="H1431" t="s">
        <v>30</v>
      </c>
      <c r="I1431">
        <v>1</v>
      </c>
      <c r="J1431" s="15"/>
      <c r="K1431" s="16">
        <f>5790.27 - (5790.27 * $E$1)</f>
        <v>5790.27</v>
      </c>
      <c r="L1431" s="16">
        <f>4746.12 - (4746.12 * $E$1)</f>
        <v>4746.12</v>
      </c>
      <c r="M1431" s="1">
        <v>5790.27</v>
      </c>
      <c r="N1431" s="1">
        <v>4746.12</v>
      </c>
      <c r="O1431" s="1">
        <v>4921.7299999999996</v>
      </c>
      <c r="P1431" s="1">
        <v>4034.2</v>
      </c>
      <c r="Q1431">
        <v>0.86</v>
      </c>
      <c r="R1431">
        <v>5.751E-3</v>
      </c>
    </row>
    <row r="1432" spans="1:18" ht="13.8" outlineLevel="2" x14ac:dyDescent="0.25">
      <c r="A1432">
        <v>75555</v>
      </c>
      <c r="B1432" t="s">
        <v>1524</v>
      </c>
      <c r="C1432" t="s">
        <v>1719</v>
      </c>
      <c r="D1432" s="14" t="s">
        <v>1715</v>
      </c>
      <c r="E1432" s="12" t="s">
        <v>28</v>
      </c>
      <c r="F1432" s="13" t="s">
        <v>29</v>
      </c>
      <c r="G1432">
        <v>1</v>
      </c>
      <c r="H1432" t="s">
        <v>30</v>
      </c>
      <c r="I1432">
        <v>1</v>
      </c>
      <c r="J1432" s="15"/>
      <c r="K1432" s="16">
        <f>7529.47 - (7529.47 * $E$1)</f>
        <v>7529.47</v>
      </c>
      <c r="L1432" s="16">
        <f>6171.7 - (6171.7 * $E$1)</f>
        <v>6171.7</v>
      </c>
      <c r="M1432" s="1">
        <v>7529.47</v>
      </c>
      <c r="N1432" s="1">
        <v>6171.7</v>
      </c>
      <c r="O1432" s="1">
        <v>6400.05</v>
      </c>
      <c r="P1432" s="1">
        <v>5245.95</v>
      </c>
      <c r="Q1432">
        <v>1.18</v>
      </c>
      <c r="R1432">
        <v>5.751E-3</v>
      </c>
    </row>
    <row r="1433" spans="1:18" ht="13.8" outlineLevel="2" x14ac:dyDescent="0.25">
      <c r="A1433">
        <v>75557</v>
      </c>
      <c r="B1433" t="s">
        <v>1524</v>
      </c>
      <c r="C1433" t="s">
        <v>1720</v>
      </c>
      <c r="D1433" s="14" t="s">
        <v>1715</v>
      </c>
      <c r="E1433" s="12" t="s">
        <v>28</v>
      </c>
      <c r="F1433" s="13" t="s">
        <v>29</v>
      </c>
      <c r="G1433">
        <v>1</v>
      </c>
      <c r="H1433" t="s">
        <v>30</v>
      </c>
      <c r="I1433">
        <v>1</v>
      </c>
      <c r="J1433" s="15"/>
      <c r="K1433" s="16">
        <f>10208.33 - (10208.33 * $E$1)</f>
        <v>10208.33</v>
      </c>
      <c r="L1433" s="16">
        <f>8367.48 - (8367.48 * $E$1)</f>
        <v>8367.48</v>
      </c>
      <c r="M1433" s="1">
        <v>10208.33</v>
      </c>
      <c r="N1433" s="1">
        <v>8367.48</v>
      </c>
      <c r="O1433" s="1">
        <v>8677.08</v>
      </c>
      <c r="P1433" s="1">
        <v>7112.36</v>
      </c>
      <c r="Q1433">
        <v>1.68</v>
      </c>
      <c r="R1433">
        <v>5.751E-3</v>
      </c>
    </row>
    <row r="1434" spans="1:18" ht="13.8" outlineLevel="2" x14ac:dyDescent="0.25">
      <c r="A1434">
        <v>76429</v>
      </c>
      <c r="B1434" t="s">
        <v>1594</v>
      </c>
      <c r="C1434" t="s">
        <v>1721</v>
      </c>
      <c r="D1434" s="14" t="s">
        <v>1722</v>
      </c>
      <c r="E1434" s="12" t="s">
        <v>28</v>
      </c>
      <c r="F1434" s="13" t="s">
        <v>29</v>
      </c>
      <c r="G1434">
        <v>3</v>
      </c>
      <c r="H1434" t="s">
        <v>30</v>
      </c>
      <c r="I1434">
        <v>3</v>
      </c>
      <c r="J1434" s="15"/>
      <c r="K1434" s="16">
        <f>4633.11 - (4633.11 * $E$1)</f>
        <v>4633.1099999999997</v>
      </c>
      <c r="L1434" s="16">
        <f>3797.63 - (3797.63 * $E$1)</f>
        <v>3797.63</v>
      </c>
      <c r="M1434" s="1">
        <v>4633.1099999999997</v>
      </c>
      <c r="N1434" s="1">
        <v>3797.63</v>
      </c>
      <c r="O1434" s="1">
        <v>3938.14</v>
      </c>
      <c r="P1434" s="1">
        <v>3227.99</v>
      </c>
      <c r="Q1434">
        <v>0.7</v>
      </c>
      <c r="R1434">
        <v>7.0200000000000002E-3</v>
      </c>
    </row>
    <row r="1435" spans="1:18" ht="13.8" outlineLevel="2" x14ac:dyDescent="0.25">
      <c r="A1435">
        <v>76431</v>
      </c>
      <c r="B1435" t="s">
        <v>1594</v>
      </c>
      <c r="C1435" t="s">
        <v>1723</v>
      </c>
      <c r="D1435" s="14" t="s">
        <v>1722</v>
      </c>
      <c r="E1435" s="12" t="s">
        <v>28</v>
      </c>
      <c r="F1435" s="13" t="s">
        <v>29</v>
      </c>
      <c r="G1435">
        <v>3</v>
      </c>
      <c r="H1435" t="s">
        <v>30</v>
      </c>
      <c r="I1435">
        <v>3</v>
      </c>
      <c r="J1435" s="15"/>
      <c r="K1435" s="16">
        <f>6085.95 - (6085.95 * $E$1)</f>
        <v>6085.95</v>
      </c>
      <c r="L1435" s="16">
        <f>4988.48 - (4988.48 * $E$1)</f>
        <v>4988.4799999999996</v>
      </c>
      <c r="M1435" s="1">
        <v>6085.95</v>
      </c>
      <c r="N1435" s="1">
        <v>4988.4799999999996</v>
      </c>
      <c r="O1435" s="1">
        <v>5173.05</v>
      </c>
      <c r="P1435" s="1">
        <v>4240.21</v>
      </c>
      <c r="Q1435">
        <v>0.8</v>
      </c>
      <c r="R1435">
        <v>7.0200000000000002E-3</v>
      </c>
    </row>
    <row r="1436" spans="1:18" ht="13.8" outlineLevel="2" x14ac:dyDescent="0.25">
      <c r="A1436">
        <v>76433</v>
      </c>
      <c r="B1436" t="s">
        <v>1594</v>
      </c>
      <c r="C1436" t="s">
        <v>1724</v>
      </c>
      <c r="D1436" s="14" t="s">
        <v>1722</v>
      </c>
      <c r="E1436" s="12" t="s">
        <v>28</v>
      </c>
      <c r="F1436" s="13" t="s">
        <v>29</v>
      </c>
      <c r="G1436">
        <v>3</v>
      </c>
      <c r="H1436" t="s">
        <v>30</v>
      </c>
      <c r="I1436">
        <v>3</v>
      </c>
      <c r="J1436" s="15"/>
      <c r="K1436" s="16">
        <f>6143.86 - (6143.86 * $E$1)</f>
        <v>6143.86</v>
      </c>
      <c r="L1436" s="16">
        <f>5035.95 - (5035.95 * $E$1)</f>
        <v>5035.95</v>
      </c>
      <c r="M1436" s="1">
        <v>6143.86</v>
      </c>
      <c r="N1436" s="1">
        <v>5035.95</v>
      </c>
      <c r="O1436" s="1">
        <v>5222.28</v>
      </c>
      <c r="P1436" s="1">
        <v>4280.5600000000004</v>
      </c>
      <c r="Q1436">
        <v>0.96666666666667</v>
      </c>
      <c r="R1436">
        <v>7.0200000000000002E-3</v>
      </c>
    </row>
    <row r="1437" spans="1:18" ht="13.8" outlineLevel="2" x14ac:dyDescent="0.25">
      <c r="A1437">
        <v>76435</v>
      </c>
      <c r="B1437" t="s">
        <v>1594</v>
      </c>
      <c r="C1437" t="s">
        <v>1725</v>
      </c>
      <c r="D1437" s="14" t="s">
        <v>1722</v>
      </c>
      <c r="E1437" s="12" t="s">
        <v>28</v>
      </c>
      <c r="F1437" s="13" t="s">
        <v>29</v>
      </c>
      <c r="G1437">
        <v>3</v>
      </c>
      <c r="H1437" t="s">
        <v>30</v>
      </c>
      <c r="I1437">
        <v>3</v>
      </c>
      <c r="J1437" s="15"/>
      <c r="K1437" s="16">
        <f>7283.84 - (7283.84 * $E$1)</f>
        <v>7283.84</v>
      </c>
      <c r="L1437" s="16">
        <f>5970.36 - (5970.36 * $E$1)</f>
        <v>5970.36</v>
      </c>
      <c r="M1437" s="1">
        <v>7283.84</v>
      </c>
      <c r="N1437" s="1">
        <v>5970.36</v>
      </c>
      <c r="O1437" s="1">
        <v>6191.26</v>
      </c>
      <c r="P1437" s="1">
        <v>5074.8100000000004</v>
      </c>
      <c r="Q1437">
        <v>1.033333333333333</v>
      </c>
      <c r="R1437">
        <v>7.0200000000000002E-3</v>
      </c>
    </row>
    <row r="1438" spans="1:18" ht="13.8" outlineLevel="2" x14ac:dyDescent="0.25">
      <c r="A1438">
        <v>76437</v>
      </c>
      <c r="B1438" t="s">
        <v>1594</v>
      </c>
      <c r="C1438" t="s">
        <v>1726</v>
      </c>
      <c r="D1438" s="14" t="s">
        <v>1722</v>
      </c>
      <c r="E1438" s="12" t="s">
        <v>28</v>
      </c>
      <c r="F1438" s="13" t="s">
        <v>29</v>
      </c>
      <c r="G1438">
        <v>3</v>
      </c>
      <c r="H1438" t="s">
        <v>30</v>
      </c>
      <c r="I1438">
        <v>3</v>
      </c>
      <c r="J1438" s="15"/>
      <c r="K1438" s="16">
        <f>9051.94 - (9051.94 * $E$1)</f>
        <v>9051.94</v>
      </c>
      <c r="L1438" s="16">
        <f>7419.62 - (7419.62 * $E$1)</f>
        <v>7419.62</v>
      </c>
      <c r="M1438" s="1">
        <v>9051.94</v>
      </c>
      <c r="N1438" s="1">
        <v>7419.62</v>
      </c>
      <c r="O1438" s="1">
        <v>7694.15</v>
      </c>
      <c r="P1438" s="1">
        <v>6306.68</v>
      </c>
      <c r="Q1438">
        <v>1.3</v>
      </c>
      <c r="R1438">
        <v>1.1461666666667E-2</v>
      </c>
    </row>
    <row r="1439" spans="1:18" ht="13.8" outlineLevel="2" x14ac:dyDescent="0.25">
      <c r="A1439">
        <v>82909</v>
      </c>
      <c r="B1439" t="s">
        <v>1594</v>
      </c>
      <c r="C1439" t="s">
        <v>1727</v>
      </c>
      <c r="D1439" s="14" t="s">
        <v>1722</v>
      </c>
      <c r="E1439" s="12" t="s">
        <v>28</v>
      </c>
      <c r="F1439" s="13" t="s">
        <v>29</v>
      </c>
      <c r="G1439">
        <v>3</v>
      </c>
      <c r="H1439" t="s">
        <v>30</v>
      </c>
      <c r="I1439">
        <v>3</v>
      </c>
      <c r="J1439" s="15"/>
      <c r="K1439" s="16">
        <f>10365.68 - (10365.68 * $E$1)</f>
        <v>10365.68</v>
      </c>
      <c r="L1439" s="16">
        <f>8496.46 - (8496.46 * $E$1)</f>
        <v>8496.4599999999991</v>
      </c>
      <c r="M1439" s="1">
        <v>10365.68</v>
      </c>
      <c r="N1439" s="1">
        <v>8496.4599999999991</v>
      </c>
      <c r="O1439" s="1">
        <v>8810.83</v>
      </c>
      <c r="P1439" s="1">
        <v>7221.99</v>
      </c>
      <c r="Q1439">
        <v>1.6</v>
      </c>
      <c r="R1439">
        <v>1.1461666666667E-2</v>
      </c>
    </row>
    <row r="1440" spans="1:18" ht="13.8" outlineLevel="2" x14ac:dyDescent="0.25">
      <c r="A1440">
        <v>76430</v>
      </c>
      <c r="B1440" t="s">
        <v>1594</v>
      </c>
      <c r="C1440" t="s">
        <v>1728</v>
      </c>
      <c r="D1440" s="14" t="s">
        <v>1722</v>
      </c>
      <c r="E1440" s="12" t="s">
        <v>28</v>
      </c>
      <c r="F1440" s="13" t="s">
        <v>29</v>
      </c>
      <c r="G1440">
        <v>3</v>
      </c>
      <c r="H1440" t="s">
        <v>30</v>
      </c>
      <c r="I1440">
        <v>3</v>
      </c>
      <c r="J1440" s="15"/>
      <c r="K1440" s="16">
        <f>5724.59 - (5724.59 * $E$1)</f>
        <v>5724.59</v>
      </c>
      <c r="L1440" s="16">
        <f>4692.29 - (4692.29 * $E$1)</f>
        <v>4692.29</v>
      </c>
      <c r="M1440" s="1">
        <v>5724.59</v>
      </c>
      <c r="N1440" s="1">
        <v>4692.29</v>
      </c>
      <c r="O1440" s="1">
        <v>4865.8999999999996</v>
      </c>
      <c r="P1440" s="1">
        <v>3988.45</v>
      </c>
      <c r="Q1440">
        <v>0.73333333333332995</v>
      </c>
      <c r="R1440">
        <v>7.0200000000000002E-3</v>
      </c>
    </row>
    <row r="1441" spans="1:18" ht="13.8" outlineLevel="2" x14ac:dyDescent="0.25">
      <c r="A1441">
        <v>76432</v>
      </c>
      <c r="B1441" t="s">
        <v>1594</v>
      </c>
      <c r="C1441" t="s">
        <v>1729</v>
      </c>
      <c r="D1441" s="14" t="s">
        <v>1722</v>
      </c>
      <c r="E1441" s="12" t="s">
        <v>28</v>
      </c>
      <c r="F1441" s="13" t="s">
        <v>29</v>
      </c>
      <c r="G1441">
        <v>3</v>
      </c>
      <c r="H1441" t="s">
        <v>30</v>
      </c>
      <c r="I1441">
        <v>3</v>
      </c>
      <c r="J1441" s="15"/>
      <c r="K1441" s="16">
        <f>7333.08 - (7333.08 * $E$1)</f>
        <v>7333.08</v>
      </c>
      <c r="L1441" s="16">
        <f>6010.72 - (6010.72 * $E$1)</f>
        <v>6010.72</v>
      </c>
      <c r="M1441" s="1">
        <v>7333.08</v>
      </c>
      <c r="N1441" s="1">
        <v>6010.72</v>
      </c>
      <c r="O1441" s="1">
        <v>6233.12</v>
      </c>
      <c r="P1441" s="1">
        <v>5109.1099999999997</v>
      </c>
      <c r="Q1441">
        <v>0.86666666666667003</v>
      </c>
      <c r="R1441">
        <v>7.0200000000000002E-3</v>
      </c>
    </row>
    <row r="1442" spans="1:18" ht="13.8" outlineLevel="2" x14ac:dyDescent="0.25">
      <c r="A1442">
        <v>76434</v>
      </c>
      <c r="B1442" t="s">
        <v>1594</v>
      </c>
      <c r="C1442" t="s">
        <v>1730</v>
      </c>
      <c r="D1442" s="14" t="s">
        <v>1722</v>
      </c>
      <c r="E1442" s="12" t="s">
        <v>28</v>
      </c>
      <c r="F1442" s="13" t="s">
        <v>29</v>
      </c>
      <c r="G1442">
        <v>3</v>
      </c>
      <c r="H1442" t="s">
        <v>30</v>
      </c>
      <c r="I1442">
        <v>3</v>
      </c>
      <c r="J1442" s="15"/>
      <c r="K1442" s="16">
        <f>8367.74 - (8367.74 * $E$1)</f>
        <v>8367.74</v>
      </c>
      <c r="L1442" s="16">
        <f>6858.8 - (6858.8 * $E$1)</f>
        <v>6858.8</v>
      </c>
      <c r="M1442" s="1">
        <v>8367.74</v>
      </c>
      <c r="N1442" s="1">
        <v>6858.8</v>
      </c>
      <c r="O1442" s="1">
        <v>7112.58</v>
      </c>
      <c r="P1442" s="1">
        <v>5829.98</v>
      </c>
      <c r="Q1442">
        <v>1.2</v>
      </c>
      <c r="R1442">
        <v>7.0200000000000002E-3</v>
      </c>
    </row>
    <row r="1443" spans="1:18" ht="13.8" outlineLevel="2" x14ac:dyDescent="0.25">
      <c r="A1443">
        <v>76436</v>
      </c>
      <c r="B1443" t="s">
        <v>1594</v>
      </c>
      <c r="C1443" t="s">
        <v>1731</v>
      </c>
      <c r="D1443" s="14" t="s">
        <v>1722</v>
      </c>
      <c r="E1443" s="12" t="s">
        <v>28</v>
      </c>
      <c r="F1443" s="13" t="s">
        <v>29</v>
      </c>
      <c r="G1443">
        <v>3</v>
      </c>
      <c r="H1443" t="s">
        <v>30</v>
      </c>
      <c r="I1443">
        <v>3</v>
      </c>
      <c r="J1443" s="15"/>
      <c r="K1443" s="16">
        <f>10885.23 - (10885.23 * $E$1)</f>
        <v>10885.23</v>
      </c>
      <c r="L1443" s="16">
        <f>8922.32 - (8922.32 * $E$1)</f>
        <v>8922.32</v>
      </c>
      <c r="M1443" s="1">
        <v>10885.23</v>
      </c>
      <c r="N1443" s="1">
        <v>8922.32</v>
      </c>
      <c r="O1443" s="1">
        <v>9252.4500000000007</v>
      </c>
      <c r="P1443" s="1">
        <v>7583.97</v>
      </c>
      <c r="Q1443">
        <v>1.3</v>
      </c>
      <c r="R1443">
        <v>7.0200000000000002E-3</v>
      </c>
    </row>
    <row r="1444" spans="1:18" ht="13.8" outlineLevel="2" x14ac:dyDescent="0.25">
      <c r="A1444">
        <v>76438</v>
      </c>
      <c r="B1444" t="s">
        <v>1594</v>
      </c>
      <c r="C1444" t="s">
        <v>1732</v>
      </c>
      <c r="D1444" s="14" t="s">
        <v>1722</v>
      </c>
      <c r="E1444" s="12" t="s">
        <v>28</v>
      </c>
      <c r="F1444" s="13" t="s">
        <v>29</v>
      </c>
      <c r="G1444">
        <v>3</v>
      </c>
      <c r="H1444" t="s">
        <v>30</v>
      </c>
      <c r="I1444">
        <v>3</v>
      </c>
      <c r="J1444" s="15"/>
      <c r="K1444" s="16">
        <f>22813.83 - (22813.83 * $E$1)</f>
        <v>22813.83</v>
      </c>
      <c r="L1444" s="16">
        <f>18699.86 - (18699.86 * $E$1)</f>
        <v>18699.86</v>
      </c>
      <c r="M1444" s="1">
        <v>22813.83</v>
      </c>
      <c r="N1444" s="1">
        <v>18699.86</v>
      </c>
      <c r="O1444" s="1">
        <v>19391.75</v>
      </c>
      <c r="P1444" s="1">
        <v>15894.88</v>
      </c>
      <c r="Q1444">
        <v>1.9</v>
      </c>
      <c r="R1444">
        <v>1.1461666666667E-2</v>
      </c>
    </row>
    <row r="1445" spans="1:18" ht="13.8" outlineLevel="2" x14ac:dyDescent="0.25">
      <c r="A1445">
        <v>76439</v>
      </c>
      <c r="B1445" t="s">
        <v>1594</v>
      </c>
      <c r="C1445" t="s">
        <v>1733</v>
      </c>
      <c r="D1445" s="14" t="s">
        <v>1722</v>
      </c>
      <c r="E1445" s="12" t="s">
        <v>28</v>
      </c>
      <c r="F1445" s="13" t="s">
        <v>29</v>
      </c>
      <c r="G1445">
        <v>3</v>
      </c>
      <c r="H1445" t="s">
        <v>30</v>
      </c>
      <c r="I1445">
        <v>3</v>
      </c>
      <c r="J1445" s="15"/>
      <c r="K1445" s="16">
        <f>24182.24 - (24182.24 * $E$1)</f>
        <v>24182.240000000002</v>
      </c>
      <c r="L1445" s="16">
        <f>19821.51 - (19821.51 * $E$1)</f>
        <v>19821.509999999998</v>
      </c>
      <c r="M1445" s="1">
        <v>24182.240000000002</v>
      </c>
      <c r="N1445" s="1">
        <v>19821.509999999998</v>
      </c>
      <c r="O1445" s="1">
        <v>20554.91</v>
      </c>
      <c r="P1445" s="1">
        <v>16848.28</v>
      </c>
      <c r="Q1445">
        <v>2.2000000000000002</v>
      </c>
      <c r="R1445">
        <v>1.1461666666667E-2</v>
      </c>
    </row>
    <row r="1446" spans="1:18" ht="13.8" outlineLevel="2" x14ac:dyDescent="0.25">
      <c r="A1446">
        <v>77344</v>
      </c>
      <c r="B1446" t="s">
        <v>1594</v>
      </c>
      <c r="C1446" t="s">
        <v>1734</v>
      </c>
      <c r="D1446" s="14" t="s">
        <v>1735</v>
      </c>
      <c r="E1446" s="12" t="s">
        <v>28</v>
      </c>
      <c r="F1446" s="13" t="s">
        <v>29</v>
      </c>
      <c r="G1446">
        <v>1</v>
      </c>
      <c r="H1446" t="s">
        <v>30</v>
      </c>
      <c r="I1446">
        <v>1</v>
      </c>
      <c r="J1446" s="15"/>
      <c r="K1446" s="16">
        <f>15262.86 - (15262.86 * $E$1)</f>
        <v>15262.86</v>
      </c>
      <c r="L1446" s="16">
        <f>12510.54 - (12510.54 * $E$1)</f>
        <v>12510.54</v>
      </c>
      <c r="M1446" s="1">
        <v>15262.86</v>
      </c>
      <c r="N1446" s="1">
        <v>12510.54</v>
      </c>
      <c r="O1446" s="1">
        <v>12973.43</v>
      </c>
      <c r="P1446" s="1">
        <v>10633.96</v>
      </c>
      <c r="Q1446">
        <v>2.56</v>
      </c>
      <c r="R1446">
        <v>2.928E-2</v>
      </c>
    </row>
    <row r="1447" spans="1:18" ht="13.8" outlineLevel="2" x14ac:dyDescent="0.25">
      <c r="A1447">
        <v>77345</v>
      </c>
      <c r="B1447" t="s">
        <v>1594</v>
      </c>
      <c r="C1447" t="s">
        <v>1736</v>
      </c>
      <c r="D1447" s="14" t="s">
        <v>1735</v>
      </c>
      <c r="E1447" s="12" t="s">
        <v>28</v>
      </c>
      <c r="F1447" s="13" t="s">
        <v>29</v>
      </c>
      <c r="G1447">
        <v>1</v>
      </c>
      <c r="H1447" t="s">
        <v>30</v>
      </c>
      <c r="I1447">
        <v>1</v>
      </c>
      <c r="J1447" s="15"/>
      <c r="K1447" s="16">
        <f>19886.1 - (19886.1 * $E$1)</f>
        <v>19886.099999999999</v>
      </c>
      <c r="L1447" s="16">
        <f>16300.08 - (16300.08 * $E$1)</f>
        <v>16300.08</v>
      </c>
      <c r="M1447" s="1">
        <v>19886.099999999999</v>
      </c>
      <c r="N1447" s="1">
        <v>16300.08</v>
      </c>
      <c r="O1447" s="1">
        <v>16903.18</v>
      </c>
      <c r="P1447" s="1">
        <v>13855.07</v>
      </c>
      <c r="Q1447">
        <v>2.5</v>
      </c>
      <c r="R1447">
        <v>3.3487000000000003E-2</v>
      </c>
    </row>
    <row r="1448" spans="1:18" ht="13.8" outlineLevel="2" x14ac:dyDescent="0.25">
      <c r="A1448">
        <v>77346</v>
      </c>
      <c r="B1448" t="s">
        <v>1594</v>
      </c>
      <c r="C1448" t="s">
        <v>1737</v>
      </c>
      <c r="D1448" s="14" t="s">
        <v>1735</v>
      </c>
      <c r="E1448" s="12" t="s">
        <v>28</v>
      </c>
      <c r="F1448" s="13" t="s">
        <v>29</v>
      </c>
      <c r="G1448">
        <v>1</v>
      </c>
      <c r="H1448" t="s">
        <v>30</v>
      </c>
      <c r="I1448">
        <v>1</v>
      </c>
      <c r="J1448" s="15"/>
      <c r="K1448" s="16">
        <f>19166.14 - (19166.14 * $E$1)</f>
        <v>19166.14</v>
      </c>
      <c r="L1448" s="16">
        <f>15709.95 - (15709.95 * $E$1)</f>
        <v>15709.95</v>
      </c>
      <c r="M1448" s="1">
        <v>19166.14</v>
      </c>
      <c r="N1448" s="1">
        <v>15709.95</v>
      </c>
      <c r="O1448" s="1">
        <v>16291.22</v>
      </c>
      <c r="P1448" s="1">
        <v>13353.46</v>
      </c>
      <c r="Q1448">
        <v>3</v>
      </c>
      <c r="R1448">
        <v>2.928E-2</v>
      </c>
    </row>
    <row r="1449" spans="1:18" ht="13.8" outlineLevel="2" x14ac:dyDescent="0.25">
      <c r="A1449">
        <v>77347</v>
      </c>
      <c r="B1449" t="s">
        <v>1594</v>
      </c>
      <c r="C1449" t="s">
        <v>1738</v>
      </c>
      <c r="D1449" s="14" t="s">
        <v>1735</v>
      </c>
      <c r="E1449" s="12" t="s">
        <v>28</v>
      </c>
      <c r="F1449" s="13" t="s">
        <v>29</v>
      </c>
      <c r="G1449">
        <v>1</v>
      </c>
      <c r="H1449" t="s">
        <v>30</v>
      </c>
      <c r="I1449">
        <v>1</v>
      </c>
      <c r="J1449" s="15"/>
      <c r="K1449" s="16">
        <f>25380.75 - (25380.75 * $E$1)</f>
        <v>25380.75</v>
      </c>
      <c r="L1449" s="16">
        <f>20803.89 - (20803.89 * $E$1)</f>
        <v>20803.89</v>
      </c>
      <c r="M1449" s="1">
        <v>25380.75</v>
      </c>
      <c r="N1449" s="1">
        <v>20803.89</v>
      </c>
      <c r="O1449" s="1">
        <v>21573.63</v>
      </c>
      <c r="P1449" s="1">
        <v>17683.310000000001</v>
      </c>
      <c r="Q1449">
        <v>3.3</v>
      </c>
      <c r="R1449">
        <v>3.3320000000000002E-2</v>
      </c>
    </row>
    <row r="1450" spans="1:18" ht="13.8" outlineLevel="2" x14ac:dyDescent="0.25">
      <c r="A1450">
        <v>77348</v>
      </c>
      <c r="B1450" t="s">
        <v>1594</v>
      </c>
      <c r="C1450" t="s">
        <v>1739</v>
      </c>
      <c r="D1450" s="14" t="s">
        <v>1735</v>
      </c>
      <c r="E1450" s="12" t="s">
        <v>28</v>
      </c>
      <c r="F1450" s="13" t="s">
        <v>29</v>
      </c>
      <c r="G1450">
        <v>1</v>
      </c>
      <c r="H1450" t="s">
        <v>30</v>
      </c>
      <c r="I1450">
        <v>1</v>
      </c>
      <c r="J1450" s="15"/>
      <c r="K1450" s="16">
        <f>21061.19 - (21061.19 * $E$1)</f>
        <v>21061.19</v>
      </c>
      <c r="L1450" s="16">
        <f>17263.27 - (17263.27 * $E$1)</f>
        <v>17263.27</v>
      </c>
      <c r="M1450" s="1">
        <v>21061.19</v>
      </c>
      <c r="N1450" s="1">
        <v>17263.27</v>
      </c>
      <c r="O1450" s="1">
        <v>17902.009999999998</v>
      </c>
      <c r="P1450" s="1">
        <v>14673.78</v>
      </c>
      <c r="Q1450">
        <v>3.58</v>
      </c>
      <c r="R1450">
        <v>2.928E-2</v>
      </c>
    </row>
    <row r="1451" spans="1:18" ht="13.8" outlineLevel="2" x14ac:dyDescent="0.25">
      <c r="A1451">
        <v>77349</v>
      </c>
      <c r="B1451" t="s">
        <v>1594</v>
      </c>
      <c r="C1451" t="s">
        <v>1740</v>
      </c>
      <c r="D1451" s="14" t="s">
        <v>1735</v>
      </c>
      <c r="E1451" s="12" t="s">
        <v>28</v>
      </c>
      <c r="F1451" s="13" t="s">
        <v>29</v>
      </c>
      <c r="G1451">
        <v>1</v>
      </c>
      <c r="H1451" t="s">
        <v>30</v>
      </c>
      <c r="I1451">
        <v>1</v>
      </c>
      <c r="J1451" s="15"/>
      <c r="K1451" s="16">
        <f>29669.61 - (29669.61 * $E$1)</f>
        <v>29669.61</v>
      </c>
      <c r="L1451" s="16">
        <f>24319.35 - (24319.35 * $E$1)</f>
        <v>24319.35</v>
      </c>
      <c r="M1451" s="1">
        <v>29669.61</v>
      </c>
      <c r="N1451" s="1">
        <v>24319.35</v>
      </c>
      <c r="O1451" s="1">
        <v>25219.17</v>
      </c>
      <c r="P1451" s="1">
        <v>20671.45</v>
      </c>
      <c r="Q1451">
        <v>3.9</v>
      </c>
      <c r="R1451">
        <v>3.3320000000000002E-2</v>
      </c>
    </row>
    <row r="1452" spans="1:18" ht="13.8" outlineLevel="2" x14ac:dyDescent="0.25">
      <c r="A1452">
        <v>92353</v>
      </c>
      <c r="B1452" t="s">
        <v>1594</v>
      </c>
      <c r="C1452" t="s">
        <v>1741</v>
      </c>
      <c r="D1452" s="14" t="s">
        <v>1735</v>
      </c>
      <c r="E1452" s="12" t="s">
        <v>28</v>
      </c>
      <c r="F1452" s="13" t="s">
        <v>29</v>
      </c>
      <c r="G1452">
        <v>1</v>
      </c>
      <c r="H1452" t="s">
        <v>30</v>
      </c>
      <c r="I1452">
        <v>1</v>
      </c>
      <c r="J1452" s="15"/>
      <c r="K1452" s="16">
        <f>24285.42 - (24285.42 * $E$1)</f>
        <v>24285.42</v>
      </c>
      <c r="L1452" s="16">
        <f>19906.08 - (19906.08 * $E$1)</f>
        <v>19906.080000000002</v>
      </c>
      <c r="M1452" s="1">
        <v>24285.42</v>
      </c>
      <c r="N1452" s="1">
        <v>19906.080000000002</v>
      </c>
      <c r="O1452" s="1">
        <v>20642.599999999999</v>
      </c>
      <c r="P1452" s="1">
        <v>16920.169999999998</v>
      </c>
      <c r="Q1452">
        <v>4.5</v>
      </c>
      <c r="R1452">
        <v>2.928E-2</v>
      </c>
    </row>
    <row r="1453" spans="1:18" ht="13.8" outlineLevel="2" x14ac:dyDescent="0.25">
      <c r="A1453">
        <v>92354</v>
      </c>
      <c r="B1453" t="s">
        <v>1594</v>
      </c>
      <c r="C1453" t="s">
        <v>1742</v>
      </c>
      <c r="D1453" s="14" t="s">
        <v>1735</v>
      </c>
      <c r="E1453" s="12" t="s">
        <v>28</v>
      </c>
      <c r="F1453" s="13" t="s">
        <v>29</v>
      </c>
      <c r="G1453">
        <v>1</v>
      </c>
      <c r="H1453" t="s">
        <v>30</v>
      </c>
      <c r="I1453">
        <v>1</v>
      </c>
      <c r="J1453" s="15"/>
      <c r="K1453" s="16">
        <f>38819.67 - (38819.67 * $E$1)</f>
        <v>38819.67</v>
      </c>
      <c r="L1453" s="16">
        <f>31819.4 - (31819.4 * $E$1)</f>
        <v>31819.4</v>
      </c>
      <c r="M1453" s="1">
        <v>38819.67</v>
      </c>
      <c r="N1453" s="1">
        <v>31819.4</v>
      </c>
      <c r="O1453" s="1">
        <v>32996.720000000001</v>
      </c>
      <c r="P1453" s="1">
        <v>27046.49</v>
      </c>
      <c r="Q1453">
        <v>5.8</v>
      </c>
      <c r="R1453">
        <v>2.928E-2</v>
      </c>
    </row>
    <row r="1454" spans="1:18" ht="13.8" outlineLevel="2" x14ac:dyDescent="0.25">
      <c r="A1454">
        <v>88139</v>
      </c>
      <c r="B1454" t="s">
        <v>1594</v>
      </c>
      <c r="C1454" t="s">
        <v>1743</v>
      </c>
      <c r="D1454" s="14" t="s">
        <v>1744</v>
      </c>
      <c r="E1454" s="12" t="s">
        <v>28</v>
      </c>
      <c r="F1454" s="13" t="s">
        <v>29</v>
      </c>
      <c r="G1454">
        <v>1</v>
      </c>
      <c r="H1454" t="s">
        <v>30</v>
      </c>
      <c r="I1454">
        <v>1</v>
      </c>
      <c r="J1454" s="15"/>
      <c r="K1454" s="16">
        <f>19320.54 - (19320.54 * $E$1)</f>
        <v>19320.54</v>
      </c>
      <c r="L1454" s="16">
        <f>15836.51 - (15836.51 * $E$1)</f>
        <v>15836.51</v>
      </c>
      <c r="M1454" s="1">
        <v>19320.54</v>
      </c>
      <c r="N1454" s="1">
        <v>15836.51</v>
      </c>
      <c r="O1454" s="1">
        <v>16422.46</v>
      </c>
      <c r="P1454" s="1">
        <v>13461.03</v>
      </c>
      <c r="Q1454">
        <v>2.59</v>
      </c>
      <c r="R1454">
        <v>2.928E-2</v>
      </c>
    </row>
    <row r="1455" spans="1:18" ht="13.8" outlineLevel="2" x14ac:dyDescent="0.25">
      <c r="A1455">
        <v>88140</v>
      </c>
      <c r="B1455" t="s">
        <v>1594</v>
      </c>
      <c r="C1455" t="s">
        <v>1745</v>
      </c>
      <c r="D1455" s="14" t="s">
        <v>1744</v>
      </c>
      <c r="E1455" s="12" t="s">
        <v>28</v>
      </c>
      <c r="F1455" s="13" t="s">
        <v>29</v>
      </c>
      <c r="G1455">
        <v>1</v>
      </c>
      <c r="H1455" t="s">
        <v>30</v>
      </c>
      <c r="I1455">
        <v>1</v>
      </c>
      <c r="J1455" s="15"/>
      <c r="K1455" s="16">
        <f>20092.46 - (20092.46 * $E$1)</f>
        <v>20092.46</v>
      </c>
      <c r="L1455" s="16">
        <f>16469.23 - (16469.23 * $E$1)</f>
        <v>16469.23</v>
      </c>
      <c r="M1455" s="1">
        <v>20092.46</v>
      </c>
      <c r="N1455" s="1">
        <v>16469.23</v>
      </c>
      <c r="O1455" s="1">
        <v>17078.59</v>
      </c>
      <c r="P1455" s="1">
        <v>13998.85</v>
      </c>
      <c r="Q1455">
        <v>2.77</v>
      </c>
      <c r="R1455">
        <v>2.928E-2</v>
      </c>
    </row>
    <row r="1456" spans="1:18" ht="13.8" outlineLevel="2" x14ac:dyDescent="0.25">
      <c r="A1456">
        <v>88141</v>
      </c>
      <c r="B1456" t="s">
        <v>1594</v>
      </c>
      <c r="C1456" t="s">
        <v>1746</v>
      </c>
      <c r="D1456" s="14" t="s">
        <v>1744</v>
      </c>
      <c r="E1456" s="12" t="s">
        <v>28</v>
      </c>
      <c r="F1456" s="13" t="s">
        <v>29</v>
      </c>
      <c r="G1456">
        <v>1</v>
      </c>
      <c r="H1456" t="s">
        <v>30</v>
      </c>
      <c r="I1456">
        <v>1</v>
      </c>
      <c r="J1456" s="15"/>
      <c r="K1456" s="16">
        <f>22621.62 - (22621.62 * $E$1)</f>
        <v>22621.62</v>
      </c>
      <c r="L1456" s="16">
        <f>18542.31 - (18542.31 * $E$1)</f>
        <v>18542.310000000001</v>
      </c>
      <c r="M1456" s="1">
        <v>22621.62</v>
      </c>
      <c r="N1456" s="1">
        <v>18542.310000000001</v>
      </c>
      <c r="O1456" s="1">
        <v>19228.38</v>
      </c>
      <c r="P1456" s="1">
        <v>15760.96</v>
      </c>
      <c r="Q1456">
        <v>3.76</v>
      </c>
      <c r="R1456">
        <v>2.928E-2</v>
      </c>
    </row>
    <row r="1457" spans="1:18" ht="13.8" outlineLevel="2" x14ac:dyDescent="0.25">
      <c r="A1457">
        <v>88142</v>
      </c>
      <c r="B1457" t="s">
        <v>1594</v>
      </c>
      <c r="C1457" t="s">
        <v>1747</v>
      </c>
      <c r="D1457" s="14" t="s">
        <v>1744</v>
      </c>
      <c r="E1457" s="12" t="s">
        <v>28</v>
      </c>
      <c r="F1457" s="13" t="s">
        <v>29</v>
      </c>
      <c r="G1457">
        <v>1</v>
      </c>
      <c r="H1457" t="s">
        <v>30</v>
      </c>
      <c r="I1457">
        <v>1</v>
      </c>
      <c r="J1457" s="15"/>
      <c r="K1457" s="16">
        <f>24939.63 - (24939.63 * $E$1)</f>
        <v>24939.63</v>
      </c>
      <c r="L1457" s="16">
        <f>20442.32 - (20442.32 * $E$1)</f>
        <v>20442.32</v>
      </c>
      <c r="M1457" s="1">
        <v>24939.63</v>
      </c>
      <c r="N1457" s="1">
        <v>20442.32</v>
      </c>
      <c r="O1457" s="1">
        <v>21198.69</v>
      </c>
      <c r="P1457" s="1">
        <v>17375.97</v>
      </c>
      <c r="Q1457">
        <v>4.1500000000000004</v>
      </c>
      <c r="R1457">
        <v>2.928E-2</v>
      </c>
    </row>
    <row r="1458" spans="1:18" ht="13.8" outlineLevel="2" x14ac:dyDescent="0.25">
      <c r="A1458">
        <v>88143</v>
      </c>
      <c r="B1458" t="s">
        <v>1594</v>
      </c>
      <c r="C1458" t="s">
        <v>1748</v>
      </c>
      <c r="D1458" s="14" t="s">
        <v>1744</v>
      </c>
      <c r="E1458" s="12" t="s">
        <v>28</v>
      </c>
      <c r="F1458" s="13" t="s">
        <v>29</v>
      </c>
      <c r="G1458">
        <v>1</v>
      </c>
      <c r="H1458" t="s">
        <v>30</v>
      </c>
      <c r="I1458">
        <v>1</v>
      </c>
      <c r="J1458" s="15"/>
      <c r="K1458" s="16">
        <f>23677.3 - (23677.3 * $E$1)</f>
        <v>23677.3</v>
      </c>
      <c r="L1458" s="16">
        <f>19407.62 - (19407.62 * $E$1)</f>
        <v>19407.62</v>
      </c>
      <c r="M1458" s="1">
        <v>23677.3</v>
      </c>
      <c r="N1458" s="1">
        <v>19407.62</v>
      </c>
      <c r="O1458" s="1">
        <v>20125.7</v>
      </c>
      <c r="P1458" s="1">
        <v>16496.48</v>
      </c>
      <c r="Q1458">
        <v>3.59</v>
      </c>
      <c r="R1458">
        <v>2.928E-2</v>
      </c>
    </row>
    <row r="1459" spans="1:18" ht="13.8" outlineLevel="2" x14ac:dyDescent="0.25">
      <c r="A1459">
        <v>88144</v>
      </c>
      <c r="B1459" t="s">
        <v>1594</v>
      </c>
      <c r="C1459" t="s">
        <v>1749</v>
      </c>
      <c r="D1459" s="14" t="s">
        <v>1744</v>
      </c>
      <c r="E1459" s="12" t="s">
        <v>28</v>
      </c>
      <c r="F1459" s="13" t="s">
        <v>29</v>
      </c>
      <c r="G1459">
        <v>1</v>
      </c>
      <c r="H1459" t="s">
        <v>30</v>
      </c>
      <c r="I1459">
        <v>1</v>
      </c>
      <c r="J1459" s="15"/>
      <c r="K1459" s="16">
        <f>28124.31 - (28124.31 * $E$1)</f>
        <v>28124.31</v>
      </c>
      <c r="L1459" s="16">
        <f>23052.71 - (23052.71 * $E$1)</f>
        <v>23052.71</v>
      </c>
      <c r="M1459" s="1">
        <v>28124.31</v>
      </c>
      <c r="N1459" s="1">
        <v>23052.71</v>
      </c>
      <c r="O1459" s="1">
        <v>23905.66</v>
      </c>
      <c r="P1459" s="1">
        <v>19594.8</v>
      </c>
      <c r="Q1459">
        <v>4.49</v>
      </c>
      <c r="R1459">
        <v>2.928E-2</v>
      </c>
    </row>
    <row r="1460" spans="1:18" ht="13.8" outlineLevel="2" x14ac:dyDescent="0.25">
      <c r="A1460">
        <v>88145</v>
      </c>
      <c r="B1460" t="s">
        <v>1594</v>
      </c>
      <c r="C1460" t="s">
        <v>1750</v>
      </c>
      <c r="D1460" s="14" t="s">
        <v>1744</v>
      </c>
      <c r="E1460" s="12" t="s">
        <v>28</v>
      </c>
      <c r="F1460" s="13" t="s">
        <v>29</v>
      </c>
      <c r="G1460">
        <v>1</v>
      </c>
      <c r="H1460" t="s">
        <v>30</v>
      </c>
      <c r="I1460">
        <v>1</v>
      </c>
      <c r="J1460" s="15"/>
      <c r="K1460" s="16">
        <f>25294.93 - (25294.93 * $E$1)</f>
        <v>25294.93</v>
      </c>
      <c r="L1460" s="16">
        <f>20733.55 - (20733.55 * $E$1)</f>
        <v>20733.55</v>
      </c>
      <c r="M1460" s="1">
        <v>25294.93</v>
      </c>
      <c r="N1460" s="1">
        <v>20733.55</v>
      </c>
      <c r="O1460" s="1">
        <v>21500.69</v>
      </c>
      <c r="P1460" s="1">
        <v>17623.52</v>
      </c>
      <c r="Q1460">
        <v>4.4400000000000004</v>
      </c>
      <c r="R1460">
        <v>2.928E-2</v>
      </c>
    </row>
    <row r="1461" spans="1:18" ht="13.8" outlineLevel="2" x14ac:dyDescent="0.25">
      <c r="A1461">
        <v>88146</v>
      </c>
      <c r="B1461" t="s">
        <v>1594</v>
      </c>
      <c r="C1461" t="s">
        <v>1751</v>
      </c>
      <c r="D1461" s="14" t="s">
        <v>1744</v>
      </c>
      <c r="E1461" s="12" t="s">
        <v>28</v>
      </c>
      <c r="F1461" s="13" t="s">
        <v>29</v>
      </c>
      <c r="G1461">
        <v>1</v>
      </c>
      <c r="H1461" t="s">
        <v>30</v>
      </c>
      <c r="I1461">
        <v>1</v>
      </c>
      <c r="J1461" s="15"/>
      <c r="K1461" s="16">
        <f>34353.7 - (34353.7 * $E$1)</f>
        <v>34353.699999999997</v>
      </c>
      <c r="L1461" s="16">
        <f>28158.77 - (28158.77 * $E$1)</f>
        <v>28158.77</v>
      </c>
      <c r="M1461" s="1">
        <v>34353.699999999997</v>
      </c>
      <c r="N1461" s="1">
        <v>28158.77</v>
      </c>
      <c r="O1461" s="1">
        <v>29200.639999999999</v>
      </c>
      <c r="P1461" s="1">
        <v>23934.95</v>
      </c>
      <c r="Q1461">
        <v>5.73</v>
      </c>
      <c r="R1461">
        <v>2.928E-2</v>
      </c>
    </row>
    <row r="1462" spans="1:18" ht="13.8" outlineLevel="2" x14ac:dyDescent="0.25">
      <c r="A1462">
        <v>75559</v>
      </c>
      <c r="B1462" t="s">
        <v>1594</v>
      </c>
      <c r="C1462" t="s">
        <v>1752</v>
      </c>
      <c r="D1462" s="14" t="s">
        <v>1753</v>
      </c>
      <c r="E1462" s="12" t="s">
        <v>28</v>
      </c>
      <c r="F1462" s="13" t="s">
        <v>29</v>
      </c>
      <c r="G1462">
        <v>1</v>
      </c>
      <c r="H1462" t="s">
        <v>30</v>
      </c>
      <c r="I1462">
        <v>1</v>
      </c>
      <c r="J1462" s="15"/>
      <c r="K1462" s="16">
        <f>15415.58 - (15415.58 * $E$1)</f>
        <v>15415.58</v>
      </c>
      <c r="L1462" s="16">
        <f>12635.72 - (12635.72 * $E$1)</f>
        <v>12635.72</v>
      </c>
      <c r="M1462" s="1">
        <v>15415.58</v>
      </c>
      <c r="N1462" s="1">
        <v>12635.72</v>
      </c>
      <c r="O1462" s="1">
        <v>13103.24</v>
      </c>
      <c r="P1462" s="1">
        <v>10740.36</v>
      </c>
      <c r="Q1462">
        <v>4.5</v>
      </c>
      <c r="R1462">
        <v>2.928E-2</v>
      </c>
    </row>
    <row r="1463" spans="1:18" ht="13.8" outlineLevel="2" x14ac:dyDescent="0.25">
      <c r="A1463">
        <v>75561</v>
      </c>
      <c r="B1463" t="s">
        <v>1594</v>
      </c>
      <c r="C1463" t="s">
        <v>1754</v>
      </c>
      <c r="D1463" s="14" t="s">
        <v>1753</v>
      </c>
      <c r="E1463" s="12" t="s">
        <v>28</v>
      </c>
      <c r="F1463" s="13" t="s">
        <v>29</v>
      </c>
      <c r="G1463">
        <v>1</v>
      </c>
      <c r="H1463" t="s">
        <v>30</v>
      </c>
      <c r="I1463">
        <v>1</v>
      </c>
      <c r="J1463" s="15"/>
      <c r="K1463" s="16">
        <f>16827.89 - (16827.89 * $E$1)</f>
        <v>16827.89</v>
      </c>
      <c r="L1463" s="16">
        <f>13793.35 - (13793.35 * $E$1)</f>
        <v>13793.35</v>
      </c>
      <c r="M1463" s="1">
        <v>16827.89</v>
      </c>
      <c r="N1463" s="1">
        <v>13793.35</v>
      </c>
      <c r="O1463" s="1">
        <v>14303.7</v>
      </c>
      <c r="P1463" s="1">
        <v>11724.35</v>
      </c>
      <c r="Q1463">
        <v>5</v>
      </c>
      <c r="R1463">
        <v>2.928E-2</v>
      </c>
    </row>
    <row r="1464" spans="1:18" ht="13.8" outlineLevel="2" x14ac:dyDescent="0.25">
      <c r="A1464">
        <v>75563</v>
      </c>
      <c r="B1464" t="s">
        <v>1594</v>
      </c>
      <c r="C1464" t="s">
        <v>1755</v>
      </c>
      <c r="D1464" s="14" t="s">
        <v>1753</v>
      </c>
      <c r="E1464" s="12" t="s">
        <v>28</v>
      </c>
      <c r="F1464" s="13" t="s">
        <v>29</v>
      </c>
      <c r="G1464">
        <v>1</v>
      </c>
      <c r="H1464" t="s">
        <v>30</v>
      </c>
      <c r="I1464">
        <v>1</v>
      </c>
      <c r="J1464" s="15"/>
      <c r="K1464" s="16">
        <f>19103.04 - (19103.04 * $E$1)</f>
        <v>19103.04</v>
      </c>
      <c r="L1464" s="16">
        <f>15658.23 - (15658.23 * $E$1)</f>
        <v>15658.23</v>
      </c>
      <c r="M1464" s="1">
        <v>19103.04</v>
      </c>
      <c r="N1464" s="1">
        <v>15658.23</v>
      </c>
      <c r="O1464" s="1">
        <v>16237.58</v>
      </c>
      <c r="P1464" s="1">
        <v>13309.5</v>
      </c>
      <c r="Q1464">
        <v>5.9</v>
      </c>
      <c r="R1464">
        <v>2.928E-2</v>
      </c>
    </row>
    <row r="1465" spans="1:18" ht="13.8" outlineLevel="2" x14ac:dyDescent="0.25">
      <c r="A1465">
        <v>75560</v>
      </c>
      <c r="B1465" t="s">
        <v>1594</v>
      </c>
      <c r="C1465" t="s">
        <v>1756</v>
      </c>
      <c r="D1465" s="14" t="s">
        <v>1753</v>
      </c>
      <c r="E1465" s="12" t="s">
        <v>28</v>
      </c>
      <c r="F1465" s="13" t="s">
        <v>29</v>
      </c>
      <c r="G1465">
        <v>1</v>
      </c>
      <c r="H1465" t="s">
        <v>30</v>
      </c>
      <c r="I1465">
        <v>1</v>
      </c>
      <c r="J1465" s="15"/>
      <c r="K1465" s="16">
        <f>15862.06 - (15862.06 * $E$1)</f>
        <v>15862.06</v>
      </c>
      <c r="L1465" s="16">
        <f>13001.69 - (13001.69 * $E$1)</f>
        <v>13001.69</v>
      </c>
      <c r="M1465" s="1">
        <v>15862.06</v>
      </c>
      <c r="N1465" s="1">
        <v>13001.69</v>
      </c>
      <c r="O1465" s="1">
        <v>13482.75</v>
      </c>
      <c r="P1465" s="1">
        <v>11051.44</v>
      </c>
      <c r="Q1465">
        <v>4.7</v>
      </c>
      <c r="R1465">
        <v>2.928E-2</v>
      </c>
    </row>
    <row r="1466" spans="1:18" ht="13.8" outlineLevel="2" x14ac:dyDescent="0.25">
      <c r="A1466">
        <v>75562</v>
      </c>
      <c r="B1466" t="s">
        <v>1594</v>
      </c>
      <c r="C1466" t="s">
        <v>1757</v>
      </c>
      <c r="D1466" s="14" t="s">
        <v>1753</v>
      </c>
      <c r="E1466" s="12" t="s">
        <v>28</v>
      </c>
      <c r="F1466" s="13" t="s">
        <v>29</v>
      </c>
      <c r="G1466">
        <v>1</v>
      </c>
      <c r="H1466" t="s">
        <v>30</v>
      </c>
      <c r="I1466">
        <v>1</v>
      </c>
      <c r="J1466" s="15"/>
      <c r="K1466" s="16">
        <f>19815.95 - (19815.95 * $E$1)</f>
        <v>19815.95</v>
      </c>
      <c r="L1466" s="16">
        <f>16242.58 - (16242.58 * $E$1)</f>
        <v>16242.58</v>
      </c>
      <c r="M1466" s="1">
        <v>19815.95</v>
      </c>
      <c r="N1466" s="1">
        <v>16242.58</v>
      </c>
      <c r="O1466" s="1">
        <v>16843.560000000001</v>
      </c>
      <c r="P1466" s="1">
        <v>13806.19</v>
      </c>
      <c r="Q1466">
        <v>5.3</v>
      </c>
      <c r="R1466">
        <v>2.928E-2</v>
      </c>
    </row>
    <row r="1467" spans="1:18" ht="13.8" outlineLevel="2" x14ac:dyDescent="0.25">
      <c r="A1467">
        <v>75564</v>
      </c>
      <c r="B1467" t="s">
        <v>1594</v>
      </c>
      <c r="C1467" t="s">
        <v>1758</v>
      </c>
      <c r="D1467" s="14" t="s">
        <v>1753</v>
      </c>
      <c r="E1467" s="12" t="s">
        <v>28</v>
      </c>
      <c r="F1467" s="13" t="s">
        <v>29</v>
      </c>
      <c r="G1467">
        <v>1</v>
      </c>
      <c r="H1467" t="s">
        <v>30</v>
      </c>
      <c r="I1467">
        <v>1</v>
      </c>
      <c r="J1467" s="15"/>
      <c r="K1467" s="16">
        <f>23908.69 - (23908.69 * $E$1)</f>
        <v>23908.69</v>
      </c>
      <c r="L1467" s="16">
        <f>19597.29 - (19597.29 * $E$1)</f>
        <v>19597.29</v>
      </c>
      <c r="M1467" s="1">
        <v>23908.69</v>
      </c>
      <c r="N1467" s="1">
        <v>19597.29</v>
      </c>
      <c r="O1467" s="1">
        <v>20322.39</v>
      </c>
      <c r="P1467" s="1">
        <v>16657.7</v>
      </c>
      <c r="Q1467">
        <v>6.5</v>
      </c>
      <c r="R1467">
        <v>2.928E-2</v>
      </c>
    </row>
    <row r="1468" spans="1:18" ht="16.5" customHeight="1" outlineLevel="1" x14ac:dyDescent="0.35">
      <c r="A1468" s="9"/>
      <c r="B1468" s="10" t="s">
        <v>1759</v>
      </c>
      <c r="C1468" s="10"/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1"/>
    </row>
    <row r="1469" spans="1:18" ht="13.8" outlineLevel="2" x14ac:dyDescent="0.25">
      <c r="A1469">
        <v>57888</v>
      </c>
      <c r="B1469" t="s">
        <v>1524</v>
      </c>
      <c r="C1469" t="s">
        <v>1760</v>
      </c>
      <c r="D1469" s="14" t="s">
        <v>1761</v>
      </c>
      <c r="E1469" s="12" t="s">
        <v>28</v>
      </c>
      <c r="F1469" s="13" t="s">
        <v>29</v>
      </c>
      <c r="G1469">
        <v>1</v>
      </c>
      <c r="H1469" t="s">
        <v>30</v>
      </c>
      <c r="I1469">
        <v>1</v>
      </c>
      <c r="J1469" s="15"/>
      <c r="K1469" s="16">
        <f>3326.71 - (3326.71 * $E$1)</f>
        <v>3326.71</v>
      </c>
      <c r="L1469" s="16">
        <f>2726.81 - (2726.81 * $E$1)</f>
        <v>2726.81</v>
      </c>
      <c r="M1469" s="1">
        <v>3326.71</v>
      </c>
      <c r="N1469" s="1">
        <v>2726.81</v>
      </c>
      <c r="O1469" s="1">
        <v>2827.7</v>
      </c>
      <c r="P1469" s="1">
        <v>2317.79</v>
      </c>
      <c r="Q1469">
        <v>0.5</v>
      </c>
      <c r="R1469">
        <v>1.248E-3</v>
      </c>
    </row>
    <row r="1470" spans="1:18" ht="13.8" outlineLevel="2" x14ac:dyDescent="0.25">
      <c r="A1470">
        <v>57890</v>
      </c>
      <c r="B1470" t="s">
        <v>1524</v>
      </c>
      <c r="C1470" t="s">
        <v>1762</v>
      </c>
      <c r="D1470" s="14" t="s">
        <v>1761</v>
      </c>
      <c r="E1470" s="12" t="s">
        <v>28</v>
      </c>
      <c r="F1470" s="13" t="s">
        <v>29</v>
      </c>
      <c r="G1470">
        <v>1</v>
      </c>
      <c r="H1470" t="s">
        <v>30</v>
      </c>
      <c r="I1470">
        <v>1</v>
      </c>
      <c r="J1470" s="15"/>
      <c r="K1470" s="16">
        <f>3869.57 - (3869.57 * $E$1)</f>
        <v>3869.57</v>
      </c>
      <c r="L1470" s="16">
        <f>3171.78 - (3171.78 * $E$1)</f>
        <v>3171.78</v>
      </c>
      <c r="M1470" s="1">
        <v>3869.57</v>
      </c>
      <c r="N1470" s="1">
        <v>3171.78</v>
      </c>
      <c r="O1470" s="1">
        <v>3289.14</v>
      </c>
      <c r="P1470" s="1">
        <v>2696.01</v>
      </c>
      <c r="Q1470">
        <v>0.57999999999999996</v>
      </c>
      <c r="R1470">
        <v>2.0799999999999998E-3</v>
      </c>
    </row>
    <row r="1471" spans="1:18" ht="13.8" outlineLevel="2" x14ac:dyDescent="0.25">
      <c r="A1471">
        <v>57892</v>
      </c>
      <c r="B1471" t="s">
        <v>1524</v>
      </c>
      <c r="C1471" t="s">
        <v>1763</v>
      </c>
      <c r="D1471" s="14" t="s">
        <v>1761</v>
      </c>
      <c r="E1471" s="12" t="s">
        <v>28</v>
      </c>
      <c r="F1471" s="13" t="s">
        <v>29</v>
      </c>
      <c r="G1471">
        <v>1</v>
      </c>
      <c r="H1471" t="s">
        <v>30</v>
      </c>
      <c r="I1471">
        <v>1</v>
      </c>
      <c r="J1471" s="15"/>
      <c r="K1471" s="16">
        <f>4570.06 - (4570.06 * $E$1)</f>
        <v>4570.0600000000004</v>
      </c>
      <c r="L1471" s="16">
        <f>3745.95 - (3745.95 * $E$1)</f>
        <v>3745.95</v>
      </c>
      <c r="M1471" s="1">
        <v>4570.0600000000004</v>
      </c>
      <c r="N1471" s="1">
        <v>3745.95</v>
      </c>
      <c r="O1471" s="1">
        <v>3884.55</v>
      </c>
      <c r="P1471" s="1">
        <v>3184.06</v>
      </c>
      <c r="Q1471">
        <v>0.79</v>
      </c>
      <c r="R1471">
        <v>1.32E-2</v>
      </c>
    </row>
    <row r="1472" spans="1:18" ht="13.8" outlineLevel="2" x14ac:dyDescent="0.25">
      <c r="A1472">
        <v>57889</v>
      </c>
      <c r="B1472" t="s">
        <v>1524</v>
      </c>
      <c r="C1472" t="s">
        <v>1764</v>
      </c>
      <c r="D1472" s="14" t="s">
        <v>1761</v>
      </c>
      <c r="E1472" s="12" t="s">
        <v>28</v>
      </c>
      <c r="F1472" s="13" t="s">
        <v>29</v>
      </c>
      <c r="G1472">
        <v>1</v>
      </c>
      <c r="H1472" t="s">
        <v>30</v>
      </c>
      <c r="I1472">
        <v>1</v>
      </c>
      <c r="J1472" s="15"/>
      <c r="K1472" s="16">
        <f>4742.86 - (4742.86 * $E$1)</f>
        <v>4742.8599999999997</v>
      </c>
      <c r="L1472" s="16">
        <f>3887.59 - (3887.59 * $E$1)</f>
        <v>3887.59</v>
      </c>
      <c r="M1472" s="1">
        <v>4742.8599999999997</v>
      </c>
      <c r="N1472" s="1">
        <v>3887.59</v>
      </c>
      <c r="O1472" s="1">
        <v>4031.43</v>
      </c>
      <c r="P1472" s="1">
        <v>3304.45</v>
      </c>
      <c r="Q1472">
        <v>0.63</v>
      </c>
      <c r="R1472">
        <v>1.248E-3</v>
      </c>
    </row>
    <row r="1473" spans="1:18" ht="13.8" outlineLevel="2" x14ac:dyDescent="0.25">
      <c r="A1473">
        <v>57891</v>
      </c>
      <c r="B1473" t="s">
        <v>1524</v>
      </c>
      <c r="C1473" t="s">
        <v>1765</v>
      </c>
      <c r="D1473" s="14" t="s">
        <v>1761</v>
      </c>
      <c r="E1473" s="12" t="s">
        <v>28</v>
      </c>
      <c r="F1473" s="13" t="s">
        <v>29</v>
      </c>
      <c r="G1473">
        <v>1</v>
      </c>
      <c r="H1473" t="s">
        <v>30</v>
      </c>
      <c r="I1473">
        <v>1</v>
      </c>
      <c r="J1473" s="15"/>
      <c r="K1473" s="16">
        <f>6042.01 - (6042.01 * $E$1)</f>
        <v>6042.01</v>
      </c>
      <c r="L1473" s="16">
        <f>4952.47 - (4952.47 * $E$1)</f>
        <v>4952.47</v>
      </c>
      <c r="M1473" s="1">
        <v>6042.01</v>
      </c>
      <c r="N1473" s="1">
        <v>4952.47</v>
      </c>
      <c r="O1473" s="1">
        <v>5135.71</v>
      </c>
      <c r="P1473" s="1">
        <v>4209.6000000000004</v>
      </c>
      <c r="Q1473">
        <v>0.89</v>
      </c>
      <c r="R1473">
        <v>7.3689999999999997E-3</v>
      </c>
    </row>
    <row r="1474" spans="1:18" ht="13.8" outlineLevel="2" x14ac:dyDescent="0.25">
      <c r="A1474">
        <v>57893</v>
      </c>
      <c r="B1474" t="s">
        <v>1524</v>
      </c>
      <c r="C1474" t="s">
        <v>1766</v>
      </c>
      <c r="D1474" s="14" t="s">
        <v>1761</v>
      </c>
      <c r="E1474" s="12" t="s">
        <v>28</v>
      </c>
      <c r="F1474" s="13" t="s">
        <v>29</v>
      </c>
      <c r="G1474">
        <v>1</v>
      </c>
      <c r="H1474" t="s">
        <v>30</v>
      </c>
      <c r="I1474">
        <v>1</v>
      </c>
      <c r="J1474" s="15"/>
      <c r="K1474" s="16">
        <f>8665.29 - (8665.29 * $E$1)</f>
        <v>8665.2900000000009</v>
      </c>
      <c r="L1474" s="16">
        <f>7102.7 - (7102.7 * $E$1)</f>
        <v>7102.7</v>
      </c>
      <c r="M1474" s="1">
        <v>8665.2900000000009</v>
      </c>
      <c r="N1474" s="1">
        <v>7102.7</v>
      </c>
      <c r="O1474" s="1">
        <v>7365.5</v>
      </c>
      <c r="P1474" s="1">
        <v>6037.3</v>
      </c>
      <c r="Q1474">
        <v>1.43</v>
      </c>
      <c r="R1474">
        <v>1.32E-2</v>
      </c>
    </row>
    <row r="1475" spans="1:18" ht="13.8" outlineLevel="2" x14ac:dyDescent="0.25">
      <c r="A1475">
        <v>88770</v>
      </c>
      <c r="B1475" t="s">
        <v>1524</v>
      </c>
      <c r="C1475" t="s">
        <v>1767</v>
      </c>
      <c r="D1475" s="14" t="s">
        <v>1768</v>
      </c>
      <c r="E1475" s="12" t="s">
        <v>28</v>
      </c>
      <c r="F1475" s="13" t="s">
        <v>29</v>
      </c>
      <c r="G1475">
        <v>1</v>
      </c>
      <c r="H1475" t="s">
        <v>30</v>
      </c>
      <c r="I1475">
        <v>1</v>
      </c>
      <c r="J1475" s="15"/>
      <c r="K1475" s="16">
        <f>3493.04 - (3493.04 * $E$1)</f>
        <v>3493.04</v>
      </c>
      <c r="L1475" s="16">
        <f>2863.15 - (2863.15 * $E$1)</f>
        <v>2863.15</v>
      </c>
      <c r="M1475" s="1">
        <v>3493.04</v>
      </c>
      <c r="N1475" s="1">
        <v>2863.15</v>
      </c>
      <c r="O1475" s="1">
        <v>2969.09</v>
      </c>
      <c r="P1475" s="1">
        <v>2433.6799999999998</v>
      </c>
      <c r="Q1475">
        <v>0.57999999999999996</v>
      </c>
      <c r="R1475">
        <v>3.5000000000000001E-3</v>
      </c>
    </row>
    <row r="1476" spans="1:18" ht="13.8" outlineLevel="2" x14ac:dyDescent="0.25">
      <c r="A1476">
        <v>88771</v>
      </c>
      <c r="B1476" t="s">
        <v>1524</v>
      </c>
      <c r="C1476" t="s">
        <v>1769</v>
      </c>
      <c r="D1476" s="14" t="s">
        <v>1768</v>
      </c>
      <c r="E1476" s="12" t="s">
        <v>28</v>
      </c>
      <c r="F1476" s="13" t="s">
        <v>29</v>
      </c>
      <c r="G1476">
        <v>1</v>
      </c>
      <c r="H1476" t="s">
        <v>30</v>
      </c>
      <c r="I1476">
        <v>1</v>
      </c>
      <c r="J1476" s="15"/>
      <c r="K1476" s="16">
        <f>4980 - (4980 * $E$1)</f>
        <v>4980</v>
      </c>
      <c r="L1476" s="16">
        <f>4081.97 - (4081.97 * $E$1)</f>
        <v>4081.97</v>
      </c>
      <c r="M1476" s="1">
        <v>4980</v>
      </c>
      <c r="N1476" s="1">
        <v>4081.97</v>
      </c>
      <c r="O1476" s="1">
        <v>4233</v>
      </c>
      <c r="P1476" s="1">
        <v>3469.67</v>
      </c>
      <c r="Q1476">
        <v>0.68</v>
      </c>
      <c r="R1476">
        <v>3.5000000000000001E-3</v>
      </c>
    </row>
    <row r="1477" spans="1:18" ht="13.8" outlineLevel="2" x14ac:dyDescent="0.25">
      <c r="A1477">
        <v>88772</v>
      </c>
      <c r="B1477" t="s">
        <v>1524</v>
      </c>
      <c r="C1477" t="s">
        <v>1770</v>
      </c>
      <c r="D1477" s="14" t="s">
        <v>1768</v>
      </c>
      <c r="E1477" s="12" t="s">
        <v>28</v>
      </c>
      <c r="F1477" s="13" t="s">
        <v>29</v>
      </c>
      <c r="G1477">
        <v>1</v>
      </c>
      <c r="H1477" t="s">
        <v>30</v>
      </c>
      <c r="I1477">
        <v>1</v>
      </c>
      <c r="J1477" s="15"/>
      <c r="K1477" s="16">
        <f>4063.05 - (4063.05 * $E$1)</f>
        <v>4063.05</v>
      </c>
      <c r="L1477" s="16">
        <f>3330.37 - (3330.37 * $E$1)</f>
        <v>3330.37</v>
      </c>
      <c r="M1477" s="1">
        <v>4063.05</v>
      </c>
      <c r="N1477" s="1">
        <v>3330.37</v>
      </c>
      <c r="O1477" s="1">
        <v>3453.59</v>
      </c>
      <c r="P1477" s="1">
        <v>2830.81</v>
      </c>
      <c r="Q1477">
        <v>0.7</v>
      </c>
      <c r="R1477">
        <v>6.6150000000000002E-3</v>
      </c>
    </row>
    <row r="1478" spans="1:18" ht="13.8" outlineLevel="2" x14ac:dyDescent="0.25">
      <c r="A1478">
        <v>88773</v>
      </c>
      <c r="B1478" t="s">
        <v>1524</v>
      </c>
      <c r="C1478" t="s">
        <v>1771</v>
      </c>
      <c r="D1478" s="14" t="s">
        <v>1768</v>
      </c>
      <c r="E1478" s="12" t="s">
        <v>28</v>
      </c>
      <c r="F1478" s="13" t="s">
        <v>29</v>
      </c>
      <c r="G1478">
        <v>1</v>
      </c>
      <c r="H1478" t="s">
        <v>30</v>
      </c>
      <c r="I1478">
        <v>1</v>
      </c>
      <c r="J1478" s="15"/>
      <c r="K1478" s="16">
        <f>6344.11 - (6344.11 * $E$1)</f>
        <v>6344.11</v>
      </c>
      <c r="L1478" s="16">
        <f>5200.09 - (5200.09 * $E$1)</f>
        <v>5200.09</v>
      </c>
      <c r="M1478" s="1">
        <v>6344.11</v>
      </c>
      <c r="N1478" s="1">
        <v>5200.09</v>
      </c>
      <c r="O1478" s="1">
        <v>5392.49</v>
      </c>
      <c r="P1478" s="1">
        <v>4420.08</v>
      </c>
      <c r="Q1478">
        <v>1.04</v>
      </c>
      <c r="R1478">
        <v>6.6150000000000002E-3</v>
      </c>
    </row>
    <row r="1479" spans="1:18" ht="13.8" outlineLevel="2" x14ac:dyDescent="0.25">
      <c r="A1479">
        <v>88774</v>
      </c>
      <c r="B1479" t="s">
        <v>1524</v>
      </c>
      <c r="C1479" t="s">
        <v>1772</v>
      </c>
      <c r="D1479" s="14" t="s">
        <v>1768</v>
      </c>
      <c r="E1479" s="12" t="s">
        <v>28</v>
      </c>
      <c r="F1479" s="13" t="s">
        <v>29</v>
      </c>
      <c r="G1479">
        <v>1</v>
      </c>
      <c r="H1479" t="s">
        <v>30</v>
      </c>
      <c r="I1479">
        <v>1</v>
      </c>
      <c r="J1479" s="15"/>
      <c r="K1479" s="16">
        <f>4803.04 - (4803.04 * $E$1)</f>
        <v>4803.04</v>
      </c>
      <c r="L1479" s="16">
        <f>3936.92 - (3936.92 * $E$1)</f>
        <v>3936.92</v>
      </c>
      <c r="M1479" s="1">
        <v>4803.04</v>
      </c>
      <c r="N1479" s="1">
        <v>3936.92</v>
      </c>
      <c r="O1479" s="1">
        <v>4082.59</v>
      </c>
      <c r="P1479" s="1">
        <v>3346.38</v>
      </c>
      <c r="Q1479">
        <v>0.83</v>
      </c>
      <c r="R1479">
        <v>1.32E-2</v>
      </c>
    </row>
    <row r="1480" spans="1:18" ht="13.8" outlineLevel="2" x14ac:dyDescent="0.25">
      <c r="A1480">
        <v>88775</v>
      </c>
      <c r="B1480" t="s">
        <v>1524</v>
      </c>
      <c r="C1480" t="s">
        <v>1773</v>
      </c>
      <c r="D1480" s="14" t="s">
        <v>1768</v>
      </c>
      <c r="E1480" s="12" t="s">
        <v>28</v>
      </c>
      <c r="F1480" s="13" t="s">
        <v>29</v>
      </c>
      <c r="G1480">
        <v>1</v>
      </c>
      <c r="H1480" t="s">
        <v>30</v>
      </c>
      <c r="I1480">
        <v>1</v>
      </c>
      <c r="J1480" s="15"/>
      <c r="K1480" s="16">
        <f>9098.56 - (9098.56 * $E$1)</f>
        <v>9098.56</v>
      </c>
      <c r="L1480" s="16">
        <f>7457.84 - (7457.84 * $E$1)</f>
        <v>7457.84</v>
      </c>
      <c r="M1480" s="1">
        <v>9098.56</v>
      </c>
      <c r="N1480" s="1">
        <v>7457.84</v>
      </c>
      <c r="O1480" s="1">
        <v>7733.78</v>
      </c>
      <c r="P1480" s="1">
        <v>6339.16</v>
      </c>
      <c r="Q1480">
        <v>1.59</v>
      </c>
      <c r="R1480">
        <v>1.0115000000000001E-2</v>
      </c>
    </row>
    <row r="1481" spans="1:18" ht="13.8" outlineLevel="2" x14ac:dyDescent="0.25">
      <c r="A1481">
        <v>57894</v>
      </c>
      <c r="B1481" t="s">
        <v>1524</v>
      </c>
      <c r="C1481" t="s">
        <v>1774</v>
      </c>
      <c r="D1481" s="14" t="s">
        <v>1775</v>
      </c>
      <c r="E1481" s="12" t="s">
        <v>28</v>
      </c>
      <c r="F1481" s="13" t="s">
        <v>29</v>
      </c>
      <c r="G1481">
        <v>1</v>
      </c>
      <c r="H1481" t="s">
        <v>30</v>
      </c>
      <c r="I1481">
        <v>1</v>
      </c>
      <c r="J1481" s="15"/>
      <c r="K1481" s="16">
        <f>3110.1 - (3110.1 * $E$1)</f>
        <v>3110.1</v>
      </c>
      <c r="L1481" s="16">
        <f>2549.26 - (2549.26 * $E$1)</f>
        <v>2549.2600000000002</v>
      </c>
      <c r="M1481" s="1">
        <v>3110.1</v>
      </c>
      <c r="N1481" s="1">
        <v>2549.2600000000002</v>
      </c>
      <c r="O1481" s="1">
        <v>2643.58</v>
      </c>
      <c r="P1481" s="1">
        <v>2166.87</v>
      </c>
      <c r="Q1481">
        <v>0.48</v>
      </c>
      <c r="R1481">
        <v>1.248E-3</v>
      </c>
    </row>
    <row r="1482" spans="1:18" ht="13.8" outlineLevel="2" x14ac:dyDescent="0.25">
      <c r="A1482">
        <v>57896</v>
      </c>
      <c r="B1482" t="s">
        <v>1524</v>
      </c>
      <c r="C1482" t="s">
        <v>1776</v>
      </c>
      <c r="D1482" s="14" t="s">
        <v>1775</v>
      </c>
      <c r="E1482" s="12" t="s">
        <v>28</v>
      </c>
      <c r="F1482" s="13" t="s">
        <v>29</v>
      </c>
      <c r="G1482">
        <v>1</v>
      </c>
      <c r="H1482" t="s">
        <v>30</v>
      </c>
      <c r="I1482">
        <v>1</v>
      </c>
      <c r="J1482" s="15"/>
      <c r="K1482" s="16">
        <f>3497.86 - (3497.86 * $E$1)</f>
        <v>3497.86</v>
      </c>
      <c r="L1482" s="16">
        <f>2867.1 - (2867.1 * $E$1)</f>
        <v>2867.1</v>
      </c>
      <c r="M1482" s="1">
        <v>3497.86</v>
      </c>
      <c r="N1482" s="1">
        <v>2867.1</v>
      </c>
      <c r="O1482" s="1">
        <v>2973.18</v>
      </c>
      <c r="P1482" s="1">
        <v>2437.04</v>
      </c>
      <c r="Q1482">
        <v>0.52</v>
      </c>
      <c r="R1482">
        <v>2.0799999999999998E-3</v>
      </c>
    </row>
    <row r="1483" spans="1:18" ht="13.8" outlineLevel="2" x14ac:dyDescent="0.25">
      <c r="A1483">
        <v>57898</v>
      </c>
      <c r="B1483" t="s">
        <v>1524</v>
      </c>
      <c r="C1483" t="s">
        <v>1777</v>
      </c>
      <c r="D1483" s="14" t="s">
        <v>1775</v>
      </c>
      <c r="E1483" s="12" t="s">
        <v>28</v>
      </c>
      <c r="F1483" s="13" t="s">
        <v>29</v>
      </c>
      <c r="G1483">
        <v>1</v>
      </c>
      <c r="H1483" t="s">
        <v>30</v>
      </c>
      <c r="I1483">
        <v>1</v>
      </c>
      <c r="J1483" s="15"/>
      <c r="K1483" s="16">
        <f>4096.88 - (4096.88 * $E$1)</f>
        <v>4096.88</v>
      </c>
      <c r="L1483" s="16">
        <f>3358.1 - (3358.1 * $E$1)</f>
        <v>3358.1</v>
      </c>
      <c r="M1483" s="1">
        <v>4096.88</v>
      </c>
      <c r="N1483" s="1">
        <v>3358.1</v>
      </c>
      <c r="O1483" s="1">
        <v>3482.35</v>
      </c>
      <c r="P1483" s="1">
        <v>2854.39</v>
      </c>
      <c r="Q1483">
        <v>0.73</v>
      </c>
      <c r="R1483">
        <v>9.5040000000000003E-3</v>
      </c>
    </row>
    <row r="1484" spans="1:18" ht="13.8" outlineLevel="2" x14ac:dyDescent="0.25">
      <c r="A1484">
        <v>57895</v>
      </c>
      <c r="B1484" t="s">
        <v>1524</v>
      </c>
      <c r="C1484" t="s">
        <v>1778</v>
      </c>
      <c r="D1484" s="14" t="s">
        <v>1775</v>
      </c>
      <c r="E1484" s="12" t="s">
        <v>28</v>
      </c>
      <c r="F1484" s="13" t="s">
        <v>29</v>
      </c>
      <c r="G1484">
        <v>1</v>
      </c>
      <c r="H1484" t="s">
        <v>30</v>
      </c>
      <c r="I1484">
        <v>1</v>
      </c>
      <c r="J1484" s="15"/>
      <c r="K1484" s="16">
        <f>4128.97 - (4128.97 * $E$1)</f>
        <v>4128.97</v>
      </c>
      <c r="L1484" s="16">
        <f>3384.4 - (3384.4 * $E$1)</f>
        <v>3384.4</v>
      </c>
      <c r="M1484" s="1">
        <v>4128.97</v>
      </c>
      <c r="N1484" s="1">
        <v>3384.4</v>
      </c>
      <c r="O1484" s="1">
        <v>3509.62</v>
      </c>
      <c r="P1484" s="1">
        <v>2876.74</v>
      </c>
      <c r="Q1484">
        <v>0.57999999999999996</v>
      </c>
      <c r="R1484">
        <v>1.248E-3</v>
      </c>
    </row>
    <row r="1485" spans="1:18" ht="13.8" outlineLevel="2" x14ac:dyDescent="0.25">
      <c r="A1485">
        <v>57897</v>
      </c>
      <c r="B1485" t="s">
        <v>1524</v>
      </c>
      <c r="C1485" t="s">
        <v>1779</v>
      </c>
      <c r="D1485" s="14" t="s">
        <v>1775</v>
      </c>
      <c r="E1485" s="12" t="s">
        <v>28</v>
      </c>
      <c r="F1485" s="13" t="s">
        <v>29</v>
      </c>
      <c r="G1485">
        <v>1</v>
      </c>
      <c r="H1485" t="s">
        <v>30</v>
      </c>
      <c r="I1485">
        <v>1</v>
      </c>
      <c r="J1485" s="15"/>
      <c r="K1485" s="16">
        <f>4872.64 - (4872.64 * $E$1)</f>
        <v>4872.6400000000003</v>
      </c>
      <c r="L1485" s="16">
        <f>3993.97 - (3993.97 * $E$1)</f>
        <v>3993.97</v>
      </c>
      <c r="M1485" s="1">
        <v>4872.6400000000003</v>
      </c>
      <c r="N1485" s="1">
        <v>3993.97</v>
      </c>
      <c r="O1485" s="1">
        <v>4141.75</v>
      </c>
      <c r="P1485" s="1">
        <v>3394.87</v>
      </c>
      <c r="Q1485">
        <v>0.78</v>
      </c>
      <c r="R1485">
        <v>2.0799999999999998E-3</v>
      </c>
    </row>
    <row r="1486" spans="1:18" ht="13.8" outlineLevel="2" x14ac:dyDescent="0.25">
      <c r="A1486">
        <v>57899</v>
      </c>
      <c r="B1486" t="s">
        <v>1524</v>
      </c>
      <c r="C1486" t="s">
        <v>1780</v>
      </c>
      <c r="D1486" s="14" t="s">
        <v>1775</v>
      </c>
      <c r="E1486" s="12" t="s">
        <v>28</v>
      </c>
      <c r="F1486" s="13" t="s">
        <v>29</v>
      </c>
      <c r="G1486">
        <v>1</v>
      </c>
      <c r="H1486" t="s">
        <v>30</v>
      </c>
      <c r="I1486">
        <v>1</v>
      </c>
      <c r="J1486" s="15"/>
      <c r="K1486" s="16">
        <f>7148.72 - (7148.72 * $E$1)</f>
        <v>7148.72</v>
      </c>
      <c r="L1486" s="16">
        <f>5859.61 - (5859.61 * $E$1)</f>
        <v>5859.61</v>
      </c>
      <c r="M1486" s="1">
        <v>7148.72</v>
      </c>
      <c r="N1486" s="1">
        <v>5859.61</v>
      </c>
      <c r="O1486" s="1">
        <v>6076.42</v>
      </c>
      <c r="P1486" s="1">
        <v>4980.67</v>
      </c>
      <c r="Q1486">
        <v>1.2</v>
      </c>
      <c r="R1486">
        <v>2.0799999999999998E-3</v>
      </c>
    </row>
    <row r="1487" spans="1:18" ht="13.8" outlineLevel="2" x14ac:dyDescent="0.25">
      <c r="A1487">
        <v>88782</v>
      </c>
      <c r="B1487" t="s">
        <v>1524</v>
      </c>
      <c r="C1487" t="s">
        <v>1781</v>
      </c>
      <c r="D1487" s="14" t="s">
        <v>1782</v>
      </c>
      <c r="E1487" s="12" t="s">
        <v>28</v>
      </c>
      <c r="F1487" s="13" t="s">
        <v>29</v>
      </c>
      <c r="G1487">
        <v>1</v>
      </c>
      <c r="H1487" t="s">
        <v>30</v>
      </c>
      <c r="I1487">
        <v>1</v>
      </c>
      <c r="J1487" s="15"/>
      <c r="K1487" s="16">
        <f>3265.6 - (3265.6 * $E$1)</f>
        <v>3265.6</v>
      </c>
      <c r="L1487" s="16">
        <f>2676.72 - (2676.72 * $E$1)</f>
        <v>2676.72</v>
      </c>
      <c r="M1487" s="1">
        <v>3265.6</v>
      </c>
      <c r="N1487" s="1">
        <v>2676.72</v>
      </c>
      <c r="O1487" s="1">
        <v>2775.76</v>
      </c>
      <c r="P1487" s="1">
        <v>2275.21</v>
      </c>
      <c r="Q1487">
        <v>0.57999999999999996</v>
      </c>
      <c r="R1487">
        <v>5.5440000000000003E-3</v>
      </c>
    </row>
    <row r="1488" spans="1:18" ht="13.8" outlineLevel="2" x14ac:dyDescent="0.25">
      <c r="A1488">
        <v>88783</v>
      </c>
      <c r="B1488" t="s">
        <v>1524</v>
      </c>
      <c r="C1488" t="s">
        <v>1783</v>
      </c>
      <c r="D1488" s="14" t="s">
        <v>1782</v>
      </c>
      <c r="E1488" s="12" t="s">
        <v>28</v>
      </c>
      <c r="F1488" s="13" t="s">
        <v>29</v>
      </c>
      <c r="G1488">
        <v>1</v>
      </c>
      <c r="H1488" t="s">
        <v>30</v>
      </c>
      <c r="I1488">
        <v>1</v>
      </c>
      <c r="J1488" s="15"/>
      <c r="K1488" s="16">
        <f>4335.42 - (4335.42 * $E$1)</f>
        <v>4335.42</v>
      </c>
      <c r="L1488" s="16">
        <f>3553.62 - (3553.62 * $E$1)</f>
        <v>3553.62</v>
      </c>
      <c r="M1488" s="1">
        <v>4335.42</v>
      </c>
      <c r="N1488" s="1">
        <v>3553.62</v>
      </c>
      <c r="O1488" s="1">
        <v>3685.1</v>
      </c>
      <c r="P1488" s="1">
        <v>3020.58</v>
      </c>
      <c r="Q1488">
        <v>0.65</v>
      </c>
      <c r="R1488">
        <v>5.5440000000000003E-3</v>
      </c>
    </row>
    <row r="1489" spans="1:18" ht="13.8" outlineLevel="2" x14ac:dyDescent="0.25">
      <c r="A1489">
        <v>88784</v>
      </c>
      <c r="B1489" t="s">
        <v>1524</v>
      </c>
      <c r="C1489" t="s">
        <v>1784</v>
      </c>
      <c r="D1489" s="14" t="s">
        <v>1782</v>
      </c>
      <c r="E1489" s="12" t="s">
        <v>28</v>
      </c>
      <c r="F1489" s="13" t="s">
        <v>29</v>
      </c>
      <c r="G1489">
        <v>1</v>
      </c>
      <c r="H1489" t="s">
        <v>30</v>
      </c>
      <c r="I1489">
        <v>1</v>
      </c>
      <c r="J1489" s="15"/>
      <c r="K1489" s="16">
        <f>3672.75 - (3672.75 * $E$1)</f>
        <v>3672.75</v>
      </c>
      <c r="L1489" s="16">
        <f>3010.45 - (3010.45 * $E$1)</f>
        <v>3010.45</v>
      </c>
      <c r="M1489" s="1">
        <v>3672.75</v>
      </c>
      <c r="N1489" s="1">
        <v>3010.45</v>
      </c>
      <c r="O1489" s="1">
        <v>3121.84</v>
      </c>
      <c r="P1489" s="1">
        <v>2558.88</v>
      </c>
      <c r="Q1489">
        <v>0.64</v>
      </c>
      <c r="R1489">
        <v>6.2129999999999998E-3</v>
      </c>
    </row>
    <row r="1490" spans="1:18" ht="13.8" outlineLevel="2" x14ac:dyDescent="0.25">
      <c r="A1490">
        <v>88785</v>
      </c>
      <c r="B1490" t="s">
        <v>1524</v>
      </c>
      <c r="C1490" t="s">
        <v>1785</v>
      </c>
      <c r="D1490" s="14" t="s">
        <v>1782</v>
      </c>
      <c r="E1490" s="12" t="s">
        <v>28</v>
      </c>
      <c r="F1490" s="13" t="s">
        <v>29</v>
      </c>
      <c r="G1490">
        <v>1</v>
      </c>
      <c r="H1490" t="s">
        <v>30</v>
      </c>
      <c r="I1490">
        <v>1</v>
      </c>
      <c r="J1490" s="15"/>
      <c r="K1490" s="16">
        <f>5116.27 - (5116.27 * $E$1)</f>
        <v>5116.2700000000004</v>
      </c>
      <c r="L1490" s="16">
        <f>4193.66 - (4193.66 * $E$1)</f>
        <v>4193.66</v>
      </c>
      <c r="M1490" s="1">
        <v>5116.2700000000004</v>
      </c>
      <c r="N1490" s="1">
        <v>4193.66</v>
      </c>
      <c r="O1490" s="1">
        <v>4348.83</v>
      </c>
      <c r="P1490" s="1">
        <v>3564.61</v>
      </c>
      <c r="Q1490">
        <v>0.89</v>
      </c>
      <c r="R1490">
        <v>6.2129999999999998E-3</v>
      </c>
    </row>
    <row r="1491" spans="1:18" ht="13.8" outlineLevel="2" x14ac:dyDescent="0.25">
      <c r="A1491">
        <v>88786</v>
      </c>
      <c r="B1491" t="s">
        <v>1524</v>
      </c>
      <c r="C1491" t="s">
        <v>1786</v>
      </c>
      <c r="D1491" s="14" t="s">
        <v>1782</v>
      </c>
      <c r="E1491" s="12" t="s">
        <v>28</v>
      </c>
      <c r="F1491" s="13" t="s">
        <v>29</v>
      </c>
      <c r="G1491">
        <v>1</v>
      </c>
      <c r="H1491" t="s">
        <v>30</v>
      </c>
      <c r="I1491">
        <v>1</v>
      </c>
      <c r="J1491" s="15"/>
      <c r="K1491" s="16">
        <f>4301.72 - (4301.72 * $E$1)</f>
        <v>4301.72</v>
      </c>
      <c r="L1491" s="16">
        <f>3526 - (3526 * $E$1)</f>
        <v>3526</v>
      </c>
      <c r="M1491" s="1">
        <v>4301.72</v>
      </c>
      <c r="N1491" s="1">
        <v>3526</v>
      </c>
      <c r="O1491" s="1">
        <v>3656.46</v>
      </c>
      <c r="P1491" s="1">
        <v>2997.1</v>
      </c>
      <c r="Q1491">
        <v>0.85</v>
      </c>
      <c r="R1491">
        <v>9.5200000000000007E-3</v>
      </c>
    </row>
    <row r="1492" spans="1:18" ht="13.8" outlineLevel="2" x14ac:dyDescent="0.25">
      <c r="A1492">
        <v>88787</v>
      </c>
      <c r="B1492" t="s">
        <v>1524</v>
      </c>
      <c r="C1492" t="s">
        <v>1787</v>
      </c>
      <c r="D1492" s="14" t="s">
        <v>1782</v>
      </c>
      <c r="E1492" s="12" t="s">
        <v>28</v>
      </c>
      <c r="F1492" s="13" t="s">
        <v>29</v>
      </c>
      <c r="G1492">
        <v>1</v>
      </c>
      <c r="H1492" t="s">
        <v>30</v>
      </c>
      <c r="I1492">
        <v>1</v>
      </c>
      <c r="J1492" s="15"/>
      <c r="K1492" s="16">
        <f>7506.16 - (7506.16 * $E$1)</f>
        <v>7506.16</v>
      </c>
      <c r="L1492" s="16">
        <f>6152.59 - (6152.59 * $E$1)</f>
        <v>6152.59</v>
      </c>
      <c r="M1492" s="1">
        <v>7506.16</v>
      </c>
      <c r="N1492" s="1">
        <v>6152.59</v>
      </c>
      <c r="O1492" s="1">
        <v>6380.24</v>
      </c>
      <c r="P1492" s="1">
        <v>5229.7</v>
      </c>
      <c r="Q1492">
        <v>1.36</v>
      </c>
      <c r="R1492">
        <v>9.5200000000000007E-3</v>
      </c>
    </row>
    <row r="1493" spans="1:18" ht="13.8" outlineLevel="2" x14ac:dyDescent="0.25">
      <c r="A1493">
        <v>74612</v>
      </c>
      <c r="B1493" t="s">
        <v>1524</v>
      </c>
      <c r="C1493" t="s">
        <v>1788</v>
      </c>
      <c r="D1493" s="14" t="s">
        <v>1789</v>
      </c>
      <c r="E1493" s="12" t="s">
        <v>28</v>
      </c>
      <c r="F1493" s="13" t="s">
        <v>29</v>
      </c>
      <c r="G1493">
        <v>1</v>
      </c>
      <c r="H1493" t="s">
        <v>30</v>
      </c>
      <c r="I1493">
        <v>1</v>
      </c>
      <c r="J1493" s="15"/>
      <c r="K1493" s="16">
        <f>773.92 - (773.92 * $E$1)</f>
        <v>773.92</v>
      </c>
      <c r="L1493" s="16">
        <f>634.36 - (634.36 * $E$1)</f>
        <v>634.36</v>
      </c>
      <c r="M1493" s="1">
        <v>773.92</v>
      </c>
      <c r="N1493" s="1">
        <v>634.36</v>
      </c>
      <c r="O1493" s="1">
        <v>657.83</v>
      </c>
      <c r="P1493" s="1">
        <v>539.21</v>
      </c>
      <c r="Q1493">
        <v>0.05</v>
      </c>
      <c r="R1493">
        <v>7.6499999999999995E-4</v>
      </c>
    </row>
    <row r="1494" spans="1:18" ht="13.8" outlineLevel="2" x14ac:dyDescent="0.25">
      <c r="A1494">
        <v>74616</v>
      </c>
      <c r="B1494" t="s">
        <v>1524</v>
      </c>
      <c r="C1494" t="s">
        <v>1790</v>
      </c>
      <c r="D1494" s="14" t="s">
        <v>1789</v>
      </c>
      <c r="E1494" s="12" t="s">
        <v>28</v>
      </c>
      <c r="F1494" s="13" t="s">
        <v>29</v>
      </c>
      <c r="G1494">
        <v>1</v>
      </c>
      <c r="H1494" t="s">
        <v>30</v>
      </c>
      <c r="I1494">
        <v>1</v>
      </c>
      <c r="J1494" s="15"/>
      <c r="K1494" s="16">
        <f>1595.14 - (1595.14 * $E$1)</f>
        <v>1595.14</v>
      </c>
      <c r="L1494" s="16">
        <f>1307.49 - (1307.49 * $E$1)</f>
        <v>1307.49</v>
      </c>
      <c r="M1494" s="1">
        <v>1595.14</v>
      </c>
      <c r="N1494" s="1">
        <v>1307.49</v>
      </c>
      <c r="O1494" s="1">
        <v>1355.87</v>
      </c>
      <c r="P1494" s="1">
        <v>1111.3699999999999</v>
      </c>
      <c r="Q1494">
        <v>0.19</v>
      </c>
      <c r="R1494">
        <v>1.248E-3</v>
      </c>
    </row>
    <row r="1495" spans="1:18" ht="13.8" outlineLevel="2" x14ac:dyDescent="0.25">
      <c r="A1495">
        <v>74620</v>
      </c>
      <c r="B1495" t="s">
        <v>1524</v>
      </c>
      <c r="C1495" t="s">
        <v>1791</v>
      </c>
      <c r="D1495" s="14" t="s">
        <v>1789</v>
      </c>
      <c r="E1495" s="12" t="s">
        <v>28</v>
      </c>
      <c r="F1495" s="13" t="s">
        <v>29</v>
      </c>
      <c r="G1495">
        <v>1</v>
      </c>
      <c r="H1495" t="s">
        <v>30</v>
      </c>
      <c r="I1495">
        <v>1</v>
      </c>
      <c r="J1495" s="15"/>
      <c r="K1495" s="16">
        <f>1533.78 - (1533.78 * $E$1)</f>
        <v>1533.78</v>
      </c>
      <c r="L1495" s="16">
        <f>1257.2 - (1257.2 * $E$1)</f>
        <v>1257.2</v>
      </c>
      <c r="M1495" s="1">
        <v>1533.78</v>
      </c>
      <c r="N1495" s="1">
        <v>1257.2</v>
      </c>
      <c r="O1495" s="1">
        <v>1303.72</v>
      </c>
      <c r="P1495" s="1">
        <v>1068.6199999999999</v>
      </c>
      <c r="Q1495">
        <v>0.19</v>
      </c>
      <c r="R1495">
        <v>1.248E-3</v>
      </c>
    </row>
    <row r="1496" spans="1:18" ht="13.8" outlineLevel="2" x14ac:dyDescent="0.25">
      <c r="A1496">
        <v>74613</v>
      </c>
      <c r="B1496" t="s">
        <v>1524</v>
      </c>
      <c r="C1496" t="s">
        <v>1792</v>
      </c>
      <c r="D1496" s="14" t="s">
        <v>1789</v>
      </c>
      <c r="E1496" s="12" t="s">
        <v>28</v>
      </c>
      <c r="F1496" s="13" t="s">
        <v>29</v>
      </c>
      <c r="G1496">
        <v>1</v>
      </c>
      <c r="H1496" t="s">
        <v>30</v>
      </c>
      <c r="I1496">
        <v>1</v>
      </c>
      <c r="J1496" s="15"/>
      <c r="K1496" s="16">
        <f>1366.18 - (1366.18 * $E$1)</f>
        <v>1366.18</v>
      </c>
      <c r="L1496" s="16">
        <f>1119.82 - (1119.82 * $E$1)</f>
        <v>1119.82</v>
      </c>
      <c r="M1496" s="1">
        <v>1366.18</v>
      </c>
      <c r="N1496" s="1">
        <v>1119.82</v>
      </c>
      <c r="O1496" s="1">
        <v>1161.25</v>
      </c>
      <c r="P1496" s="1">
        <v>951.85</v>
      </c>
      <c r="Q1496">
        <v>7.0000000000000007E-2</v>
      </c>
      <c r="R1496">
        <v>8.0999999999999996E-4</v>
      </c>
    </row>
    <row r="1497" spans="1:18" ht="13.8" outlineLevel="2" x14ac:dyDescent="0.25">
      <c r="A1497">
        <v>74617</v>
      </c>
      <c r="B1497" t="s">
        <v>1524</v>
      </c>
      <c r="C1497" t="s">
        <v>1793</v>
      </c>
      <c r="D1497" s="14" t="s">
        <v>1789</v>
      </c>
      <c r="E1497" s="12" t="s">
        <v>28</v>
      </c>
      <c r="F1497" s="13" t="s">
        <v>29</v>
      </c>
      <c r="G1497">
        <v>1</v>
      </c>
      <c r="H1497" t="s">
        <v>30</v>
      </c>
      <c r="I1497">
        <v>1</v>
      </c>
      <c r="J1497" s="15"/>
      <c r="K1497" s="16">
        <f>2449.05 - (2449.05 * $E$1)</f>
        <v>2449.0500000000002</v>
      </c>
      <c r="L1497" s="16">
        <f>2007.42 - (2007.42 * $E$1)</f>
        <v>2007.42</v>
      </c>
      <c r="M1497" s="1">
        <v>2449.0500000000002</v>
      </c>
      <c r="N1497" s="1">
        <v>2007.42</v>
      </c>
      <c r="O1497" s="1">
        <v>2081.69</v>
      </c>
      <c r="P1497" s="1">
        <v>1706.31</v>
      </c>
      <c r="Q1497">
        <v>0.25</v>
      </c>
      <c r="R1497">
        <v>1.248E-3</v>
      </c>
    </row>
    <row r="1498" spans="1:18" ht="13.8" outlineLevel="2" x14ac:dyDescent="0.25">
      <c r="A1498">
        <v>74621</v>
      </c>
      <c r="B1498" t="s">
        <v>1524</v>
      </c>
      <c r="C1498" t="s">
        <v>1794</v>
      </c>
      <c r="D1498" s="14" t="s">
        <v>1789</v>
      </c>
      <c r="E1498" s="12" t="s">
        <v>28</v>
      </c>
      <c r="F1498" s="13" t="s">
        <v>29</v>
      </c>
      <c r="G1498">
        <v>1</v>
      </c>
      <c r="H1498" t="s">
        <v>30</v>
      </c>
      <c r="I1498">
        <v>1</v>
      </c>
      <c r="J1498" s="15"/>
      <c r="K1498" s="16">
        <f>2749.12 - (2749.12 * $E$1)</f>
        <v>2749.12</v>
      </c>
      <c r="L1498" s="16">
        <f>2253.38 - (2253.38 * $E$1)</f>
        <v>2253.38</v>
      </c>
      <c r="M1498" s="1">
        <v>2749.12</v>
      </c>
      <c r="N1498" s="1">
        <v>2253.38</v>
      </c>
      <c r="O1498" s="1">
        <v>2336.7600000000002</v>
      </c>
      <c r="P1498" s="1">
        <v>1915.37</v>
      </c>
      <c r="Q1498">
        <v>0.35</v>
      </c>
      <c r="R1498">
        <v>1.248E-3</v>
      </c>
    </row>
    <row r="1499" spans="1:18" ht="13.8" outlineLevel="2" x14ac:dyDescent="0.25">
      <c r="A1499">
        <v>74614</v>
      </c>
      <c r="B1499" t="s">
        <v>1524</v>
      </c>
      <c r="C1499" t="s">
        <v>1795</v>
      </c>
      <c r="D1499" s="14" t="s">
        <v>1789</v>
      </c>
      <c r="E1499" s="12" t="s">
        <v>28</v>
      </c>
      <c r="F1499" s="13" t="s">
        <v>29</v>
      </c>
      <c r="G1499">
        <v>1</v>
      </c>
      <c r="H1499" t="s">
        <v>30</v>
      </c>
      <c r="I1499">
        <v>1</v>
      </c>
      <c r="J1499" s="15"/>
      <c r="K1499" s="16">
        <f>1309.52 - (1309.52 * $E$1)</f>
        <v>1309.52</v>
      </c>
      <c r="L1499" s="16">
        <f>1073.38 - (1073.38 * $E$1)</f>
        <v>1073.3800000000001</v>
      </c>
      <c r="M1499" s="1">
        <v>1309.52</v>
      </c>
      <c r="N1499" s="1">
        <v>1073.3800000000001</v>
      </c>
      <c r="O1499" s="1">
        <v>1113.0999999999999</v>
      </c>
      <c r="P1499" s="1">
        <v>912.37</v>
      </c>
      <c r="Q1499">
        <v>0.1</v>
      </c>
      <c r="R1499">
        <v>9.4499999999999998E-4</v>
      </c>
    </row>
    <row r="1500" spans="1:18" ht="13.8" outlineLevel="2" x14ac:dyDescent="0.25">
      <c r="A1500">
        <v>74618</v>
      </c>
      <c r="B1500" t="s">
        <v>1524</v>
      </c>
      <c r="C1500" t="s">
        <v>1796</v>
      </c>
      <c r="D1500" s="14" t="s">
        <v>1789</v>
      </c>
      <c r="E1500" s="12" t="s">
        <v>28</v>
      </c>
      <c r="F1500" s="13" t="s">
        <v>29</v>
      </c>
      <c r="G1500">
        <v>1</v>
      </c>
      <c r="H1500" t="s">
        <v>30</v>
      </c>
      <c r="I1500">
        <v>1</v>
      </c>
      <c r="J1500" s="15"/>
      <c r="K1500" s="16">
        <f>2302.02 - (2302.02 * $E$1)</f>
        <v>2302.02</v>
      </c>
      <c r="L1500" s="16">
        <f>1886.9 - (1886.9 * $E$1)</f>
        <v>1886.9</v>
      </c>
      <c r="M1500" s="1">
        <v>2302.02</v>
      </c>
      <c r="N1500" s="1">
        <v>1886.9</v>
      </c>
      <c r="O1500" s="1">
        <v>1956.72</v>
      </c>
      <c r="P1500" s="1">
        <v>1603.87</v>
      </c>
      <c r="Q1500">
        <v>0.26</v>
      </c>
      <c r="R1500">
        <v>1.248E-3</v>
      </c>
    </row>
    <row r="1501" spans="1:18" ht="13.8" outlineLevel="2" x14ac:dyDescent="0.25">
      <c r="A1501">
        <v>74622</v>
      </c>
      <c r="B1501" t="s">
        <v>1524</v>
      </c>
      <c r="C1501" t="s">
        <v>1797</v>
      </c>
      <c r="D1501" s="14" t="s">
        <v>1789</v>
      </c>
      <c r="E1501" s="12" t="s">
        <v>28</v>
      </c>
      <c r="F1501" s="13" t="s">
        <v>29</v>
      </c>
      <c r="G1501">
        <v>1</v>
      </c>
      <c r="H1501" t="s">
        <v>30</v>
      </c>
      <c r="I1501">
        <v>1</v>
      </c>
      <c r="J1501" s="15"/>
      <c r="K1501" s="16">
        <f>2255.11 - (2255.11 * $E$1)</f>
        <v>2255.11</v>
      </c>
      <c r="L1501" s="16">
        <f>1848.45 - (1848.45 * $E$1)</f>
        <v>1848.45</v>
      </c>
      <c r="M1501" s="1">
        <v>2255.11</v>
      </c>
      <c r="N1501" s="1">
        <v>1848.45</v>
      </c>
      <c r="O1501" s="1">
        <v>1916.84</v>
      </c>
      <c r="P1501" s="1">
        <v>1571.18</v>
      </c>
      <c r="Q1501">
        <v>0.27</v>
      </c>
      <c r="R1501">
        <v>1.248E-3</v>
      </c>
    </row>
    <row r="1502" spans="1:18" ht="13.8" outlineLevel="2" x14ac:dyDescent="0.25">
      <c r="A1502">
        <v>74615</v>
      </c>
      <c r="B1502" t="s">
        <v>1524</v>
      </c>
      <c r="C1502" t="s">
        <v>1798</v>
      </c>
      <c r="D1502" s="14" t="s">
        <v>1789</v>
      </c>
      <c r="E1502" s="12" t="s">
        <v>28</v>
      </c>
      <c r="F1502" s="13" t="s">
        <v>29</v>
      </c>
      <c r="G1502">
        <v>1</v>
      </c>
      <c r="H1502" t="s">
        <v>30</v>
      </c>
      <c r="I1502">
        <v>1</v>
      </c>
      <c r="J1502" s="15"/>
      <c r="K1502" s="16">
        <f>1912.34 - (1912.34 * $E$1)</f>
        <v>1912.34</v>
      </c>
      <c r="L1502" s="16">
        <f>1567.49 - (1567.49 * $E$1)</f>
        <v>1567.49</v>
      </c>
      <c r="M1502" s="1">
        <v>1912.34</v>
      </c>
      <c r="N1502" s="1">
        <v>1567.49</v>
      </c>
      <c r="O1502" s="1">
        <v>1625.49</v>
      </c>
      <c r="P1502" s="1">
        <v>1332.37</v>
      </c>
      <c r="Q1502">
        <v>0.11</v>
      </c>
      <c r="R1502">
        <v>8.9999999999999998E-4</v>
      </c>
    </row>
    <row r="1503" spans="1:18" ht="13.8" outlineLevel="2" x14ac:dyDescent="0.25">
      <c r="A1503">
        <v>74619</v>
      </c>
      <c r="B1503" t="s">
        <v>1524</v>
      </c>
      <c r="C1503" t="s">
        <v>1799</v>
      </c>
      <c r="D1503" s="14" t="s">
        <v>1789</v>
      </c>
      <c r="E1503" s="12" t="s">
        <v>28</v>
      </c>
      <c r="F1503" s="13" t="s">
        <v>29</v>
      </c>
      <c r="G1503">
        <v>1</v>
      </c>
      <c r="H1503" t="s">
        <v>30</v>
      </c>
      <c r="I1503">
        <v>1</v>
      </c>
      <c r="J1503" s="15"/>
      <c r="K1503" s="16">
        <f>3157.92 - (3157.92 * $E$1)</f>
        <v>3157.92</v>
      </c>
      <c r="L1503" s="16">
        <f>2588.46 - (2588.46 * $E$1)</f>
        <v>2588.46</v>
      </c>
      <c r="M1503" s="1">
        <v>3157.92</v>
      </c>
      <c r="N1503" s="1">
        <v>2588.46</v>
      </c>
      <c r="O1503" s="1">
        <v>2684.23</v>
      </c>
      <c r="P1503" s="1">
        <v>2200.19</v>
      </c>
      <c r="Q1503">
        <v>0.32</v>
      </c>
      <c r="R1503">
        <v>1.248E-3</v>
      </c>
    </row>
    <row r="1504" spans="1:18" ht="13.8" outlineLevel="2" x14ac:dyDescent="0.25">
      <c r="A1504">
        <v>74623</v>
      </c>
      <c r="B1504" t="s">
        <v>1524</v>
      </c>
      <c r="C1504" t="s">
        <v>1800</v>
      </c>
      <c r="D1504" s="14" t="s">
        <v>1789</v>
      </c>
      <c r="E1504" s="12" t="s">
        <v>28</v>
      </c>
      <c r="F1504" s="13" t="s">
        <v>29</v>
      </c>
      <c r="G1504">
        <v>1</v>
      </c>
      <c r="H1504" t="s">
        <v>30</v>
      </c>
      <c r="I1504">
        <v>1</v>
      </c>
      <c r="J1504" s="15"/>
      <c r="K1504" s="16">
        <f>3214.72 - (3214.72 * $E$1)</f>
        <v>3214.72</v>
      </c>
      <c r="L1504" s="16">
        <f>2635.02 - (2635.02 * $E$1)</f>
        <v>2635.02</v>
      </c>
      <c r="M1504" s="1">
        <v>3214.72</v>
      </c>
      <c r="N1504" s="1">
        <v>2635.02</v>
      </c>
      <c r="O1504" s="1">
        <v>2732.52</v>
      </c>
      <c r="P1504" s="1">
        <v>2239.77</v>
      </c>
      <c r="Q1504">
        <v>0.43</v>
      </c>
      <c r="R1504">
        <v>1.248E-3</v>
      </c>
    </row>
    <row r="1505" spans="1:18" ht="13.8" outlineLevel="2" x14ac:dyDescent="0.25">
      <c r="A1505">
        <v>74625</v>
      </c>
      <c r="B1505" t="s">
        <v>1524</v>
      </c>
      <c r="C1505" t="s">
        <v>1801</v>
      </c>
      <c r="D1505" s="14" t="s">
        <v>1802</v>
      </c>
      <c r="E1505" s="12" t="s">
        <v>28</v>
      </c>
      <c r="F1505" s="13" t="s">
        <v>29</v>
      </c>
      <c r="G1505">
        <v>1</v>
      </c>
      <c r="H1505" t="s">
        <v>30</v>
      </c>
      <c r="I1505">
        <v>1</v>
      </c>
      <c r="J1505" s="15"/>
      <c r="K1505" s="16">
        <f>1107.36 - (1107.36 * $E$1)</f>
        <v>1107.3599999999999</v>
      </c>
      <c r="L1505" s="16">
        <f>907.67 - (907.67 * $E$1)</f>
        <v>907.67</v>
      </c>
      <c r="M1505" s="1">
        <v>1107.3599999999999</v>
      </c>
      <c r="N1505" s="1">
        <v>907.67</v>
      </c>
      <c r="O1505" s="1">
        <v>941.25</v>
      </c>
      <c r="P1505" s="1">
        <v>771.52</v>
      </c>
      <c r="Q1505">
        <v>0.06</v>
      </c>
      <c r="R1505">
        <v>7.6499999999999995E-4</v>
      </c>
    </row>
    <row r="1506" spans="1:18" ht="13.8" outlineLevel="2" x14ac:dyDescent="0.25">
      <c r="A1506">
        <v>74629</v>
      </c>
      <c r="B1506" t="s">
        <v>1524</v>
      </c>
      <c r="C1506" t="s">
        <v>1803</v>
      </c>
      <c r="D1506" s="14" t="s">
        <v>1802</v>
      </c>
      <c r="E1506" s="12" t="s">
        <v>28</v>
      </c>
      <c r="F1506" s="13" t="s">
        <v>29</v>
      </c>
      <c r="G1506">
        <v>1</v>
      </c>
      <c r="H1506" t="s">
        <v>30</v>
      </c>
      <c r="I1506">
        <v>1</v>
      </c>
      <c r="J1506" s="15"/>
      <c r="K1506" s="16">
        <f>1619.04 - (1619.04 * $E$1)</f>
        <v>1619.04</v>
      </c>
      <c r="L1506" s="16">
        <f>1327.08 - (1327.08 * $E$1)</f>
        <v>1327.08</v>
      </c>
      <c r="M1506" s="1">
        <v>1619.04</v>
      </c>
      <c r="N1506" s="1">
        <v>1327.08</v>
      </c>
      <c r="O1506" s="1">
        <v>1376.18</v>
      </c>
      <c r="P1506" s="1">
        <v>1128.02</v>
      </c>
      <c r="Q1506">
        <v>0.28999999999999998</v>
      </c>
      <c r="R1506">
        <v>1.248E-3</v>
      </c>
    </row>
    <row r="1507" spans="1:18" ht="13.8" outlineLevel="2" x14ac:dyDescent="0.25">
      <c r="A1507">
        <v>74633</v>
      </c>
      <c r="B1507" t="s">
        <v>1524</v>
      </c>
      <c r="C1507" t="s">
        <v>1804</v>
      </c>
      <c r="D1507" s="14" t="s">
        <v>1802</v>
      </c>
      <c r="E1507" s="12" t="s">
        <v>28</v>
      </c>
      <c r="F1507" s="13" t="s">
        <v>29</v>
      </c>
      <c r="G1507">
        <v>1</v>
      </c>
      <c r="H1507" t="s">
        <v>30</v>
      </c>
      <c r="I1507">
        <v>1</v>
      </c>
      <c r="J1507" s="15"/>
      <c r="K1507" s="16">
        <f>1771.93 - (1771.93 * $E$1)</f>
        <v>1771.93</v>
      </c>
      <c r="L1507" s="16">
        <f>1452.4 - (1452.4 * $E$1)</f>
        <v>1452.4</v>
      </c>
      <c r="M1507" s="1">
        <v>1771.93</v>
      </c>
      <c r="N1507" s="1">
        <v>1452.4</v>
      </c>
      <c r="O1507" s="1">
        <v>1506.14</v>
      </c>
      <c r="P1507" s="1">
        <v>1234.54</v>
      </c>
      <c r="Q1507">
        <v>0.42</v>
      </c>
      <c r="R1507">
        <v>2.0799999999999998E-3</v>
      </c>
    </row>
    <row r="1508" spans="1:18" ht="13.8" outlineLevel="2" x14ac:dyDescent="0.25">
      <c r="A1508">
        <v>74637</v>
      </c>
      <c r="B1508" t="s">
        <v>1524</v>
      </c>
      <c r="C1508" t="s">
        <v>1805</v>
      </c>
      <c r="D1508" s="14" t="s">
        <v>1802</v>
      </c>
      <c r="E1508" s="12" t="s">
        <v>28</v>
      </c>
      <c r="F1508" s="13" t="s">
        <v>29</v>
      </c>
      <c r="G1508">
        <v>1</v>
      </c>
      <c r="H1508" t="s">
        <v>30</v>
      </c>
      <c r="I1508">
        <v>1</v>
      </c>
      <c r="J1508" s="15"/>
      <c r="K1508" s="16">
        <f>2268.15 - (2268.15 * $E$1)</f>
        <v>2268.15</v>
      </c>
      <c r="L1508" s="16">
        <f>1859.14 - (1859.14 * $E$1)</f>
        <v>1859.14</v>
      </c>
      <c r="M1508" s="1">
        <v>2268.15</v>
      </c>
      <c r="N1508" s="1">
        <v>1859.14</v>
      </c>
      <c r="O1508" s="1">
        <v>1927.93</v>
      </c>
      <c r="P1508" s="1">
        <v>1580.27</v>
      </c>
      <c r="Q1508">
        <v>0.54</v>
      </c>
      <c r="R1508">
        <v>1.404E-2</v>
      </c>
    </row>
    <row r="1509" spans="1:18" ht="13.8" outlineLevel="2" x14ac:dyDescent="0.25">
      <c r="A1509">
        <v>74626</v>
      </c>
      <c r="B1509" t="s">
        <v>1524</v>
      </c>
      <c r="C1509" t="s">
        <v>1806</v>
      </c>
      <c r="D1509" s="14" t="s">
        <v>1802</v>
      </c>
      <c r="E1509" s="12" t="s">
        <v>28</v>
      </c>
      <c r="F1509" s="13" t="s">
        <v>29</v>
      </c>
      <c r="G1509">
        <v>1</v>
      </c>
      <c r="H1509" t="s">
        <v>30</v>
      </c>
      <c r="I1509">
        <v>1</v>
      </c>
      <c r="J1509" s="15"/>
      <c r="K1509" s="16">
        <f>1820.26 - (1820.26 * $E$1)</f>
        <v>1820.26</v>
      </c>
      <c r="L1509" s="16">
        <f>1492.02 - (1492.02 * $E$1)</f>
        <v>1492.02</v>
      </c>
      <c r="M1509" s="1">
        <v>1820.26</v>
      </c>
      <c r="N1509" s="1">
        <v>1492.02</v>
      </c>
      <c r="O1509" s="1">
        <v>1547.22</v>
      </c>
      <c r="P1509" s="1">
        <v>1268.22</v>
      </c>
      <c r="Q1509">
        <v>0.09</v>
      </c>
      <c r="R1509">
        <v>8.0999999999999996E-4</v>
      </c>
    </row>
    <row r="1510" spans="1:18" ht="13.8" outlineLevel="2" x14ac:dyDescent="0.25">
      <c r="A1510">
        <v>74630</v>
      </c>
      <c r="B1510" t="s">
        <v>1524</v>
      </c>
      <c r="C1510" t="s">
        <v>1807</v>
      </c>
      <c r="D1510" s="14" t="s">
        <v>1802</v>
      </c>
      <c r="E1510" s="12" t="s">
        <v>28</v>
      </c>
      <c r="F1510" s="13" t="s">
        <v>29</v>
      </c>
      <c r="G1510">
        <v>1</v>
      </c>
      <c r="H1510" t="s">
        <v>30</v>
      </c>
      <c r="I1510">
        <v>1</v>
      </c>
      <c r="J1510" s="15"/>
      <c r="K1510" s="16">
        <f>2894.96 - (2894.96 * $E$1)</f>
        <v>2894.96</v>
      </c>
      <c r="L1510" s="16">
        <f>2372.92 - (2372.92 * $E$1)</f>
        <v>2372.92</v>
      </c>
      <c r="M1510" s="1">
        <v>2894.96</v>
      </c>
      <c r="N1510" s="1">
        <v>2372.92</v>
      </c>
      <c r="O1510" s="1">
        <v>2460.7199999999998</v>
      </c>
      <c r="P1510" s="1">
        <v>2016.98</v>
      </c>
      <c r="Q1510">
        <v>0.38</v>
      </c>
      <c r="R1510">
        <v>1.248E-3</v>
      </c>
    </row>
    <row r="1511" spans="1:18" ht="13.8" outlineLevel="2" x14ac:dyDescent="0.25">
      <c r="A1511">
        <v>74634</v>
      </c>
      <c r="B1511" t="s">
        <v>1524</v>
      </c>
      <c r="C1511" t="s">
        <v>1808</v>
      </c>
      <c r="D1511" s="14" t="s">
        <v>1802</v>
      </c>
      <c r="E1511" s="12" t="s">
        <v>28</v>
      </c>
      <c r="F1511" s="13" t="s">
        <v>29</v>
      </c>
      <c r="G1511">
        <v>1</v>
      </c>
      <c r="H1511" t="s">
        <v>30</v>
      </c>
      <c r="I1511">
        <v>1</v>
      </c>
      <c r="J1511" s="15"/>
      <c r="K1511" s="16">
        <f>3521.6 - (3521.6 * $E$1)</f>
        <v>3521.6</v>
      </c>
      <c r="L1511" s="16">
        <f>2886.56 - (2886.56 * $E$1)</f>
        <v>2886.56</v>
      </c>
      <c r="M1511" s="1">
        <v>3521.6</v>
      </c>
      <c r="N1511" s="1">
        <v>2886.56</v>
      </c>
      <c r="O1511" s="1">
        <v>2993.36</v>
      </c>
      <c r="P1511" s="1">
        <v>2453.58</v>
      </c>
      <c r="Q1511">
        <v>0.66</v>
      </c>
      <c r="R1511">
        <v>2.0799999999999998E-3</v>
      </c>
    </row>
    <row r="1512" spans="1:18" ht="13.8" outlineLevel="2" x14ac:dyDescent="0.25">
      <c r="A1512">
        <v>74638</v>
      </c>
      <c r="B1512" t="s">
        <v>1524</v>
      </c>
      <c r="C1512" t="s">
        <v>1809</v>
      </c>
      <c r="D1512" s="14" t="s">
        <v>1802</v>
      </c>
      <c r="E1512" s="12" t="s">
        <v>28</v>
      </c>
      <c r="F1512" s="13" t="s">
        <v>29</v>
      </c>
      <c r="G1512">
        <v>1</v>
      </c>
      <c r="H1512" t="s">
        <v>30</v>
      </c>
      <c r="I1512">
        <v>1</v>
      </c>
      <c r="J1512" s="15"/>
      <c r="K1512" s="16">
        <f>5879.52 - (5879.52 * $E$1)</f>
        <v>5879.52</v>
      </c>
      <c r="L1512" s="16">
        <f>4819.28 - (4819.28 * $E$1)</f>
        <v>4819.28</v>
      </c>
      <c r="M1512" s="1">
        <v>5879.52</v>
      </c>
      <c r="N1512" s="1">
        <v>4819.28</v>
      </c>
      <c r="O1512" s="1">
        <v>4997.59</v>
      </c>
      <c r="P1512" s="1">
        <v>4096.3900000000003</v>
      </c>
      <c r="Q1512">
        <v>1</v>
      </c>
      <c r="R1512">
        <v>1.0529999999999999E-2</v>
      </c>
    </row>
    <row r="1513" spans="1:18" ht="13.8" outlineLevel="2" x14ac:dyDescent="0.25">
      <c r="A1513">
        <v>74627</v>
      </c>
      <c r="B1513" t="s">
        <v>1524</v>
      </c>
      <c r="C1513" t="s">
        <v>1810</v>
      </c>
      <c r="D1513" s="14" t="s">
        <v>1802</v>
      </c>
      <c r="E1513" s="12" t="s">
        <v>28</v>
      </c>
      <c r="F1513" s="13" t="s">
        <v>29</v>
      </c>
      <c r="G1513">
        <v>1</v>
      </c>
      <c r="H1513" t="s">
        <v>30</v>
      </c>
      <c r="I1513">
        <v>1</v>
      </c>
      <c r="J1513" s="15"/>
      <c r="K1513" s="16">
        <f>1608.96 - (1608.96 * $E$1)</f>
        <v>1608.96</v>
      </c>
      <c r="L1513" s="16">
        <f>1318.82 - (1318.82 * $E$1)</f>
        <v>1318.82</v>
      </c>
      <c r="M1513" s="1">
        <v>1608.96</v>
      </c>
      <c r="N1513" s="1">
        <v>1318.82</v>
      </c>
      <c r="O1513" s="1">
        <v>1367.62</v>
      </c>
      <c r="P1513" s="1">
        <v>1121</v>
      </c>
      <c r="Q1513">
        <v>0.11</v>
      </c>
      <c r="R1513">
        <v>1.663E-3</v>
      </c>
    </row>
    <row r="1514" spans="1:18" ht="13.8" outlineLevel="2" x14ac:dyDescent="0.25">
      <c r="A1514">
        <v>74631</v>
      </c>
      <c r="B1514" t="s">
        <v>1524</v>
      </c>
      <c r="C1514" t="s">
        <v>1811</v>
      </c>
      <c r="D1514" s="14" t="s">
        <v>1802</v>
      </c>
      <c r="E1514" s="12" t="s">
        <v>28</v>
      </c>
      <c r="F1514" s="13" t="s">
        <v>29</v>
      </c>
      <c r="G1514">
        <v>1</v>
      </c>
      <c r="H1514" t="s">
        <v>30</v>
      </c>
      <c r="I1514">
        <v>1</v>
      </c>
      <c r="J1514" s="15"/>
      <c r="K1514" s="16">
        <f>2327.41 - (2327.41 * $E$1)</f>
        <v>2327.41</v>
      </c>
      <c r="L1514" s="16">
        <f>1907.71 - (1907.71 * $E$1)</f>
        <v>1907.71</v>
      </c>
      <c r="M1514" s="1">
        <v>2327.41</v>
      </c>
      <c r="N1514" s="1">
        <v>1907.71</v>
      </c>
      <c r="O1514" s="1">
        <v>1978.3</v>
      </c>
      <c r="P1514" s="1">
        <v>1621.55</v>
      </c>
      <c r="Q1514">
        <v>0.36</v>
      </c>
      <c r="R1514">
        <v>1.248E-3</v>
      </c>
    </row>
    <row r="1515" spans="1:18" ht="13.8" outlineLevel="2" x14ac:dyDescent="0.25">
      <c r="A1515">
        <v>74635</v>
      </c>
      <c r="B1515" t="s">
        <v>1524</v>
      </c>
      <c r="C1515" t="s">
        <v>1812</v>
      </c>
      <c r="D1515" s="14" t="s">
        <v>1802</v>
      </c>
      <c r="E1515" s="12" t="s">
        <v>28</v>
      </c>
      <c r="F1515" s="13" t="s">
        <v>29</v>
      </c>
      <c r="G1515">
        <v>1</v>
      </c>
      <c r="H1515" t="s">
        <v>30</v>
      </c>
      <c r="I1515">
        <v>1</v>
      </c>
      <c r="J1515" s="15"/>
      <c r="K1515" s="16">
        <f>2534.95 - (2534.95 * $E$1)</f>
        <v>2534.9499999999998</v>
      </c>
      <c r="L1515" s="16">
        <f>2077.83 - (2077.83 * $E$1)</f>
        <v>2077.83</v>
      </c>
      <c r="M1515" s="1">
        <v>2534.9499999999998</v>
      </c>
      <c r="N1515" s="1">
        <v>2077.83</v>
      </c>
      <c r="O1515" s="1">
        <v>2154.71</v>
      </c>
      <c r="P1515" s="1">
        <v>1766.16</v>
      </c>
      <c r="Q1515">
        <v>0.51</v>
      </c>
      <c r="R1515">
        <v>2.0799999999999998E-3</v>
      </c>
    </row>
    <row r="1516" spans="1:18" ht="13.8" outlineLevel="2" x14ac:dyDescent="0.25">
      <c r="A1516">
        <v>74639</v>
      </c>
      <c r="B1516" t="s">
        <v>1524</v>
      </c>
      <c r="C1516" t="s">
        <v>1813</v>
      </c>
      <c r="D1516" s="14" t="s">
        <v>1802</v>
      </c>
      <c r="E1516" s="12" t="s">
        <v>28</v>
      </c>
      <c r="F1516" s="13" t="s">
        <v>29</v>
      </c>
      <c r="G1516">
        <v>1</v>
      </c>
      <c r="H1516" t="s">
        <v>30</v>
      </c>
      <c r="I1516">
        <v>1</v>
      </c>
      <c r="J1516" s="15"/>
      <c r="K1516" s="16">
        <f>3193.4 - (3193.4 * $E$1)</f>
        <v>3193.4</v>
      </c>
      <c r="L1516" s="16">
        <f>2617.54 - (2617.54 * $E$1)</f>
        <v>2617.54</v>
      </c>
      <c r="M1516" s="1">
        <v>3193.4</v>
      </c>
      <c r="N1516" s="1">
        <v>2617.54</v>
      </c>
      <c r="O1516" s="1">
        <v>2714.39</v>
      </c>
      <c r="P1516" s="1">
        <v>2224.91</v>
      </c>
      <c r="Q1516">
        <v>0.66</v>
      </c>
      <c r="R1516">
        <v>1.32E-2</v>
      </c>
    </row>
    <row r="1517" spans="1:18" ht="13.8" outlineLevel="2" x14ac:dyDescent="0.25">
      <c r="A1517">
        <v>74628</v>
      </c>
      <c r="B1517" t="s">
        <v>1524</v>
      </c>
      <c r="C1517" t="s">
        <v>1814</v>
      </c>
      <c r="D1517" s="14" t="s">
        <v>1802</v>
      </c>
      <c r="E1517" s="12" t="s">
        <v>28</v>
      </c>
      <c r="F1517" s="13" t="s">
        <v>29</v>
      </c>
      <c r="G1517">
        <v>1</v>
      </c>
      <c r="H1517" t="s">
        <v>30</v>
      </c>
      <c r="I1517">
        <v>1</v>
      </c>
      <c r="J1517" s="15"/>
      <c r="K1517" s="16">
        <f>2282.85 - (2282.85 * $E$1)</f>
        <v>2282.85</v>
      </c>
      <c r="L1517" s="16">
        <f>1871.19 - (1871.19 * $E$1)</f>
        <v>1871.19</v>
      </c>
      <c r="M1517" s="1">
        <v>2282.85</v>
      </c>
      <c r="N1517" s="1">
        <v>1871.19</v>
      </c>
      <c r="O1517" s="1">
        <v>1940.42</v>
      </c>
      <c r="P1517" s="1">
        <v>1590.51</v>
      </c>
      <c r="Q1517">
        <v>0.14000000000000001</v>
      </c>
      <c r="R1517">
        <v>1.3500000000000001E-3</v>
      </c>
    </row>
    <row r="1518" spans="1:18" ht="13.8" outlineLevel="2" x14ac:dyDescent="0.25">
      <c r="A1518">
        <v>74632</v>
      </c>
      <c r="B1518" t="s">
        <v>1524</v>
      </c>
      <c r="C1518" t="s">
        <v>1815</v>
      </c>
      <c r="D1518" s="14" t="s">
        <v>1802</v>
      </c>
      <c r="E1518" s="12" t="s">
        <v>28</v>
      </c>
      <c r="F1518" s="13" t="s">
        <v>29</v>
      </c>
      <c r="G1518">
        <v>1</v>
      </c>
      <c r="H1518" t="s">
        <v>30</v>
      </c>
      <c r="I1518">
        <v>1</v>
      </c>
      <c r="J1518" s="15"/>
      <c r="K1518" s="16">
        <f>3592.25 - (3592.25 * $E$1)</f>
        <v>3592.25</v>
      </c>
      <c r="L1518" s="16">
        <f>2944.47 - (2944.47 * $E$1)</f>
        <v>2944.47</v>
      </c>
      <c r="M1518" s="1">
        <v>3592.25</v>
      </c>
      <c r="N1518" s="1">
        <v>2944.47</v>
      </c>
      <c r="O1518" s="1">
        <v>3053.42</v>
      </c>
      <c r="P1518" s="1">
        <v>2502.8000000000002</v>
      </c>
      <c r="Q1518">
        <v>0.45</v>
      </c>
      <c r="R1518">
        <v>1.248E-3</v>
      </c>
    </row>
    <row r="1519" spans="1:18" ht="13.8" outlineLevel="2" x14ac:dyDescent="0.25">
      <c r="A1519">
        <v>74636</v>
      </c>
      <c r="B1519" t="s">
        <v>1524</v>
      </c>
      <c r="C1519" t="s">
        <v>1816</v>
      </c>
      <c r="D1519" s="14" t="s">
        <v>1802</v>
      </c>
      <c r="E1519" s="12" t="s">
        <v>28</v>
      </c>
      <c r="F1519" s="13" t="s">
        <v>29</v>
      </c>
      <c r="G1519">
        <v>1</v>
      </c>
      <c r="H1519" t="s">
        <v>30</v>
      </c>
      <c r="I1519">
        <v>1</v>
      </c>
      <c r="J1519" s="15"/>
      <c r="K1519" s="16">
        <f>4165.23 - (4165.23 * $E$1)</f>
        <v>4165.2299999999996</v>
      </c>
      <c r="L1519" s="16">
        <f>3414.12 - (3414.12 * $E$1)</f>
        <v>3414.12</v>
      </c>
      <c r="M1519" s="1">
        <v>4165.2299999999996</v>
      </c>
      <c r="N1519" s="1">
        <v>3414.12</v>
      </c>
      <c r="O1519" s="1">
        <v>3540.44</v>
      </c>
      <c r="P1519" s="1">
        <v>2902</v>
      </c>
      <c r="Q1519">
        <v>0.75</v>
      </c>
      <c r="R1519">
        <v>2.0799999999999998E-3</v>
      </c>
    </row>
    <row r="1520" spans="1:18" ht="13.8" outlineLevel="2" x14ac:dyDescent="0.25">
      <c r="A1520">
        <v>74640</v>
      </c>
      <c r="B1520" t="s">
        <v>1524</v>
      </c>
      <c r="C1520" t="s">
        <v>1817</v>
      </c>
      <c r="D1520" s="14" t="s">
        <v>1802</v>
      </c>
      <c r="E1520" s="12" t="s">
        <v>28</v>
      </c>
      <c r="F1520" s="13" t="s">
        <v>29</v>
      </c>
      <c r="G1520">
        <v>1</v>
      </c>
      <c r="H1520" t="s">
        <v>30</v>
      </c>
      <c r="I1520">
        <v>1</v>
      </c>
      <c r="J1520" s="15"/>
      <c r="K1520" s="16">
        <f>6862.62 - (6862.62 * $E$1)</f>
        <v>6862.62</v>
      </c>
      <c r="L1520" s="16">
        <f>5625.1 - (5625.1 * $E$1)</f>
        <v>5625.1</v>
      </c>
      <c r="M1520" s="1">
        <v>6862.62</v>
      </c>
      <c r="N1520" s="1">
        <v>5625.1</v>
      </c>
      <c r="O1520" s="1">
        <v>5833.23</v>
      </c>
      <c r="P1520" s="1">
        <v>4781.34</v>
      </c>
      <c r="Q1520">
        <v>1.1000000000000001</v>
      </c>
      <c r="R1520">
        <v>1.32E-2</v>
      </c>
    </row>
    <row r="1521" spans="1:18" ht="13.8" outlineLevel="2" x14ac:dyDescent="0.25">
      <c r="A1521">
        <v>60348</v>
      </c>
      <c r="B1521" t="s">
        <v>1524</v>
      </c>
      <c r="C1521" t="s">
        <v>1818</v>
      </c>
      <c r="D1521" s="14" t="s">
        <v>1819</v>
      </c>
      <c r="E1521" s="12" t="s">
        <v>28</v>
      </c>
      <c r="F1521" s="13" t="s">
        <v>29</v>
      </c>
      <c r="G1521">
        <v>1</v>
      </c>
      <c r="H1521" t="s">
        <v>30</v>
      </c>
      <c r="I1521">
        <v>1</v>
      </c>
      <c r="J1521" s="15"/>
      <c r="K1521" s="16">
        <f>1190.49 - (1190.49 * $E$1)</f>
        <v>1190.49</v>
      </c>
      <c r="L1521" s="16">
        <f>975.81 - (975.81 * $E$1)</f>
        <v>975.81</v>
      </c>
      <c r="M1521" s="1">
        <v>1190.49</v>
      </c>
      <c r="N1521" s="1">
        <v>975.81</v>
      </c>
      <c r="O1521" s="1">
        <v>1011.91</v>
      </c>
      <c r="P1521" s="1">
        <v>829.44</v>
      </c>
      <c r="Q1521">
        <v>0.28999999999999998</v>
      </c>
      <c r="R1521">
        <v>9.2800000000000001E-4</v>
      </c>
    </row>
    <row r="1522" spans="1:18" ht="13.8" outlineLevel="2" x14ac:dyDescent="0.25">
      <c r="A1522">
        <v>57777</v>
      </c>
      <c r="B1522" t="s">
        <v>1524</v>
      </c>
      <c r="C1522" t="s">
        <v>1820</v>
      </c>
      <c r="D1522" s="14" t="s">
        <v>1819</v>
      </c>
      <c r="E1522" s="12" t="s">
        <v>28</v>
      </c>
      <c r="F1522" s="13" t="s">
        <v>29</v>
      </c>
      <c r="G1522">
        <v>1</v>
      </c>
      <c r="H1522" t="s">
        <v>30</v>
      </c>
      <c r="I1522">
        <v>1</v>
      </c>
      <c r="J1522" s="15"/>
      <c r="K1522" s="16">
        <f>1625.5 - (1625.5 * $E$1)</f>
        <v>1625.5</v>
      </c>
      <c r="L1522" s="16">
        <f>1332.38 - (1332.38 * $E$1)</f>
        <v>1332.38</v>
      </c>
      <c r="M1522" s="1">
        <v>1625.5</v>
      </c>
      <c r="N1522" s="1">
        <v>1332.38</v>
      </c>
      <c r="O1522" s="1">
        <v>1381.68</v>
      </c>
      <c r="P1522" s="1">
        <v>1132.52</v>
      </c>
      <c r="Q1522">
        <v>0.35</v>
      </c>
      <c r="R1522">
        <v>1.248E-3</v>
      </c>
    </row>
    <row r="1523" spans="1:18" ht="13.8" outlineLevel="2" x14ac:dyDescent="0.25">
      <c r="A1523">
        <v>57779</v>
      </c>
      <c r="B1523" t="s">
        <v>1524</v>
      </c>
      <c r="C1523" t="s">
        <v>1821</v>
      </c>
      <c r="D1523" s="14" t="s">
        <v>1819</v>
      </c>
      <c r="E1523" s="12" t="s">
        <v>28</v>
      </c>
      <c r="F1523" s="13" t="s">
        <v>29</v>
      </c>
      <c r="G1523">
        <v>1</v>
      </c>
      <c r="H1523" t="s">
        <v>30</v>
      </c>
      <c r="I1523">
        <v>1</v>
      </c>
      <c r="J1523" s="15"/>
      <c r="K1523" s="16">
        <f>1676.27 - (1676.27 * $E$1)</f>
        <v>1676.27</v>
      </c>
      <c r="L1523" s="16">
        <f>1373.99 - (1373.99 * $E$1)</f>
        <v>1373.99</v>
      </c>
      <c r="M1523" s="1">
        <v>1676.27</v>
      </c>
      <c r="N1523" s="1">
        <v>1373.99</v>
      </c>
      <c r="O1523" s="1">
        <v>1424.83</v>
      </c>
      <c r="P1523" s="1">
        <v>1167.8900000000001</v>
      </c>
      <c r="Q1523">
        <v>0.33</v>
      </c>
      <c r="R1523">
        <v>9.3799999999999994E-3</v>
      </c>
    </row>
    <row r="1524" spans="1:18" ht="13.8" outlineLevel="2" x14ac:dyDescent="0.25">
      <c r="A1524">
        <v>57781</v>
      </c>
      <c r="B1524" t="s">
        <v>1524</v>
      </c>
      <c r="C1524" t="s">
        <v>1822</v>
      </c>
      <c r="D1524" s="14" t="s">
        <v>1819</v>
      </c>
      <c r="E1524" s="12" t="s">
        <v>28</v>
      </c>
      <c r="F1524" s="13" t="s">
        <v>29</v>
      </c>
      <c r="G1524">
        <v>1</v>
      </c>
      <c r="H1524" t="s">
        <v>30</v>
      </c>
      <c r="I1524">
        <v>1</v>
      </c>
      <c r="J1524" s="15"/>
      <c r="K1524" s="16">
        <f>2392.51 - (2392.51 * $E$1)</f>
        <v>2392.5100000000002</v>
      </c>
      <c r="L1524" s="16">
        <f>1961.07 - (1961.07 * $E$1)</f>
        <v>1961.07</v>
      </c>
      <c r="M1524" s="1">
        <v>2392.5100000000002</v>
      </c>
      <c r="N1524" s="1">
        <v>1961.07</v>
      </c>
      <c r="O1524" s="1">
        <v>2033.63</v>
      </c>
      <c r="P1524" s="1">
        <v>1666.91</v>
      </c>
      <c r="Q1524">
        <v>0.54</v>
      </c>
      <c r="R1524">
        <v>1.32E-2</v>
      </c>
    </row>
    <row r="1525" spans="1:18" ht="13.8" outlineLevel="2" x14ac:dyDescent="0.25">
      <c r="A1525">
        <v>88738</v>
      </c>
      <c r="B1525" t="s">
        <v>1524</v>
      </c>
      <c r="C1525" t="s">
        <v>1823</v>
      </c>
      <c r="D1525" s="14" t="s">
        <v>1819</v>
      </c>
      <c r="E1525" s="12" t="s">
        <v>28</v>
      </c>
      <c r="F1525" s="13" t="s">
        <v>29</v>
      </c>
      <c r="G1525">
        <v>1</v>
      </c>
      <c r="H1525" t="s">
        <v>30</v>
      </c>
      <c r="I1525">
        <v>1</v>
      </c>
      <c r="J1525" s="15"/>
      <c r="K1525" s="16">
        <f>3713.11 - (3713.11 * $E$1)</f>
        <v>3713.11</v>
      </c>
      <c r="L1525" s="16">
        <f>3043.53 - (3043.53 * $E$1)</f>
        <v>3043.53</v>
      </c>
      <c r="M1525" s="1">
        <v>3713.11</v>
      </c>
      <c r="N1525" s="1">
        <v>3043.53</v>
      </c>
      <c r="O1525" s="1">
        <v>3156.14</v>
      </c>
      <c r="P1525" s="1">
        <v>2587</v>
      </c>
      <c r="Q1525">
        <v>0.71</v>
      </c>
      <c r="R1525">
        <v>2.0799999999999998E-3</v>
      </c>
    </row>
    <row r="1526" spans="1:18" ht="13.8" outlineLevel="2" x14ac:dyDescent="0.25">
      <c r="A1526">
        <v>60349</v>
      </c>
      <c r="B1526" t="s">
        <v>1524</v>
      </c>
      <c r="C1526" t="s">
        <v>1824</v>
      </c>
      <c r="D1526" s="14" t="s">
        <v>1819</v>
      </c>
      <c r="E1526" s="12" t="s">
        <v>28</v>
      </c>
      <c r="F1526" s="13" t="s">
        <v>29</v>
      </c>
      <c r="G1526">
        <v>1</v>
      </c>
      <c r="H1526" t="s">
        <v>30</v>
      </c>
      <c r="I1526">
        <v>1</v>
      </c>
      <c r="J1526" s="15"/>
      <c r="K1526" s="16">
        <f>2069.69 - (2069.69 * $E$1)</f>
        <v>2069.69</v>
      </c>
      <c r="L1526" s="16">
        <f>1696.47 - (1696.47 * $E$1)</f>
        <v>1696.47</v>
      </c>
      <c r="M1526" s="1">
        <v>2069.69</v>
      </c>
      <c r="N1526" s="1">
        <v>1696.47</v>
      </c>
      <c r="O1526" s="1">
        <v>1759.24</v>
      </c>
      <c r="P1526" s="1">
        <v>1442</v>
      </c>
      <c r="Q1526">
        <v>0.33</v>
      </c>
      <c r="R1526">
        <v>9.2800000000000001E-4</v>
      </c>
    </row>
    <row r="1527" spans="1:18" ht="13.8" outlineLevel="2" x14ac:dyDescent="0.25">
      <c r="A1527">
        <v>57778</v>
      </c>
      <c r="B1527" t="s">
        <v>1524</v>
      </c>
      <c r="C1527" t="s">
        <v>1825</v>
      </c>
      <c r="D1527" s="14" t="s">
        <v>1819</v>
      </c>
      <c r="E1527" s="12" t="s">
        <v>28</v>
      </c>
      <c r="F1527" s="13" t="s">
        <v>29</v>
      </c>
      <c r="G1527">
        <v>1</v>
      </c>
      <c r="H1527" t="s">
        <v>30</v>
      </c>
      <c r="I1527">
        <v>1</v>
      </c>
      <c r="J1527" s="15"/>
      <c r="K1527" s="16">
        <f>3297.05 - (3297.05 * $E$1)</f>
        <v>3297.05</v>
      </c>
      <c r="L1527" s="16">
        <f>2702.5 - (2702.5 * $E$1)</f>
        <v>2702.5</v>
      </c>
      <c r="M1527" s="1">
        <v>3297.05</v>
      </c>
      <c r="N1527" s="1">
        <v>2702.5</v>
      </c>
      <c r="O1527" s="1">
        <v>2802.49</v>
      </c>
      <c r="P1527" s="1">
        <v>2297.13</v>
      </c>
      <c r="Q1527">
        <v>0.47</v>
      </c>
      <c r="R1527">
        <v>1.248E-3</v>
      </c>
    </row>
    <row r="1528" spans="1:18" ht="13.8" outlineLevel="2" x14ac:dyDescent="0.25">
      <c r="A1528">
        <v>57780</v>
      </c>
      <c r="B1528" t="s">
        <v>1524</v>
      </c>
      <c r="C1528" t="s">
        <v>1826</v>
      </c>
      <c r="D1528" s="14" t="s">
        <v>1819</v>
      </c>
      <c r="E1528" s="12" t="s">
        <v>28</v>
      </c>
      <c r="F1528" s="13" t="s">
        <v>29</v>
      </c>
      <c r="G1528">
        <v>1</v>
      </c>
      <c r="H1528" t="s">
        <v>30</v>
      </c>
      <c r="I1528">
        <v>1</v>
      </c>
      <c r="J1528" s="15"/>
      <c r="K1528" s="16">
        <f>4027.35 - (4027.35 * $E$1)</f>
        <v>4027.35</v>
      </c>
      <c r="L1528" s="16">
        <f>3301.11 - (3301.11 * $E$1)</f>
        <v>3301.11</v>
      </c>
      <c r="M1528" s="1">
        <v>4027.35</v>
      </c>
      <c r="N1528" s="1">
        <v>3301.11</v>
      </c>
      <c r="O1528" s="1">
        <v>3423.25</v>
      </c>
      <c r="P1528" s="1">
        <v>2805.94</v>
      </c>
      <c r="Q1528">
        <v>0.72</v>
      </c>
      <c r="R1528">
        <v>2.0799999999999998E-3</v>
      </c>
    </row>
    <row r="1529" spans="1:18" ht="13.8" outlineLevel="2" x14ac:dyDescent="0.25">
      <c r="A1529">
        <v>57782</v>
      </c>
      <c r="B1529" t="s">
        <v>1524</v>
      </c>
      <c r="C1529" t="s">
        <v>1827</v>
      </c>
      <c r="D1529" s="14" t="s">
        <v>1819</v>
      </c>
      <c r="E1529" s="12" t="s">
        <v>28</v>
      </c>
      <c r="F1529" s="13" t="s">
        <v>29</v>
      </c>
      <c r="G1529">
        <v>1</v>
      </c>
      <c r="H1529" t="s">
        <v>30</v>
      </c>
      <c r="I1529">
        <v>1</v>
      </c>
      <c r="J1529" s="15"/>
      <c r="K1529" s="16">
        <f>7255.16 - (7255.16 * $E$1)</f>
        <v>7255.16</v>
      </c>
      <c r="L1529" s="16">
        <f>5946.85 - (5946.85 * $E$1)</f>
        <v>5946.85</v>
      </c>
      <c r="M1529" s="1">
        <v>7255.16</v>
      </c>
      <c r="N1529" s="1">
        <v>5946.85</v>
      </c>
      <c r="O1529" s="1">
        <v>6166.88</v>
      </c>
      <c r="P1529" s="1">
        <v>5054.82</v>
      </c>
      <c r="Q1529">
        <v>1.1599999999999999</v>
      </c>
      <c r="R1529">
        <v>1.32E-2</v>
      </c>
    </row>
    <row r="1530" spans="1:18" ht="13.8" outlineLevel="2" x14ac:dyDescent="0.25">
      <c r="A1530">
        <v>88739</v>
      </c>
      <c r="B1530" t="s">
        <v>1524</v>
      </c>
      <c r="C1530" t="s">
        <v>1828</v>
      </c>
      <c r="D1530" s="14" t="s">
        <v>1819</v>
      </c>
      <c r="E1530" s="12" t="s">
        <v>28</v>
      </c>
      <c r="F1530" s="13" t="s">
        <v>29</v>
      </c>
      <c r="G1530">
        <v>1</v>
      </c>
      <c r="H1530" t="s">
        <v>30</v>
      </c>
      <c r="I1530">
        <v>1</v>
      </c>
      <c r="J1530" s="15"/>
      <c r="K1530" s="16">
        <f>10893.12 - (10893.12 * $E$1)</f>
        <v>10893.12</v>
      </c>
      <c r="L1530" s="16">
        <f>8928.79 - (8928.79 * $E$1)</f>
        <v>8928.7900000000009</v>
      </c>
      <c r="M1530" s="1">
        <v>10893.12</v>
      </c>
      <c r="N1530" s="1">
        <v>8928.7900000000009</v>
      </c>
      <c r="O1530" s="1">
        <v>9259.16</v>
      </c>
      <c r="P1530" s="1">
        <v>7589.47</v>
      </c>
      <c r="Q1530">
        <v>1.52</v>
      </c>
      <c r="R1530">
        <v>2.0799999999999998E-3</v>
      </c>
    </row>
    <row r="1531" spans="1:18" ht="13.8" outlineLevel="2" x14ac:dyDescent="0.25">
      <c r="A1531">
        <v>60351</v>
      </c>
      <c r="B1531" t="s">
        <v>1524</v>
      </c>
      <c r="C1531" t="s">
        <v>1829</v>
      </c>
      <c r="D1531" s="14" t="s">
        <v>1819</v>
      </c>
      <c r="E1531" s="12" t="s">
        <v>28</v>
      </c>
      <c r="F1531" s="13" t="s">
        <v>29</v>
      </c>
      <c r="G1531">
        <v>1</v>
      </c>
      <c r="H1531" t="s">
        <v>30</v>
      </c>
      <c r="I1531">
        <v>1</v>
      </c>
      <c r="J1531" s="15"/>
      <c r="K1531" s="16">
        <f>1699.3 - (1699.3 * $E$1)</f>
        <v>1699.3</v>
      </c>
      <c r="L1531" s="16">
        <f>1392.87 - (1392.87 * $E$1)</f>
        <v>1392.87</v>
      </c>
      <c r="M1531" s="1">
        <v>1699.3</v>
      </c>
      <c r="N1531" s="1">
        <v>1392.87</v>
      </c>
      <c r="O1531" s="1">
        <v>1444.41</v>
      </c>
      <c r="P1531" s="1">
        <v>1183.94</v>
      </c>
      <c r="Q1531">
        <v>0.35</v>
      </c>
      <c r="R1531">
        <v>9.2800000000000001E-4</v>
      </c>
    </row>
    <row r="1532" spans="1:18" ht="13.8" outlineLevel="2" x14ac:dyDescent="0.25">
      <c r="A1532">
        <v>57783</v>
      </c>
      <c r="B1532" t="s">
        <v>1524</v>
      </c>
      <c r="C1532" t="s">
        <v>1830</v>
      </c>
      <c r="D1532" s="14" t="s">
        <v>1819</v>
      </c>
      <c r="E1532" s="12" t="s">
        <v>28</v>
      </c>
      <c r="F1532" s="13" t="s">
        <v>29</v>
      </c>
      <c r="G1532">
        <v>1</v>
      </c>
      <c r="H1532" t="s">
        <v>30</v>
      </c>
      <c r="I1532">
        <v>1</v>
      </c>
      <c r="J1532" s="15"/>
      <c r="K1532" s="16">
        <f>2332.81 - (2332.81 * $E$1)</f>
        <v>2332.81</v>
      </c>
      <c r="L1532" s="16">
        <f>1912.14 - (1912.14 * $E$1)</f>
        <v>1912.14</v>
      </c>
      <c r="M1532" s="1">
        <v>2332.81</v>
      </c>
      <c r="N1532" s="1">
        <v>1912.14</v>
      </c>
      <c r="O1532" s="1">
        <v>1982.89</v>
      </c>
      <c r="P1532" s="1">
        <v>1625.32</v>
      </c>
      <c r="Q1532">
        <v>0.44</v>
      </c>
      <c r="R1532">
        <v>1.248E-3</v>
      </c>
    </row>
    <row r="1533" spans="1:18" ht="13.8" outlineLevel="2" x14ac:dyDescent="0.25">
      <c r="A1533">
        <v>57786</v>
      </c>
      <c r="B1533" t="s">
        <v>1524</v>
      </c>
      <c r="C1533" t="s">
        <v>1831</v>
      </c>
      <c r="D1533" s="14" t="s">
        <v>1819</v>
      </c>
      <c r="E1533" s="12" t="s">
        <v>28</v>
      </c>
      <c r="F1533" s="13" t="s">
        <v>29</v>
      </c>
      <c r="G1533">
        <v>1</v>
      </c>
      <c r="H1533" t="s">
        <v>30</v>
      </c>
      <c r="I1533">
        <v>1</v>
      </c>
      <c r="J1533" s="15"/>
      <c r="K1533" s="16">
        <f>2515.46 - (2515.46 * $E$1)</f>
        <v>2515.46</v>
      </c>
      <c r="L1533" s="16">
        <f>2061.85 - (2061.85 * $E$1)</f>
        <v>2061.85</v>
      </c>
      <c r="M1533" s="1">
        <v>2515.46</v>
      </c>
      <c r="N1533" s="1">
        <v>2061.85</v>
      </c>
      <c r="O1533" s="1">
        <v>2138.14</v>
      </c>
      <c r="P1533" s="1">
        <v>1752.57</v>
      </c>
      <c r="Q1533">
        <v>0.5</v>
      </c>
      <c r="R1533">
        <v>2.0799999999999998E-3</v>
      </c>
    </row>
    <row r="1534" spans="1:18" ht="13.8" outlineLevel="2" x14ac:dyDescent="0.25">
      <c r="A1534">
        <v>57788</v>
      </c>
      <c r="B1534" t="s">
        <v>1524</v>
      </c>
      <c r="C1534" t="s">
        <v>1832</v>
      </c>
      <c r="D1534" s="14" t="s">
        <v>1819</v>
      </c>
      <c r="E1534" s="12" t="s">
        <v>28</v>
      </c>
      <c r="F1534" s="13" t="s">
        <v>29</v>
      </c>
      <c r="G1534">
        <v>1</v>
      </c>
      <c r="H1534" t="s">
        <v>30</v>
      </c>
      <c r="I1534">
        <v>1</v>
      </c>
      <c r="J1534" s="15"/>
      <c r="K1534" s="16">
        <f>3294.35 - (3294.35 * $E$1)</f>
        <v>3294.35</v>
      </c>
      <c r="L1534" s="16">
        <f>2700.29 - (2700.29 * $E$1)</f>
        <v>2700.29</v>
      </c>
      <c r="M1534" s="1">
        <v>3294.35</v>
      </c>
      <c r="N1534" s="1">
        <v>2700.29</v>
      </c>
      <c r="O1534" s="1">
        <v>2800.2</v>
      </c>
      <c r="P1534" s="1">
        <v>2295.25</v>
      </c>
      <c r="Q1534">
        <v>0.66</v>
      </c>
      <c r="R1534">
        <v>1.32E-2</v>
      </c>
    </row>
    <row r="1535" spans="1:18" ht="13.8" outlineLevel="2" x14ac:dyDescent="0.25">
      <c r="A1535">
        <v>88740</v>
      </c>
      <c r="B1535" t="s">
        <v>1524</v>
      </c>
      <c r="C1535" t="s">
        <v>1833</v>
      </c>
      <c r="D1535" s="14" t="s">
        <v>1819</v>
      </c>
      <c r="E1535" s="12" t="s">
        <v>28</v>
      </c>
      <c r="F1535" s="13" t="s">
        <v>29</v>
      </c>
      <c r="G1535">
        <v>1</v>
      </c>
      <c r="H1535" t="s">
        <v>30</v>
      </c>
      <c r="I1535">
        <v>1</v>
      </c>
      <c r="J1535" s="15"/>
      <c r="K1535" s="16">
        <f>4637.06 - (4637.06 * $E$1)</f>
        <v>4637.0600000000004</v>
      </c>
      <c r="L1535" s="16">
        <f>3800.87 - (3800.87 * $E$1)</f>
        <v>3800.87</v>
      </c>
      <c r="M1535" s="1">
        <v>4637.0600000000004</v>
      </c>
      <c r="N1535" s="1">
        <v>3800.87</v>
      </c>
      <c r="O1535" s="1">
        <v>3941.5</v>
      </c>
      <c r="P1535" s="1">
        <v>3230.74</v>
      </c>
      <c r="Q1535">
        <v>0.85</v>
      </c>
      <c r="R1535">
        <v>2.0799999999999998E-3</v>
      </c>
    </row>
    <row r="1536" spans="1:18" ht="13.8" outlineLevel="2" x14ac:dyDescent="0.25">
      <c r="A1536">
        <v>60352</v>
      </c>
      <c r="B1536" t="s">
        <v>1524</v>
      </c>
      <c r="C1536" t="s">
        <v>1834</v>
      </c>
      <c r="D1536" s="14" t="s">
        <v>1819</v>
      </c>
      <c r="E1536" s="12" t="s">
        <v>28</v>
      </c>
      <c r="F1536" s="13" t="s">
        <v>29</v>
      </c>
      <c r="G1536">
        <v>1</v>
      </c>
      <c r="H1536" t="s">
        <v>30</v>
      </c>
      <c r="I1536">
        <v>1</v>
      </c>
      <c r="J1536" s="15"/>
      <c r="K1536" s="16">
        <f>2628.21 - (2628.21 * $E$1)</f>
        <v>2628.21</v>
      </c>
      <c r="L1536" s="16">
        <f>2154.27 - (2154.27 * $E$1)</f>
        <v>2154.27</v>
      </c>
      <c r="M1536" s="1">
        <v>2628.21</v>
      </c>
      <c r="N1536" s="1">
        <v>2154.27</v>
      </c>
      <c r="O1536" s="1">
        <v>2233.98</v>
      </c>
      <c r="P1536" s="1">
        <v>1831.13</v>
      </c>
      <c r="Q1536">
        <v>0.38</v>
      </c>
      <c r="R1536">
        <v>9.2800000000000001E-4</v>
      </c>
    </row>
    <row r="1537" spans="1:18" ht="13.8" outlineLevel="2" x14ac:dyDescent="0.25">
      <c r="A1537">
        <v>57784</v>
      </c>
      <c r="B1537" t="s">
        <v>1524</v>
      </c>
      <c r="C1537" t="s">
        <v>1835</v>
      </c>
      <c r="D1537" s="14" t="s">
        <v>1819</v>
      </c>
      <c r="E1537" s="12" t="s">
        <v>28</v>
      </c>
      <c r="F1537" s="13" t="s">
        <v>29</v>
      </c>
      <c r="G1537">
        <v>1</v>
      </c>
      <c r="H1537" t="s">
        <v>30</v>
      </c>
      <c r="I1537">
        <v>1</v>
      </c>
      <c r="J1537" s="15"/>
      <c r="K1537" s="16">
        <f>4013.23 - (4013.23 * $E$1)</f>
        <v>4013.23</v>
      </c>
      <c r="L1537" s="16">
        <f>3289.53 - (3289.53 * $E$1)</f>
        <v>3289.53</v>
      </c>
      <c r="M1537" s="1">
        <v>4013.23</v>
      </c>
      <c r="N1537" s="1">
        <v>3289.53</v>
      </c>
      <c r="O1537" s="1">
        <v>3411.24</v>
      </c>
      <c r="P1537" s="1">
        <v>2796.1</v>
      </c>
      <c r="Q1537">
        <v>0.56000000000000005</v>
      </c>
      <c r="R1537">
        <v>1.248E-3</v>
      </c>
    </row>
    <row r="1538" spans="1:18" ht="13.8" outlineLevel="2" x14ac:dyDescent="0.25">
      <c r="A1538">
        <v>57787</v>
      </c>
      <c r="B1538" t="s">
        <v>1524</v>
      </c>
      <c r="C1538" t="s">
        <v>1836</v>
      </c>
      <c r="D1538" s="14" t="s">
        <v>1819</v>
      </c>
      <c r="E1538" s="12" t="s">
        <v>28</v>
      </c>
      <c r="F1538" s="13" t="s">
        <v>29</v>
      </c>
      <c r="G1538">
        <v>1</v>
      </c>
      <c r="H1538" t="s">
        <v>30</v>
      </c>
      <c r="I1538">
        <v>1</v>
      </c>
      <c r="J1538" s="15"/>
      <c r="K1538" s="16">
        <f>4753.86 - (4753.86 * $E$1)</f>
        <v>4753.8599999999997</v>
      </c>
      <c r="L1538" s="16">
        <f>3896.61 - (3896.61 * $E$1)</f>
        <v>3896.61</v>
      </c>
      <c r="M1538" s="1">
        <v>4753.8599999999997</v>
      </c>
      <c r="N1538" s="1">
        <v>3896.61</v>
      </c>
      <c r="O1538" s="1">
        <v>4040.78</v>
      </c>
      <c r="P1538" s="1">
        <v>3312.12</v>
      </c>
      <c r="Q1538">
        <v>0.82</v>
      </c>
      <c r="R1538">
        <v>2.0799999999999998E-3</v>
      </c>
    </row>
    <row r="1539" spans="1:18" ht="13.8" outlineLevel="2" x14ac:dyDescent="0.25">
      <c r="A1539">
        <v>57789</v>
      </c>
      <c r="B1539" t="s">
        <v>1524</v>
      </c>
      <c r="C1539" t="s">
        <v>1837</v>
      </c>
      <c r="D1539" s="14" t="s">
        <v>1819</v>
      </c>
      <c r="E1539" s="12" t="s">
        <v>28</v>
      </c>
      <c r="F1539" s="13" t="s">
        <v>29</v>
      </c>
      <c r="G1539">
        <v>1</v>
      </c>
      <c r="H1539" t="s">
        <v>30</v>
      </c>
      <c r="I1539">
        <v>1</v>
      </c>
      <c r="J1539" s="15"/>
      <c r="K1539" s="16">
        <f>7815.82 - (7815.82 * $E$1)</f>
        <v>7815.82</v>
      </c>
      <c r="L1539" s="16">
        <f>6406.41 - (6406.41 * $E$1)</f>
        <v>6406.41</v>
      </c>
      <c r="M1539" s="1">
        <v>7815.82</v>
      </c>
      <c r="N1539" s="1">
        <v>6406.41</v>
      </c>
      <c r="O1539" s="1">
        <v>6643.45</v>
      </c>
      <c r="P1539" s="1">
        <v>5445.45</v>
      </c>
      <c r="Q1539">
        <v>1.27</v>
      </c>
      <c r="R1539">
        <v>1.32E-2</v>
      </c>
    </row>
    <row r="1540" spans="1:18" ht="13.8" outlineLevel="2" x14ac:dyDescent="0.25">
      <c r="A1540">
        <v>88741</v>
      </c>
      <c r="B1540" t="s">
        <v>1524</v>
      </c>
      <c r="C1540" t="s">
        <v>1838</v>
      </c>
      <c r="D1540" s="14" t="s">
        <v>1819</v>
      </c>
      <c r="E1540" s="12" t="s">
        <v>28</v>
      </c>
      <c r="F1540" s="13" t="s">
        <v>29</v>
      </c>
      <c r="G1540">
        <v>1</v>
      </c>
      <c r="H1540" t="s">
        <v>30</v>
      </c>
      <c r="I1540">
        <v>1</v>
      </c>
      <c r="J1540" s="15"/>
      <c r="K1540" s="16">
        <f>11894.15 - (11894.15 * $E$1)</f>
        <v>11894.15</v>
      </c>
      <c r="L1540" s="16">
        <f>9749.3 - (9749.3 * $E$1)</f>
        <v>9749.2999999999993</v>
      </c>
      <c r="M1540" s="1">
        <v>11894.15</v>
      </c>
      <c r="N1540" s="1">
        <v>9749.2999999999993</v>
      </c>
      <c r="O1540" s="1">
        <v>10110.02</v>
      </c>
      <c r="P1540" s="1">
        <v>8286.91</v>
      </c>
      <c r="Q1540">
        <v>1.66</v>
      </c>
      <c r="R1540">
        <v>2.0799999999999998E-3</v>
      </c>
    </row>
    <row r="1541" spans="1:18" ht="13.8" outlineLevel="2" x14ac:dyDescent="0.25">
      <c r="A1541">
        <v>60325</v>
      </c>
      <c r="B1541" t="s">
        <v>1524</v>
      </c>
      <c r="C1541" t="s">
        <v>1839</v>
      </c>
      <c r="D1541" s="14" t="s">
        <v>1840</v>
      </c>
      <c r="E1541" s="12" t="s">
        <v>28</v>
      </c>
      <c r="F1541" s="13" t="s">
        <v>29</v>
      </c>
      <c r="G1541">
        <v>1</v>
      </c>
      <c r="H1541" t="s">
        <v>30</v>
      </c>
      <c r="I1541">
        <v>1</v>
      </c>
      <c r="J1541" s="15"/>
      <c r="K1541" s="16">
        <f>1532.34 - (1532.34 * $E$1)</f>
        <v>1532.34</v>
      </c>
      <c r="L1541" s="16">
        <f>1256.02 - (1256.02 * $E$1)</f>
        <v>1256.02</v>
      </c>
      <c r="M1541" s="1">
        <v>1532.34</v>
      </c>
      <c r="N1541" s="1">
        <v>1256.02</v>
      </c>
      <c r="O1541" s="1">
        <v>1302.49</v>
      </c>
      <c r="P1541" s="1">
        <v>1067.6199999999999</v>
      </c>
      <c r="Q1541">
        <v>0.32</v>
      </c>
      <c r="R1541">
        <v>9.2800000000000001E-4</v>
      </c>
    </row>
    <row r="1542" spans="1:18" ht="13.8" outlineLevel="2" x14ac:dyDescent="0.25">
      <c r="A1542">
        <v>60327</v>
      </c>
      <c r="B1542" t="s">
        <v>1524</v>
      </c>
      <c r="C1542" t="s">
        <v>1841</v>
      </c>
      <c r="D1542" s="14" t="s">
        <v>1840</v>
      </c>
      <c r="E1542" s="12" t="s">
        <v>28</v>
      </c>
      <c r="F1542" s="13" t="s">
        <v>29</v>
      </c>
      <c r="G1542">
        <v>1</v>
      </c>
      <c r="H1542" t="s">
        <v>30</v>
      </c>
      <c r="I1542">
        <v>1</v>
      </c>
      <c r="J1542" s="15"/>
      <c r="K1542" s="16">
        <f>1929.45 - (1929.45 * $E$1)</f>
        <v>1929.45</v>
      </c>
      <c r="L1542" s="16">
        <f>1581.52 - (1581.52 * $E$1)</f>
        <v>1581.52</v>
      </c>
      <c r="M1542" s="1">
        <v>1929.45</v>
      </c>
      <c r="N1542" s="1">
        <v>1581.52</v>
      </c>
      <c r="O1542" s="1">
        <v>1640.04</v>
      </c>
      <c r="P1542" s="1">
        <v>1344.29</v>
      </c>
      <c r="Q1542">
        <v>0.39</v>
      </c>
      <c r="R1542">
        <v>1.248E-3</v>
      </c>
    </row>
    <row r="1543" spans="1:18" ht="13.8" outlineLevel="2" x14ac:dyDescent="0.25">
      <c r="A1543">
        <v>60329</v>
      </c>
      <c r="B1543" t="s">
        <v>1524</v>
      </c>
      <c r="C1543" t="s">
        <v>1842</v>
      </c>
      <c r="D1543" s="14" t="s">
        <v>1840</v>
      </c>
      <c r="E1543" s="12" t="s">
        <v>28</v>
      </c>
      <c r="F1543" s="13" t="s">
        <v>29</v>
      </c>
      <c r="G1543">
        <v>1</v>
      </c>
      <c r="H1543" t="s">
        <v>30</v>
      </c>
      <c r="I1543">
        <v>1</v>
      </c>
      <c r="J1543" s="15"/>
      <c r="K1543" s="16">
        <f>2226.3 - (2226.3 * $E$1)</f>
        <v>2226.3000000000002</v>
      </c>
      <c r="L1543" s="16">
        <f>1824.84 - (1824.84 * $E$1)</f>
        <v>1824.84</v>
      </c>
      <c r="M1543" s="1">
        <v>2226.3000000000002</v>
      </c>
      <c r="N1543" s="1">
        <v>1824.84</v>
      </c>
      <c r="O1543" s="1">
        <v>1892.36</v>
      </c>
      <c r="P1543" s="1">
        <v>1551.11</v>
      </c>
      <c r="Q1543">
        <v>0.5</v>
      </c>
      <c r="R1543">
        <v>2.0799999999999998E-3</v>
      </c>
    </row>
    <row r="1544" spans="1:18" ht="13.8" outlineLevel="2" x14ac:dyDescent="0.25">
      <c r="A1544">
        <v>60331</v>
      </c>
      <c r="B1544" t="s">
        <v>1524</v>
      </c>
      <c r="C1544" t="s">
        <v>1843</v>
      </c>
      <c r="D1544" s="14" t="s">
        <v>1840</v>
      </c>
      <c r="E1544" s="12" t="s">
        <v>28</v>
      </c>
      <c r="F1544" s="13" t="s">
        <v>29</v>
      </c>
      <c r="G1544">
        <v>1</v>
      </c>
      <c r="H1544" t="s">
        <v>30</v>
      </c>
      <c r="I1544">
        <v>1</v>
      </c>
      <c r="J1544" s="15"/>
      <c r="K1544" s="16">
        <f>2908.43 - (2908.43 * $E$1)</f>
        <v>2908.43</v>
      </c>
      <c r="L1544" s="16">
        <f>2383.96 - (2383.96 * $E$1)</f>
        <v>2383.96</v>
      </c>
      <c r="M1544" s="1">
        <v>2908.43</v>
      </c>
      <c r="N1544" s="1">
        <v>2383.96</v>
      </c>
      <c r="O1544" s="1">
        <v>2472.17</v>
      </c>
      <c r="P1544" s="1">
        <v>2026.37</v>
      </c>
      <c r="Q1544">
        <v>0.61</v>
      </c>
      <c r="R1544">
        <v>2.0799999999999998E-3</v>
      </c>
    </row>
    <row r="1545" spans="1:18" ht="13.8" outlineLevel="2" x14ac:dyDescent="0.25">
      <c r="A1545">
        <v>60326</v>
      </c>
      <c r="B1545" t="s">
        <v>1524</v>
      </c>
      <c r="C1545" t="s">
        <v>1844</v>
      </c>
      <c r="D1545" s="14" t="s">
        <v>1840</v>
      </c>
      <c r="E1545" s="12" t="s">
        <v>28</v>
      </c>
      <c r="F1545" s="13" t="s">
        <v>29</v>
      </c>
      <c r="G1545">
        <v>1</v>
      </c>
      <c r="H1545" t="s">
        <v>30</v>
      </c>
      <c r="I1545">
        <v>1</v>
      </c>
      <c r="J1545" s="15"/>
      <c r="K1545" s="16">
        <f>2574.27 - (2574.27 * $E$1)</f>
        <v>2574.27</v>
      </c>
      <c r="L1545" s="16">
        <f>2110.06 - (2110.06 * $E$1)</f>
        <v>2110.06</v>
      </c>
      <c r="M1545" s="1">
        <v>2574.27</v>
      </c>
      <c r="N1545" s="1">
        <v>2110.06</v>
      </c>
      <c r="O1545" s="1">
        <v>2188.13</v>
      </c>
      <c r="P1545" s="1">
        <v>1793.55</v>
      </c>
      <c r="Q1545">
        <v>0.38</v>
      </c>
      <c r="R1545">
        <v>9.2800000000000001E-4</v>
      </c>
    </row>
    <row r="1546" spans="1:18" ht="13.8" outlineLevel="2" x14ac:dyDescent="0.25">
      <c r="A1546">
        <v>60328</v>
      </c>
      <c r="B1546" t="s">
        <v>1524</v>
      </c>
      <c r="C1546" t="s">
        <v>1845</v>
      </c>
      <c r="D1546" s="14" t="s">
        <v>1840</v>
      </c>
      <c r="E1546" s="12" t="s">
        <v>28</v>
      </c>
      <c r="F1546" s="13" t="s">
        <v>29</v>
      </c>
      <c r="G1546">
        <v>1</v>
      </c>
      <c r="H1546" t="s">
        <v>30</v>
      </c>
      <c r="I1546">
        <v>1</v>
      </c>
      <c r="J1546" s="15"/>
      <c r="K1546" s="16">
        <f>3950.97 - (3950.97 * $E$1)</f>
        <v>3950.97</v>
      </c>
      <c r="L1546" s="16">
        <f>3238.5 - (3238.5 * $E$1)</f>
        <v>3238.5</v>
      </c>
      <c r="M1546" s="1">
        <v>3950.97</v>
      </c>
      <c r="N1546" s="1">
        <v>3238.5</v>
      </c>
      <c r="O1546" s="1">
        <v>3358.32</v>
      </c>
      <c r="P1546" s="1">
        <v>2752.73</v>
      </c>
      <c r="Q1546">
        <v>0.53</v>
      </c>
      <c r="R1546">
        <v>1.248E-3</v>
      </c>
    </row>
    <row r="1547" spans="1:18" ht="13.8" outlineLevel="2" x14ac:dyDescent="0.25">
      <c r="A1547">
        <v>60330</v>
      </c>
      <c r="B1547" t="s">
        <v>1524</v>
      </c>
      <c r="C1547" t="s">
        <v>1846</v>
      </c>
      <c r="D1547" s="14" t="s">
        <v>1840</v>
      </c>
      <c r="E1547" s="12" t="s">
        <v>28</v>
      </c>
      <c r="F1547" s="13" t="s">
        <v>29</v>
      </c>
      <c r="G1547">
        <v>1</v>
      </c>
      <c r="H1547" t="s">
        <v>30</v>
      </c>
      <c r="I1547">
        <v>1</v>
      </c>
      <c r="J1547" s="15"/>
      <c r="K1547" s="16">
        <f>5051.12 - (5051.12 * $E$1)</f>
        <v>5051.12</v>
      </c>
      <c r="L1547" s="16">
        <f>4140.26 - (4140.26 * $E$1)</f>
        <v>4140.26</v>
      </c>
      <c r="M1547" s="1">
        <v>5051.12</v>
      </c>
      <c r="N1547" s="1">
        <v>4140.26</v>
      </c>
      <c r="O1547" s="1">
        <v>4293.45</v>
      </c>
      <c r="P1547" s="1">
        <v>3519.22</v>
      </c>
      <c r="Q1547">
        <v>0.77</v>
      </c>
      <c r="R1547">
        <v>7.5649999999999997E-3</v>
      </c>
    </row>
    <row r="1548" spans="1:18" ht="13.8" outlineLevel="2" x14ac:dyDescent="0.25">
      <c r="A1548">
        <v>60332</v>
      </c>
      <c r="B1548" t="s">
        <v>1524</v>
      </c>
      <c r="C1548" t="s">
        <v>1847</v>
      </c>
      <c r="D1548" s="14" t="s">
        <v>1840</v>
      </c>
      <c r="E1548" s="12" t="s">
        <v>28</v>
      </c>
      <c r="F1548" s="13" t="s">
        <v>29</v>
      </c>
      <c r="G1548">
        <v>1</v>
      </c>
      <c r="H1548" t="s">
        <v>30</v>
      </c>
      <c r="I1548">
        <v>1</v>
      </c>
      <c r="J1548" s="15"/>
      <c r="K1548" s="16">
        <f>9074.62 - (9074.62 * $E$1)</f>
        <v>9074.6200000000008</v>
      </c>
      <c r="L1548" s="16">
        <f>7438.21 - (7438.21 * $E$1)</f>
        <v>7438.21</v>
      </c>
      <c r="M1548" s="1">
        <v>9074.6200000000008</v>
      </c>
      <c r="N1548" s="1">
        <v>7438.21</v>
      </c>
      <c r="O1548" s="1">
        <v>7713.42</v>
      </c>
      <c r="P1548" s="1">
        <v>6322.48</v>
      </c>
      <c r="Q1548">
        <v>1.41</v>
      </c>
      <c r="R1548">
        <v>2.0799999999999998E-3</v>
      </c>
    </row>
    <row r="1549" spans="1:18" ht="13.8" outlineLevel="2" x14ac:dyDescent="0.25">
      <c r="A1549">
        <v>60334</v>
      </c>
      <c r="B1549" t="s">
        <v>1524</v>
      </c>
      <c r="C1549" t="s">
        <v>1848</v>
      </c>
      <c r="D1549" s="14" t="s">
        <v>1840</v>
      </c>
      <c r="E1549" s="12" t="s">
        <v>28</v>
      </c>
      <c r="F1549" s="13" t="s">
        <v>29</v>
      </c>
      <c r="G1549">
        <v>1</v>
      </c>
      <c r="H1549" t="s">
        <v>30</v>
      </c>
      <c r="I1549">
        <v>1</v>
      </c>
      <c r="J1549" s="15"/>
      <c r="K1549" s="16">
        <f>2042.44 - (2042.44 * $E$1)</f>
        <v>2042.44</v>
      </c>
      <c r="L1549" s="16">
        <f>1674.13 - (1674.13 * $E$1)</f>
        <v>1674.13</v>
      </c>
      <c r="M1549" s="1">
        <v>2042.44</v>
      </c>
      <c r="N1549" s="1">
        <v>1674.13</v>
      </c>
      <c r="O1549" s="1">
        <v>1736.07</v>
      </c>
      <c r="P1549" s="1">
        <v>1423.01</v>
      </c>
      <c r="Q1549">
        <v>0.3</v>
      </c>
      <c r="R1549">
        <v>9.2800000000000001E-4</v>
      </c>
    </row>
    <row r="1550" spans="1:18" ht="13.8" outlineLevel="2" x14ac:dyDescent="0.25">
      <c r="A1550">
        <v>60336</v>
      </c>
      <c r="B1550" t="s">
        <v>1524</v>
      </c>
      <c r="C1550" t="s">
        <v>1849</v>
      </c>
      <c r="D1550" s="14" t="s">
        <v>1840</v>
      </c>
      <c r="E1550" s="12" t="s">
        <v>28</v>
      </c>
      <c r="F1550" s="13" t="s">
        <v>29</v>
      </c>
      <c r="G1550">
        <v>1</v>
      </c>
      <c r="H1550" t="s">
        <v>30</v>
      </c>
      <c r="I1550">
        <v>1</v>
      </c>
      <c r="J1550" s="15"/>
      <c r="K1550" s="16">
        <f>2613.59 - (2613.59 * $E$1)</f>
        <v>2613.59</v>
      </c>
      <c r="L1550" s="16">
        <f>2142.29 - (2142.29 * $E$1)</f>
        <v>2142.29</v>
      </c>
      <c r="M1550" s="1">
        <v>2613.59</v>
      </c>
      <c r="N1550" s="1">
        <v>2142.29</v>
      </c>
      <c r="O1550" s="1">
        <v>2221.5500000000002</v>
      </c>
      <c r="P1550" s="1">
        <v>1820.95</v>
      </c>
      <c r="Q1550">
        <v>0.45</v>
      </c>
      <c r="R1550">
        <v>1.248E-3</v>
      </c>
    </row>
    <row r="1551" spans="1:18" ht="13.8" outlineLevel="2" x14ac:dyDescent="0.25">
      <c r="A1551">
        <v>60338</v>
      </c>
      <c r="B1551" t="s">
        <v>1524</v>
      </c>
      <c r="C1551" t="s">
        <v>1850</v>
      </c>
      <c r="D1551" s="14" t="s">
        <v>1840</v>
      </c>
      <c r="E1551" s="12" t="s">
        <v>28</v>
      </c>
      <c r="F1551" s="13" t="s">
        <v>29</v>
      </c>
      <c r="G1551">
        <v>1</v>
      </c>
      <c r="H1551" t="s">
        <v>30</v>
      </c>
      <c r="I1551">
        <v>1</v>
      </c>
      <c r="J1551" s="15"/>
      <c r="K1551" s="16">
        <f>2930.46 - (2930.46 * $E$1)</f>
        <v>2930.46</v>
      </c>
      <c r="L1551" s="16">
        <f>2402.02 - (2402.02 * $E$1)</f>
        <v>2402.02</v>
      </c>
      <c r="M1551" s="1">
        <v>2930.46</v>
      </c>
      <c r="N1551" s="1">
        <v>2402.02</v>
      </c>
      <c r="O1551" s="1">
        <v>2490.89</v>
      </c>
      <c r="P1551" s="1">
        <v>2041.72</v>
      </c>
      <c r="Q1551">
        <v>0.71</v>
      </c>
      <c r="R1551">
        <v>2.0799999999999998E-3</v>
      </c>
    </row>
    <row r="1552" spans="1:18" ht="13.8" outlineLevel="2" x14ac:dyDescent="0.25">
      <c r="A1552">
        <v>60340</v>
      </c>
      <c r="B1552" t="s">
        <v>1524</v>
      </c>
      <c r="C1552" t="s">
        <v>1851</v>
      </c>
      <c r="D1552" s="14" t="s">
        <v>1840</v>
      </c>
      <c r="E1552" s="12" t="s">
        <v>28</v>
      </c>
      <c r="F1552" s="13" t="s">
        <v>29</v>
      </c>
      <c r="G1552">
        <v>1</v>
      </c>
      <c r="H1552" t="s">
        <v>30</v>
      </c>
      <c r="I1552">
        <v>1</v>
      </c>
      <c r="J1552" s="15"/>
      <c r="K1552" s="16">
        <f>3893.65 - (3893.65 * $E$1)</f>
        <v>3893.65</v>
      </c>
      <c r="L1552" s="16">
        <f>3191.52 - (3191.52 * $E$1)</f>
        <v>3191.52</v>
      </c>
      <c r="M1552" s="1">
        <v>3893.65</v>
      </c>
      <c r="N1552" s="1">
        <v>3191.52</v>
      </c>
      <c r="O1552" s="1">
        <v>3309.61</v>
      </c>
      <c r="P1552" s="1">
        <v>2712.79</v>
      </c>
      <c r="Q1552">
        <v>1</v>
      </c>
      <c r="R1552">
        <v>2.0799999999999998E-3</v>
      </c>
    </row>
    <row r="1553" spans="1:18" ht="13.8" outlineLevel="2" x14ac:dyDescent="0.25">
      <c r="A1553">
        <v>60335</v>
      </c>
      <c r="B1553" t="s">
        <v>1524</v>
      </c>
      <c r="C1553" t="s">
        <v>1852</v>
      </c>
      <c r="D1553" s="14" t="s">
        <v>1840</v>
      </c>
      <c r="E1553" s="12" t="s">
        <v>28</v>
      </c>
      <c r="F1553" s="13" t="s">
        <v>29</v>
      </c>
      <c r="G1553">
        <v>1</v>
      </c>
      <c r="H1553" t="s">
        <v>30</v>
      </c>
      <c r="I1553">
        <v>1</v>
      </c>
      <c r="J1553" s="15"/>
      <c r="K1553" s="16">
        <f>3150.2 - (3150.2 * $E$1)</f>
        <v>3150.2</v>
      </c>
      <c r="L1553" s="16">
        <f>2582.13 - (2582.13 * $E$1)</f>
        <v>2582.13</v>
      </c>
      <c r="M1553" s="1">
        <v>3150.2</v>
      </c>
      <c r="N1553" s="1">
        <v>2582.13</v>
      </c>
      <c r="O1553" s="1">
        <v>2677.67</v>
      </c>
      <c r="P1553" s="1">
        <v>2194.81</v>
      </c>
      <c r="Q1553">
        <v>0.35</v>
      </c>
      <c r="R1553">
        <v>9.2800000000000001E-4</v>
      </c>
    </row>
    <row r="1554" spans="1:18" ht="13.8" outlineLevel="2" x14ac:dyDescent="0.25">
      <c r="A1554">
        <v>60337</v>
      </c>
      <c r="B1554" t="s">
        <v>1524</v>
      </c>
      <c r="C1554" t="s">
        <v>1853</v>
      </c>
      <c r="D1554" s="14" t="s">
        <v>1840</v>
      </c>
      <c r="E1554" s="12" t="s">
        <v>28</v>
      </c>
      <c r="F1554" s="13" t="s">
        <v>29</v>
      </c>
      <c r="G1554">
        <v>1</v>
      </c>
      <c r="H1554" t="s">
        <v>30</v>
      </c>
      <c r="I1554">
        <v>1</v>
      </c>
      <c r="J1554" s="15"/>
      <c r="K1554" s="16">
        <f>4688.66 - (4688.66 * $E$1)</f>
        <v>4688.66</v>
      </c>
      <c r="L1554" s="16">
        <f>3843.16 - (3843.16 * $E$1)</f>
        <v>3843.16</v>
      </c>
      <c r="M1554" s="1">
        <v>4688.66</v>
      </c>
      <c r="N1554" s="1">
        <v>3843.16</v>
      </c>
      <c r="O1554" s="1">
        <v>3985.36</v>
      </c>
      <c r="P1554" s="1">
        <v>3266.69</v>
      </c>
      <c r="Q1554">
        <v>0.52</v>
      </c>
      <c r="R1554">
        <v>6.6E-3</v>
      </c>
    </row>
    <row r="1555" spans="1:18" ht="13.8" outlineLevel="2" x14ac:dyDescent="0.25">
      <c r="A1555">
        <v>60339</v>
      </c>
      <c r="B1555" t="s">
        <v>1524</v>
      </c>
      <c r="C1555" t="s">
        <v>1854</v>
      </c>
      <c r="D1555" s="14" t="s">
        <v>1840</v>
      </c>
      <c r="E1555" s="12" t="s">
        <v>28</v>
      </c>
      <c r="F1555" s="13" t="s">
        <v>29</v>
      </c>
      <c r="G1555">
        <v>1</v>
      </c>
      <c r="H1555" t="s">
        <v>30</v>
      </c>
      <c r="I1555">
        <v>1</v>
      </c>
      <c r="J1555" s="15"/>
      <c r="K1555" s="16">
        <f>5623.26 - (5623.26 * $E$1)</f>
        <v>5623.26</v>
      </c>
      <c r="L1555" s="16">
        <f>4609.23 - (4609.23 * $E$1)</f>
        <v>4609.2299999999996</v>
      </c>
      <c r="M1555" s="1">
        <v>5623.26</v>
      </c>
      <c r="N1555" s="1">
        <v>4609.2299999999996</v>
      </c>
      <c r="O1555" s="1">
        <v>4779.7700000000004</v>
      </c>
      <c r="P1555" s="1">
        <v>3917.85</v>
      </c>
      <c r="Q1555">
        <v>0.85</v>
      </c>
      <c r="R1555">
        <v>9.1000000000000004E-3</v>
      </c>
    </row>
    <row r="1556" spans="1:18" ht="13.8" outlineLevel="2" x14ac:dyDescent="0.25">
      <c r="A1556">
        <v>60341</v>
      </c>
      <c r="B1556" t="s">
        <v>1524</v>
      </c>
      <c r="C1556" t="s">
        <v>1855</v>
      </c>
      <c r="D1556" s="14" t="s">
        <v>1840</v>
      </c>
      <c r="E1556" s="12" t="s">
        <v>28</v>
      </c>
      <c r="F1556" s="13" t="s">
        <v>29</v>
      </c>
      <c r="G1556">
        <v>1</v>
      </c>
      <c r="H1556" t="s">
        <v>30</v>
      </c>
      <c r="I1556">
        <v>1</v>
      </c>
      <c r="J1556" s="15"/>
      <c r="K1556" s="16">
        <f>9951.88 - (9951.88 * $E$1)</f>
        <v>9951.8799999999992</v>
      </c>
      <c r="L1556" s="16">
        <f>8157.28 - (8157.28 * $E$1)</f>
        <v>8157.28</v>
      </c>
      <c r="M1556" s="1">
        <v>9951.8799999999992</v>
      </c>
      <c r="N1556" s="1">
        <v>8157.28</v>
      </c>
      <c r="O1556" s="1">
        <v>8459.1</v>
      </c>
      <c r="P1556" s="1">
        <v>6933.69</v>
      </c>
      <c r="Q1556">
        <v>1.86</v>
      </c>
      <c r="R1556">
        <v>2.0799999999999998E-3</v>
      </c>
    </row>
    <row r="1557" spans="1:18" ht="13.8" outlineLevel="2" x14ac:dyDescent="0.25">
      <c r="A1557">
        <v>82599</v>
      </c>
      <c r="B1557" t="s">
        <v>1524</v>
      </c>
      <c r="C1557" t="s">
        <v>1856</v>
      </c>
      <c r="D1557" s="14" t="s">
        <v>1857</v>
      </c>
      <c r="E1557" s="12" t="s">
        <v>28</v>
      </c>
      <c r="F1557" s="13" t="s">
        <v>29</v>
      </c>
      <c r="G1557">
        <v>1</v>
      </c>
      <c r="H1557" t="s">
        <v>30</v>
      </c>
      <c r="I1557">
        <v>1</v>
      </c>
      <c r="J1557" s="15"/>
      <c r="K1557" s="16">
        <f>643.78 - (643.78 * $E$1)</f>
        <v>643.78</v>
      </c>
      <c r="L1557" s="16">
        <f>527.69 - (527.69 * $E$1)</f>
        <v>527.69000000000005</v>
      </c>
      <c r="M1557" s="1">
        <v>643.78</v>
      </c>
      <c r="N1557" s="1">
        <v>527.69000000000005</v>
      </c>
      <c r="O1557" s="1">
        <v>547.21</v>
      </c>
      <c r="P1557" s="1">
        <v>448.54</v>
      </c>
      <c r="Q1557">
        <v>6.2E-2</v>
      </c>
      <c r="R1557">
        <v>4.8000000000000001E-4</v>
      </c>
    </row>
    <row r="1558" spans="1:18" ht="13.8" outlineLevel="2" x14ac:dyDescent="0.25">
      <c r="A1558">
        <v>82600</v>
      </c>
      <c r="B1558" t="s">
        <v>1524</v>
      </c>
      <c r="C1558" t="s">
        <v>1858</v>
      </c>
      <c r="D1558" s="14" t="s">
        <v>1857</v>
      </c>
      <c r="E1558" s="12" t="s">
        <v>28</v>
      </c>
      <c r="F1558" s="13" t="s">
        <v>29</v>
      </c>
      <c r="G1558">
        <v>1</v>
      </c>
      <c r="H1558" t="s">
        <v>30</v>
      </c>
      <c r="I1558">
        <v>1</v>
      </c>
      <c r="J1558" s="15"/>
      <c r="K1558" s="16">
        <f>665.64 - (665.64 * $E$1)</f>
        <v>665.64</v>
      </c>
      <c r="L1558" s="16">
        <f>545.61 - (545.61 * $E$1)</f>
        <v>545.61</v>
      </c>
      <c r="M1558" s="1">
        <v>665.64</v>
      </c>
      <c r="N1558" s="1">
        <v>545.61</v>
      </c>
      <c r="O1558" s="1">
        <v>565.79999999999995</v>
      </c>
      <c r="P1558" s="1">
        <v>463.77</v>
      </c>
      <c r="Q1558">
        <v>7.0000000000000007E-2</v>
      </c>
      <c r="R1558">
        <v>3.0400000000000002E-4</v>
      </c>
    </row>
    <row r="1559" spans="1:18" ht="13.8" outlineLevel="2" x14ac:dyDescent="0.25">
      <c r="A1559">
        <v>82601</v>
      </c>
      <c r="B1559" t="s">
        <v>1524</v>
      </c>
      <c r="C1559" t="s">
        <v>1859</v>
      </c>
      <c r="D1559" s="14" t="s">
        <v>1857</v>
      </c>
      <c r="E1559" s="12" t="s">
        <v>28</v>
      </c>
      <c r="F1559" s="13" t="s">
        <v>29</v>
      </c>
      <c r="G1559">
        <v>1</v>
      </c>
      <c r="H1559" t="s">
        <v>30</v>
      </c>
      <c r="I1559">
        <v>1</v>
      </c>
      <c r="J1559" s="15"/>
      <c r="K1559" s="16">
        <f>677.27 - (677.27 * $E$1)</f>
        <v>677.27</v>
      </c>
      <c r="L1559" s="16">
        <f>555.14 - (555.14 * $E$1)</f>
        <v>555.14</v>
      </c>
      <c r="M1559" s="1">
        <v>677.27</v>
      </c>
      <c r="N1559" s="1">
        <v>555.14</v>
      </c>
      <c r="O1559" s="1">
        <v>575.67999999999995</v>
      </c>
      <c r="P1559" s="1">
        <v>471.87</v>
      </c>
      <c r="Q1559">
        <v>7.0000000000000007E-2</v>
      </c>
      <c r="R1559">
        <v>3.0400000000000002E-4</v>
      </c>
    </row>
    <row r="1560" spans="1:18" ht="13.8" outlineLevel="2" x14ac:dyDescent="0.25">
      <c r="A1560">
        <v>72898</v>
      </c>
      <c r="B1560" t="s">
        <v>1524</v>
      </c>
      <c r="C1560" t="s">
        <v>1860</v>
      </c>
      <c r="D1560" s="14" t="s">
        <v>1861</v>
      </c>
      <c r="E1560" s="12" t="s">
        <v>28</v>
      </c>
      <c r="F1560" s="13" t="s">
        <v>29</v>
      </c>
      <c r="G1560">
        <v>1</v>
      </c>
      <c r="H1560" t="s">
        <v>30</v>
      </c>
      <c r="I1560">
        <v>1</v>
      </c>
      <c r="J1560" s="15"/>
      <c r="K1560" s="16">
        <f>2117.97 - (2117.97 * $E$1)</f>
        <v>2117.9699999999998</v>
      </c>
      <c r="L1560" s="16">
        <f>1736.04 - (1736.04 * $E$1)</f>
        <v>1736.04</v>
      </c>
      <c r="M1560" s="1">
        <v>2117.9699999999998</v>
      </c>
      <c r="N1560" s="1">
        <v>1736.04</v>
      </c>
      <c r="O1560" s="1">
        <v>1800.27</v>
      </c>
      <c r="P1560" s="1">
        <v>1475.63</v>
      </c>
      <c r="Q1560">
        <v>0.28999999999999998</v>
      </c>
      <c r="R1560">
        <v>9.2800000000000001E-4</v>
      </c>
    </row>
    <row r="1561" spans="1:18" ht="13.8" outlineLevel="2" x14ac:dyDescent="0.25">
      <c r="A1561">
        <v>72900</v>
      </c>
      <c r="B1561" t="s">
        <v>1524</v>
      </c>
      <c r="C1561" t="s">
        <v>1862</v>
      </c>
      <c r="D1561" s="14" t="s">
        <v>1861</v>
      </c>
      <c r="E1561" s="12" t="s">
        <v>28</v>
      </c>
      <c r="F1561" s="13" t="s">
        <v>29</v>
      </c>
      <c r="G1561">
        <v>1</v>
      </c>
      <c r="H1561" t="s">
        <v>30</v>
      </c>
      <c r="I1561">
        <v>1</v>
      </c>
      <c r="J1561" s="15"/>
      <c r="K1561" s="16">
        <f>2516.42 - (2516.42 * $E$1)</f>
        <v>2516.42</v>
      </c>
      <c r="L1561" s="16">
        <f>2062.64 - (2062.64 * $E$1)</f>
        <v>2062.64</v>
      </c>
      <c r="M1561" s="1">
        <v>2516.42</v>
      </c>
      <c r="N1561" s="1">
        <v>2062.64</v>
      </c>
      <c r="O1561" s="1">
        <v>2138.96</v>
      </c>
      <c r="P1561" s="1">
        <v>1753.24</v>
      </c>
      <c r="Q1561">
        <v>0.39</v>
      </c>
      <c r="R1561">
        <v>2.0799999999999998E-3</v>
      </c>
    </row>
    <row r="1562" spans="1:18" ht="13.8" outlineLevel="2" x14ac:dyDescent="0.25">
      <c r="A1562">
        <v>72902</v>
      </c>
      <c r="B1562" t="s">
        <v>1524</v>
      </c>
      <c r="C1562" t="s">
        <v>1863</v>
      </c>
      <c r="D1562" s="14" t="s">
        <v>1861</v>
      </c>
      <c r="E1562" s="12" t="s">
        <v>28</v>
      </c>
      <c r="F1562" s="13" t="s">
        <v>29</v>
      </c>
      <c r="G1562">
        <v>1</v>
      </c>
      <c r="H1562" t="s">
        <v>30</v>
      </c>
      <c r="I1562">
        <v>1</v>
      </c>
      <c r="J1562" s="15"/>
      <c r="K1562" s="16">
        <f>2989.76 - (2989.76 * $E$1)</f>
        <v>2989.76</v>
      </c>
      <c r="L1562" s="16">
        <f>2450.62 - (2450.62 * $E$1)</f>
        <v>2450.62</v>
      </c>
      <c r="M1562" s="1">
        <v>2989.76</v>
      </c>
      <c r="N1562" s="1">
        <v>2450.62</v>
      </c>
      <c r="O1562" s="1">
        <v>2541.29</v>
      </c>
      <c r="P1562" s="1">
        <v>2083.0300000000002</v>
      </c>
      <c r="Q1562">
        <v>0.49</v>
      </c>
      <c r="R1562">
        <v>1.32E-2</v>
      </c>
    </row>
    <row r="1563" spans="1:18" ht="13.8" outlineLevel="2" x14ac:dyDescent="0.25">
      <c r="A1563">
        <v>72899</v>
      </c>
      <c r="B1563" t="s">
        <v>1524</v>
      </c>
      <c r="C1563" t="s">
        <v>1864</v>
      </c>
      <c r="D1563" s="14" t="s">
        <v>1861</v>
      </c>
      <c r="E1563" s="12" t="s">
        <v>28</v>
      </c>
      <c r="F1563" s="13" t="s">
        <v>29</v>
      </c>
      <c r="G1563">
        <v>1</v>
      </c>
      <c r="H1563" t="s">
        <v>30</v>
      </c>
      <c r="I1563">
        <v>1</v>
      </c>
      <c r="J1563" s="15"/>
      <c r="K1563" s="16">
        <f>3525.56 - (3525.56 * $E$1)</f>
        <v>3525.56</v>
      </c>
      <c r="L1563" s="16">
        <f>2889.8 - (2889.8 * $E$1)</f>
        <v>2889.8</v>
      </c>
      <c r="M1563" s="1">
        <v>3525.56</v>
      </c>
      <c r="N1563" s="1">
        <v>2889.8</v>
      </c>
      <c r="O1563" s="1">
        <v>2996.72</v>
      </c>
      <c r="P1563" s="1">
        <v>2456.33</v>
      </c>
      <c r="Q1563">
        <v>0.33</v>
      </c>
      <c r="R1563">
        <v>9.2800000000000001E-4</v>
      </c>
    </row>
    <row r="1564" spans="1:18" ht="13.8" outlineLevel="2" x14ac:dyDescent="0.25">
      <c r="A1564">
        <v>72901</v>
      </c>
      <c r="B1564" t="s">
        <v>1524</v>
      </c>
      <c r="C1564" t="s">
        <v>1865</v>
      </c>
      <c r="D1564" s="14" t="s">
        <v>1861</v>
      </c>
      <c r="E1564" s="12" t="s">
        <v>28</v>
      </c>
      <c r="F1564" s="13" t="s">
        <v>29</v>
      </c>
      <c r="G1564">
        <v>1</v>
      </c>
      <c r="H1564" t="s">
        <v>30</v>
      </c>
      <c r="I1564">
        <v>1</v>
      </c>
      <c r="J1564" s="15"/>
      <c r="K1564" s="16">
        <f>4249.52 - (4249.52 * $E$1)</f>
        <v>4249.5200000000004</v>
      </c>
      <c r="L1564" s="16">
        <f>3483.21 - (3483.21 * $E$1)</f>
        <v>3483.21</v>
      </c>
      <c r="M1564" s="1">
        <v>4249.5200000000004</v>
      </c>
      <c r="N1564" s="1">
        <v>3483.21</v>
      </c>
      <c r="O1564" s="1">
        <v>3612.09</v>
      </c>
      <c r="P1564" s="1">
        <v>2960.73</v>
      </c>
      <c r="Q1564">
        <v>0.52</v>
      </c>
      <c r="R1564">
        <v>2.0799999999999998E-3</v>
      </c>
    </row>
    <row r="1565" spans="1:18" ht="13.8" outlineLevel="2" x14ac:dyDescent="0.25">
      <c r="A1565">
        <v>72903</v>
      </c>
      <c r="B1565" t="s">
        <v>1524</v>
      </c>
      <c r="C1565" t="s">
        <v>1866</v>
      </c>
      <c r="D1565" s="14" t="s">
        <v>1861</v>
      </c>
      <c r="E1565" s="12" t="s">
        <v>28</v>
      </c>
      <c r="F1565" s="13" t="s">
        <v>29</v>
      </c>
      <c r="G1565">
        <v>1</v>
      </c>
      <c r="H1565" t="s">
        <v>30</v>
      </c>
      <c r="I1565">
        <v>1</v>
      </c>
      <c r="J1565" s="15"/>
      <c r="K1565" s="16">
        <f>6545.29 - (6545.29 * $E$1)</f>
        <v>6545.29</v>
      </c>
      <c r="L1565" s="16">
        <f>5364.99 - (5364.99 * $E$1)</f>
        <v>5364.99</v>
      </c>
      <c r="M1565" s="1">
        <v>6545.29</v>
      </c>
      <c r="N1565" s="1">
        <v>5364.99</v>
      </c>
      <c r="O1565" s="1">
        <v>5563.49</v>
      </c>
      <c r="P1565" s="1">
        <v>4560.24</v>
      </c>
      <c r="Q1565">
        <v>0.92</v>
      </c>
      <c r="R1565">
        <v>1.188E-2</v>
      </c>
    </row>
    <row r="1566" spans="1:18" ht="13.8" outlineLevel="2" x14ac:dyDescent="0.25">
      <c r="A1566">
        <v>68060</v>
      </c>
      <c r="B1566" t="s">
        <v>1524</v>
      </c>
      <c r="C1566" t="s">
        <v>1867</v>
      </c>
      <c r="D1566" s="14" t="s">
        <v>1868</v>
      </c>
      <c r="E1566" s="12" t="s">
        <v>28</v>
      </c>
      <c r="F1566" s="13" t="s">
        <v>29</v>
      </c>
      <c r="G1566">
        <v>1</v>
      </c>
      <c r="H1566" t="s">
        <v>30</v>
      </c>
      <c r="I1566">
        <v>1</v>
      </c>
      <c r="J1566" s="15"/>
      <c r="K1566" s="16">
        <f>702.57 - (702.57 * $E$1)</f>
        <v>702.57</v>
      </c>
      <c r="L1566" s="16">
        <f>575.88 - (575.88 * $E$1)</f>
        <v>575.88</v>
      </c>
      <c r="M1566" s="1">
        <v>702.57</v>
      </c>
      <c r="N1566" s="1">
        <v>575.88</v>
      </c>
      <c r="O1566" s="1">
        <v>597.19000000000005</v>
      </c>
      <c r="P1566" s="1">
        <v>489.5</v>
      </c>
      <c r="Q1566">
        <v>0.03</v>
      </c>
      <c r="R1566">
        <v>9.8999999999999999E-4</v>
      </c>
    </row>
    <row r="1567" spans="1:18" ht="13.8" outlineLevel="2" x14ac:dyDescent="0.25">
      <c r="A1567">
        <v>68061</v>
      </c>
      <c r="B1567" t="s">
        <v>1524</v>
      </c>
      <c r="C1567" t="s">
        <v>1869</v>
      </c>
      <c r="D1567" s="14" t="s">
        <v>1868</v>
      </c>
      <c r="E1567" s="12" t="s">
        <v>28</v>
      </c>
      <c r="F1567" s="13" t="s">
        <v>29</v>
      </c>
      <c r="G1567">
        <v>1</v>
      </c>
      <c r="H1567" t="s">
        <v>30</v>
      </c>
      <c r="I1567">
        <v>1</v>
      </c>
      <c r="J1567" s="15"/>
      <c r="K1567" s="16">
        <f>750.24 - (750.24 * $E$1)</f>
        <v>750.24</v>
      </c>
      <c r="L1567" s="16">
        <f>614.95 - (614.95 * $E$1)</f>
        <v>614.95000000000005</v>
      </c>
      <c r="M1567" s="1">
        <v>750.24</v>
      </c>
      <c r="N1567" s="1">
        <v>614.95000000000005</v>
      </c>
      <c r="O1567" s="1">
        <v>637.70000000000005</v>
      </c>
      <c r="P1567" s="1">
        <v>522.71</v>
      </c>
      <c r="Q1567">
        <v>3.5000000000000003E-2</v>
      </c>
      <c r="R1567">
        <v>1.32E-3</v>
      </c>
    </row>
    <row r="1568" spans="1:18" ht="13.8" outlineLevel="2" x14ac:dyDescent="0.25">
      <c r="A1568">
        <v>68062</v>
      </c>
      <c r="B1568" t="s">
        <v>1524</v>
      </c>
      <c r="C1568" t="s">
        <v>1870</v>
      </c>
      <c r="D1568" s="14" t="s">
        <v>1868</v>
      </c>
      <c r="E1568" s="12" t="s">
        <v>28</v>
      </c>
      <c r="F1568" s="13" t="s">
        <v>29</v>
      </c>
      <c r="G1568">
        <v>1</v>
      </c>
      <c r="H1568" t="s">
        <v>30</v>
      </c>
      <c r="I1568">
        <v>1</v>
      </c>
      <c r="J1568" s="15"/>
      <c r="K1568" s="16">
        <f>835.21 - (835.21 * $E$1)</f>
        <v>835.21</v>
      </c>
      <c r="L1568" s="16">
        <f>684.6 - (684.6 * $E$1)</f>
        <v>684.6</v>
      </c>
      <c r="M1568" s="1">
        <v>835.21</v>
      </c>
      <c r="N1568" s="1">
        <v>684.6</v>
      </c>
      <c r="O1568" s="1">
        <v>709.93</v>
      </c>
      <c r="P1568" s="1">
        <v>581.91</v>
      </c>
      <c r="Q1568">
        <v>4.4999999999999998E-2</v>
      </c>
      <c r="R1568">
        <v>1.418E-3</v>
      </c>
    </row>
    <row r="1569" spans="1:18" ht="13.8" outlineLevel="2" x14ac:dyDescent="0.25">
      <c r="A1569">
        <v>68063</v>
      </c>
      <c r="B1569" t="s">
        <v>1524</v>
      </c>
      <c r="C1569" t="s">
        <v>1871</v>
      </c>
      <c r="D1569" s="14" t="s">
        <v>1868</v>
      </c>
      <c r="E1569" s="12" t="s">
        <v>28</v>
      </c>
      <c r="F1569" s="13" t="s">
        <v>29</v>
      </c>
      <c r="G1569">
        <v>1</v>
      </c>
      <c r="H1569" t="s">
        <v>30</v>
      </c>
      <c r="I1569">
        <v>1</v>
      </c>
      <c r="J1569" s="15"/>
      <c r="K1569" s="16">
        <f>963.7 - (963.7 * $E$1)</f>
        <v>963.7</v>
      </c>
      <c r="L1569" s="16">
        <f>789.92 - (789.92 * $E$1)</f>
        <v>789.92</v>
      </c>
      <c r="M1569" s="1">
        <v>963.7</v>
      </c>
      <c r="N1569" s="1">
        <v>789.92</v>
      </c>
      <c r="O1569" s="1">
        <v>819.15</v>
      </c>
      <c r="P1569" s="1">
        <v>671.43</v>
      </c>
      <c r="Q1569">
        <v>0.04</v>
      </c>
      <c r="R1569">
        <v>1.32E-3</v>
      </c>
    </row>
    <row r="1570" spans="1:18" ht="13.8" outlineLevel="2" x14ac:dyDescent="0.25">
      <c r="A1570">
        <v>74672</v>
      </c>
      <c r="B1570" t="s">
        <v>1524</v>
      </c>
      <c r="C1570" t="s">
        <v>1872</v>
      </c>
      <c r="D1570" s="14" t="s">
        <v>1868</v>
      </c>
      <c r="E1570" s="12" t="s">
        <v>28</v>
      </c>
      <c r="F1570" s="13" t="s">
        <v>29</v>
      </c>
      <c r="G1570">
        <v>1</v>
      </c>
      <c r="H1570" t="s">
        <v>30</v>
      </c>
      <c r="I1570">
        <v>1</v>
      </c>
      <c r="J1570" s="15"/>
      <c r="K1570" s="16">
        <f>1042.56 - (1042.56 * $E$1)</f>
        <v>1042.56</v>
      </c>
      <c r="L1570" s="16">
        <f>854.56 - (854.56 * $E$1)</f>
        <v>854.56</v>
      </c>
      <c r="M1570" s="1">
        <v>1042.56</v>
      </c>
      <c r="N1570" s="1">
        <v>854.56</v>
      </c>
      <c r="O1570" s="1">
        <v>886.18</v>
      </c>
      <c r="P1570" s="1">
        <v>726.38</v>
      </c>
      <c r="Q1570">
        <v>0.06</v>
      </c>
      <c r="R1570">
        <v>9.8999999999999999E-4</v>
      </c>
    </row>
    <row r="1571" spans="1:18" ht="13.8" outlineLevel="2" x14ac:dyDescent="0.25">
      <c r="A1571">
        <v>74673</v>
      </c>
      <c r="B1571" t="s">
        <v>1524</v>
      </c>
      <c r="C1571" t="s">
        <v>1873</v>
      </c>
      <c r="D1571" s="14" t="s">
        <v>1868</v>
      </c>
      <c r="E1571" s="12" t="s">
        <v>28</v>
      </c>
      <c r="F1571" s="13" t="s">
        <v>29</v>
      </c>
      <c r="G1571">
        <v>1</v>
      </c>
      <c r="H1571" t="s">
        <v>30</v>
      </c>
      <c r="I1571">
        <v>1</v>
      </c>
      <c r="J1571" s="15"/>
      <c r="K1571" s="16">
        <f>1092.68 - (1092.68 * $E$1)</f>
        <v>1092.68</v>
      </c>
      <c r="L1571" s="16">
        <f>895.64 - (895.64 * $E$1)</f>
        <v>895.64</v>
      </c>
      <c r="M1571" s="1">
        <v>1092.68</v>
      </c>
      <c r="N1571" s="1">
        <v>895.64</v>
      </c>
      <c r="O1571" s="1">
        <v>928.78</v>
      </c>
      <c r="P1571" s="1">
        <v>761.29</v>
      </c>
      <c r="Q1571">
        <v>5.5E-2</v>
      </c>
      <c r="R1571">
        <v>1.32E-3</v>
      </c>
    </row>
    <row r="1572" spans="1:18" ht="13.8" outlineLevel="2" x14ac:dyDescent="0.25">
      <c r="A1572">
        <v>74674</v>
      </c>
      <c r="B1572" t="s">
        <v>1524</v>
      </c>
      <c r="C1572" t="s">
        <v>1874</v>
      </c>
      <c r="D1572" s="14" t="s">
        <v>1868</v>
      </c>
      <c r="E1572" s="12" t="s">
        <v>28</v>
      </c>
      <c r="F1572" s="13" t="s">
        <v>29</v>
      </c>
      <c r="G1572">
        <v>1</v>
      </c>
      <c r="H1572" t="s">
        <v>30</v>
      </c>
      <c r="I1572">
        <v>1</v>
      </c>
      <c r="J1572" s="15"/>
      <c r="K1572" s="16">
        <f>1108.87 - (1108.87 * $E$1)</f>
        <v>1108.8699999999999</v>
      </c>
      <c r="L1572" s="16">
        <f>908.91 - (908.91 * $E$1)</f>
        <v>908.91</v>
      </c>
      <c r="M1572" s="1">
        <v>1108.8699999999999</v>
      </c>
      <c r="N1572" s="1">
        <v>908.91</v>
      </c>
      <c r="O1572" s="1">
        <v>942.54</v>
      </c>
      <c r="P1572" s="1">
        <v>772.57</v>
      </c>
      <c r="Q1572">
        <v>7.0000000000000007E-2</v>
      </c>
      <c r="R1572">
        <v>1.65E-3</v>
      </c>
    </row>
    <row r="1573" spans="1:18" ht="13.8" outlineLevel="2" x14ac:dyDescent="0.25">
      <c r="A1573">
        <v>74675</v>
      </c>
      <c r="B1573" t="s">
        <v>1524</v>
      </c>
      <c r="C1573" t="s">
        <v>1875</v>
      </c>
      <c r="D1573" s="14" t="s">
        <v>1868</v>
      </c>
      <c r="E1573" s="12" t="s">
        <v>28</v>
      </c>
      <c r="F1573" s="13" t="s">
        <v>29</v>
      </c>
      <c r="G1573">
        <v>1</v>
      </c>
      <c r="H1573" t="s">
        <v>30</v>
      </c>
      <c r="I1573">
        <v>1</v>
      </c>
      <c r="J1573" s="15"/>
      <c r="K1573" s="16">
        <f>1303.67 - (1303.67 * $E$1)</f>
        <v>1303.67</v>
      </c>
      <c r="L1573" s="16">
        <f>1068.58 - (1068.58 * $E$1)</f>
        <v>1068.58</v>
      </c>
      <c r="M1573" s="1">
        <v>1303.67</v>
      </c>
      <c r="N1573" s="1">
        <v>1068.58</v>
      </c>
      <c r="O1573" s="1">
        <v>1108.1199999999999</v>
      </c>
      <c r="P1573" s="1">
        <v>908.29</v>
      </c>
      <c r="Q1573">
        <v>7.0000000000000007E-2</v>
      </c>
      <c r="R1573">
        <v>1.32E-3</v>
      </c>
    </row>
    <row r="1574" spans="1:18" ht="13.8" outlineLevel="2" x14ac:dyDescent="0.25">
      <c r="A1574">
        <v>50106</v>
      </c>
      <c r="B1574" t="s">
        <v>1594</v>
      </c>
      <c r="C1574" t="s">
        <v>1876</v>
      </c>
      <c r="D1574" s="14" t="s">
        <v>1877</v>
      </c>
      <c r="E1574" s="12" t="s">
        <v>28</v>
      </c>
      <c r="F1574" s="13" t="s">
        <v>29</v>
      </c>
      <c r="G1574">
        <v>1</v>
      </c>
      <c r="H1574" t="s">
        <v>30</v>
      </c>
      <c r="I1574">
        <v>1</v>
      </c>
      <c r="J1574" s="15"/>
      <c r="K1574" s="16">
        <f>6709.44 - (6709.44 * $E$1)</f>
        <v>6709.44</v>
      </c>
      <c r="L1574" s="16">
        <f>5499.54 - (5499.54 * $E$1)</f>
        <v>5499.54</v>
      </c>
      <c r="M1574" s="1">
        <v>6709.44</v>
      </c>
      <c r="N1574" s="1">
        <v>5499.54</v>
      </c>
      <c r="O1574" s="1">
        <v>5703.02</v>
      </c>
      <c r="P1574" s="1">
        <v>4674.6099999999997</v>
      </c>
      <c r="Q1574">
        <v>1.3</v>
      </c>
      <c r="R1574">
        <v>2.0479999999999999E-3</v>
      </c>
    </row>
    <row r="1575" spans="1:18" ht="13.8" outlineLevel="2" x14ac:dyDescent="0.25">
      <c r="A1575">
        <v>50107</v>
      </c>
      <c r="B1575" t="s">
        <v>1594</v>
      </c>
      <c r="C1575" t="s">
        <v>1878</v>
      </c>
      <c r="D1575" s="14" t="s">
        <v>1877</v>
      </c>
      <c r="E1575" s="12" t="s">
        <v>28</v>
      </c>
      <c r="F1575" s="13" t="s">
        <v>29</v>
      </c>
      <c r="G1575">
        <v>1</v>
      </c>
      <c r="H1575" t="s">
        <v>30</v>
      </c>
      <c r="I1575">
        <v>1</v>
      </c>
      <c r="J1575" s="15"/>
      <c r="K1575" s="16">
        <f>7524.94 - (7524.94 * $E$1)</f>
        <v>7524.94</v>
      </c>
      <c r="L1575" s="16">
        <f>6167.98 - (6167.98 * $E$1)</f>
        <v>6167.98</v>
      </c>
      <c r="M1575" s="1">
        <v>7524.94</v>
      </c>
      <c r="N1575" s="1">
        <v>6167.98</v>
      </c>
      <c r="O1575" s="1">
        <v>6396.2</v>
      </c>
      <c r="P1575" s="1">
        <v>5242.78</v>
      </c>
      <c r="Q1575">
        <v>1.6</v>
      </c>
      <c r="R1575">
        <v>3.3800000000000002E-3</v>
      </c>
    </row>
    <row r="1576" spans="1:18" ht="13.8" outlineLevel="2" x14ac:dyDescent="0.25">
      <c r="A1576">
        <v>50108</v>
      </c>
      <c r="B1576" t="s">
        <v>1594</v>
      </c>
      <c r="C1576" t="s">
        <v>1879</v>
      </c>
      <c r="D1576" s="14" t="s">
        <v>1877</v>
      </c>
      <c r="E1576" s="12" t="s">
        <v>28</v>
      </c>
      <c r="F1576" s="13" t="s">
        <v>29</v>
      </c>
      <c r="G1576">
        <v>1</v>
      </c>
      <c r="H1576" t="s">
        <v>30</v>
      </c>
      <c r="I1576">
        <v>1</v>
      </c>
      <c r="J1576" s="15"/>
      <c r="K1576" s="16">
        <f>8563.06 - (8563.06 * $E$1)</f>
        <v>8563.06</v>
      </c>
      <c r="L1576" s="16">
        <f>7018.9 - (7018.9 * $E$1)</f>
        <v>7018.9</v>
      </c>
      <c r="M1576" s="1">
        <v>8563.06</v>
      </c>
      <c r="N1576" s="1">
        <v>7018.9</v>
      </c>
      <c r="O1576" s="1">
        <v>7278.6</v>
      </c>
      <c r="P1576" s="1">
        <v>5966.07</v>
      </c>
      <c r="Q1576">
        <v>1.8</v>
      </c>
      <c r="R1576">
        <v>3.3800000000000002E-3</v>
      </c>
    </row>
    <row r="1577" spans="1:18" ht="13.8" outlineLevel="2" x14ac:dyDescent="0.25">
      <c r="A1577">
        <v>50111</v>
      </c>
      <c r="B1577" t="s">
        <v>1594</v>
      </c>
      <c r="C1577" t="s">
        <v>1880</v>
      </c>
      <c r="D1577" s="14" t="s">
        <v>1877</v>
      </c>
      <c r="E1577" s="12" t="s">
        <v>28</v>
      </c>
      <c r="F1577" s="13" t="s">
        <v>29</v>
      </c>
      <c r="G1577">
        <v>1</v>
      </c>
      <c r="H1577" t="s">
        <v>30</v>
      </c>
      <c r="I1577">
        <v>1</v>
      </c>
      <c r="J1577" s="15"/>
      <c r="K1577" s="16">
        <f>8910.44 - (8910.44 * $E$1)</f>
        <v>8910.44</v>
      </c>
      <c r="L1577" s="16">
        <f>7303.64 - (7303.64 * $E$1)</f>
        <v>7303.64</v>
      </c>
      <c r="M1577" s="1">
        <v>8910.44</v>
      </c>
      <c r="N1577" s="1">
        <v>7303.64</v>
      </c>
      <c r="O1577" s="1">
        <v>7573.87</v>
      </c>
      <c r="P1577" s="1">
        <v>6208.09</v>
      </c>
      <c r="Q1577">
        <v>1.5</v>
      </c>
      <c r="R1577">
        <v>2.0479999999999999E-3</v>
      </c>
    </row>
    <row r="1578" spans="1:18" ht="13.8" outlineLevel="2" x14ac:dyDescent="0.25">
      <c r="A1578">
        <v>50110</v>
      </c>
      <c r="B1578" t="s">
        <v>1594</v>
      </c>
      <c r="C1578" t="s">
        <v>1881</v>
      </c>
      <c r="D1578" s="14" t="s">
        <v>1877</v>
      </c>
      <c r="E1578" s="12" t="s">
        <v>28</v>
      </c>
      <c r="F1578" s="13" t="s">
        <v>29</v>
      </c>
      <c r="G1578">
        <v>1</v>
      </c>
      <c r="H1578" t="s">
        <v>30</v>
      </c>
      <c r="I1578">
        <v>1</v>
      </c>
      <c r="J1578" s="15"/>
      <c r="K1578" s="16">
        <f>10339.81 - (10339.81 * $E$1)</f>
        <v>10339.81</v>
      </c>
      <c r="L1578" s="16">
        <f>8475.25 - (8475.25 * $E$1)</f>
        <v>8475.25</v>
      </c>
      <c r="M1578" s="1">
        <v>10339.81</v>
      </c>
      <c r="N1578" s="1">
        <v>8475.25</v>
      </c>
      <c r="O1578" s="1">
        <v>8788.83</v>
      </c>
      <c r="P1578" s="1">
        <v>7203.96</v>
      </c>
      <c r="Q1578">
        <v>2.1</v>
      </c>
      <c r="R1578">
        <v>3.3800000000000002E-3</v>
      </c>
    </row>
    <row r="1579" spans="1:18" ht="13.8" outlineLevel="2" x14ac:dyDescent="0.25">
      <c r="A1579">
        <v>50109</v>
      </c>
      <c r="B1579" t="s">
        <v>1594</v>
      </c>
      <c r="C1579" t="s">
        <v>1882</v>
      </c>
      <c r="D1579" s="14" t="s">
        <v>1877</v>
      </c>
      <c r="E1579" s="12" t="s">
        <v>28</v>
      </c>
      <c r="F1579" s="13" t="s">
        <v>29</v>
      </c>
      <c r="G1579">
        <v>1</v>
      </c>
      <c r="H1579" t="s">
        <v>30</v>
      </c>
      <c r="I1579">
        <v>1</v>
      </c>
      <c r="J1579" s="15"/>
      <c r="K1579" s="16">
        <f>13395.47 - (13395.47 * $E$1)</f>
        <v>13395.47</v>
      </c>
      <c r="L1579" s="16">
        <f>10979.89 - (10979.89 * $E$1)</f>
        <v>10979.89</v>
      </c>
      <c r="M1579" s="1">
        <v>13395.47</v>
      </c>
      <c r="N1579" s="1">
        <v>10979.89</v>
      </c>
      <c r="O1579" s="1">
        <v>11386.15</v>
      </c>
      <c r="P1579" s="1">
        <v>9332.91</v>
      </c>
      <c r="Q1579">
        <v>2.9</v>
      </c>
      <c r="R1579">
        <v>3.3800000000000002E-3</v>
      </c>
    </row>
    <row r="1580" spans="1:18" ht="13.8" outlineLevel="2" x14ac:dyDescent="0.25">
      <c r="A1580">
        <v>88776</v>
      </c>
      <c r="B1580" t="s">
        <v>1594</v>
      </c>
      <c r="C1580" t="s">
        <v>1883</v>
      </c>
      <c r="D1580" s="14" t="s">
        <v>1884</v>
      </c>
      <c r="E1580" s="12" t="s">
        <v>28</v>
      </c>
      <c r="F1580" s="13" t="s">
        <v>29</v>
      </c>
      <c r="G1580">
        <v>1</v>
      </c>
      <c r="H1580" t="s">
        <v>30</v>
      </c>
      <c r="I1580">
        <v>1</v>
      </c>
      <c r="J1580" s="15"/>
      <c r="K1580" s="16">
        <f>7044.91 - (7044.91 * $E$1)</f>
        <v>7044.91</v>
      </c>
      <c r="L1580" s="16">
        <f>5774.52 - (5774.52 * $E$1)</f>
        <v>5774.52</v>
      </c>
      <c r="M1580" s="1">
        <v>7044.91</v>
      </c>
      <c r="N1580" s="1">
        <v>5774.52</v>
      </c>
      <c r="O1580" s="1">
        <v>5988.18</v>
      </c>
      <c r="P1580" s="1">
        <v>4908.34</v>
      </c>
      <c r="Q1580">
        <v>1.4</v>
      </c>
      <c r="R1580">
        <v>1.8720000000000001E-2</v>
      </c>
    </row>
    <row r="1581" spans="1:18" ht="13.8" outlineLevel="2" x14ac:dyDescent="0.25">
      <c r="A1581">
        <v>88777</v>
      </c>
      <c r="B1581" t="s">
        <v>1594</v>
      </c>
      <c r="C1581" t="s">
        <v>1885</v>
      </c>
      <c r="D1581" s="14" t="s">
        <v>1884</v>
      </c>
      <c r="E1581" s="12" t="s">
        <v>28</v>
      </c>
      <c r="F1581" s="13" t="s">
        <v>29</v>
      </c>
      <c r="G1581">
        <v>1</v>
      </c>
      <c r="H1581" t="s">
        <v>30</v>
      </c>
      <c r="I1581">
        <v>1</v>
      </c>
      <c r="J1581" s="15"/>
      <c r="K1581" s="16">
        <f>9355.96 - (9355.96 * $E$1)</f>
        <v>9355.9599999999991</v>
      </c>
      <c r="L1581" s="16">
        <f>7668.82 - (7668.82 * $E$1)</f>
        <v>7668.82</v>
      </c>
      <c r="M1581" s="1">
        <v>9355.9599999999991</v>
      </c>
      <c r="N1581" s="1">
        <v>7668.82</v>
      </c>
      <c r="O1581" s="1">
        <v>7952.57</v>
      </c>
      <c r="P1581" s="1">
        <v>6518.5</v>
      </c>
      <c r="Q1581">
        <v>1.5</v>
      </c>
      <c r="R1581">
        <v>1.8720000000000001E-2</v>
      </c>
    </row>
    <row r="1582" spans="1:18" ht="13.8" outlineLevel="2" x14ac:dyDescent="0.25">
      <c r="A1582">
        <v>88778</v>
      </c>
      <c r="B1582" t="s">
        <v>1594</v>
      </c>
      <c r="C1582" t="s">
        <v>1886</v>
      </c>
      <c r="D1582" s="14" t="s">
        <v>1884</v>
      </c>
      <c r="E1582" s="12" t="s">
        <v>28</v>
      </c>
      <c r="F1582" s="13" t="s">
        <v>29</v>
      </c>
      <c r="G1582">
        <v>1</v>
      </c>
      <c r="H1582" t="s">
        <v>30</v>
      </c>
      <c r="I1582">
        <v>1</v>
      </c>
      <c r="J1582" s="15"/>
      <c r="K1582" s="16">
        <f>7901.18 - (7901.18 * $E$1)</f>
        <v>7901.18</v>
      </c>
      <c r="L1582" s="16">
        <f>6476.38 - (6476.38 * $E$1)</f>
        <v>6476.38</v>
      </c>
      <c r="M1582" s="1">
        <v>7901.18</v>
      </c>
      <c r="N1582" s="1">
        <v>6476.38</v>
      </c>
      <c r="O1582" s="1">
        <v>6716.01</v>
      </c>
      <c r="P1582" s="1">
        <v>5504.92</v>
      </c>
      <c r="Q1582">
        <v>1.7</v>
      </c>
      <c r="R1582">
        <v>4.0559999999999999E-2</v>
      </c>
    </row>
    <row r="1583" spans="1:18" ht="13.8" outlineLevel="2" x14ac:dyDescent="0.25">
      <c r="A1583">
        <v>88779</v>
      </c>
      <c r="B1583" t="s">
        <v>1594</v>
      </c>
      <c r="C1583" t="s">
        <v>1887</v>
      </c>
      <c r="D1583" s="14" t="s">
        <v>1884</v>
      </c>
      <c r="E1583" s="12" t="s">
        <v>28</v>
      </c>
      <c r="F1583" s="13" t="s">
        <v>29</v>
      </c>
      <c r="G1583">
        <v>1</v>
      </c>
      <c r="H1583" t="s">
        <v>30</v>
      </c>
      <c r="I1583">
        <v>1</v>
      </c>
      <c r="J1583" s="15"/>
      <c r="K1583" s="16">
        <f>10856.79 - (10856.79 * $E$1)</f>
        <v>10856.79</v>
      </c>
      <c r="L1583" s="16">
        <f>8899.01 - (8899.01 * $E$1)</f>
        <v>8899.01</v>
      </c>
      <c r="M1583" s="1">
        <v>10856.79</v>
      </c>
      <c r="N1583" s="1">
        <v>8899.01</v>
      </c>
      <c r="O1583" s="1">
        <v>9228.27</v>
      </c>
      <c r="P1583" s="1">
        <v>7564.16</v>
      </c>
      <c r="Q1583">
        <v>2.1</v>
      </c>
      <c r="R1583">
        <v>4.0559999999999999E-2</v>
      </c>
    </row>
    <row r="1584" spans="1:18" ht="13.8" outlineLevel="2" x14ac:dyDescent="0.25">
      <c r="A1584">
        <v>88780</v>
      </c>
      <c r="B1584" t="s">
        <v>1594</v>
      </c>
      <c r="C1584" t="s">
        <v>1888</v>
      </c>
      <c r="D1584" s="14" t="s">
        <v>1884</v>
      </c>
      <c r="E1584" s="12" t="s">
        <v>28</v>
      </c>
      <c r="F1584" s="13" t="s">
        <v>29</v>
      </c>
      <c r="G1584">
        <v>1</v>
      </c>
      <c r="H1584" t="s">
        <v>30</v>
      </c>
      <c r="I1584">
        <v>1</v>
      </c>
      <c r="J1584" s="15"/>
      <c r="K1584" s="16">
        <f>8991.2 - (8991.2 * $E$1)</f>
        <v>8991.2000000000007</v>
      </c>
      <c r="L1584" s="16">
        <f>7369.84 - (7369.84 * $E$1)</f>
        <v>7369.84</v>
      </c>
      <c r="M1584" s="1">
        <v>8991.2000000000007</v>
      </c>
      <c r="N1584" s="1">
        <v>7369.84</v>
      </c>
      <c r="O1584" s="1">
        <v>7642.52</v>
      </c>
      <c r="P1584" s="1">
        <v>6264.36</v>
      </c>
      <c r="Q1584">
        <v>2</v>
      </c>
      <c r="R1584">
        <v>4.0559999999999999E-2</v>
      </c>
    </row>
    <row r="1585" spans="1:18" ht="13.8" outlineLevel="2" x14ac:dyDescent="0.25">
      <c r="A1585">
        <v>88781</v>
      </c>
      <c r="B1585" t="s">
        <v>1594</v>
      </c>
      <c r="C1585" t="s">
        <v>1889</v>
      </c>
      <c r="D1585" s="14" t="s">
        <v>1884</v>
      </c>
      <c r="E1585" s="12" t="s">
        <v>28</v>
      </c>
      <c r="F1585" s="13" t="s">
        <v>29</v>
      </c>
      <c r="G1585">
        <v>1</v>
      </c>
      <c r="H1585" t="s">
        <v>30</v>
      </c>
      <c r="I1585">
        <v>1</v>
      </c>
      <c r="J1585" s="15"/>
      <c r="K1585" s="16">
        <f>14065.23 - (14065.23 * $E$1)</f>
        <v>14065.23</v>
      </c>
      <c r="L1585" s="16">
        <f>11528.88 - (11528.88 * $E$1)</f>
        <v>11528.88</v>
      </c>
      <c r="M1585" s="1">
        <v>14065.23</v>
      </c>
      <c r="N1585" s="1">
        <v>11528.88</v>
      </c>
      <c r="O1585" s="1">
        <v>11955.45</v>
      </c>
      <c r="P1585" s="1">
        <v>9799.5499999999993</v>
      </c>
      <c r="Q1585">
        <v>3.1</v>
      </c>
      <c r="R1585">
        <v>4.0559999999999999E-2</v>
      </c>
    </row>
    <row r="1586" spans="1:18" ht="13.8" outlineLevel="2" x14ac:dyDescent="0.25">
      <c r="A1586">
        <v>54591</v>
      </c>
      <c r="B1586" t="s">
        <v>1594</v>
      </c>
      <c r="C1586" t="s">
        <v>1890</v>
      </c>
      <c r="D1586" s="14" t="s">
        <v>1891</v>
      </c>
      <c r="E1586" s="12" t="s">
        <v>28</v>
      </c>
      <c r="F1586" s="13" t="s">
        <v>29</v>
      </c>
      <c r="G1586">
        <v>1</v>
      </c>
      <c r="H1586" t="s">
        <v>30</v>
      </c>
      <c r="I1586">
        <v>1</v>
      </c>
      <c r="J1586" s="15"/>
      <c r="K1586" s="16">
        <f>6513.82 - (6513.82 * $E$1)</f>
        <v>6513.82</v>
      </c>
      <c r="L1586" s="16">
        <f>5339.2 - (5339.2 * $E$1)</f>
        <v>5339.2</v>
      </c>
      <c r="M1586" s="1">
        <v>6513.82</v>
      </c>
      <c r="N1586" s="1">
        <v>5339.2</v>
      </c>
      <c r="O1586" s="1">
        <v>5536.75</v>
      </c>
      <c r="P1586" s="1">
        <v>4538.32</v>
      </c>
      <c r="Q1586">
        <v>1.26</v>
      </c>
      <c r="R1586">
        <v>2.0479999999999999E-3</v>
      </c>
    </row>
    <row r="1587" spans="1:18" ht="13.8" outlineLevel="2" x14ac:dyDescent="0.25">
      <c r="A1587">
        <v>54594</v>
      </c>
      <c r="B1587" t="s">
        <v>1594</v>
      </c>
      <c r="C1587" t="s">
        <v>1892</v>
      </c>
      <c r="D1587" s="14" t="s">
        <v>1891</v>
      </c>
      <c r="E1587" s="12" t="s">
        <v>28</v>
      </c>
      <c r="F1587" s="13" t="s">
        <v>29</v>
      </c>
      <c r="G1587">
        <v>1</v>
      </c>
      <c r="H1587" t="s">
        <v>30</v>
      </c>
      <c r="I1587">
        <v>1</v>
      </c>
      <c r="J1587" s="15"/>
      <c r="K1587" s="16">
        <f>6786.87 - (6786.87 * $E$1)</f>
        <v>6786.87</v>
      </c>
      <c r="L1587" s="16">
        <f>5563.01 - (5563.01 * $E$1)</f>
        <v>5563.01</v>
      </c>
      <c r="M1587" s="1">
        <v>6786.87</v>
      </c>
      <c r="N1587" s="1">
        <v>5563.01</v>
      </c>
      <c r="O1587" s="1">
        <v>5768.84</v>
      </c>
      <c r="P1587" s="1">
        <v>4728.5600000000004</v>
      </c>
      <c r="Q1587">
        <v>1.5</v>
      </c>
      <c r="R1587">
        <v>3.3279999999999998E-3</v>
      </c>
    </row>
    <row r="1588" spans="1:18" ht="13.8" outlineLevel="2" x14ac:dyDescent="0.25">
      <c r="A1588">
        <v>54596</v>
      </c>
      <c r="B1588" t="s">
        <v>1594</v>
      </c>
      <c r="C1588" t="s">
        <v>1893</v>
      </c>
      <c r="D1588" s="14" t="s">
        <v>1891</v>
      </c>
      <c r="E1588" s="12" t="s">
        <v>28</v>
      </c>
      <c r="F1588" s="13" t="s">
        <v>29</v>
      </c>
      <c r="G1588">
        <v>1</v>
      </c>
      <c r="H1588" t="s">
        <v>30</v>
      </c>
      <c r="I1588">
        <v>1</v>
      </c>
      <c r="J1588" s="15"/>
      <c r="K1588" s="16">
        <f>8007.63 - (8007.63 * $E$1)</f>
        <v>8007.63</v>
      </c>
      <c r="L1588" s="16">
        <f>6563.63 - (6563.63 * $E$1)</f>
        <v>6563.63</v>
      </c>
      <c r="M1588" s="1">
        <v>8007.63</v>
      </c>
      <c r="N1588" s="1">
        <v>6563.63</v>
      </c>
      <c r="O1588" s="1">
        <v>6806.48</v>
      </c>
      <c r="P1588" s="1">
        <v>5579.09</v>
      </c>
      <c r="Q1588">
        <v>1.68</v>
      </c>
      <c r="R1588">
        <v>3.3800000000000002E-3</v>
      </c>
    </row>
    <row r="1589" spans="1:18" ht="13.8" outlineLevel="2" x14ac:dyDescent="0.25">
      <c r="A1589">
        <v>54593</v>
      </c>
      <c r="B1589" t="s">
        <v>1594</v>
      </c>
      <c r="C1589" t="s">
        <v>1894</v>
      </c>
      <c r="D1589" s="14" t="s">
        <v>1891</v>
      </c>
      <c r="E1589" s="12" t="s">
        <v>28</v>
      </c>
      <c r="F1589" s="13" t="s">
        <v>29</v>
      </c>
      <c r="G1589">
        <v>1</v>
      </c>
      <c r="H1589" t="s">
        <v>30</v>
      </c>
      <c r="I1589">
        <v>1</v>
      </c>
      <c r="J1589" s="15"/>
      <c r="K1589" s="16">
        <f>8236.54 - (8236.54 * $E$1)</f>
        <v>8236.5400000000009</v>
      </c>
      <c r="L1589" s="16">
        <f>6751.26 - (6751.26 * $E$1)</f>
        <v>6751.26</v>
      </c>
      <c r="M1589" s="1">
        <v>8236.5400000000009</v>
      </c>
      <c r="N1589" s="1">
        <v>6751.26</v>
      </c>
      <c r="O1589" s="1">
        <v>7001.06</v>
      </c>
      <c r="P1589" s="1">
        <v>5738.57</v>
      </c>
      <c r="Q1589">
        <v>1.41</v>
      </c>
      <c r="R1589">
        <v>2.0479999999999999E-3</v>
      </c>
    </row>
    <row r="1590" spans="1:18" ht="13.8" outlineLevel="2" x14ac:dyDescent="0.25">
      <c r="A1590">
        <v>54595</v>
      </c>
      <c r="B1590" t="s">
        <v>1594</v>
      </c>
      <c r="C1590" t="s">
        <v>1895</v>
      </c>
      <c r="D1590" s="14" t="s">
        <v>1891</v>
      </c>
      <c r="E1590" s="12" t="s">
        <v>28</v>
      </c>
      <c r="F1590" s="13" t="s">
        <v>29</v>
      </c>
      <c r="G1590">
        <v>1</v>
      </c>
      <c r="H1590" t="s">
        <v>30</v>
      </c>
      <c r="I1590">
        <v>1</v>
      </c>
      <c r="J1590" s="15"/>
      <c r="K1590" s="16">
        <f>9819.67 - (9819.67 * $E$1)</f>
        <v>9819.67</v>
      </c>
      <c r="L1590" s="16">
        <f>8048.91 - (8048.91 * $E$1)</f>
        <v>8048.91</v>
      </c>
      <c r="M1590" s="1">
        <v>9819.67</v>
      </c>
      <c r="N1590" s="1">
        <v>8048.91</v>
      </c>
      <c r="O1590" s="1">
        <v>8346.7199999999993</v>
      </c>
      <c r="P1590" s="1">
        <v>6841.57</v>
      </c>
      <c r="Q1590">
        <v>1.86</v>
      </c>
      <c r="R1590">
        <v>3.3800000000000002E-3</v>
      </c>
    </row>
    <row r="1591" spans="1:18" ht="13.8" outlineLevel="2" x14ac:dyDescent="0.25">
      <c r="A1591">
        <v>54597</v>
      </c>
      <c r="B1591" t="s">
        <v>1594</v>
      </c>
      <c r="C1591" t="s">
        <v>1896</v>
      </c>
      <c r="D1591" s="14" t="s">
        <v>1891</v>
      </c>
      <c r="E1591" s="12" t="s">
        <v>28</v>
      </c>
      <c r="F1591" s="13" t="s">
        <v>29</v>
      </c>
      <c r="G1591">
        <v>1</v>
      </c>
      <c r="H1591" t="s">
        <v>30</v>
      </c>
      <c r="I1591">
        <v>1</v>
      </c>
      <c r="J1591" s="15"/>
      <c r="K1591" s="16">
        <f>11976.14 - (11976.14 * $E$1)</f>
        <v>11976.14</v>
      </c>
      <c r="L1591" s="16">
        <f>9816.51 - (9816.51 * $E$1)</f>
        <v>9816.51</v>
      </c>
      <c r="M1591" s="1">
        <v>11976.14</v>
      </c>
      <c r="N1591" s="1">
        <v>9816.51</v>
      </c>
      <c r="O1591" s="1">
        <v>10179.719999999999</v>
      </c>
      <c r="P1591" s="1">
        <v>8344.0300000000007</v>
      </c>
      <c r="Q1591">
        <v>2.5</v>
      </c>
      <c r="R1591">
        <v>3.3800000000000002E-3</v>
      </c>
    </row>
    <row r="1592" spans="1:18" ht="13.8" outlineLevel="2" x14ac:dyDescent="0.25">
      <c r="A1592">
        <v>88788</v>
      </c>
      <c r="B1592" t="s">
        <v>1594</v>
      </c>
      <c r="C1592" t="s">
        <v>1897</v>
      </c>
      <c r="D1592" s="14" t="s">
        <v>1898</v>
      </c>
      <c r="E1592" s="12" t="s">
        <v>28</v>
      </c>
      <c r="F1592" s="13" t="s">
        <v>29</v>
      </c>
      <c r="G1592">
        <v>1</v>
      </c>
      <c r="H1592" t="s">
        <v>30</v>
      </c>
      <c r="I1592">
        <v>1</v>
      </c>
      <c r="J1592" s="15"/>
      <c r="K1592" s="16">
        <f>6839.52 - (6839.52 * $E$1)</f>
        <v>6839.52</v>
      </c>
      <c r="L1592" s="16">
        <f>5606.16 - (5606.16 * $E$1)</f>
        <v>5606.16</v>
      </c>
      <c r="M1592" s="1">
        <v>6839.52</v>
      </c>
      <c r="N1592" s="1">
        <v>5606.16</v>
      </c>
      <c r="O1592" s="1">
        <v>5813.59</v>
      </c>
      <c r="P1592" s="1">
        <v>4765.24</v>
      </c>
      <c r="Q1592">
        <v>1.45</v>
      </c>
      <c r="R1592">
        <v>1.8720000000000001E-2</v>
      </c>
    </row>
    <row r="1593" spans="1:18" ht="13.8" outlineLevel="2" x14ac:dyDescent="0.25">
      <c r="A1593">
        <v>88789</v>
      </c>
      <c r="B1593" t="s">
        <v>1594</v>
      </c>
      <c r="C1593" t="s">
        <v>1899</v>
      </c>
      <c r="D1593" s="14" t="s">
        <v>1898</v>
      </c>
      <c r="E1593" s="12" t="s">
        <v>28</v>
      </c>
      <c r="F1593" s="13" t="s">
        <v>29</v>
      </c>
      <c r="G1593">
        <v>1</v>
      </c>
      <c r="H1593" t="s">
        <v>30</v>
      </c>
      <c r="I1593">
        <v>1</v>
      </c>
      <c r="J1593" s="15"/>
      <c r="K1593" s="16">
        <f>8648.37 - (8648.37 * $E$1)</f>
        <v>8648.3700000000008</v>
      </c>
      <c r="L1593" s="16">
        <f>7088.83 - (7088.83 * $E$1)</f>
        <v>7088.83</v>
      </c>
      <c r="M1593" s="1">
        <v>8648.3700000000008</v>
      </c>
      <c r="N1593" s="1">
        <v>7088.83</v>
      </c>
      <c r="O1593" s="1">
        <v>7351.12</v>
      </c>
      <c r="P1593" s="1">
        <v>6025.51</v>
      </c>
      <c r="Q1593">
        <v>1.53</v>
      </c>
      <c r="R1593">
        <v>1.8720000000000001E-2</v>
      </c>
    </row>
    <row r="1594" spans="1:18" ht="13.8" outlineLevel="2" x14ac:dyDescent="0.25">
      <c r="A1594">
        <v>88790</v>
      </c>
      <c r="B1594" t="s">
        <v>1594</v>
      </c>
      <c r="C1594" t="s">
        <v>1900</v>
      </c>
      <c r="D1594" s="14" t="s">
        <v>1898</v>
      </c>
      <c r="E1594" s="12" t="s">
        <v>28</v>
      </c>
      <c r="F1594" s="13" t="s">
        <v>29</v>
      </c>
      <c r="G1594">
        <v>1</v>
      </c>
      <c r="H1594" t="s">
        <v>30</v>
      </c>
      <c r="I1594">
        <v>1</v>
      </c>
      <c r="J1594" s="15"/>
      <c r="K1594" s="16">
        <f>7126.22 - (7126.22 * $E$1)</f>
        <v>7126.22</v>
      </c>
      <c r="L1594" s="16">
        <f>5841.16 - (5841.16 * $E$1)</f>
        <v>5841.16</v>
      </c>
      <c r="M1594" s="1">
        <v>7126.22</v>
      </c>
      <c r="N1594" s="1">
        <v>5841.16</v>
      </c>
      <c r="O1594" s="1">
        <v>6057.28</v>
      </c>
      <c r="P1594" s="1">
        <v>4964.99</v>
      </c>
      <c r="Q1594">
        <v>1.61</v>
      </c>
      <c r="R1594">
        <v>4.0559999999999999E-2</v>
      </c>
    </row>
    <row r="1595" spans="1:18" ht="13.8" outlineLevel="2" x14ac:dyDescent="0.25">
      <c r="A1595">
        <v>88791</v>
      </c>
      <c r="B1595" t="s">
        <v>1594</v>
      </c>
      <c r="C1595" t="s">
        <v>1901</v>
      </c>
      <c r="D1595" s="14" t="s">
        <v>1898</v>
      </c>
      <c r="E1595" s="12" t="s">
        <v>28</v>
      </c>
      <c r="F1595" s="13" t="s">
        <v>29</v>
      </c>
      <c r="G1595">
        <v>1</v>
      </c>
      <c r="H1595" t="s">
        <v>30</v>
      </c>
      <c r="I1595">
        <v>1</v>
      </c>
      <c r="J1595" s="15"/>
      <c r="K1595" s="16">
        <f>10310.66 - (10310.66 * $E$1)</f>
        <v>10310.66</v>
      </c>
      <c r="L1595" s="16">
        <f>8451.36 - (8451.36 * $E$1)</f>
        <v>8451.36</v>
      </c>
      <c r="M1595" s="1">
        <v>10310.66</v>
      </c>
      <c r="N1595" s="1">
        <v>8451.36</v>
      </c>
      <c r="O1595" s="1">
        <v>8764.06</v>
      </c>
      <c r="P1595" s="1">
        <v>7183.66</v>
      </c>
      <c r="Q1595">
        <v>1.94</v>
      </c>
      <c r="R1595">
        <v>4.0559999999999999E-2</v>
      </c>
    </row>
    <row r="1596" spans="1:18" ht="13.8" outlineLevel="2" x14ac:dyDescent="0.25">
      <c r="A1596">
        <v>88792</v>
      </c>
      <c r="B1596" t="s">
        <v>1594</v>
      </c>
      <c r="C1596" t="s">
        <v>1902</v>
      </c>
      <c r="D1596" s="14" t="s">
        <v>1898</v>
      </c>
      <c r="E1596" s="12" t="s">
        <v>28</v>
      </c>
      <c r="F1596" s="13" t="s">
        <v>29</v>
      </c>
      <c r="G1596">
        <v>1</v>
      </c>
      <c r="H1596" t="s">
        <v>30</v>
      </c>
      <c r="I1596">
        <v>1</v>
      </c>
      <c r="J1596" s="15"/>
      <c r="K1596" s="16">
        <f>8408.01 - (8408.01 * $E$1)</f>
        <v>8408.01</v>
      </c>
      <c r="L1596" s="16">
        <f>6891.81 - (6891.81 * $E$1)</f>
        <v>6891.81</v>
      </c>
      <c r="M1596" s="1">
        <v>8408.01</v>
      </c>
      <c r="N1596" s="1">
        <v>6891.81</v>
      </c>
      <c r="O1596" s="1">
        <v>7146.81</v>
      </c>
      <c r="P1596" s="1">
        <v>5858.04</v>
      </c>
      <c r="Q1596">
        <v>1.98</v>
      </c>
      <c r="R1596">
        <v>4.0559999999999999E-2</v>
      </c>
    </row>
    <row r="1597" spans="1:18" ht="13.8" outlineLevel="2" x14ac:dyDescent="0.25">
      <c r="A1597">
        <v>88793</v>
      </c>
      <c r="B1597" t="s">
        <v>1594</v>
      </c>
      <c r="C1597" t="s">
        <v>1903</v>
      </c>
      <c r="D1597" s="14" t="s">
        <v>1898</v>
      </c>
      <c r="E1597" s="12" t="s">
        <v>28</v>
      </c>
      <c r="F1597" s="13" t="s">
        <v>29</v>
      </c>
      <c r="G1597">
        <v>1</v>
      </c>
      <c r="H1597" t="s">
        <v>30</v>
      </c>
      <c r="I1597">
        <v>1</v>
      </c>
      <c r="J1597" s="15"/>
      <c r="K1597" s="16">
        <f>12574.95 - (12574.95 * $E$1)</f>
        <v>12574.95</v>
      </c>
      <c r="L1597" s="16">
        <f>10307.34 - (10307.34 * $E$1)</f>
        <v>10307.34</v>
      </c>
      <c r="M1597" s="1">
        <v>12574.95</v>
      </c>
      <c r="N1597" s="1">
        <v>10307.34</v>
      </c>
      <c r="O1597" s="1">
        <v>10688.71</v>
      </c>
      <c r="P1597" s="1">
        <v>8761.24</v>
      </c>
      <c r="Q1597">
        <v>2.79</v>
      </c>
      <c r="R1597">
        <v>4.0559999999999999E-2</v>
      </c>
    </row>
    <row r="1598" spans="1:18" ht="13.8" outlineLevel="2" x14ac:dyDescent="0.25">
      <c r="A1598">
        <v>74642</v>
      </c>
      <c r="B1598" t="s">
        <v>1594</v>
      </c>
      <c r="C1598" t="s">
        <v>1904</v>
      </c>
      <c r="D1598" s="14" t="s">
        <v>1905</v>
      </c>
      <c r="E1598" s="12" t="s">
        <v>28</v>
      </c>
      <c r="F1598" s="13" t="s">
        <v>29</v>
      </c>
      <c r="G1598">
        <v>1</v>
      </c>
      <c r="H1598" t="s">
        <v>30</v>
      </c>
      <c r="I1598">
        <v>1</v>
      </c>
      <c r="J1598" s="15"/>
      <c r="K1598" s="16">
        <f>868.93 - (868.93 * $E$1)</f>
        <v>868.93</v>
      </c>
      <c r="L1598" s="16">
        <f>712.24 - (712.24 * $E$1)</f>
        <v>712.24</v>
      </c>
      <c r="M1598" s="1">
        <v>868.93</v>
      </c>
      <c r="N1598" s="1">
        <v>712.24</v>
      </c>
      <c r="O1598" s="1">
        <v>738.59</v>
      </c>
      <c r="P1598" s="1">
        <v>605.4</v>
      </c>
      <c r="Q1598">
        <v>0.15</v>
      </c>
      <c r="R1598">
        <v>1.088E-3</v>
      </c>
    </row>
    <row r="1599" spans="1:18" ht="13.8" outlineLevel="2" x14ac:dyDescent="0.25">
      <c r="A1599">
        <v>74646</v>
      </c>
      <c r="B1599" t="s">
        <v>1594</v>
      </c>
      <c r="C1599" t="s">
        <v>1906</v>
      </c>
      <c r="D1599" s="14" t="s">
        <v>1905</v>
      </c>
      <c r="E1599" s="12" t="s">
        <v>28</v>
      </c>
      <c r="F1599" s="13" t="s">
        <v>29</v>
      </c>
      <c r="G1599">
        <v>1</v>
      </c>
      <c r="H1599" t="s">
        <v>30</v>
      </c>
      <c r="I1599">
        <v>1</v>
      </c>
      <c r="J1599" s="15"/>
      <c r="K1599" s="16">
        <f>1307.44 - (1307.44 * $E$1)</f>
        <v>1307.44</v>
      </c>
      <c r="L1599" s="16">
        <f>1071.67 - (1071.67 * $E$1)</f>
        <v>1071.67</v>
      </c>
      <c r="M1599" s="1">
        <v>1307.44</v>
      </c>
      <c r="N1599" s="1">
        <v>1071.67</v>
      </c>
      <c r="O1599" s="1">
        <v>1111.32</v>
      </c>
      <c r="P1599" s="1">
        <v>910.92</v>
      </c>
      <c r="Q1599">
        <v>0.31</v>
      </c>
      <c r="R1599">
        <v>1.088E-3</v>
      </c>
    </row>
    <row r="1600" spans="1:18" ht="13.8" outlineLevel="2" x14ac:dyDescent="0.25">
      <c r="A1600">
        <v>74650</v>
      </c>
      <c r="B1600" t="s">
        <v>1594</v>
      </c>
      <c r="C1600" t="s">
        <v>1907</v>
      </c>
      <c r="D1600" s="14" t="s">
        <v>1905</v>
      </c>
      <c r="E1600" s="12" t="s">
        <v>28</v>
      </c>
      <c r="F1600" s="13" t="s">
        <v>29</v>
      </c>
      <c r="G1600">
        <v>1</v>
      </c>
      <c r="H1600" t="s">
        <v>30</v>
      </c>
      <c r="I1600">
        <v>1</v>
      </c>
      <c r="J1600" s="15"/>
      <c r="K1600" s="16">
        <f>1528.4 - (1528.4 * $E$1)</f>
        <v>1528.4</v>
      </c>
      <c r="L1600" s="16">
        <f>1252.79 - (1252.79 * $E$1)</f>
        <v>1252.79</v>
      </c>
      <c r="M1600" s="1">
        <v>1528.4</v>
      </c>
      <c r="N1600" s="1">
        <v>1252.79</v>
      </c>
      <c r="O1600" s="1">
        <v>1299.1400000000001</v>
      </c>
      <c r="P1600" s="1">
        <v>1064.8699999999999</v>
      </c>
      <c r="Q1600">
        <v>0.28999999999999998</v>
      </c>
      <c r="R1600">
        <v>1.248E-3</v>
      </c>
    </row>
    <row r="1601" spans="1:18" ht="13.8" outlineLevel="2" x14ac:dyDescent="0.25">
      <c r="A1601">
        <v>74643</v>
      </c>
      <c r="B1601" t="s">
        <v>1594</v>
      </c>
      <c r="C1601" t="s">
        <v>1908</v>
      </c>
      <c r="D1601" s="14" t="s">
        <v>1905</v>
      </c>
      <c r="E1601" s="12" t="s">
        <v>28</v>
      </c>
      <c r="F1601" s="13" t="s">
        <v>29</v>
      </c>
      <c r="G1601">
        <v>1</v>
      </c>
      <c r="H1601" t="s">
        <v>30</v>
      </c>
      <c r="I1601">
        <v>1</v>
      </c>
      <c r="J1601" s="15"/>
      <c r="K1601" s="16">
        <f>1925.22 - (1925.22 * $E$1)</f>
        <v>1925.22</v>
      </c>
      <c r="L1601" s="16">
        <f>1578.05 - (1578.05 * $E$1)</f>
        <v>1578.05</v>
      </c>
      <c r="M1601" s="1">
        <v>1925.22</v>
      </c>
      <c r="N1601" s="1">
        <v>1578.05</v>
      </c>
      <c r="O1601" s="1">
        <v>1636.44</v>
      </c>
      <c r="P1601" s="1">
        <v>1341.34</v>
      </c>
      <c r="Q1601">
        <v>0.17</v>
      </c>
      <c r="R1601">
        <v>1.088E-3</v>
      </c>
    </row>
    <row r="1602" spans="1:18" ht="13.8" outlineLevel="2" x14ac:dyDescent="0.25">
      <c r="A1602">
        <v>74647</v>
      </c>
      <c r="B1602" t="s">
        <v>1594</v>
      </c>
      <c r="C1602" t="s">
        <v>1909</v>
      </c>
      <c r="D1602" s="14" t="s">
        <v>1905</v>
      </c>
      <c r="E1602" s="12" t="s">
        <v>28</v>
      </c>
      <c r="F1602" s="13" t="s">
        <v>29</v>
      </c>
      <c r="G1602">
        <v>1</v>
      </c>
      <c r="H1602" t="s">
        <v>30</v>
      </c>
      <c r="I1602">
        <v>1</v>
      </c>
      <c r="J1602" s="15"/>
      <c r="K1602" s="16">
        <f>2357.42 - (2357.42 * $E$1)</f>
        <v>2357.42</v>
      </c>
      <c r="L1602" s="16">
        <f>1932.31 - (1932.31 * $E$1)</f>
        <v>1932.31</v>
      </c>
      <c r="M1602" s="1">
        <v>2357.42</v>
      </c>
      <c r="N1602" s="1">
        <v>1932.31</v>
      </c>
      <c r="O1602" s="1">
        <v>2003.81</v>
      </c>
      <c r="P1602" s="1">
        <v>1642.46</v>
      </c>
      <c r="Q1602">
        <v>0.39</v>
      </c>
      <c r="R1602">
        <v>1.088E-3</v>
      </c>
    </row>
    <row r="1603" spans="1:18" ht="13.8" outlineLevel="2" x14ac:dyDescent="0.25">
      <c r="A1603">
        <v>74651</v>
      </c>
      <c r="B1603" t="s">
        <v>1594</v>
      </c>
      <c r="C1603" t="s">
        <v>1910</v>
      </c>
      <c r="D1603" s="14" t="s">
        <v>1905</v>
      </c>
      <c r="E1603" s="12" t="s">
        <v>28</v>
      </c>
      <c r="F1603" s="13" t="s">
        <v>29</v>
      </c>
      <c r="G1603">
        <v>1</v>
      </c>
      <c r="H1603" t="s">
        <v>30</v>
      </c>
      <c r="I1603">
        <v>1</v>
      </c>
      <c r="J1603" s="15"/>
      <c r="K1603" s="16">
        <f>3063.49 - (3063.49 * $E$1)</f>
        <v>3063.49</v>
      </c>
      <c r="L1603" s="16">
        <f>2511.06 - (2511.06 * $E$1)</f>
        <v>2511.06</v>
      </c>
      <c r="M1603" s="1">
        <v>3063.49</v>
      </c>
      <c r="N1603" s="1">
        <v>2511.06</v>
      </c>
      <c r="O1603" s="1">
        <v>2603.9699999999998</v>
      </c>
      <c r="P1603" s="1">
        <v>2134.4</v>
      </c>
      <c r="Q1603">
        <v>0.5</v>
      </c>
      <c r="R1603">
        <v>1.248E-3</v>
      </c>
    </row>
    <row r="1604" spans="1:18" ht="13.8" outlineLevel="2" x14ac:dyDescent="0.25">
      <c r="A1604">
        <v>74644</v>
      </c>
      <c r="B1604" t="s">
        <v>1594</v>
      </c>
      <c r="C1604" t="s">
        <v>1911</v>
      </c>
      <c r="D1604" s="14" t="s">
        <v>1905</v>
      </c>
      <c r="E1604" s="12" t="s">
        <v>28</v>
      </c>
      <c r="F1604" s="13" t="s">
        <v>29</v>
      </c>
      <c r="G1604">
        <v>1</v>
      </c>
      <c r="H1604" t="s">
        <v>30</v>
      </c>
      <c r="I1604">
        <v>1</v>
      </c>
      <c r="J1604" s="15"/>
      <c r="K1604" s="16">
        <f>1318.2 - (1318.2 * $E$1)</f>
        <v>1318.2</v>
      </c>
      <c r="L1604" s="16">
        <f>1080.49 - (1080.49 * $E$1)</f>
        <v>1080.49</v>
      </c>
      <c r="M1604" s="1">
        <v>1318.2</v>
      </c>
      <c r="N1604" s="1">
        <v>1080.49</v>
      </c>
      <c r="O1604" s="1">
        <v>1120.47</v>
      </c>
      <c r="P1604" s="1">
        <v>918.42</v>
      </c>
      <c r="Q1604">
        <v>0.15</v>
      </c>
      <c r="R1604">
        <v>1.088E-3</v>
      </c>
    </row>
    <row r="1605" spans="1:18" ht="13.8" outlineLevel="2" x14ac:dyDescent="0.25">
      <c r="A1605">
        <v>74648</v>
      </c>
      <c r="B1605" t="s">
        <v>1594</v>
      </c>
      <c r="C1605" t="s">
        <v>1912</v>
      </c>
      <c r="D1605" s="14" t="s">
        <v>1905</v>
      </c>
      <c r="E1605" s="12" t="s">
        <v>28</v>
      </c>
      <c r="F1605" s="13" t="s">
        <v>29</v>
      </c>
      <c r="G1605">
        <v>1</v>
      </c>
      <c r="H1605" t="s">
        <v>30</v>
      </c>
      <c r="I1605">
        <v>1</v>
      </c>
      <c r="J1605" s="15"/>
      <c r="K1605" s="16">
        <f>2887.03 - (2887.03 * $E$1)</f>
        <v>2887.03</v>
      </c>
      <c r="L1605" s="16">
        <f>2366.42 - (2366.42 * $E$1)</f>
        <v>2366.42</v>
      </c>
      <c r="M1605" s="1">
        <v>2887.03</v>
      </c>
      <c r="N1605" s="1">
        <v>2366.42</v>
      </c>
      <c r="O1605" s="1">
        <v>2453.98</v>
      </c>
      <c r="P1605" s="1">
        <v>2011.46</v>
      </c>
      <c r="Q1605">
        <v>0.31</v>
      </c>
      <c r="R1605">
        <v>1.7279999999999999E-3</v>
      </c>
    </row>
    <row r="1606" spans="1:18" ht="13.8" outlineLevel="2" x14ac:dyDescent="0.25">
      <c r="A1606">
        <v>74652</v>
      </c>
      <c r="B1606" t="s">
        <v>1594</v>
      </c>
      <c r="C1606" t="s">
        <v>1913</v>
      </c>
      <c r="D1606" s="14" t="s">
        <v>1905</v>
      </c>
      <c r="E1606" s="12" t="s">
        <v>28</v>
      </c>
      <c r="F1606" s="13" t="s">
        <v>29</v>
      </c>
      <c r="G1606">
        <v>1</v>
      </c>
      <c r="H1606" t="s">
        <v>30</v>
      </c>
      <c r="I1606">
        <v>1</v>
      </c>
      <c r="J1606" s="15"/>
      <c r="K1606" s="16">
        <f>3259.51 - (3259.51 * $E$1)</f>
        <v>3259.51</v>
      </c>
      <c r="L1606" s="16">
        <f>2671.73 - (2671.73 * $E$1)</f>
        <v>2671.73</v>
      </c>
      <c r="M1606" s="1">
        <v>3259.51</v>
      </c>
      <c r="N1606" s="1">
        <v>2671.73</v>
      </c>
      <c r="O1606" s="1">
        <v>2770.58</v>
      </c>
      <c r="P1606" s="1">
        <v>2270.9699999999998</v>
      </c>
      <c r="Q1606">
        <v>0.28999999999999998</v>
      </c>
      <c r="R1606">
        <v>1.7279999999999999E-3</v>
      </c>
    </row>
    <row r="1607" spans="1:18" ht="13.8" outlineLevel="2" x14ac:dyDescent="0.25">
      <c r="A1607">
        <v>74645</v>
      </c>
      <c r="B1607" t="s">
        <v>1594</v>
      </c>
      <c r="C1607" t="s">
        <v>1914</v>
      </c>
      <c r="D1607" s="14" t="s">
        <v>1905</v>
      </c>
      <c r="E1607" s="12" t="s">
        <v>28</v>
      </c>
      <c r="F1607" s="13" t="s">
        <v>29</v>
      </c>
      <c r="G1607">
        <v>1</v>
      </c>
      <c r="H1607" t="s">
        <v>30</v>
      </c>
      <c r="I1607">
        <v>1</v>
      </c>
      <c r="J1607" s="15"/>
      <c r="K1607" s="16">
        <f>2268.91 - (2268.91 * $E$1)</f>
        <v>2268.91</v>
      </c>
      <c r="L1607" s="16">
        <f>1859.76 - (1859.76 * $E$1)</f>
        <v>1859.76</v>
      </c>
      <c r="M1607" s="1">
        <v>2268.91</v>
      </c>
      <c r="N1607" s="1">
        <v>1859.76</v>
      </c>
      <c r="O1607" s="1">
        <v>1928.57</v>
      </c>
      <c r="P1607" s="1">
        <v>1580.8</v>
      </c>
      <c r="Q1607">
        <v>0.17</v>
      </c>
      <c r="R1607">
        <v>1.088E-3</v>
      </c>
    </row>
    <row r="1608" spans="1:18" ht="13.8" outlineLevel="2" x14ac:dyDescent="0.25">
      <c r="A1608">
        <v>74649</v>
      </c>
      <c r="B1608" t="s">
        <v>1594</v>
      </c>
      <c r="C1608" t="s">
        <v>1915</v>
      </c>
      <c r="D1608" s="14" t="s">
        <v>1905</v>
      </c>
      <c r="E1608" s="12" t="s">
        <v>28</v>
      </c>
      <c r="F1608" s="13" t="s">
        <v>29</v>
      </c>
      <c r="G1608">
        <v>1</v>
      </c>
      <c r="H1608" t="s">
        <v>30</v>
      </c>
      <c r="I1608">
        <v>1</v>
      </c>
      <c r="J1608" s="15"/>
      <c r="K1608" s="16">
        <f>3879.39 - (3879.39 * $E$1)</f>
        <v>3879.39</v>
      </c>
      <c r="L1608" s="16">
        <f>3179.83 - (3179.83 * $E$1)</f>
        <v>3179.83</v>
      </c>
      <c r="M1608" s="1">
        <v>3879.39</v>
      </c>
      <c r="N1608" s="1">
        <v>3179.83</v>
      </c>
      <c r="O1608" s="1">
        <v>3297.48</v>
      </c>
      <c r="P1608" s="1">
        <v>2702.86</v>
      </c>
      <c r="Q1608">
        <v>0.39</v>
      </c>
      <c r="R1608">
        <v>1.7279999999999999E-3</v>
      </c>
    </row>
    <row r="1609" spans="1:18" ht="13.8" outlineLevel="2" x14ac:dyDescent="0.25">
      <c r="A1609">
        <v>74653</v>
      </c>
      <c r="B1609" t="s">
        <v>1594</v>
      </c>
      <c r="C1609" t="s">
        <v>1916</v>
      </c>
      <c r="D1609" s="14" t="s">
        <v>1905</v>
      </c>
      <c r="E1609" s="12" t="s">
        <v>28</v>
      </c>
      <c r="F1609" s="13" t="s">
        <v>29</v>
      </c>
      <c r="G1609">
        <v>1</v>
      </c>
      <c r="H1609" t="s">
        <v>30</v>
      </c>
      <c r="I1609">
        <v>1</v>
      </c>
      <c r="J1609" s="15"/>
      <c r="K1609" s="16">
        <f>4756.01 - (4756.01 * $E$1)</f>
        <v>4756.01</v>
      </c>
      <c r="L1609" s="16">
        <f>3898.37 - (3898.37 * $E$1)</f>
        <v>3898.37</v>
      </c>
      <c r="M1609" s="1">
        <v>4756.01</v>
      </c>
      <c r="N1609" s="1">
        <v>3898.37</v>
      </c>
      <c r="O1609" s="1">
        <v>4042.61</v>
      </c>
      <c r="P1609" s="1">
        <v>3313.61</v>
      </c>
      <c r="Q1609">
        <v>0.5</v>
      </c>
      <c r="R1609">
        <v>1.7279999999999999E-3</v>
      </c>
    </row>
    <row r="1610" spans="1:18" ht="13.8" outlineLevel="2" x14ac:dyDescent="0.25">
      <c r="A1610">
        <v>74655</v>
      </c>
      <c r="B1610" t="s">
        <v>1594</v>
      </c>
      <c r="C1610" t="s">
        <v>1917</v>
      </c>
      <c r="D1610" s="14" t="s">
        <v>1918</v>
      </c>
      <c r="E1610" s="12" t="s">
        <v>28</v>
      </c>
      <c r="F1610" s="13" t="s">
        <v>29</v>
      </c>
      <c r="G1610">
        <v>1</v>
      </c>
      <c r="H1610" t="s">
        <v>30</v>
      </c>
      <c r="I1610">
        <v>1</v>
      </c>
      <c r="J1610" s="15"/>
      <c r="K1610" s="16">
        <f>1325.19 - (1325.19 * $E$1)</f>
        <v>1325.19</v>
      </c>
      <c r="L1610" s="16">
        <f>1086.22 - (1086.22 * $E$1)</f>
        <v>1086.22</v>
      </c>
      <c r="M1610" s="1">
        <v>1325.19</v>
      </c>
      <c r="N1610" s="1">
        <v>1086.22</v>
      </c>
      <c r="O1610" s="1">
        <v>1126.4100000000001</v>
      </c>
      <c r="P1610" s="1">
        <v>923.29</v>
      </c>
      <c r="Q1610">
        <v>0.28000000000000003</v>
      </c>
      <c r="R1610">
        <v>7.6999999999999996E-4</v>
      </c>
    </row>
    <row r="1611" spans="1:18" ht="13.8" outlineLevel="2" x14ac:dyDescent="0.25">
      <c r="A1611">
        <v>74659</v>
      </c>
      <c r="B1611" t="s">
        <v>1594</v>
      </c>
      <c r="C1611" t="s">
        <v>1919</v>
      </c>
      <c r="D1611" s="14" t="s">
        <v>1918</v>
      </c>
      <c r="E1611" s="12" t="s">
        <v>28</v>
      </c>
      <c r="F1611" s="13" t="s">
        <v>29</v>
      </c>
      <c r="G1611">
        <v>1</v>
      </c>
      <c r="H1611" t="s">
        <v>30</v>
      </c>
      <c r="I1611">
        <v>1</v>
      </c>
      <c r="J1611" s="15"/>
      <c r="K1611" s="16">
        <f>1890.66 - (1890.66 * $E$1)</f>
        <v>1890.66</v>
      </c>
      <c r="L1611" s="16">
        <f>1549.72 - (1549.72 * $E$1)</f>
        <v>1549.72</v>
      </c>
      <c r="M1611" s="1">
        <v>1890.66</v>
      </c>
      <c r="N1611" s="1">
        <v>1549.72</v>
      </c>
      <c r="O1611" s="1">
        <v>1607.06</v>
      </c>
      <c r="P1611" s="1">
        <v>1317.26</v>
      </c>
      <c r="Q1611">
        <v>0.3</v>
      </c>
      <c r="R1611">
        <v>1.248E-3</v>
      </c>
    </row>
    <row r="1612" spans="1:18" ht="13.8" outlineLevel="2" x14ac:dyDescent="0.25">
      <c r="A1612">
        <v>74663</v>
      </c>
      <c r="B1612" t="s">
        <v>1594</v>
      </c>
      <c r="C1612" t="s">
        <v>1920</v>
      </c>
      <c r="D1612" s="14" t="s">
        <v>1918</v>
      </c>
      <c r="E1612" s="12" t="s">
        <v>28</v>
      </c>
      <c r="F1612" s="13" t="s">
        <v>29</v>
      </c>
      <c r="G1612">
        <v>1</v>
      </c>
      <c r="H1612" t="s">
        <v>30</v>
      </c>
      <c r="I1612">
        <v>1</v>
      </c>
      <c r="J1612" s="15"/>
      <c r="K1612" s="16">
        <f>2271.2 - (2271.2 * $E$1)</f>
        <v>2271.1999999999998</v>
      </c>
      <c r="L1612" s="16">
        <f>1861.64 - (1861.64 * $E$1)</f>
        <v>1861.64</v>
      </c>
      <c r="M1612" s="1">
        <v>2271.1999999999998</v>
      </c>
      <c r="N1612" s="1">
        <v>1861.64</v>
      </c>
      <c r="O1612" s="1">
        <v>1930.52</v>
      </c>
      <c r="P1612" s="1">
        <v>1582.39</v>
      </c>
      <c r="Q1612">
        <v>0.3</v>
      </c>
      <c r="R1612">
        <v>1.248E-3</v>
      </c>
    </row>
    <row r="1613" spans="1:18" ht="13.8" outlineLevel="2" x14ac:dyDescent="0.25">
      <c r="A1613">
        <v>74667</v>
      </c>
      <c r="B1613" t="s">
        <v>1594</v>
      </c>
      <c r="C1613" t="s">
        <v>1921</v>
      </c>
      <c r="D1613" s="14" t="s">
        <v>1918</v>
      </c>
      <c r="E1613" s="12" t="s">
        <v>28</v>
      </c>
      <c r="F1613" s="13" t="s">
        <v>29</v>
      </c>
      <c r="G1613">
        <v>1</v>
      </c>
      <c r="H1613" t="s">
        <v>30</v>
      </c>
      <c r="I1613">
        <v>1</v>
      </c>
      <c r="J1613" s="15"/>
      <c r="K1613" s="16">
        <f>2701.48 - (2701.48 * $E$1)</f>
        <v>2701.48</v>
      </c>
      <c r="L1613" s="16">
        <f>2214.33 - (2214.33 * $E$1)</f>
        <v>2214.33</v>
      </c>
      <c r="M1613" s="1">
        <v>2701.48</v>
      </c>
      <c r="N1613" s="1">
        <v>2214.33</v>
      </c>
      <c r="O1613" s="1">
        <v>2296.2600000000002</v>
      </c>
      <c r="P1613" s="1">
        <v>1882.18</v>
      </c>
      <c r="Q1613">
        <v>0.5</v>
      </c>
      <c r="R1613">
        <v>2.8600000000000001E-3</v>
      </c>
    </row>
    <row r="1614" spans="1:18" ht="13.8" outlineLevel="2" x14ac:dyDescent="0.25">
      <c r="A1614">
        <v>74656</v>
      </c>
      <c r="B1614" t="s">
        <v>1594</v>
      </c>
      <c r="C1614" t="s">
        <v>1922</v>
      </c>
      <c r="D1614" s="14" t="s">
        <v>1918</v>
      </c>
      <c r="E1614" s="12" t="s">
        <v>28</v>
      </c>
      <c r="F1614" s="13" t="s">
        <v>29</v>
      </c>
      <c r="G1614">
        <v>1</v>
      </c>
      <c r="H1614" t="s">
        <v>30</v>
      </c>
      <c r="I1614">
        <v>1</v>
      </c>
      <c r="J1614" s="15"/>
      <c r="K1614" s="16">
        <f>2858.53 - (2858.53 * $E$1)</f>
        <v>2858.53</v>
      </c>
      <c r="L1614" s="16">
        <f>2343.06 - (2343.06 * $E$1)</f>
        <v>2343.06</v>
      </c>
      <c r="M1614" s="1">
        <v>2858.53</v>
      </c>
      <c r="N1614" s="1">
        <v>2343.06</v>
      </c>
      <c r="O1614" s="1">
        <v>2429.75</v>
      </c>
      <c r="P1614" s="1">
        <v>1991.6</v>
      </c>
      <c r="Q1614">
        <v>0.3</v>
      </c>
      <c r="R1614">
        <v>7.6999999999999996E-4</v>
      </c>
    </row>
    <row r="1615" spans="1:18" ht="13.8" outlineLevel="2" x14ac:dyDescent="0.25">
      <c r="A1615">
        <v>74660</v>
      </c>
      <c r="B1615" t="s">
        <v>1594</v>
      </c>
      <c r="C1615" t="s">
        <v>1923</v>
      </c>
      <c r="D1615" s="14" t="s">
        <v>1918</v>
      </c>
      <c r="E1615" s="12" t="s">
        <v>28</v>
      </c>
      <c r="F1615" s="13" t="s">
        <v>29</v>
      </c>
      <c r="G1615">
        <v>1</v>
      </c>
      <c r="H1615" t="s">
        <v>30</v>
      </c>
      <c r="I1615">
        <v>1</v>
      </c>
      <c r="J1615" s="15"/>
      <c r="K1615" s="16">
        <f>3479.45 - (3479.45 * $E$1)</f>
        <v>3479.45</v>
      </c>
      <c r="L1615" s="16">
        <f>2852.01 - (2852.01 * $E$1)</f>
        <v>2852.01</v>
      </c>
      <c r="M1615" s="1">
        <v>3479.45</v>
      </c>
      <c r="N1615" s="1">
        <v>2852.01</v>
      </c>
      <c r="O1615" s="1">
        <v>2957.53</v>
      </c>
      <c r="P1615" s="1">
        <v>2424.21</v>
      </c>
      <c r="Q1615">
        <v>0.4</v>
      </c>
      <c r="R1615">
        <v>1.248E-3</v>
      </c>
    </row>
    <row r="1616" spans="1:18" ht="13.8" outlineLevel="2" x14ac:dyDescent="0.25">
      <c r="A1616">
        <v>74664</v>
      </c>
      <c r="B1616" t="s">
        <v>1594</v>
      </c>
      <c r="C1616" t="s">
        <v>1924</v>
      </c>
      <c r="D1616" s="14" t="s">
        <v>1918</v>
      </c>
      <c r="E1616" s="12" t="s">
        <v>28</v>
      </c>
      <c r="F1616" s="13" t="s">
        <v>29</v>
      </c>
      <c r="G1616">
        <v>1</v>
      </c>
      <c r="H1616" t="s">
        <v>30</v>
      </c>
      <c r="I1616">
        <v>1</v>
      </c>
      <c r="J1616" s="15"/>
      <c r="K1616" s="16">
        <f>4590.14 - (4590.14 * $E$1)</f>
        <v>4590.1400000000003</v>
      </c>
      <c r="L1616" s="16">
        <f>3762.41 - (3762.41 * $E$1)</f>
        <v>3762.41</v>
      </c>
      <c r="M1616" s="1">
        <v>4590.1400000000003</v>
      </c>
      <c r="N1616" s="1">
        <v>3762.41</v>
      </c>
      <c r="O1616" s="1">
        <v>3901.62</v>
      </c>
      <c r="P1616" s="1">
        <v>3198.05</v>
      </c>
      <c r="Q1616">
        <v>0.6</v>
      </c>
      <c r="R1616">
        <v>1.248E-3</v>
      </c>
    </row>
    <row r="1617" spans="1:18" ht="13.8" outlineLevel="2" x14ac:dyDescent="0.25">
      <c r="A1617">
        <v>74668</v>
      </c>
      <c r="B1617" t="s">
        <v>1594</v>
      </c>
      <c r="C1617" t="s">
        <v>1925</v>
      </c>
      <c r="D1617" s="14" t="s">
        <v>1918</v>
      </c>
      <c r="E1617" s="12" t="s">
        <v>28</v>
      </c>
      <c r="F1617" s="13" t="s">
        <v>29</v>
      </c>
      <c r="G1617">
        <v>1</v>
      </c>
      <c r="H1617" t="s">
        <v>30</v>
      </c>
      <c r="I1617">
        <v>1</v>
      </c>
      <c r="J1617" s="15"/>
      <c r="K1617" s="16">
        <f>7076.49 - (7076.49 * $E$1)</f>
        <v>7076.49</v>
      </c>
      <c r="L1617" s="16">
        <f>5800.4 - (5800.4 * $E$1)</f>
        <v>5800.4</v>
      </c>
      <c r="M1617" s="1">
        <v>7076.49</v>
      </c>
      <c r="N1617" s="1">
        <v>5800.4</v>
      </c>
      <c r="O1617" s="1">
        <v>6015.01</v>
      </c>
      <c r="P1617" s="1">
        <v>4930.34</v>
      </c>
      <c r="Q1617">
        <v>1.1000000000000001</v>
      </c>
      <c r="R1617">
        <v>2.8600000000000001E-3</v>
      </c>
    </row>
    <row r="1618" spans="1:18" ht="13.8" outlineLevel="2" x14ac:dyDescent="0.25">
      <c r="A1618">
        <v>74657</v>
      </c>
      <c r="B1618" t="s">
        <v>1594</v>
      </c>
      <c r="C1618" t="s">
        <v>1926</v>
      </c>
      <c r="D1618" s="14" t="s">
        <v>1918</v>
      </c>
      <c r="E1618" s="12" t="s">
        <v>28</v>
      </c>
      <c r="F1618" s="13" t="s">
        <v>29</v>
      </c>
      <c r="G1618">
        <v>1</v>
      </c>
      <c r="H1618" t="s">
        <v>30</v>
      </c>
      <c r="I1618">
        <v>1</v>
      </c>
      <c r="J1618" s="15"/>
      <c r="K1618" s="16">
        <f>1807.47 - (1807.47 * $E$1)</f>
        <v>1807.47</v>
      </c>
      <c r="L1618" s="16">
        <f>1481.53 - (1481.53 * $E$1)</f>
        <v>1481.53</v>
      </c>
      <c r="M1618" s="1">
        <v>1807.47</v>
      </c>
      <c r="N1618" s="1">
        <v>1481.53</v>
      </c>
      <c r="O1618" s="1">
        <v>1536.35</v>
      </c>
      <c r="P1618" s="1">
        <v>1259.3</v>
      </c>
      <c r="Q1618">
        <v>0.33</v>
      </c>
      <c r="R1618">
        <v>7.6999999999999996E-4</v>
      </c>
    </row>
    <row r="1619" spans="1:18" ht="13.8" outlineLevel="2" x14ac:dyDescent="0.25">
      <c r="A1619">
        <v>74661</v>
      </c>
      <c r="B1619" t="s">
        <v>1594</v>
      </c>
      <c r="C1619" t="s">
        <v>1927</v>
      </c>
      <c r="D1619" s="14" t="s">
        <v>1918</v>
      </c>
      <c r="E1619" s="12" t="s">
        <v>28</v>
      </c>
      <c r="F1619" s="13" t="s">
        <v>29</v>
      </c>
      <c r="G1619">
        <v>1</v>
      </c>
      <c r="H1619" t="s">
        <v>30</v>
      </c>
      <c r="I1619">
        <v>1</v>
      </c>
      <c r="J1619" s="15"/>
      <c r="K1619" s="16">
        <f>3053.67 - (3053.67 * $E$1)</f>
        <v>3053.67</v>
      </c>
      <c r="L1619" s="16">
        <f>2503.01 - (2503.01 * $E$1)</f>
        <v>2503.0100000000002</v>
      </c>
      <c r="M1619" s="1">
        <v>3053.67</v>
      </c>
      <c r="N1619" s="1">
        <v>2503.0100000000002</v>
      </c>
      <c r="O1619" s="1">
        <v>2595.62</v>
      </c>
      <c r="P1619" s="1">
        <v>2127.56</v>
      </c>
      <c r="Q1619">
        <v>0.52</v>
      </c>
      <c r="R1619">
        <v>1.7279999999999999E-3</v>
      </c>
    </row>
    <row r="1620" spans="1:18" ht="13.8" outlineLevel="2" x14ac:dyDescent="0.25">
      <c r="A1620">
        <v>74665</v>
      </c>
      <c r="B1620" t="s">
        <v>1594</v>
      </c>
      <c r="C1620" t="s">
        <v>1928</v>
      </c>
      <c r="D1620" s="14" t="s">
        <v>1918</v>
      </c>
      <c r="E1620" s="12" t="s">
        <v>28</v>
      </c>
      <c r="F1620" s="13" t="s">
        <v>29</v>
      </c>
      <c r="G1620">
        <v>1</v>
      </c>
      <c r="H1620" t="s">
        <v>30</v>
      </c>
      <c r="I1620">
        <v>1</v>
      </c>
      <c r="J1620" s="15"/>
      <c r="K1620" s="16">
        <f>3419.49 - (3419.49 * $E$1)</f>
        <v>3419.49</v>
      </c>
      <c r="L1620" s="16">
        <f>2802.86 - (2802.86 * $E$1)</f>
        <v>2802.86</v>
      </c>
      <c r="M1620" s="1">
        <v>3419.49</v>
      </c>
      <c r="N1620" s="1">
        <v>2802.86</v>
      </c>
      <c r="O1620" s="1">
        <v>2906.57</v>
      </c>
      <c r="P1620" s="1">
        <v>2382.4299999999998</v>
      </c>
      <c r="Q1620">
        <v>0.53</v>
      </c>
      <c r="R1620">
        <v>1.7279999999999999E-3</v>
      </c>
    </row>
    <row r="1621" spans="1:18" ht="13.8" outlineLevel="2" x14ac:dyDescent="0.25">
      <c r="A1621">
        <v>74669</v>
      </c>
      <c r="B1621" t="s">
        <v>1594</v>
      </c>
      <c r="C1621" t="s">
        <v>1929</v>
      </c>
      <c r="D1621" s="14" t="s">
        <v>1918</v>
      </c>
      <c r="E1621" s="12" t="s">
        <v>28</v>
      </c>
      <c r="F1621" s="13" t="s">
        <v>29</v>
      </c>
      <c r="G1621">
        <v>1</v>
      </c>
      <c r="H1621" t="s">
        <v>30</v>
      </c>
      <c r="I1621">
        <v>1</v>
      </c>
      <c r="J1621" s="15"/>
      <c r="K1621" s="16">
        <f>4472.02 - (4472.02 * $E$1)</f>
        <v>4472.0200000000004</v>
      </c>
      <c r="L1621" s="16">
        <f>3665.59 - (3665.59 * $E$1)</f>
        <v>3665.59</v>
      </c>
      <c r="M1621" s="1">
        <v>4472.0200000000004</v>
      </c>
      <c r="N1621" s="1">
        <v>3665.59</v>
      </c>
      <c r="O1621" s="1">
        <v>3801.22</v>
      </c>
      <c r="P1621" s="1">
        <v>3115.75</v>
      </c>
      <c r="Q1621">
        <v>0.77</v>
      </c>
      <c r="R1621">
        <v>2.8600000000000001E-3</v>
      </c>
    </row>
    <row r="1622" spans="1:18" ht="13.8" outlineLevel="2" x14ac:dyDescent="0.25">
      <c r="A1622">
        <v>74658</v>
      </c>
      <c r="B1622" t="s">
        <v>1594</v>
      </c>
      <c r="C1622" t="s">
        <v>1930</v>
      </c>
      <c r="D1622" s="14" t="s">
        <v>1918</v>
      </c>
      <c r="E1622" s="12" t="s">
        <v>28</v>
      </c>
      <c r="F1622" s="13" t="s">
        <v>29</v>
      </c>
      <c r="G1622">
        <v>1</v>
      </c>
      <c r="H1622" t="s">
        <v>30</v>
      </c>
      <c r="I1622">
        <v>1</v>
      </c>
      <c r="J1622" s="15"/>
      <c r="K1622" s="16">
        <f>3330.1 - (3330.1 * $E$1)</f>
        <v>3330.1</v>
      </c>
      <c r="L1622" s="16">
        <f>2729.59 - (2729.59 * $E$1)</f>
        <v>2729.59</v>
      </c>
      <c r="M1622" s="1">
        <v>3330.1</v>
      </c>
      <c r="N1622" s="1">
        <v>2729.59</v>
      </c>
      <c r="O1622" s="1">
        <v>2830.58</v>
      </c>
      <c r="P1622" s="1">
        <v>2320.15</v>
      </c>
      <c r="Q1622">
        <v>0.36</v>
      </c>
      <c r="R1622">
        <v>7.6999999999999996E-4</v>
      </c>
    </row>
    <row r="1623" spans="1:18" ht="13.8" outlineLevel="2" x14ac:dyDescent="0.25">
      <c r="A1623">
        <v>74662</v>
      </c>
      <c r="B1623" t="s">
        <v>1594</v>
      </c>
      <c r="C1623" t="s">
        <v>1931</v>
      </c>
      <c r="D1623" s="14" t="s">
        <v>1918</v>
      </c>
      <c r="E1623" s="12" t="s">
        <v>28</v>
      </c>
      <c r="F1623" s="13" t="s">
        <v>29</v>
      </c>
      <c r="G1623">
        <v>1</v>
      </c>
      <c r="H1623" t="s">
        <v>30</v>
      </c>
      <c r="I1623">
        <v>1</v>
      </c>
      <c r="J1623" s="15"/>
      <c r="K1623" s="16">
        <f>4594.28 - (4594.28 * $E$1)</f>
        <v>4594.28</v>
      </c>
      <c r="L1623" s="16">
        <f>3765.8 - (3765.8 * $E$1)</f>
        <v>3765.8</v>
      </c>
      <c r="M1623" s="1">
        <v>4594.28</v>
      </c>
      <c r="N1623" s="1">
        <v>3765.8</v>
      </c>
      <c r="O1623" s="1">
        <v>3905.13</v>
      </c>
      <c r="P1623" s="1">
        <v>3200.93</v>
      </c>
      <c r="Q1623">
        <v>0.64</v>
      </c>
      <c r="R1623">
        <v>1.7279999999999999E-3</v>
      </c>
    </row>
    <row r="1624" spans="1:18" ht="13.8" outlineLevel="2" x14ac:dyDescent="0.25">
      <c r="A1624">
        <v>74666</v>
      </c>
      <c r="B1624" t="s">
        <v>1594</v>
      </c>
      <c r="C1624" t="s">
        <v>1932</v>
      </c>
      <c r="D1624" s="14" t="s">
        <v>1918</v>
      </c>
      <c r="E1624" s="12" t="s">
        <v>28</v>
      </c>
      <c r="F1624" s="13" t="s">
        <v>29</v>
      </c>
      <c r="G1624">
        <v>1</v>
      </c>
      <c r="H1624" t="s">
        <v>30</v>
      </c>
      <c r="I1624">
        <v>1</v>
      </c>
      <c r="J1624" s="15"/>
      <c r="K1624" s="16">
        <f>5699.25 - (5699.25 * $E$1)</f>
        <v>5699.25</v>
      </c>
      <c r="L1624" s="16">
        <f>4671.52 - (4671.52 * $E$1)</f>
        <v>4671.5200000000004</v>
      </c>
      <c r="M1624" s="1">
        <v>5699.25</v>
      </c>
      <c r="N1624" s="1">
        <v>4671.5200000000004</v>
      </c>
      <c r="O1624" s="1">
        <v>4844.37</v>
      </c>
      <c r="P1624" s="1">
        <v>3970.79</v>
      </c>
      <c r="Q1624">
        <v>0.89</v>
      </c>
      <c r="R1624">
        <v>1.7279999999999999E-3</v>
      </c>
    </row>
    <row r="1625" spans="1:18" ht="13.8" outlineLevel="2" x14ac:dyDescent="0.25">
      <c r="A1625">
        <v>74670</v>
      </c>
      <c r="B1625" t="s">
        <v>1594</v>
      </c>
      <c r="C1625" t="s">
        <v>1933</v>
      </c>
      <c r="D1625" s="14" t="s">
        <v>1918</v>
      </c>
      <c r="E1625" s="12" t="s">
        <v>28</v>
      </c>
      <c r="F1625" s="13" t="s">
        <v>29</v>
      </c>
      <c r="G1625">
        <v>1</v>
      </c>
      <c r="H1625" t="s">
        <v>30</v>
      </c>
      <c r="I1625">
        <v>1</v>
      </c>
      <c r="J1625" s="15"/>
      <c r="K1625" s="16">
        <f>8769.09 - (8769.09 * $E$1)</f>
        <v>8769.09</v>
      </c>
      <c r="L1625" s="16">
        <f>7187.78 - (7187.78 * $E$1)</f>
        <v>7187.78</v>
      </c>
      <c r="M1625" s="1">
        <v>8769.09</v>
      </c>
      <c r="N1625" s="1">
        <v>7187.78</v>
      </c>
      <c r="O1625" s="1">
        <v>7453.73</v>
      </c>
      <c r="P1625" s="1">
        <v>6109.61</v>
      </c>
      <c r="Q1625">
        <v>1.42</v>
      </c>
      <c r="R1625">
        <v>2.8600000000000001E-3</v>
      </c>
    </row>
    <row r="1626" spans="1:18" ht="13.8" outlineLevel="2" x14ac:dyDescent="0.25">
      <c r="A1626">
        <v>60353</v>
      </c>
      <c r="B1626" t="s">
        <v>1594</v>
      </c>
      <c r="C1626" t="s">
        <v>1934</v>
      </c>
      <c r="D1626" s="14" t="s">
        <v>1935</v>
      </c>
      <c r="E1626" s="12" t="s">
        <v>28</v>
      </c>
      <c r="F1626" s="13" t="s">
        <v>29</v>
      </c>
      <c r="G1626">
        <v>1</v>
      </c>
      <c r="H1626" t="s">
        <v>30</v>
      </c>
      <c r="I1626">
        <v>1</v>
      </c>
      <c r="J1626" s="15"/>
      <c r="K1626" s="16">
        <f>1348.69 - (1348.69 * $E$1)</f>
        <v>1348.69</v>
      </c>
      <c r="L1626" s="16">
        <f>1105.48 - (1105.48 * $E$1)</f>
        <v>1105.48</v>
      </c>
      <c r="M1626" s="1">
        <v>1348.69</v>
      </c>
      <c r="N1626" s="1">
        <v>1105.48</v>
      </c>
      <c r="O1626" s="1">
        <v>1146.3800000000001</v>
      </c>
      <c r="P1626" s="1">
        <v>939.66</v>
      </c>
      <c r="Q1626">
        <v>0.27</v>
      </c>
      <c r="R1626">
        <v>1.088E-3</v>
      </c>
    </row>
    <row r="1627" spans="1:18" ht="13.8" outlineLevel="2" x14ac:dyDescent="0.25">
      <c r="A1627">
        <v>57791</v>
      </c>
      <c r="B1627" t="s">
        <v>1594</v>
      </c>
      <c r="C1627" t="s">
        <v>1936</v>
      </c>
      <c r="D1627" s="14" t="s">
        <v>1935</v>
      </c>
      <c r="E1627" s="12" t="s">
        <v>28</v>
      </c>
      <c r="F1627" s="13" t="s">
        <v>29</v>
      </c>
      <c r="G1627">
        <v>1</v>
      </c>
      <c r="H1627" t="s">
        <v>30</v>
      </c>
      <c r="I1627">
        <v>1</v>
      </c>
      <c r="J1627" s="15"/>
      <c r="K1627" s="16">
        <f>2152.08 - (2152.08 * $E$1)</f>
        <v>2152.08</v>
      </c>
      <c r="L1627" s="16">
        <f>1764 - (1764 * $E$1)</f>
        <v>1764</v>
      </c>
      <c r="M1627" s="1">
        <v>2152.08</v>
      </c>
      <c r="N1627" s="1">
        <v>1764</v>
      </c>
      <c r="O1627" s="1">
        <v>1829.27</v>
      </c>
      <c r="P1627" s="1">
        <v>1499.4</v>
      </c>
      <c r="Q1627">
        <v>0.32</v>
      </c>
      <c r="R1627">
        <v>1.248E-3</v>
      </c>
    </row>
    <row r="1628" spans="1:18" ht="13.8" outlineLevel="2" x14ac:dyDescent="0.25">
      <c r="A1628">
        <v>57795</v>
      </c>
      <c r="B1628" t="s">
        <v>1594</v>
      </c>
      <c r="C1628" t="s">
        <v>1937</v>
      </c>
      <c r="D1628" s="14" t="s">
        <v>1935</v>
      </c>
      <c r="E1628" s="12" t="s">
        <v>28</v>
      </c>
      <c r="F1628" s="13" t="s">
        <v>29</v>
      </c>
      <c r="G1628">
        <v>1</v>
      </c>
      <c r="H1628" t="s">
        <v>30</v>
      </c>
      <c r="I1628">
        <v>1</v>
      </c>
      <c r="J1628" s="15"/>
      <c r="K1628" s="16">
        <f>2406.15 - (2406.15 * $E$1)</f>
        <v>2406.15</v>
      </c>
      <c r="L1628" s="16">
        <f>1972.25 - (1972.25 * $E$1)</f>
        <v>1972.25</v>
      </c>
      <c r="M1628" s="1">
        <v>2406.15</v>
      </c>
      <c r="N1628" s="1">
        <v>1972.25</v>
      </c>
      <c r="O1628" s="1">
        <v>2045.22</v>
      </c>
      <c r="P1628" s="1">
        <v>1676.41</v>
      </c>
      <c r="Q1628">
        <v>0.38</v>
      </c>
      <c r="R1628">
        <v>2.0799999999999998E-3</v>
      </c>
    </row>
    <row r="1629" spans="1:18" ht="13.8" outlineLevel="2" x14ac:dyDescent="0.25">
      <c r="A1629">
        <v>57799</v>
      </c>
      <c r="B1629" t="s">
        <v>1594</v>
      </c>
      <c r="C1629" t="s">
        <v>1938</v>
      </c>
      <c r="D1629" s="14" t="s">
        <v>1935</v>
      </c>
      <c r="E1629" s="12" t="s">
        <v>28</v>
      </c>
      <c r="F1629" s="13" t="s">
        <v>29</v>
      </c>
      <c r="G1629">
        <v>1</v>
      </c>
      <c r="H1629" t="s">
        <v>30</v>
      </c>
      <c r="I1629">
        <v>1</v>
      </c>
      <c r="J1629" s="15"/>
      <c r="K1629" s="16">
        <f>2706.29 - (2706.29 * $E$1)</f>
        <v>2706.29</v>
      </c>
      <c r="L1629" s="16">
        <f>2218.27 - (2218.27 * $E$1)</f>
        <v>2218.27</v>
      </c>
      <c r="M1629" s="1">
        <v>2706.29</v>
      </c>
      <c r="N1629" s="1">
        <v>2218.27</v>
      </c>
      <c r="O1629" s="1">
        <v>2300.35</v>
      </c>
      <c r="P1629" s="1">
        <v>1885.53</v>
      </c>
      <c r="Q1629">
        <v>0.57999999999999996</v>
      </c>
      <c r="R1629">
        <v>2.8600000000000001E-3</v>
      </c>
    </row>
    <row r="1630" spans="1:18" ht="13.8" outlineLevel="2" x14ac:dyDescent="0.25">
      <c r="A1630">
        <v>88744</v>
      </c>
      <c r="B1630" t="s">
        <v>1594</v>
      </c>
      <c r="C1630" t="s">
        <v>1939</v>
      </c>
      <c r="D1630" s="14" t="s">
        <v>1935</v>
      </c>
      <c r="E1630" s="12" t="s">
        <v>28</v>
      </c>
      <c r="F1630" s="13" t="s">
        <v>29</v>
      </c>
      <c r="G1630">
        <v>1</v>
      </c>
      <c r="H1630" t="s">
        <v>30</v>
      </c>
      <c r="I1630">
        <v>1</v>
      </c>
      <c r="J1630" s="15"/>
      <c r="K1630" s="16">
        <f>2883.48 - (2883.48 * $E$1)</f>
        <v>2883.48</v>
      </c>
      <c r="L1630" s="16">
        <f>2363.51 - (2363.51 * $E$1)</f>
        <v>2363.5100000000002</v>
      </c>
      <c r="M1630" s="1">
        <v>2883.48</v>
      </c>
      <c r="N1630" s="1">
        <v>2363.5100000000002</v>
      </c>
      <c r="O1630" s="1">
        <v>2450.96</v>
      </c>
      <c r="P1630" s="1">
        <v>2008.98</v>
      </c>
      <c r="Q1630">
        <v>0.6</v>
      </c>
      <c r="R1630">
        <v>1.4508E-2</v>
      </c>
    </row>
    <row r="1631" spans="1:18" ht="13.8" outlineLevel="2" x14ac:dyDescent="0.25">
      <c r="A1631">
        <v>60354</v>
      </c>
      <c r="B1631" t="s">
        <v>1594</v>
      </c>
      <c r="C1631" t="s">
        <v>1940</v>
      </c>
      <c r="D1631" s="14" t="s">
        <v>1935</v>
      </c>
      <c r="E1631" s="12" t="s">
        <v>28</v>
      </c>
      <c r="F1631" s="13" t="s">
        <v>29</v>
      </c>
      <c r="G1631">
        <v>1</v>
      </c>
      <c r="H1631" t="s">
        <v>30</v>
      </c>
      <c r="I1631">
        <v>1</v>
      </c>
      <c r="J1631" s="15"/>
      <c r="K1631" s="16">
        <f>3313.81 - (3313.81 * $E$1)</f>
        <v>3313.81</v>
      </c>
      <c r="L1631" s="16">
        <f>2716.24 - (2716.24 * $E$1)</f>
        <v>2716.24</v>
      </c>
      <c r="M1631" s="1">
        <v>3313.81</v>
      </c>
      <c r="N1631" s="1">
        <v>2716.24</v>
      </c>
      <c r="O1631" s="1">
        <v>2816.74</v>
      </c>
      <c r="P1631" s="1">
        <v>2308.8000000000002</v>
      </c>
      <c r="Q1631">
        <v>0.31</v>
      </c>
      <c r="R1631">
        <v>1.088E-3</v>
      </c>
    </row>
    <row r="1632" spans="1:18" ht="13.8" outlineLevel="2" x14ac:dyDescent="0.25">
      <c r="A1632">
        <v>57793</v>
      </c>
      <c r="B1632" t="s">
        <v>1594</v>
      </c>
      <c r="C1632" t="s">
        <v>1941</v>
      </c>
      <c r="D1632" s="14" t="s">
        <v>1935</v>
      </c>
      <c r="E1632" s="12" t="s">
        <v>28</v>
      </c>
      <c r="F1632" s="13" t="s">
        <v>29</v>
      </c>
      <c r="G1632">
        <v>1</v>
      </c>
      <c r="H1632" t="s">
        <v>30</v>
      </c>
      <c r="I1632">
        <v>1</v>
      </c>
      <c r="J1632" s="15"/>
      <c r="K1632" s="16">
        <f>4260.62 - (4260.62 * $E$1)</f>
        <v>4260.62</v>
      </c>
      <c r="L1632" s="16">
        <f>3492.31 - (3492.31 * $E$1)</f>
        <v>3492.31</v>
      </c>
      <c r="M1632" s="1">
        <v>4260.62</v>
      </c>
      <c r="N1632" s="1">
        <v>3492.31</v>
      </c>
      <c r="O1632" s="1">
        <v>3621.53</v>
      </c>
      <c r="P1632" s="1">
        <v>2968.46</v>
      </c>
      <c r="Q1632">
        <v>0.5</v>
      </c>
      <c r="R1632">
        <v>1.248E-3</v>
      </c>
    </row>
    <row r="1633" spans="1:18" ht="13.8" outlineLevel="2" x14ac:dyDescent="0.25">
      <c r="A1633">
        <v>57796</v>
      </c>
      <c r="B1633" t="s">
        <v>1594</v>
      </c>
      <c r="C1633" t="s">
        <v>1942</v>
      </c>
      <c r="D1633" s="14" t="s">
        <v>1935</v>
      </c>
      <c r="E1633" s="12" t="s">
        <v>28</v>
      </c>
      <c r="F1633" s="13" t="s">
        <v>29</v>
      </c>
      <c r="G1633">
        <v>1</v>
      </c>
      <c r="H1633" t="s">
        <v>30</v>
      </c>
      <c r="I1633">
        <v>1</v>
      </c>
      <c r="J1633" s="15"/>
      <c r="K1633" s="16">
        <f>5472.46 - (5472.46 * $E$1)</f>
        <v>5472.46</v>
      </c>
      <c r="L1633" s="16">
        <f>4485.62 - (4485.62 * $E$1)</f>
        <v>4485.62</v>
      </c>
      <c r="M1633" s="1">
        <v>5472.46</v>
      </c>
      <c r="N1633" s="1">
        <v>4485.62</v>
      </c>
      <c r="O1633" s="1">
        <v>4651.59</v>
      </c>
      <c r="P1633" s="1">
        <v>3812.78</v>
      </c>
      <c r="Q1633">
        <v>0.81</v>
      </c>
      <c r="R1633">
        <v>2.0799999999999998E-3</v>
      </c>
    </row>
    <row r="1634" spans="1:18" ht="13.8" outlineLevel="2" x14ac:dyDescent="0.25">
      <c r="A1634">
        <v>57800</v>
      </c>
      <c r="B1634" t="s">
        <v>1594</v>
      </c>
      <c r="C1634" t="s">
        <v>1943</v>
      </c>
      <c r="D1634" s="14" t="s">
        <v>1935</v>
      </c>
      <c r="E1634" s="12" t="s">
        <v>28</v>
      </c>
      <c r="F1634" s="13" t="s">
        <v>29</v>
      </c>
      <c r="G1634">
        <v>1</v>
      </c>
      <c r="H1634" t="s">
        <v>30</v>
      </c>
      <c r="I1634">
        <v>1</v>
      </c>
      <c r="J1634" s="15"/>
      <c r="K1634" s="16">
        <f>8698.1 - (8698.1 * $E$1)</f>
        <v>8698.1</v>
      </c>
      <c r="L1634" s="16">
        <f>7129.59 - (7129.59 * $E$1)</f>
        <v>7129.59</v>
      </c>
      <c r="M1634" s="1">
        <v>8698.1</v>
      </c>
      <c r="N1634" s="1">
        <v>7129.59</v>
      </c>
      <c r="O1634" s="1">
        <v>7393.38</v>
      </c>
      <c r="P1634" s="1">
        <v>6060.15</v>
      </c>
      <c r="Q1634">
        <v>1.43</v>
      </c>
      <c r="R1634">
        <v>2.8600000000000001E-3</v>
      </c>
    </row>
    <row r="1635" spans="1:18" ht="13.8" outlineLevel="2" x14ac:dyDescent="0.25">
      <c r="A1635">
        <v>88745</v>
      </c>
      <c r="B1635" t="s">
        <v>1594</v>
      </c>
      <c r="C1635" t="s">
        <v>1944</v>
      </c>
      <c r="D1635" s="14" t="s">
        <v>1935</v>
      </c>
      <c r="E1635" s="12" t="s">
        <v>28</v>
      </c>
      <c r="F1635" s="13" t="s">
        <v>29</v>
      </c>
      <c r="G1635">
        <v>1</v>
      </c>
      <c r="H1635" t="s">
        <v>30</v>
      </c>
      <c r="I1635">
        <v>1</v>
      </c>
      <c r="J1635" s="15"/>
      <c r="K1635" s="16">
        <f>12192.81 - (12192.81 * $E$1)</f>
        <v>12192.81</v>
      </c>
      <c r="L1635" s="16">
        <f>9994.11 - (9994.11 * $E$1)</f>
        <v>9994.11</v>
      </c>
      <c r="M1635" s="1">
        <v>12192.81</v>
      </c>
      <c r="N1635" s="1">
        <v>9994.11</v>
      </c>
      <c r="O1635" s="1">
        <v>10363.89</v>
      </c>
      <c r="P1635" s="1">
        <v>8494.99</v>
      </c>
      <c r="Q1635">
        <v>1.8</v>
      </c>
      <c r="R1635">
        <v>1.4508E-2</v>
      </c>
    </row>
    <row r="1636" spans="1:18" ht="13.8" outlineLevel="2" x14ac:dyDescent="0.25">
      <c r="A1636">
        <v>60355</v>
      </c>
      <c r="B1636" t="s">
        <v>1594</v>
      </c>
      <c r="C1636" t="s">
        <v>1945</v>
      </c>
      <c r="D1636" s="14" t="s">
        <v>1935</v>
      </c>
      <c r="E1636" s="12" t="s">
        <v>28</v>
      </c>
      <c r="F1636" s="13" t="s">
        <v>29</v>
      </c>
      <c r="G1636">
        <v>1</v>
      </c>
      <c r="H1636" t="s">
        <v>30</v>
      </c>
      <c r="I1636">
        <v>1</v>
      </c>
      <c r="J1636" s="15"/>
      <c r="K1636" s="16">
        <f>1774.59 - (1774.59 * $E$1)</f>
        <v>1774.59</v>
      </c>
      <c r="L1636" s="16">
        <f>1454.58 - (1454.58 * $E$1)</f>
        <v>1454.58</v>
      </c>
      <c r="M1636" s="1">
        <v>1774.59</v>
      </c>
      <c r="N1636" s="1">
        <v>1454.58</v>
      </c>
      <c r="O1636" s="1">
        <v>1508.4</v>
      </c>
      <c r="P1636" s="1">
        <v>1236.3900000000001</v>
      </c>
      <c r="Q1636">
        <v>0.32</v>
      </c>
      <c r="R1636">
        <v>1.088E-3</v>
      </c>
    </row>
    <row r="1637" spans="1:18" ht="13.8" outlineLevel="2" x14ac:dyDescent="0.25">
      <c r="A1637">
        <v>57792</v>
      </c>
      <c r="B1637" t="s">
        <v>1594</v>
      </c>
      <c r="C1637" t="s">
        <v>1946</v>
      </c>
      <c r="D1637" s="14" t="s">
        <v>1935</v>
      </c>
      <c r="E1637" s="12" t="s">
        <v>28</v>
      </c>
      <c r="F1637" s="13" t="s">
        <v>29</v>
      </c>
      <c r="G1637">
        <v>1</v>
      </c>
      <c r="H1637" t="s">
        <v>30</v>
      </c>
      <c r="I1637">
        <v>1</v>
      </c>
      <c r="J1637" s="15"/>
      <c r="K1637" s="16">
        <f>3160.2 - (3160.2 * $E$1)</f>
        <v>3160.2</v>
      </c>
      <c r="L1637" s="16">
        <f>2590.33 - (2590.33 * $E$1)</f>
        <v>2590.33</v>
      </c>
      <c r="M1637" s="1">
        <v>3160.2</v>
      </c>
      <c r="N1637" s="1">
        <v>2590.33</v>
      </c>
      <c r="O1637" s="1">
        <v>2686.17</v>
      </c>
      <c r="P1637" s="1">
        <v>2201.7800000000002</v>
      </c>
      <c r="Q1637">
        <v>0.56000000000000005</v>
      </c>
      <c r="R1637">
        <v>1.7279999999999999E-3</v>
      </c>
    </row>
    <row r="1638" spans="1:18" ht="13.8" outlineLevel="2" x14ac:dyDescent="0.25">
      <c r="A1638">
        <v>57797</v>
      </c>
      <c r="B1638" t="s">
        <v>1594</v>
      </c>
      <c r="C1638" t="s">
        <v>1947</v>
      </c>
      <c r="D1638" s="14" t="s">
        <v>1935</v>
      </c>
      <c r="E1638" s="12" t="s">
        <v>28</v>
      </c>
      <c r="F1638" s="13" t="s">
        <v>29</v>
      </c>
      <c r="G1638">
        <v>1</v>
      </c>
      <c r="H1638" t="s">
        <v>30</v>
      </c>
      <c r="I1638">
        <v>1</v>
      </c>
      <c r="J1638" s="15"/>
      <c r="K1638" s="16">
        <f>3454.45 - (3454.45 * $E$1)</f>
        <v>3454.45</v>
      </c>
      <c r="L1638" s="16">
        <f>2831.52 - (2831.52 * $E$1)</f>
        <v>2831.52</v>
      </c>
      <c r="M1638" s="1">
        <v>3454.45</v>
      </c>
      <c r="N1638" s="1">
        <v>2831.52</v>
      </c>
      <c r="O1638" s="1">
        <v>2936.29</v>
      </c>
      <c r="P1638" s="1">
        <v>2406.79</v>
      </c>
      <c r="Q1638">
        <v>0.64</v>
      </c>
      <c r="R1638">
        <v>2.8600000000000001E-3</v>
      </c>
    </row>
    <row r="1639" spans="1:18" ht="13.8" outlineLevel="2" x14ac:dyDescent="0.25">
      <c r="A1639">
        <v>57802</v>
      </c>
      <c r="B1639" t="s">
        <v>1594</v>
      </c>
      <c r="C1639" t="s">
        <v>1948</v>
      </c>
      <c r="D1639" s="14" t="s">
        <v>1935</v>
      </c>
      <c r="E1639" s="12" t="s">
        <v>28</v>
      </c>
      <c r="F1639" s="13" t="s">
        <v>29</v>
      </c>
      <c r="G1639">
        <v>1</v>
      </c>
      <c r="H1639" t="s">
        <v>30</v>
      </c>
      <c r="I1639">
        <v>1</v>
      </c>
      <c r="J1639" s="15"/>
      <c r="K1639" s="16">
        <f>4497.96 - (4497.96 * $E$1)</f>
        <v>4497.96</v>
      </c>
      <c r="L1639" s="16">
        <f>3686.85 - (3686.85 * $E$1)</f>
        <v>3686.85</v>
      </c>
      <c r="M1639" s="1">
        <v>4497.96</v>
      </c>
      <c r="N1639" s="1">
        <v>3686.85</v>
      </c>
      <c r="O1639" s="1">
        <v>3823.26</v>
      </c>
      <c r="P1639" s="1">
        <v>3133.82</v>
      </c>
      <c r="Q1639">
        <v>0.84</v>
      </c>
      <c r="R1639">
        <v>2.8600000000000001E-3</v>
      </c>
    </row>
    <row r="1640" spans="1:18" ht="13.8" outlineLevel="2" x14ac:dyDescent="0.25">
      <c r="A1640">
        <v>88746</v>
      </c>
      <c r="B1640" t="s">
        <v>1594</v>
      </c>
      <c r="C1640" t="s">
        <v>1949</v>
      </c>
      <c r="D1640" s="14" t="s">
        <v>1935</v>
      </c>
      <c r="E1640" s="12" t="s">
        <v>28</v>
      </c>
      <c r="F1640" s="13" t="s">
        <v>29</v>
      </c>
      <c r="G1640">
        <v>1</v>
      </c>
      <c r="H1640" t="s">
        <v>30</v>
      </c>
      <c r="I1640">
        <v>1</v>
      </c>
      <c r="J1640" s="15"/>
      <c r="K1640" s="16">
        <f>4557.77 - (4557.77 * $E$1)</f>
        <v>4557.7700000000004</v>
      </c>
      <c r="L1640" s="16">
        <f>3735.88 - (3735.88 * $E$1)</f>
        <v>3735.88</v>
      </c>
      <c r="M1640" s="1">
        <v>4557.7700000000004</v>
      </c>
      <c r="N1640" s="1">
        <v>3735.88</v>
      </c>
      <c r="O1640" s="1">
        <v>3874.11</v>
      </c>
      <c r="P1640" s="1">
        <v>3175.5</v>
      </c>
      <c r="Q1640">
        <v>0.9</v>
      </c>
      <c r="R1640">
        <v>1.4508E-2</v>
      </c>
    </row>
    <row r="1641" spans="1:18" ht="13.8" outlineLevel="2" x14ac:dyDescent="0.25">
      <c r="A1641">
        <v>60356</v>
      </c>
      <c r="B1641" t="s">
        <v>1594</v>
      </c>
      <c r="C1641" t="s">
        <v>1950</v>
      </c>
      <c r="D1641" s="14" t="s">
        <v>1935</v>
      </c>
      <c r="E1641" s="12" t="s">
        <v>28</v>
      </c>
      <c r="F1641" s="13" t="s">
        <v>29</v>
      </c>
      <c r="G1641">
        <v>1</v>
      </c>
      <c r="H1641" t="s">
        <v>30</v>
      </c>
      <c r="I1641">
        <v>1</v>
      </c>
      <c r="J1641" s="15"/>
      <c r="K1641" s="16">
        <f>3817.32 - (3817.32 * $E$1)</f>
        <v>3817.32</v>
      </c>
      <c r="L1641" s="16">
        <f>3128.95 - (3128.95 * $E$1)</f>
        <v>3128.95</v>
      </c>
      <c r="M1641" s="1">
        <v>3817.32</v>
      </c>
      <c r="N1641" s="1">
        <v>3128.95</v>
      </c>
      <c r="O1641" s="1">
        <v>3244.72</v>
      </c>
      <c r="P1641" s="1">
        <v>2659.61</v>
      </c>
      <c r="Q1641">
        <v>0.37</v>
      </c>
      <c r="R1641">
        <v>1.088E-3</v>
      </c>
    </row>
    <row r="1642" spans="1:18" ht="13.8" outlineLevel="2" x14ac:dyDescent="0.25">
      <c r="A1642">
        <v>57794</v>
      </c>
      <c r="B1642" t="s">
        <v>1594</v>
      </c>
      <c r="C1642" t="s">
        <v>1951</v>
      </c>
      <c r="D1642" s="14" t="s">
        <v>1935</v>
      </c>
      <c r="E1642" s="12" t="s">
        <v>28</v>
      </c>
      <c r="F1642" s="13" t="s">
        <v>29</v>
      </c>
      <c r="G1642">
        <v>1</v>
      </c>
      <c r="H1642" t="s">
        <v>30</v>
      </c>
      <c r="I1642">
        <v>1</v>
      </c>
      <c r="J1642" s="15"/>
      <c r="K1642" s="16">
        <f>5282.14 - (5282.14 * $E$1)</f>
        <v>5282.14</v>
      </c>
      <c r="L1642" s="16">
        <f>4329.62 - (4329.62 * $E$1)</f>
        <v>4329.62</v>
      </c>
      <c r="M1642" s="1">
        <v>5282.14</v>
      </c>
      <c r="N1642" s="1">
        <v>4329.62</v>
      </c>
      <c r="O1642" s="1">
        <v>4489.82</v>
      </c>
      <c r="P1642" s="1">
        <v>3680.18</v>
      </c>
      <c r="Q1642">
        <v>0.78</v>
      </c>
      <c r="R1642">
        <v>1.7279999999999999E-3</v>
      </c>
    </row>
    <row r="1643" spans="1:18" ht="13.8" outlineLevel="2" x14ac:dyDescent="0.25">
      <c r="A1643">
        <v>57798</v>
      </c>
      <c r="B1643" t="s">
        <v>1594</v>
      </c>
      <c r="C1643" t="s">
        <v>1952</v>
      </c>
      <c r="D1643" s="14" t="s">
        <v>1935</v>
      </c>
      <c r="E1643" s="12" t="s">
        <v>28</v>
      </c>
      <c r="F1643" s="13" t="s">
        <v>29</v>
      </c>
      <c r="G1643">
        <v>1</v>
      </c>
      <c r="H1643" t="s">
        <v>30</v>
      </c>
      <c r="I1643">
        <v>1</v>
      </c>
      <c r="J1643" s="15"/>
      <c r="K1643" s="16">
        <f>6514.84 - (6514.84 * $E$1)</f>
        <v>6514.84</v>
      </c>
      <c r="L1643" s="16">
        <f>5340.03 - (5340.03 * $E$1)</f>
        <v>5340.03</v>
      </c>
      <c r="M1643" s="1">
        <v>6514.84</v>
      </c>
      <c r="N1643" s="1">
        <v>5340.03</v>
      </c>
      <c r="O1643" s="1">
        <v>5537.61</v>
      </c>
      <c r="P1643" s="1">
        <v>4539.03</v>
      </c>
      <c r="Q1643">
        <v>1.07</v>
      </c>
      <c r="R1643">
        <v>2.8600000000000001E-3</v>
      </c>
    </row>
    <row r="1644" spans="1:18" ht="13.8" outlineLevel="2" x14ac:dyDescent="0.25">
      <c r="A1644">
        <v>57803</v>
      </c>
      <c r="B1644" t="s">
        <v>1594</v>
      </c>
      <c r="C1644" t="s">
        <v>1953</v>
      </c>
      <c r="D1644" s="14" t="s">
        <v>1935</v>
      </c>
      <c r="E1644" s="12" t="s">
        <v>28</v>
      </c>
      <c r="F1644" s="13" t="s">
        <v>29</v>
      </c>
      <c r="G1644">
        <v>1</v>
      </c>
      <c r="H1644" t="s">
        <v>30</v>
      </c>
      <c r="I1644">
        <v>1</v>
      </c>
      <c r="J1644" s="15"/>
      <c r="K1644" s="16">
        <f>10301.56 - (10301.56 * $E$1)</f>
        <v>10301.56</v>
      </c>
      <c r="L1644" s="16">
        <f>8443.9 - (8443.9 * $E$1)</f>
        <v>8443.9</v>
      </c>
      <c r="M1644" s="1">
        <v>10301.56</v>
      </c>
      <c r="N1644" s="1">
        <v>8443.9</v>
      </c>
      <c r="O1644" s="1">
        <v>8756.32</v>
      </c>
      <c r="P1644" s="1">
        <v>7177.32</v>
      </c>
      <c r="Q1644">
        <v>1.69</v>
      </c>
      <c r="R1644">
        <v>2.8600000000000001E-3</v>
      </c>
    </row>
    <row r="1645" spans="1:18" ht="13.8" outlineLevel="2" x14ac:dyDescent="0.25">
      <c r="A1645">
        <v>88747</v>
      </c>
      <c r="B1645" t="s">
        <v>1594</v>
      </c>
      <c r="C1645" t="s">
        <v>1954</v>
      </c>
      <c r="D1645" s="14" t="s">
        <v>1935</v>
      </c>
      <c r="E1645" s="12" t="s">
        <v>28</v>
      </c>
      <c r="F1645" s="13" t="s">
        <v>29</v>
      </c>
      <c r="G1645">
        <v>1</v>
      </c>
      <c r="H1645" t="s">
        <v>30</v>
      </c>
      <c r="I1645">
        <v>1</v>
      </c>
      <c r="J1645" s="15"/>
      <c r="K1645" s="16">
        <f>13972.42 - (13972.42 * $E$1)</f>
        <v>13972.42</v>
      </c>
      <c r="L1645" s="16">
        <f>11452.8 - (11452.8 * $E$1)</f>
        <v>11452.8</v>
      </c>
      <c r="M1645" s="1">
        <v>13972.42</v>
      </c>
      <c r="N1645" s="1">
        <v>11452.8</v>
      </c>
      <c r="O1645" s="1">
        <v>11876.55</v>
      </c>
      <c r="P1645" s="1">
        <v>9734.8799999999992</v>
      </c>
      <c r="Q1645">
        <v>2.1</v>
      </c>
      <c r="R1645">
        <v>1.4508E-2</v>
      </c>
    </row>
    <row r="1646" spans="1:18" ht="13.8" outlineLevel="2" x14ac:dyDescent="0.25">
      <c r="A1646">
        <v>60357</v>
      </c>
      <c r="B1646" t="s">
        <v>1594</v>
      </c>
      <c r="C1646" t="s">
        <v>1955</v>
      </c>
      <c r="D1646" s="14" t="s">
        <v>1956</v>
      </c>
      <c r="E1646" s="12" t="s">
        <v>28</v>
      </c>
      <c r="F1646" s="13" t="s">
        <v>29</v>
      </c>
      <c r="G1646">
        <v>1</v>
      </c>
      <c r="H1646" t="s">
        <v>30</v>
      </c>
      <c r="I1646">
        <v>1</v>
      </c>
      <c r="J1646" s="15"/>
      <c r="K1646" s="16">
        <f>1529.37 - (1529.37 * $E$1)</f>
        <v>1529.37</v>
      </c>
      <c r="L1646" s="16">
        <f>1253.58 - (1253.58 * $E$1)</f>
        <v>1253.58</v>
      </c>
      <c r="M1646" s="1">
        <v>1529.37</v>
      </c>
      <c r="N1646" s="1">
        <v>1253.58</v>
      </c>
      <c r="O1646" s="1">
        <v>1299.96</v>
      </c>
      <c r="P1646" s="1">
        <v>1065.54</v>
      </c>
      <c r="Q1646">
        <v>0.3</v>
      </c>
      <c r="R1646">
        <v>1.088E-3</v>
      </c>
    </row>
    <row r="1647" spans="1:18" ht="13.8" outlineLevel="2" x14ac:dyDescent="0.25">
      <c r="A1647">
        <v>55860</v>
      </c>
      <c r="B1647" t="s">
        <v>1594</v>
      </c>
      <c r="C1647" t="s">
        <v>1957</v>
      </c>
      <c r="D1647" s="14" t="s">
        <v>1956</v>
      </c>
      <c r="E1647" s="12" t="s">
        <v>28</v>
      </c>
      <c r="F1647" s="13" t="s">
        <v>29</v>
      </c>
      <c r="G1647">
        <v>1</v>
      </c>
      <c r="H1647" t="s">
        <v>30</v>
      </c>
      <c r="I1647">
        <v>1</v>
      </c>
      <c r="J1647" s="15"/>
      <c r="K1647" s="16">
        <f>2338.75 - (2338.75 * $E$1)</f>
        <v>2338.75</v>
      </c>
      <c r="L1647" s="16">
        <f>1917.01 - (1917.01 * $E$1)</f>
        <v>1917.01</v>
      </c>
      <c r="M1647" s="1">
        <v>2338.75</v>
      </c>
      <c r="N1647" s="1">
        <v>1917.01</v>
      </c>
      <c r="O1647" s="1">
        <v>1987.94</v>
      </c>
      <c r="P1647" s="1">
        <v>1629.46</v>
      </c>
      <c r="Q1647">
        <v>0.7</v>
      </c>
      <c r="R1647">
        <v>1.248E-3</v>
      </c>
    </row>
    <row r="1648" spans="1:18" ht="13.8" outlineLevel="2" x14ac:dyDescent="0.25">
      <c r="A1648">
        <v>55861</v>
      </c>
      <c r="B1648" t="s">
        <v>1594</v>
      </c>
      <c r="C1648" t="s">
        <v>1958</v>
      </c>
      <c r="D1648" s="14" t="s">
        <v>1956</v>
      </c>
      <c r="E1648" s="12" t="s">
        <v>28</v>
      </c>
      <c r="F1648" s="13" t="s">
        <v>29</v>
      </c>
      <c r="G1648">
        <v>1</v>
      </c>
      <c r="H1648" t="s">
        <v>30</v>
      </c>
      <c r="I1648">
        <v>1</v>
      </c>
      <c r="J1648" s="15"/>
      <c r="K1648" s="16">
        <f>2563.32 - (2563.32 * $E$1)</f>
        <v>2563.3200000000002</v>
      </c>
      <c r="L1648" s="16">
        <f>2101.08 - (2101.08 * $E$1)</f>
        <v>2101.08</v>
      </c>
      <c r="M1648" s="1">
        <v>2563.3200000000002</v>
      </c>
      <c r="N1648" s="1">
        <v>2101.08</v>
      </c>
      <c r="O1648" s="1">
        <v>2178.8200000000002</v>
      </c>
      <c r="P1648" s="1">
        <v>1785.92</v>
      </c>
      <c r="Q1648">
        <v>0.8</v>
      </c>
      <c r="R1648">
        <v>2.0799999999999998E-3</v>
      </c>
    </row>
    <row r="1649" spans="1:18" ht="13.8" outlineLevel="2" x14ac:dyDescent="0.25">
      <c r="A1649">
        <v>55862</v>
      </c>
      <c r="B1649" t="s">
        <v>1594</v>
      </c>
      <c r="C1649" t="s">
        <v>1959</v>
      </c>
      <c r="D1649" s="14" t="s">
        <v>1956</v>
      </c>
      <c r="E1649" s="12" t="s">
        <v>28</v>
      </c>
      <c r="F1649" s="13" t="s">
        <v>29</v>
      </c>
      <c r="G1649">
        <v>1</v>
      </c>
      <c r="H1649" t="s">
        <v>30</v>
      </c>
      <c r="I1649">
        <v>1</v>
      </c>
      <c r="J1649" s="15"/>
      <c r="K1649" s="16">
        <f>3298.22 - (3298.22 * $E$1)</f>
        <v>3298.22</v>
      </c>
      <c r="L1649" s="16">
        <f>2703.46 - (2703.46 * $E$1)</f>
        <v>2703.46</v>
      </c>
      <c r="M1649" s="1">
        <v>3298.22</v>
      </c>
      <c r="N1649" s="1">
        <v>2703.46</v>
      </c>
      <c r="O1649" s="1">
        <v>2803.49</v>
      </c>
      <c r="P1649" s="1">
        <v>2297.94</v>
      </c>
      <c r="Q1649">
        <v>1.2</v>
      </c>
      <c r="R1649">
        <v>2.8600000000000001E-3</v>
      </c>
    </row>
    <row r="1650" spans="1:18" ht="13.8" outlineLevel="2" x14ac:dyDescent="0.25">
      <c r="A1650">
        <v>60358</v>
      </c>
      <c r="B1650" t="s">
        <v>1594</v>
      </c>
      <c r="C1650" t="s">
        <v>1960</v>
      </c>
      <c r="D1650" s="14" t="s">
        <v>1956</v>
      </c>
      <c r="E1650" s="12" t="s">
        <v>28</v>
      </c>
      <c r="F1650" s="13" t="s">
        <v>29</v>
      </c>
      <c r="G1650">
        <v>1</v>
      </c>
      <c r="H1650" t="s">
        <v>30</v>
      </c>
      <c r="I1650">
        <v>1</v>
      </c>
      <c r="J1650" s="15"/>
      <c r="K1650" s="16">
        <f>3860.69 - (3860.69 * $E$1)</f>
        <v>3860.69</v>
      </c>
      <c r="L1650" s="16">
        <f>3164.5 - (3164.5 * $E$1)</f>
        <v>3164.5</v>
      </c>
      <c r="M1650" s="1">
        <v>3860.69</v>
      </c>
      <c r="N1650" s="1">
        <v>3164.5</v>
      </c>
      <c r="O1650" s="1">
        <v>3281.59</v>
      </c>
      <c r="P1650" s="1">
        <v>2689.83</v>
      </c>
      <c r="Q1650">
        <v>0.4</v>
      </c>
      <c r="R1650">
        <v>1.088E-3</v>
      </c>
    </row>
    <row r="1651" spans="1:18" ht="13.8" outlineLevel="2" x14ac:dyDescent="0.25">
      <c r="A1651">
        <v>57804</v>
      </c>
      <c r="B1651" t="s">
        <v>1594</v>
      </c>
      <c r="C1651" t="s">
        <v>1961</v>
      </c>
      <c r="D1651" s="14" t="s">
        <v>1956</v>
      </c>
      <c r="E1651" s="12" t="s">
        <v>28</v>
      </c>
      <c r="F1651" s="13" t="s">
        <v>29</v>
      </c>
      <c r="G1651">
        <v>1</v>
      </c>
      <c r="H1651" t="s">
        <v>30</v>
      </c>
      <c r="I1651">
        <v>1</v>
      </c>
      <c r="J1651" s="15"/>
      <c r="K1651" s="16">
        <f>4961.58 - (4961.58 * $E$1)</f>
        <v>4961.58</v>
      </c>
      <c r="L1651" s="16">
        <f>4066.87 - (4066.87 * $E$1)</f>
        <v>4066.87</v>
      </c>
      <c r="M1651" s="1">
        <v>4961.58</v>
      </c>
      <c r="N1651" s="1">
        <v>4066.87</v>
      </c>
      <c r="O1651" s="1">
        <v>4217.34</v>
      </c>
      <c r="P1651" s="1">
        <v>3456.84</v>
      </c>
      <c r="Q1651">
        <v>1</v>
      </c>
      <c r="R1651">
        <v>1.248E-3</v>
      </c>
    </row>
    <row r="1652" spans="1:18" ht="13.8" outlineLevel="2" x14ac:dyDescent="0.25">
      <c r="A1652">
        <v>57806</v>
      </c>
      <c r="B1652" t="s">
        <v>1594</v>
      </c>
      <c r="C1652" t="s">
        <v>1962</v>
      </c>
      <c r="D1652" s="14" t="s">
        <v>1956</v>
      </c>
      <c r="E1652" s="12" t="s">
        <v>28</v>
      </c>
      <c r="F1652" s="13" t="s">
        <v>29</v>
      </c>
      <c r="G1652">
        <v>1</v>
      </c>
      <c r="H1652" t="s">
        <v>30</v>
      </c>
      <c r="I1652">
        <v>1</v>
      </c>
      <c r="J1652" s="15"/>
      <c r="K1652" s="16">
        <f>6590.37 - (6590.37 * $E$1)</f>
        <v>6590.37</v>
      </c>
      <c r="L1652" s="16">
        <f>5401.94 - (5401.94 * $E$1)</f>
        <v>5401.94</v>
      </c>
      <c r="M1652" s="1">
        <v>6590.37</v>
      </c>
      <c r="N1652" s="1">
        <v>5401.94</v>
      </c>
      <c r="O1652" s="1">
        <v>5601.81</v>
      </c>
      <c r="P1652" s="1">
        <v>4591.6499999999996</v>
      </c>
      <c r="Q1652">
        <v>1.4</v>
      </c>
      <c r="R1652">
        <v>2.0799999999999998E-3</v>
      </c>
    </row>
    <row r="1653" spans="1:18" ht="13.8" outlineLevel="2" x14ac:dyDescent="0.25">
      <c r="A1653">
        <v>57808</v>
      </c>
      <c r="B1653" t="s">
        <v>1594</v>
      </c>
      <c r="C1653" t="s">
        <v>1963</v>
      </c>
      <c r="D1653" s="14" t="s">
        <v>1956</v>
      </c>
      <c r="E1653" s="12" t="s">
        <v>28</v>
      </c>
      <c r="F1653" s="13" t="s">
        <v>29</v>
      </c>
      <c r="G1653">
        <v>1</v>
      </c>
      <c r="H1653" t="s">
        <v>30</v>
      </c>
      <c r="I1653">
        <v>1</v>
      </c>
      <c r="J1653" s="15"/>
      <c r="K1653" s="16">
        <f>11134.55 - (11134.55 * $E$1)</f>
        <v>11134.55</v>
      </c>
      <c r="L1653" s="16">
        <f>9126.68 - (9126.68 * $E$1)</f>
        <v>9126.68</v>
      </c>
      <c r="M1653" s="1">
        <v>11134.55</v>
      </c>
      <c r="N1653" s="1">
        <v>9126.68</v>
      </c>
      <c r="O1653" s="1">
        <v>9464.3700000000008</v>
      </c>
      <c r="P1653" s="1">
        <v>7757.68</v>
      </c>
      <c r="Q1653">
        <v>2.2999999999999998</v>
      </c>
      <c r="R1653">
        <v>2.8600000000000001E-3</v>
      </c>
    </row>
    <row r="1654" spans="1:18" ht="13.8" outlineLevel="2" x14ac:dyDescent="0.25">
      <c r="A1654">
        <v>60359</v>
      </c>
      <c r="B1654" t="s">
        <v>1594</v>
      </c>
      <c r="C1654" t="s">
        <v>1964</v>
      </c>
      <c r="D1654" s="14" t="s">
        <v>1956</v>
      </c>
      <c r="E1654" s="12" t="s">
        <v>28</v>
      </c>
      <c r="F1654" s="13" t="s">
        <v>29</v>
      </c>
      <c r="G1654">
        <v>1</v>
      </c>
      <c r="H1654" t="s">
        <v>30</v>
      </c>
      <c r="I1654">
        <v>1</v>
      </c>
      <c r="J1654" s="15"/>
      <c r="K1654" s="16">
        <f>2318.79 - (2318.79 * $E$1)</f>
        <v>2318.79</v>
      </c>
      <c r="L1654" s="16">
        <f>1900.65 - (1900.65 * $E$1)</f>
        <v>1900.65</v>
      </c>
      <c r="M1654" s="1">
        <v>2318.79</v>
      </c>
      <c r="N1654" s="1">
        <v>1900.65</v>
      </c>
      <c r="O1654" s="1">
        <v>1970.97</v>
      </c>
      <c r="P1654" s="1">
        <v>1615.55</v>
      </c>
      <c r="Q1654">
        <v>0.5</v>
      </c>
      <c r="R1654">
        <v>1.088E-3</v>
      </c>
    </row>
    <row r="1655" spans="1:18" ht="13.8" outlineLevel="2" x14ac:dyDescent="0.25">
      <c r="A1655">
        <v>57552</v>
      </c>
      <c r="B1655" t="s">
        <v>1594</v>
      </c>
      <c r="C1655" t="s">
        <v>1965</v>
      </c>
      <c r="D1655" s="14" t="s">
        <v>1956</v>
      </c>
      <c r="E1655" s="12" t="s">
        <v>28</v>
      </c>
      <c r="F1655" s="13" t="s">
        <v>29</v>
      </c>
      <c r="G1655">
        <v>1</v>
      </c>
      <c r="H1655" t="s">
        <v>30</v>
      </c>
      <c r="I1655">
        <v>1</v>
      </c>
      <c r="J1655" s="15"/>
      <c r="K1655" s="16">
        <f>3393.56 - (3393.56 * $E$1)</f>
        <v>3393.56</v>
      </c>
      <c r="L1655" s="16">
        <f>2781.61 - (2781.61 * $E$1)</f>
        <v>2781.61</v>
      </c>
      <c r="M1655" s="1">
        <v>3393.56</v>
      </c>
      <c r="N1655" s="1">
        <v>2781.61</v>
      </c>
      <c r="O1655" s="1">
        <v>2884.53</v>
      </c>
      <c r="P1655" s="1">
        <v>2364.37</v>
      </c>
      <c r="Q1655">
        <v>0.48799999999999999</v>
      </c>
      <c r="R1655">
        <v>9.1000000000000004E-3</v>
      </c>
    </row>
    <row r="1656" spans="1:18" ht="13.8" outlineLevel="2" x14ac:dyDescent="0.25">
      <c r="A1656">
        <v>57553</v>
      </c>
      <c r="B1656" t="s">
        <v>1594</v>
      </c>
      <c r="C1656" t="s">
        <v>1966</v>
      </c>
      <c r="D1656" s="14" t="s">
        <v>1956</v>
      </c>
      <c r="E1656" s="12" t="s">
        <v>28</v>
      </c>
      <c r="F1656" s="13" t="s">
        <v>29</v>
      </c>
      <c r="G1656">
        <v>1</v>
      </c>
      <c r="H1656" t="s">
        <v>30</v>
      </c>
      <c r="I1656">
        <v>1</v>
      </c>
      <c r="J1656" s="15"/>
      <c r="K1656" s="16">
        <f>3578.09 - (3578.09 * $E$1)</f>
        <v>3578.09</v>
      </c>
      <c r="L1656" s="16">
        <f>2932.86 - (2932.86 * $E$1)</f>
        <v>2932.86</v>
      </c>
      <c r="M1656" s="1">
        <v>3578.09</v>
      </c>
      <c r="N1656" s="1">
        <v>2932.86</v>
      </c>
      <c r="O1656" s="1">
        <v>3041.38</v>
      </c>
      <c r="P1656" s="1">
        <v>2492.9299999999998</v>
      </c>
      <c r="Q1656">
        <v>1</v>
      </c>
      <c r="R1656">
        <v>2.8600000000000001E-3</v>
      </c>
    </row>
    <row r="1657" spans="1:18" ht="13.8" outlineLevel="2" x14ac:dyDescent="0.25">
      <c r="A1657">
        <v>57554</v>
      </c>
      <c r="B1657" t="s">
        <v>1594</v>
      </c>
      <c r="C1657" t="s">
        <v>1967</v>
      </c>
      <c r="D1657" s="14" t="s">
        <v>1956</v>
      </c>
      <c r="E1657" s="12" t="s">
        <v>28</v>
      </c>
      <c r="F1657" s="13" t="s">
        <v>29</v>
      </c>
      <c r="G1657">
        <v>1</v>
      </c>
      <c r="H1657" t="s">
        <v>30</v>
      </c>
      <c r="I1657">
        <v>1</v>
      </c>
      <c r="J1657" s="15"/>
      <c r="K1657" s="16">
        <f>5024.98 - (5024.98 * $E$1)</f>
        <v>5024.9799999999996</v>
      </c>
      <c r="L1657" s="16">
        <f>4118.84 - (4118.84 * $E$1)</f>
        <v>4118.84</v>
      </c>
      <c r="M1657" s="1">
        <v>5024.9799999999996</v>
      </c>
      <c r="N1657" s="1">
        <v>4118.84</v>
      </c>
      <c r="O1657" s="1">
        <v>4271.24</v>
      </c>
      <c r="P1657" s="1">
        <v>3501.01</v>
      </c>
      <c r="Q1657">
        <v>1.4</v>
      </c>
      <c r="R1657">
        <v>2.8600000000000001E-3</v>
      </c>
    </row>
    <row r="1658" spans="1:18" ht="13.8" outlineLevel="2" x14ac:dyDescent="0.25">
      <c r="A1658">
        <v>60360</v>
      </c>
      <c r="B1658" t="s">
        <v>1594</v>
      </c>
      <c r="C1658" t="s">
        <v>1968</v>
      </c>
      <c r="D1658" s="14" t="s">
        <v>1956</v>
      </c>
      <c r="E1658" s="12" t="s">
        <v>28</v>
      </c>
      <c r="F1658" s="13" t="s">
        <v>29</v>
      </c>
      <c r="G1658">
        <v>1</v>
      </c>
      <c r="H1658" t="s">
        <v>30</v>
      </c>
      <c r="I1658">
        <v>1</v>
      </c>
      <c r="J1658" s="15"/>
      <c r="K1658" s="16">
        <f>4373.6 - (4373.6 * $E$1)</f>
        <v>4373.6000000000004</v>
      </c>
      <c r="L1658" s="16">
        <f>3584.92 - (3584.92 * $E$1)</f>
        <v>3584.92</v>
      </c>
      <c r="M1658" s="1">
        <v>4373.6000000000004</v>
      </c>
      <c r="N1658" s="1">
        <v>3584.92</v>
      </c>
      <c r="O1658" s="1">
        <v>3717.56</v>
      </c>
      <c r="P1658" s="1">
        <v>3047.18</v>
      </c>
      <c r="Q1658">
        <v>0.6</v>
      </c>
      <c r="R1658">
        <v>1.088E-3</v>
      </c>
    </row>
    <row r="1659" spans="1:18" ht="13.8" outlineLevel="2" x14ac:dyDescent="0.25">
      <c r="A1659">
        <v>57805</v>
      </c>
      <c r="B1659" t="s">
        <v>1594</v>
      </c>
      <c r="C1659" t="s">
        <v>1969</v>
      </c>
      <c r="D1659" s="14" t="s">
        <v>1956</v>
      </c>
      <c r="E1659" s="12" t="s">
        <v>28</v>
      </c>
      <c r="F1659" s="13" t="s">
        <v>29</v>
      </c>
      <c r="G1659">
        <v>1</v>
      </c>
      <c r="H1659" t="s">
        <v>30</v>
      </c>
      <c r="I1659">
        <v>1</v>
      </c>
      <c r="J1659" s="15"/>
      <c r="K1659" s="16">
        <f>5963.69 - (5963.69 * $E$1)</f>
        <v>5963.69</v>
      </c>
      <c r="L1659" s="16">
        <f>4888.27 - (4888.27 * $E$1)</f>
        <v>4888.2700000000004</v>
      </c>
      <c r="M1659" s="1">
        <v>5963.69</v>
      </c>
      <c r="N1659" s="1">
        <v>4888.2700000000004</v>
      </c>
      <c r="O1659" s="1">
        <v>5069.1400000000003</v>
      </c>
      <c r="P1659" s="1">
        <v>4155.03</v>
      </c>
      <c r="Q1659">
        <v>0.68</v>
      </c>
      <c r="R1659">
        <v>7.2899999999999996E-3</v>
      </c>
    </row>
    <row r="1660" spans="1:18" ht="13.8" outlineLevel="2" x14ac:dyDescent="0.25">
      <c r="A1660">
        <v>57807</v>
      </c>
      <c r="B1660" t="s">
        <v>1594</v>
      </c>
      <c r="C1660" t="s">
        <v>1970</v>
      </c>
      <c r="D1660" s="14" t="s">
        <v>1956</v>
      </c>
      <c r="E1660" s="12" t="s">
        <v>28</v>
      </c>
      <c r="F1660" s="13" t="s">
        <v>29</v>
      </c>
      <c r="G1660">
        <v>1</v>
      </c>
      <c r="H1660" t="s">
        <v>30</v>
      </c>
      <c r="I1660">
        <v>1</v>
      </c>
      <c r="J1660" s="15"/>
      <c r="K1660" s="16">
        <f>7772.34 - (7772.34 * $E$1)</f>
        <v>7772.34</v>
      </c>
      <c r="L1660" s="16">
        <f>6370.77 - (6370.77 * $E$1)</f>
        <v>6370.77</v>
      </c>
      <c r="M1660" s="1">
        <v>7772.34</v>
      </c>
      <c r="N1660" s="1">
        <v>6370.77</v>
      </c>
      <c r="O1660" s="1">
        <v>6606.49</v>
      </c>
      <c r="P1660" s="1">
        <v>5415.15</v>
      </c>
      <c r="Q1660">
        <v>1.18</v>
      </c>
      <c r="R1660">
        <v>1.2959999999999999E-2</v>
      </c>
    </row>
    <row r="1661" spans="1:18" ht="13.8" outlineLevel="2" x14ac:dyDescent="0.25">
      <c r="A1661">
        <v>57809</v>
      </c>
      <c r="B1661" t="s">
        <v>1594</v>
      </c>
      <c r="C1661" t="s">
        <v>1971</v>
      </c>
      <c r="D1661" s="14" t="s">
        <v>1956</v>
      </c>
      <c r="E1661" s="12" t="s">
        <v>28</v>
      </c>
      <c r="F1661" s="13" t="s">
        <v>29</v>
      </c>
      <c r="G1661">
        <v>1</v>
      </c>
      <c r="H1661" t="s">
        <v>30</v>
      </c>
      <c r="I1661">
        <v>1</v>
      </c>
      <c r="J1661" s="15"/>
      <c r="K1661" s="16">
        <f>12955.31 - (12955.31 * $E$1)</f>
        <v>12955.31</v>
      </c>
      <c r="L1661" s="16">
        <f>10619.11 - (10619.11 * $E$1)</f>
        <v>10619.11</v>
      </c>
      <c r="M1661" s="1">
        <v>12955.31</v>
      </c>
      <c r="N1661" s="1">
        <v>10619.11</v>
      </c>
      <c r="O1661" s="1">
        <v>11012.02</v>
      </c>
      <c r="P1661" s="1">
        <v>9026.24</v>
      </c>
      <c r="Q1661">
        <v>2.6</v>
      </c>
      <c r="R1661">
        <v>2.8600000000000001E-3</v>
      </c>
    </row>
    <row r="1662" spans="1:18" ht="13.8" outlineLevel="2" x14ac:dyDescent="0.25">
      <c r="A1662">
        <v>72905</v>
      </c>
      <c r="B1662" t="s">
        <v>1594</v>
      </c>
      <c r="C1662" t="s">
        <v>1972</v>
      </c>
      <c r="D1662" s="14" t="s">
        <v>1973</v>
      </c>
      <c r="E1662" s="12" t="s">
        <v>28</v>
      </c>
      <c r="F1662" s="13" t="s">
        <v>29</v>
      </c>
      <c r="G1662">
        <v>1</v>
      </c>
      <c r="H1662" t="s">
        <v>30</v>
      </c>
      <c r="I1662">
        <v>1</v>
      </c>
      <c r="J1662" s="15"/>
      <c r="K1662" s="16">
        <f>2088.55 - (2088.55 * $E$1)</f>
        <v>2088.5500000000002</v>
      </c>
      <c r="L1662" s="16">
        <f>1711.93 - (1711.93 * $E$1)</f>
        <v>1711.93</v>
      </c>
      <c r="M1662" s="1">
        <v>2088.5500000000002</v>
      </c>
      <c r="N1662" s="1">
        <v>1711.93</v>
      </c>
      <c r="O1662" s="1">
        <v>1775.27</v>
      </c>
      <c r="P1662" s="1">
        <v>1455.14</v>
      </c>
      <c r="Q1662">
        <v>0.43</v>
      </c>
      <c r="R1662">
        <v>9.2800000000000001E-4</v>
      </c>
    </row>
    <row r="1663" spans="1:18" ht="13.8" outlineLevel="2" x14ac:dyDescent="0.25">
      <c r="A1663">
        <v>72907</v>
      </c>
      <c r="B1663" t="s">
        <v>1594</v>
      </c>
      <c r="C1663" t="s">
        <v>1974</v>
      </c>
      <c r="D1663" s="14" t="s">
        <v>1973</v>
      </c>
      <c r="E1663" s="12" t="s">
        <v>28</v>
      </c>
      <c r="F1663" s="13" t="s">
        <v>29</v>
      </c>
      <c r="G1663">
        <v>1</v>
      </c>
      <c r="H1663" t="s">
        <v>30</v>
      </c>
      <c r="I1663">
        <v>1</v>
      </c>
      <c r="J1663" s="15"/>
      <c r="K1663" s="16">
        <f>2456.29 - (2456.29 * $E$1)</f>
        <v>2456.29</v>
      </c>
      <c r="L1663" s="16">
        <f>2013.35 - (2013.35 * $E$1)</f>
        <v>2013.35</v>
      </c>
      <c r="M1663" s="1">
        <v>2456.29</v>
      </c>
      <c r="N1663" s="1">
        <v>2013.35</v>
      </c>
      <c r="O1663" s="1">
        <v>2087.84</v>
      </c>
      <c r="P1663" s="1">
        <v>1711.35</v>
      </c>
      <c r="Q1663">
        <v>0.49</v>
      </c>
      <c r="R1663">
        <v>1.248E-3</v>
      </c>
    </row>
    <row r="1664" spans="1:18" ht="13.8" outlineLevel="2" x14ac:dyDescent="0.25">
      <c r="A1664">
        <v>72909</v>
      </c>
      <c r="B1664" t="s">
        <v>1594</v>
      </c>
      <c r="C1664" t="s">
        <v>1975</v>
      </c>
      <c r="D1664" s="14" t="s">
        <v>1973</v>
      </c>
      <c r="E1664" s="12" t="s">
        <v>28</v>
      </c>
      <c r="F1664" s="13" t="s">
        <v>29</v>
      </c>
      <c r="G1664">
        <v>1</v>
      </c>
      <c r="H1664" t="s">
        <v>30</v>
      </c>
      <c r="I1664">
        <v>1</v>
      </c>
      <c r="J1664" s="15"/>
      <c r="K1664" s="16">
        <f>3131.5 - (3131.5 * $E$1)</f>
        <v>3131.5</v>
      </c>
      <c r="L1664" s="16">
        <f>2566.8 - (2566.8 * $E$1)</f>
        <v>2566.8000000000002</v>
      </c>
      <c r="M1664" s="1">
        <v>3131.5</v>
      </c>
      <c r="N1664" s="1">
        <v>2566.8000000000002</v>
      </c>
      <c r="O1664" s="1">
        <v>2661.77</v>
      </c>
      <c r="P1664" s="1">
        <v>2181.7800000000002</v>
      </c>
      <c r="Q1664">
        <v>0.62</v>
      </c>
      <c r="R1664">
        <v>2.0799999999999998E-3</v>
      </c>
    </row>
    <row r="1665" spans="1:18" ht="13.8" outlineLevel="2" x14ac:dyDescent="0.25">
      <c r="A1665">
        <v>72906</v>
      </c>
      <c r="B1665" t="s">
        <v>1594</v>
      </c>
      <c r="C1665" t="s">
        <v>1976</v>
      </c>
      <c r="D1665" s="14" t="s">
        <v>1973</v>
      </c>
      <c r="E1665" s="12" t="s">
        <v>28</v>
      </c>
      <c r="F1665" s="13" t="s">
        <v>29</v>
      </c>
      <c r="G1665">
        <v>1</v>
      </c>
      <c r="H1665" t="s">
        <v>30</v>
      </c>
      <c r="I1665">
        <v>1</v>
      </c>
      <c r="J1665" s="15"/>
      <c r="K1665" s="16">
        <f>4078.69 - (4078.69 * $E$1)</f>
        <v>4078.69</v>
      </c>
      <c r="L1665" s="16">
        <f>3343.19 - (3343.19 * $E$1)</f>
        <v>3343.19</v>
      </c>
      <c r="M1665" s="1">
        <v>4078.69</v>
      </c>
      <c r="N1665" s="1">
        <v>3343.19</v>
      </c>
      <c r="O1665" s="1">
        <v>3466.89</v>
      </c>
      <c r="P1665" s="1">
        <v>2841.71</v>
      </c>
      <c r="Q1665">
        <v>0.48</v>
      </c>
      <c r="R1665">
        <v>9.2800000000000001E-4</v>
      </c>
    </row>
    <row r="1666" spans="1:18" ht="13.8" outlineLevel="2" x14ac:dyDescent="0.25">
      <c r="A1666">
        <v>72908</v>
      </c>
      <c r="B1666" t="s">
        <v>1594</v>
      </c>
      <c r="C1666" t="s">
        <v>1977</v>
      </c>
      <c r="D1666" s="14" t="s">
        <v>1973</v>
      </c>
      <c r="E1666" s="12" t="s">
        <v>28</v>
      </c>
      <c r="F1666" s="13" t="s">
        <v>29</v>
      </c>
      <c r="G1666">
        <v>1</v>
      </c>
      <c r="H1666" t="s">
        <v>30</v>
      </c>
      <c r="I1666">
        <v>1</v>
      </c>
      <c r="J1666" s="15"/>
      <c r="K1666" s="16">
        <f>4653.64 - (4653.64 * $E$1)</f>
        <v>4653.6400000000003</v>
      </c>
      <c r="L1666" s="16">
        <f>3814.46 - (3814.46 * $E$1)</f>
        <v>3814.46</v>
      </c>
      <c r="M1666" s="1">
        <v>4653.6400000000003</v>
      </c>
      <c r="N1666" s="1">
        <v>3814.46</v>
      </c>
      <c r="O1666" s="1">
        <v>3955.6</v>
      </c>
      <c r="P1666" s="1">
        <v>3242.29</v>
      </c>
      <c r="Q1666">
        <v>0.67</v>
      </c>
      <c r="R1666">
        <v>1.248E-3</v>
      </c>
    </row>
    <row r="1667" spans="1:18" ht="13.8" outlineLevel="2" x14ac:dyDescent="0.25">
      <c r="A1667">
        <v>72910</v>
      </c>
      <c r="B1667" t="s">
        <v>1594</v>
      </c>
      <c r="C1667" t="s">
        <v>1978</v>
      </c>
      <c r="D1667" s="14" t="s">
        <v>1973</v>
      </c>
      <c r="E1667" s="12" t="s">
        <v>28</v>
      </c>
      <c r="F1667" s="13" t="s">
        <v>29</v>
      </c>
      <c r="G1667">
        <v>1</v>
      </c>
      <c r="H1667" t="s">
        <v>30</v>
      </c>
      <c r="I1667">
        <v>1</v>
      </c>
      <c r="J1667" s="15"/>
      <c r="K1667" s="16">
        <f>6637.18 - (6637.18 * $E$1)</f>
        <v>6637.18</v>
      </c>
      <c r="L1667" s="16">
        <f>5440.31 - (5440.31 * $E$1)</f>
        <v>5440.31</v>
      </c>
      <c r="M1667" s="1">
        <v>6637.18</v>
      </c>
      <c r="N1667" s="1">
        <v>5440.31</v>
      </c>
      <c r="O1667" s="1">
        <v>5641.6</v>
      </c>
      <c r="P1667" s="1">
        <v>4624.26</v>
      </c>
      <c r="Q1667">
        <v>1.1000000000000001</v>
      </c>
      <c r="R1667">
        <v>2.0799999999999998E-3</v>
      </c>
    </row>
    <row r="1668" spans="1:18" ht="13.8" outlineLevel="2" x14ac:dyDescent="0.25">
      <c r="A1668">
        <v>57245</v>
      </c>
      <c r="B1668" t="s">
        <v>1594</v>
      </c>
      <c r="C1668" t="s">
        <v>1979</v>
      </c>
      <c r="D1668" s="14" t="s">
        <v>1980</v>
      </c>
      <c r="E1668" s="12" t="s">
        <v>28</v>
      </c>
      <c r="F1668" s="13" t="s">
        <v>29</v>
      </c>
      <c r="G1668">
        <v>1</v>
      </c>
      <c r="H1668" t="s">
        <v>30</v>
      </c>
      <c r="I1668">
        <v>1</v>
      </c>
      <c r="J1668" s="15"/>
      <c r="K1668" s="16">
        <f>591.75 - (591.75 * $E$1)</f>
        <v>591.75</v>
      </c>
      <c r="L1668" s="16">
        <f>485.04 - (485.04 * $E$1)</f>
        <v>485.04</v>
      </c>
      <c r="M1668" s="1">
        <v>591.75</v>
      </c>
      <c r="N1668" s="1">
        <v>485.04</v>
      </c>
      <c r="O1668" s="1">
        <v>502.99</v>
      </c>
      <c r="P1668" s="1">
        <v>412.28</v>
      </c>
      <c r="Q1668">
        <v>6.5000000000000002E-2</v>
      </c>
      <c r="R1668">
        <v>7.0399999999999998E-4</v>
      </c>
    </row>
    <row r="1669" spans="1:18" ht="13.8" outlineLevel="2" x14ac:dyDescent="0.25">
      <c r="A1669">
        <v>66564</v>
      </c>
      <c r="B1669" t="s">
        <v>1594</v>
      </c>
      <c r="C1669" t="s">
        <v>1981</v>
      </c>
      <c r="D1669" s="14" t="s">
        <v>1980</v>
      </c>
      <c r="E1669" s="12" t="s">
        <v>28</v>
      </c>
      <c r="F1669" s="13" t="s">
        <v>29</v>
      </c>
      <c r="G1669">
        <v>1</v>
      </c>
      <c r="H1669" t="s">
        <v>30</v>
      </c>
      <c r="I1669">
        <v>1</v>
      </c>
      <c r="J1669" s="15"/>
      <c r="K1669" s="16">
        <f>1310.71 - (1310.71 * $E$1)</f>
        <v>1310.71</v>
      </c>
      <c r="L1669" s="16">
        <f>1074.35 - (1074.35 * $E$1)</f>
        <v>1074.3499999999999</v>
      </c>
      <c r="M1669" s="1">
        <v>1310.71</v>
      </c>
      <c r="N1669" s="1">
        <v>1074.3499999999999</v>
      </c>
      <c r="O1669" s="1">
        <v>1114.0999999999999</v>
      </c>
      <c r="P1669" s="1">
        <v>913.2</v>
      </c>
      <c r="Q1669">
        <v>0.11899999999999999</v>
      </c>
      <c r="R1669">
        <v>7.0399999999999998E-4</v>
      </c>
    </row>
    <row r="1670" spans="1:18" ht="13.8" outlineLevel="2" x14ac:dyDescent="0.25">
      <c r="A1670">
        <v>57247</v>
      </c>
      <c r="B1670" t="s">
        <v>1594</v>
      </c>
      <c r="C1670" t="s">
        <v>1982</v>
      </c>
      <c r="D1670" s="14" t="s">
        <v>1980</v>
      </c>
      <c r="E1670" s="12" t="s">
        <v>28</v>
      </c>
      <c r="F1670" s="13" t="s">
        <v>29</v>
      </c>
      <c r="G1670">
        <v>1</v>
      </c>
      <c r="H1670" t="s">
        <v>30</v>
      </c>
      <c r="I1670">
        <v>1</v>
      </c>
      <c r="J1670" s="15"/>
      <c r="K1670" s="16">
        <f>1032.97 - (1032.97 * $E$1)</f>
        <v>1032.97</v>
      </c>
      <c r="L1670" s="16">
        <f>846.7 - (846.7 * $E$1)</f>
        <v>846.7</v>
      </c>
      <c r="M1670" s="1">
        <v>1032.97</v>
      </c>
      <c r="N1670" s="1">
        <v>846.7</v>
      </c>
      <c r="O1670" s="1">
        <v>878.03</v>
      </c>
      <c r="P1670" s="1">
        <v>719.7</v>
      </c>
      <c r="Q1670">
        <v>9.0999999999999998E-2</v>
      </c>
      <c r="R1670">
        <v>7.0399999999999998E-4</v>
      </c>
    </row>
    <row r="1671" spans="1:18" ht="13.8" outlineLevel="2" x14ac:dyDescent="0.25">
      <c r="A1671">
        <v>57248</v>
      </c>
      <c r="B1671" t="s">
        <v>1594</v>
      </c>
      <c r="C1671" t="s">
        <v>1983</v>
      </c>
      <c r="D1671" s="14" t="s">
        <v>1980</v>
      </c>
      <c r="E1671" s="12" t="s">
        <v>28</v>
      </c>
      <c r="F1671" s="13" t="s">
        <v>29</v>
      </c>
      <c r="G1671">
        <v>1</v>
      </c>
      <c r="H1671" t="s">
        <v>30</v>
      </c>
      <c r="I1671">
        <v>1</v>
      </c>
      <c r="J1671" s="15"/>
      <c r="K1671" s="16">
        <f>1941.12 - (1941.12 * $E$1)</f>
        <v>1941.12</v>
      </c>
      <c r="L1671" s="16">
        <f>1591.08 - (1591.08 * $E$1)</f>
        <v>1591.08</v>
      </c>
      <c r="M1671" s="1">
        <v>1941.12</v>
      </c>
      <c r="N1671" s="1">
        <v>1591.08</v>
      </c>
      <c r="O1671" s="1">
        <v>1649.95</v>
      </c>
      <c r="P1671" s="1">
        <v>1352.42</v>
      </c>
      <c r="Q1671">
        <v>0.28199999999999997</v>
      </c>
      <c r="R1671">
        <v>1.088E-3</v>
      </c>
    </row>
    <row r="1672" spans="1:18" ht="13.8" outlineLevel="2" x14ac:dyDescent="0.25">
      <c r="A1672">
        <v>57249</v>
      </c>
      <c r="B1672" t="s">
        <v>1594</v>
      </c>
      <c r="C1672" t="s">
        <v>1984</v>
      </c>
      <c r="D1672" s="14" t="s">
        <v>1980</v>
      </c>
      <c r="E1672" s="12" t="s">
        <v>28</v>
      </c>
      <c r="F1672" s="13" t="s">
        <v>29</v>
      </c>
      <c r="G1672">
        <v>1</v>
      </c>
      <c r="H1672" t="s">
        <v>30</v>
      </c>
      <c r="I1672">
        <v>1</v>
      </c>
      <c r="J1672" s="15"/>
      <c r="K1672" s="16">
        <f>787.33 - (787.33 * $E$1)</f>
        <v>787.33</v>
      </c>
      <c r="L1672" s="16">
        <f>645.35 - (645.35 * $E$1)</f>
        <v>645.35</v>
      </c>
      <c r="M1672" s="1">
        <v>787.33</v>
      </c>
      <c r="N1672" s="1">
        <v>645.35</v>
      </c>
      <c r="O1672" s="1">
        <v>669.23</v>
      </c>
      <c r="P1672" s="1">
        <v>548.54999999999995</v>
      </c>
      <c r="Q1672">
        <v>0.115</v>
      </c>
      <c r="R1672">
        <v>8.6399999999999997E-4</v>
      </c>
    </row>
    <row r="1673" spans="1:18" ht="13.8" outlineLevel="2" x14ac:dyDescent="0.25">
      <c r="A1673">
        <v>78559</v>
      </c>
      <c r="B1673" t="s">
        <v>1985</v>
      </c>
      <c r="C1673" t="s">
        <v>1986</v>
      </c>
      <c r="D1673" s="14" t="s">
        <v>1987</v>
      </c>
      <c r="E1673" s="12" t="s">
        <v>28</v>
      </c>
      <c r="F1673" s="13" t="s">
        <v>29</v>
      </c>
      <c r="G1673">
        <v>1</v>
      </c>
      <c r="H1673" t="s">
        <v>30</v>
      </c>
      <c r="I1673">
        <v>1</v>
      </c>
      <c r="J1673" s="15"/>
      <c r="K1673" s="16">
        <f>3296.94 - (3296.94 * $E$1)</f>
        <v>3296.94</v>
      </c>
      <c r="L1673" s="16">
        <f>2702.41 - (2702.41 * $E$1)</f>
        <v>2702.41</v>
      </c>
      <c r="M1673" s="1">
        <v>3296.94</v>
      </c>
      <c r="N1673" s="1">
        <v>2702.41</v>
      </c>
      <c r="O1673" s="1">
        <v>2802.4</v>
      </c>
      <c r="P1673" s="1">
        <v>2297.0500000000002</v>
      </c>
      <c r="Q1673">
        <v>0.34</v>
      </c>
      <c r="R1673">
        <v>1.792E-3</v>
      </c>
    </row>
    <row r="1674" spans="1:18" ht="13.8" outlineLevel="2" x14ac:dyDescent="0.25">
      <c r="A1674">
        <v>78560</v>
      </c>
      <c r="B1674" t="s">
        <v>1985</v>
      </c>
      <c r="C1674" t="s">
        <v>1988</v>
      </c>
      <c r="D1674" s="14" t="s">
        <v>1987</v>
      </c>
      <c r="E1674" s="12" t="s">
        <v>28</v>
      </c>
      <c r="F1674" s="13" t="s">
        <v>29</v>
      </c>
      <c r="G1674">
        <v>1</v>
      </c>
      <c r="H1674" t="s">
        <v>30</v>
      </c>
      <c r="I1674">
        <v>1</v>
      </c>
      <c r="J1674" s="15"/>
      <c r="K1674" s="16">
        <f>5656.36 - (5656.36 * $E$1)</f>
        <v>5656.36</v>
      </c>
      <c r="L1674" s="16">
        <f>4636.36 - (4636.36 * $E$1)</f>
        <v>4636.3599999999997</v>
      </c>
      <c r="M1674" s="1">
        <v>5656.36</v>
      </c>
      <c r="N1674" s="1">
        <v>4636.3599999999997</v>
      </c>
      <c r="O1674" s="1">
        <v>4807.91</v>
      </c>
      <c r="P1674" s="1">
        <v>3940.91</v>
      </c>
      <c r="Q1674">
        <v>0.65</v>
      </c>
      <c r="R1674">
        <v>5.1869999999999998E-3</v>
      </c>
    </row>
    <row r="1675" spans="1:18" ht="13.8" outlineLevel="2" x14ac:dyDescent="0.25">
      <c r="A1675">
        <v>102649</v>
      </c>
      <c r="B1675" t="s">
        <v>1985</v>
      </c>
      <c r="C1675" t="s">
        <v>1989</v>
      </c>
      <c r="D1675" s="14" t="s">
        <v>1987</v>
      </c>
      <c r="E1675" s="12" t="s">
        <v>28</v>
      </c>
      <c r="F1675" s="13" t="s">
        <v>29</v>
      </c>
      <c r="G1675">
        <v>1</v>
      </c>
      <c r="H1675" t="s">
        <v>30</v>
      </c>
      <c r="I1675">
        <v>1</v>
      </c>
      <c r="J1675" s="15"/>
      <c r="K1675" s="16">
        <f>10381.14 - (10381.14 * $E$1)</f>
        <v>10381.14</v>
      </c>
      <c r="L1675" s="16">
        <f>8509.13 - (8509.13 * $E$1)</f>
        <v>8509.1299999999992</v>
      </c>
      <c r="M1675" s="1">
        <v>10381.14</v>
      </c>
      <c r="N1675" s="1">
        <v>8509.1299999999992</v>
      </c>
      <c r="O1675" s="1">
        <v>8823.9699999999993</v>
      </c>
      <c r="P1675" s="1">
        <v>7232.76</v>
      </c>
      <c r="Q1675">
        <v>2.14</v>
      </c>
      <c r="R1675">
        <v>2.7000000000000001E-3</v>
      </c>
    </row>
    <row r="1676" spans="1:18" ht="13.8" outlineLevel="2" x14ac:dyDescent="0.25">
      <c r="A1676">
        <v>78561</v>
      </c>
      <c r="B1676" t="s">
        <v>1985</v>
      </c>
      <c r="C1676" t="s">
        <v>1990</v>
      </c>
      <c r="D1676" s="14" t="s">
        <v>1987</v>
      </c>
      <c r="E1676" s="12" t="s">
        <v>28</v>
      </c>
      <c r="F1676" s="13" t="s">
        <v>29</v>
      </c>
      <c r="G1676">
        <v>1</v>
      </c>
      <c r="H1676" t="s">
        <v>30</v>
      </c>
      <c r="I1676">
        <v>1</v>
      </c>
      <c r="J1676" s="15"/>
      <c r="K1676" s="16">
        <f>3421.21 - (3421.21 * $E$1)</f>
        <v>3421.21</v>
      </c>
      <c r="L1676" s="16">
        <f>2804.27 - (2804.27 * $E$1)</f>
        <v>2804.27</v>
      </c>
      <c r="M1676" s="1">
        <v>3421.21</v>
      </c>
      <c r="N1676" s="1">
        <v>2804.27</v>
      </c>
      <c r="O1676" s="1">
        <v>2908.03</v>
      </c>
      <c r="P1676" s="1">
        <v>2383.63</v>
      </c>
      <c r="Q1676">
        <v>0.39500000000000002</v>
      </c>
      <c r="R1676">
        <v>1.792E-3</v>
      </c>
    </row>
    <row r="1677" spans="1:18" ht="13.8" outlineLevel="2" x14ac:dyDescent="0.25">
      <c r="A1677">
        <v>78562</v>
      </c>
      <c r="B1677" t="s">
        <v>1985</v>
      </c>
      <c r="C1677" t="s">
        <v>1991</v>
      </c>
      <c r="D1677" s="14" t="s">
        <v>1987</v>
      </c>
      <c r="E1677" s="12" t="s">
        <v>28</v>
      </c>
      <c r="F1677" s="13" t="s">
        <v>29</v>
      </c>
      <c r="G1677">
        <v>1</v>
      </c>
      <c r="H1677" t="s">
        <v>30</v>
      </c>
      <c r="I1677">
        <v>1</v>
      </c>
      <c r="J1677" s="15"/>
      <c r="K1677" s="16">
        <f>6257.37 - (6257.37 * $E$1)</f>
        <v>6257.37</v>
      </c>
      <c r="L1677" s="16">
        <f>5128.99 - (5128.99 * $E$1)</f>
        <v>5128.99</v>
      </c>
      <c r="M1677" s="1">
        <v>6257.37</v>
      </c>
      <c r="N1677" s="1">
        <v>5128.99</v>
      </c>
      <c r="O1677" s="1">
        <v>5318.76</v>
      </c>
      <c r="P1677" s="1">
        <v>4359.6400000000003</v>
      </c>
      <c r="Q1677">
        <v>0.70399999999999996</v>
      </c>
      <c r="R1677">
        <v>5.1869999999999998E-3</v>
      </c>
    </row>
    <row r="1678" spans="1:18" ht="13.8" outlineLevel="2" x14ac:dyDescent="0.25">
      <c r="A1678">
        <v>102651</v>
      </c>
      <c r="B1678" t="s">
        <v>1985</v>
      </c>
      <c r="C1678" t="s">
        <v>1992</v>
      </c>
      <c r="D1678" s="14" t="s">
        <v>1987</v>
      </c>
      <c r="E1678" s="12" t="s">
        <v>28</v>
      </c>
      <c r="F1678" s="13" t="s">
        <v>29</v>
      </c>
      <c r="G1678">
        <v>1</v>
      </c>
      <c r="H1678" t="s">
        <v>30</v>
      </c>
      <c r="I1678">
        <v>1</v>
      </c>
      <c r="J1678" s="15"/>
      <c r="K1678" s="16">
        <f>10770.43 - (10770.43 * $E$1)</f>
        <v>10770.43</v>
      </c>
      <c r="L1678" s="16">
        <f>8828.22 - (8828.22 * $E$1)</f>
        <v>8828.2199999999993</v>
      </c>
      <c r="M1678" s="1">
        <v>10770.43</v>
      </c>
      <c r="N1678" s="1">
        <v>8828.2199999999993</v>
      </c>
      <c r="O1678" s="1">
        <v>9154.86</v>
      </c>
      <c r="P1678" s="1">
        <v>7503.99</v>
      </c>
      <c r="Q1678">
        <v>2.44</v>
      </c>
      <c r="R1678">
        <v>2.7000000000000001E-3</v>
      </c>
    </row>
    <row r="1679" spans="1:18" ht="13.8" outlineLevel="2" x14ac:dyDescent="0.25">
      <c r="A1679">
        <v>78563</v>
      </c>
      <c r="B1679" t="s">
        <v>1985</v>
      </c>
      <c r="C1679" t="s">
        <v>1993</v>
      </c>
      <c r="D1679" s="14" t="s">
        <v>1987</v>
      </c>
      <c r="E1679" s="12" t="s">
        <v>28</v>
      </c>
      <c r="F1679" s="13" t="s">
        <v>29</v>
      </c>
      <c r="G1679">
        <v>1</v>
      </c>
      <c r="H1679" t="s">
        <v>30</v>
      </c>
      <c r="I1679">
        <v>1</v>
      </c>
      <c r="J1679" s="15"/>
      <c r="K1679" s="16">
        <f>3868.57 - (3868.57 * $E$1)</f>
        <v>3868.57</v>
      </c>
      <c r="L1679" s="16">
        <f>3170.96 - (3170.96 * $E$1)</f>
        <v>3170.96</v>
      </c>
      <c r="M1679" s="1">
        <v>3868.57</v>
      </c>
      <c r="N1679" s="1">
        <v>3170.96</v>
      </c>
      <c r="O1679" s="1">
        <v>3288.29</v>
      </c>
      <c r="P1679" s="1">
        <v>2695.32</v>
      </c>
      <c r="Q1679">
        <v>0.4</v>
      </c>
      <c r="R1679">
        <v>1.792E-3</v>
      </c>
    </row>
    <row r="1680" spans="1:18" ht="13.8" outlineLevel="2" x14ac:dyDescent="0.25">
      <c r="A1680">
        <v>78564</v>
      </c>
      <c r="B1680" t="s">
        <v>1985</v>
      </c>
      <c r="C1680" t="s">
        <v>1994</v>
      </c>
      <c r="D1680" s="14" t="s">
        <v>1987</v>
      </c>
      <c r="E1680" s="12" t="s">
        <v>28</v>
      </c>
      <c r="F1680" s="13" t="s">
        <v>29</v>
      </c>
      <c r="G1680">
        <v>1</v>
      </c>
      <c r="H1680" t="s">
        <v>30</v>
      </c>
      <c r="I1680">
        <v>1</v>
      </c>
      <c r="J1680" s="15"/>
      <c r="K1680" s="16">
        <f>6926.5 - (6926.5 * $E$1)</f>
        <v>6926.5</v>
      </c>
      <c r="L1680" s="16">
        <f>5677.46 - (5677.46 * $E$1)</f>
        <v>5677.46</v>
      </c>
      <c r="M1680" s="1">
        <v>6926.5</v>
      </c>
      <c r="N1680" s="1">
        <v>5677.46</v>
      </c>
      <c r="O1680" s="1">
        <v>5887.53</v>
      </c>
      <c r="P1680" s="1">
        <v>4825.84</v>
      </c>
      <c r="Q1680">
        <v>0.80600000000000005</v>
      </c>
      <c r="R1680">
        <v>5.1869999999999998E-3</v>
      </c>
    </row>
    <row r="1681" spans="1:18" ht="13.8" outlineLevel="2" x14ac:dyDescent="0.25">
      <c r="A1681">
        <v>102650</v>
      </c>
      <c r="B1681" t="s">
        <v>1985</v>
      </c>
      <c r="C1681" t="s">
        <v>1995</v>
      </c>
      <c r="D1681" s="14" t="s">
        <v>1987</v>
      </c>
      <c r="E1681" s="12" t="s">
        <v>28</v>
      </c>
      <c r="F1681" s="13" t="s">
        <v>29</v>
      </c>
      <c r="G1681">
        <v>1</v>
      </c>
      <c r="H1681" t="s">
        <v>30</v>
      </c>
      <c r="I1681">
        <v>1</v>
      </c>
      <c r="J1681" s="15"/>
      <c r="K1681" s="16">
        <f>15339.37 - (15339.37 * $E$1)</f>
        <v>15339.37</v>
      </c>
      <c r="L1681" s="16">
        <f>12573.25 - (12573.25 * $E$1)</f>
        <v>12573.25</v>
      </c>
      <c r="M1681" s="1">
        <v>15339.37</v>
      </c>
      <c r="N1681" s="1">
        <v>12573.25</v>
      </c>
      <c r="O1681" s="1">
        <v>13038.46</v>
      </c>
      <c r="P1681" s="1">
        <v>10687.26</v>
      </c>
      <c r="Q1681">
        <v>2.54</v>
      </c>
      <c r="R1681">
        <v>2.7000000000000001E-3</v>
      </c>
    </row>
    <row r="1682" spans="1:18" ht="13.8" outlineLevel="2" x14ac:dyDescent="0.25">
      <c r="A1682">
        <v>78565</v>
      </c>
      <c r="B1682" t="s">
        <v>1985</v>
      </c>
      <c r="C1682" t="s">
        <v>1996</v>
      </c>
      <c r="D1682" s="14" t="s">
        <v>1987</v>
      </c>
      <c r="E1682" s="12" t="s">
        <v>28</v>
      </c>
      <c r="F1682" s="13" t="s">
        <v>29</v>
      </c>
      <c r="G1682">
        <v>1</v>
      </c>
      <c r="H1682" t="s">
        <v>30</v>
      </c>
      <c r="I1682">
        <v>1</v>
      </c>
      <c r="J1682" s="15"/>
      <c r="K1682" s="16">
        <f>4087.15 - (4087.15 * $E$1)</f>
        <v>4087.15</v>
      </c>
      <c r="L1682" s="16">
        <f>3350.12 - (3350.12 * $E$1)</f>
        <v>3350.12</v>
      </c>
      <c r="M1682" s="1">
        <v>4087.15</v>
      </c>
      <c r="N1682" s="1">
        <v>3350.12</v>
      </c>
      <c r="O1682" s="1">
        <v>3474.07</v>
      </c>
      <c r="P1682" s="1">
        <v>2847.6</v>
      </c>
      <c r="Q1682">
        <v>0.42</v>
      </c>
      <c r="R1682">
        <v>1.792E-3</v>
      </c>
    </row>
    <row r="1683" spans="1:18" ht="13.8" outlineLevel="2" x14ac:dyDescent="0.25">
      <c r="A1683">
        <v>78566</v>
      </c>
      <c r="B1683" t="s">
        <v>1985</v>
      </c>
      <c r="C1683" t="s">
        <v>1997</v>
      </c>
      <c r="D1683" s="14" t="s">
        <v>1987</v>
      </c>
      <c r="E1683" s="12" t="s">
        <v>28</v>
      </c>
      <c r="F1683" s="13" t="s">
        <v>29</v>
      </c>
      <c r="G1683">
        <v>1</v>
      </c>
      <c r="H1683" t="s">
        <v>30</v>
      </c>
      <c r="I1683">
        <v>1</v>
      </c>
      <c r="J1683" s="15"/>
      <c r="K1683" s="16">
        <f>7305.86 - (7305.86 * $E$1)</f>
        <v>7305.86</v>
      </c>
      <c r="L1683" s="16">
        <f>5988.41 - (5988.41 * $E$1)</f>
        <v>5988.41</v>
      </c>
      <c r="M1683" s="1">
        <v>7305.86</v>
      </c>
      <c r="N1683" s="1">
        <v>5988.41</v>
      </c>
      <c r="O1683" s="1">
        <v>6209.98</v>
      </c>
      <c r="P1683" s="1">
        <v>5090.1499999999996</v>
      </c>
      <c r="Q1683">
        <v>0.86</v>
      </c>
      <c r="R1683">
        <v>5.1869999999999998E-3</v>
      </c>
    </row>
    <row r="1684" spans="1:18" ht="13.8" outlineLevel="2" x14ac:dyDescent="0.25">
      <c r="A1684">
        <v>102652</v>
      </c>
      <c r="B1684" t="s">
        <v>1985</v>
      </c>
      <c r="C1684" t="s">
        <v>1998</v>
      </c>
      <c r="D1684" s="14" t="s">
        <v>1987</v>
      </c>
      <c r="E1684" s="12" t="s">
        <v>28</v>
      </c>
      <c r="F1684" s="13" t="s">
        <v>29</v>
      </c>
      <c r="G1684">
        <v>1</v>
      </c>
      <c r="H1684" t="s">
        <v>30</v>
      </c>
      <c r="I1684">
        <v>1</v>
      </c>
      <c r="J1684" s="15"/>
      <c r="K1684" s="16">
        <f>15720.02 - (15720.02 * $E$1)</f>
        <v>15720.02</v>
      </c>
      <c r="L1684" s="16">
        <f>12885.26 - (12885.26 * $E$1)</f>
        <v>12885.26</v>
      </c>
      <c r="M1684" s="1">
        <v>15720.02</v>
      </c>
      <c r="N1684" s="1">
        <v>12885.26</v>
      </c>
      <c r="O1684" s="1">
        <v>13362.01</v>
      </c>
      <c r="P1684" s="1">
        <v>10952.47</v>
      </c>
      <c r="Q1684">
        <v>2.84</v>
      </c>
      <c r="R1684">
        <v>2.7000000000000001E-3</v>
      </c>
    </row>
    <row r="1685" spans="1:18" ht="13.8" outlineLevel="2" x14ac:dyDescent="0.25">
      <c r="A1685">
        <v>69856</v>
      </c>
      <c r="B1685" t="s">
        <v>1594</v>
      </c>
      <c r="C1685" t="s">
        <v>1999</v>
      </c>
      <c r="D1685" s="14" t="s">
        <v>2000</v>
      </c>
      <c r="E1685" s="12" t="s">
        <v>28</v>
      </c>
      <c r="F1685" s="13" t="s">
        <v>29</v>
      </c>
      <c r="G1685">
        <v>1</v>
      </c>
      <c r="H1685" t="s">
        <v>30</v>
      </c>
      <c r="I1685">
        <v>1</v>
      </c>
      <c r="J1685" s="15"/>
      <c r="K1685" s="16">
        <f>2111.49 - (2111.49 * $E$1)</f>
        <v>2111.4899999999998</v>
      </c>
      <c r="L1685" s="16">
        <f>1730.73 - (1730.73 * $E$1)</f>
        <v>1730.73</v>
      </c>
      <c r="M1685" s="1">
        <v>2111.4899999999998</v>
      </c>
      <c r="N1685" s="1">
        <v>1730.73</v>
      </c>
      <c r="O1685" s="1">
        <v>1794.77</v>
      </c>
      <c r="P1685" s="1">
        <v>1471.12</v>
      </c>
      <c r="Q1685">
        <v>0.16</v>
      </c>
      <c r="R1685">
        <v>4.0700000000000003E-4</v>
      </c>
    </row>
    <row r="1686" spans="1:18" ht="13.8" outlineLevel="2" x14ac:dyDescent="0.25">
      <c r="A1686">
        <v>69857</v>
      </c>
      <c r="B1686" t="s">
        <v>1594</v>
      </c>
      <c r="C1686" t="s">
        <v>2001</v>
      </c>
      <c r="D1686" s="14" t="s">
        <v>2000</v>
      </c>
      <c r="E1686" s="12" t="s">
        <v>28</v>
      </c>
      <c r="F1686" s="13" t="s">
        <v>29</v>
      </c>
      <c r="G1686">
        <v>1</v>
      </c>
      <c r="H1686" t="s">
        <v>30</v>
      </c>
      <c r="I1686">
        <v>1</v>
      </c>
      <c r="J1686" s="15"/>
      <c r="K1686" s="16">
        <f>3330.09 - (3330.09 * $E$1)</f>
        <v>3330.09</v>
      </c>
      <c r="L1686" s="16">
        <f>2729.58 - (2729.58 * $E$1)</f>
        <v>2729.58</v>
      </c>
      <c r="M1686" s="1">
        <v>3330.09</v>
      </c>
      <c r="N1686" s="1">
        <v>2729.58</v>
      </c>
      <c r="O1686" s="1">
        <v>2830.57</v>
      </c>
      <c r="P1686" s="1">
        <v>2320.14</v>
      </c>
      <c r="Q1686">
        <v>0.32</v>
      </c>
      <c r="R1686">
        <v>5.1699999999999999E-4</v>
      </c>
    </row>
    <row r="1687" spans="1:18" ht="13.8" outlineLevel="2" x14ac:dyDescent="0.25">
      <c r="A1687">
        <v>65509</v>
      </c>
      <c r="B1687" t="s">
        <v>1594</v>
      </c>
      <c r="C1687" t="s">
        <v>2002</v>
      </c>
      <c r="D1687" s="14" t="s">
        <v>2003</v>
      </c>
      <c r="E1687" s="12" t="s">
        <v>28</v>
      </c>
      <c r="F1687" s="13" t="s">
        <v>29</v>
      </c>
      <c r="G1687">
        <v>1</v>
      </c>
      <c r="H1687" t="s">
        <v>30</v>
      </c>
      <c r="I1687">
        <v>1</v>
      </c>
      <c r="J1687" s="15"/>
      <c r="K1687" s="16">
        <f>520.96 - (520.96 * $E$1)</f>
        <v>520.96</v>
      </c>
      <c r="L1687" s="16">
        <f>427.02 - (427.02 * $E$1)</f>
        <v>427.02</v>
      </c>
      <c r="M1687" s="1">
        <v>520.96</v>
      </c>
      <c r="N1687" s="1">
        <v>427.02</v>
      </c>
      <c r="O1687" s="1">
        <v>442.82</v>
      </c>
      <c r="P1687" s="1">
        <v>362.97</v>
      </c>
      <c r="Q1687">
        <v>5.1999999999999998E-2</v>
      </c>
      <c r="R1687">
        <v>4.0200000000000001E-4</v>
      </c>
    </row>
    <row r="1688" spans="1:18" ht="13.8" outlineLevel="2" x14ac:dyDescent="0.25">
      <c r="A1688">
        <v>65510</v>
      </c>
      <c r="B1688" t="s">
        <v>1594</v>
      </c>
      <c r="C1688" t="s">
        <v>2004</v>
      </c>
      <c r="D1688" s="14" t="s">
        <v>2003</v>
      </c>
      <c r="E1688" s="12" t="s">
        <v>28</v>
      </c>
      <c r="F1688" s="13" t="s">
        <v>29</v>
      </c>
      <c r="G1688">
        <v>1</v>
      </c>
      <c r="H1688" t="s">
        <v>30</v>
      </c>
      <c r="I1688">
        <v>1</v>
      </c>
      <c r="J1688" s="15"/>
      <c r="K1688" s="16">
        <f>606.06 - (606.06 * $E$1)</f>
        <v>606.05999999999995</v>
      </c>
      <c r="L1688" s="16">
        <f>496.77 - (496.77 * $E$1)</f>
        <v>496.77</v>
      </c>
      <c r="M1688" s="1">
        <v>606.05999999999995</v>
      </c>
      <c r="N1688" s="1">
        <v>496.77</v>
      </c>
      <c r="O1688" s="1">
        <v>515.15</v>
      </c>
      <c r="P1688" s="1">
        <v>422.25</v>
      </c>
      <c r="Q1688">
        <v>6.8000000000000005E-2</v>
      </c>
      <c r="R1688">
        <v>4.5899999999999999E-4</v>
      </c>
    </row>
    <row r="1689" spans="1:18" ht="13.8" outlineLevel="2" x14ac:dyDescent="0.25">
      <c r="A1689">
        <v>86669</v>
      </c>
      <c r="B1689" t="s">
        <v>2005</v>
      </c>
      <c r="C1689" t="s">
        <v>2006</v>
      </c>
      <c r="D1689" s="14" t="s">
        <v>2006</v>
      </c>
      <c r="E1689" s="12" t="s">
        <v>28</v>
      </c>
      <c r="F1689" s="13" t="s">
        <v>29</v>
      </c>
      <c r="G1689">
        <v>1</v>
      </c>
      <c r="H1689" t="s">
        <v>30</v>
      </c>
      <c r="I1689">
        <v>1</v>
      </c>
      <c r="J1689" s="15"/>
      <c r="K1689" s="16">
        <f>512 - (512 * $E$1)</f>
        <v>512</v>
      </c>
      <c r="L1689" s="16">
        <f>419.67 - (419.67 * $E$1)</f>
        <v>419.67</v>
      </c>
      <c r="M1689" s="1">
        <v>512</v>
      </c>
      <c r="N1689" s="1">
        <v>419.67</v>
      </c>
      <c r="O1689" s="1">
        <v>435.2</v>
      </c>
      <c r="P1689" s="1">
        <v>356.72</v>
      </c>
      <c r="Q1689">
        <v>3.4000000000000002E-2</v>
      </c>
      <c r="R1689">
        <v>3.39E-4</v>
      </c>
    </row>
    <row r="1690" spans="1:18" ht="13.8" outlineLevel="2" x14ac:dyDescent="0.25">
      <c r="A1690">
        <v>102570</v>
      </c>
      <c r="B1690" t="s">
        <v>2007</v>
      </c>
      <c r="C1690" t="s">
        <v>2008</v>
      </c>
      <c r="D1690" s="14" t="s">
        <v>2009</v>
      </c>
      <c r="E1690" s="12" t="s">
        <v>28</v>
      </c>
      <c r="F1690" s="13" t="s">
        <v>29</v>
      </c>
      <c r="G1690">
        <v>1</v>
      </c>
      <c r="H1690" t="s">
        <v>30</v>
      </c>
      <c r="I1690">
        <v>1</v>
      </c>
      <c r="J1690" s="15"/>
      <c r="K1690" s="16">
        <f>8257.73 - (8257.73 * $E$1)</f>
        <v>8257.73</v>
      </c>
      <c r="L1690" s="16">
        <f>6768.63 - (6768.63 * $E$1)</f>
        <v>6768.63</v>
      </c>
      <c r="M1690" s="1">
        <v>8257.73</v>
      </c>
      <c r="N1690" s="1">
        <v>6768.63</v>
      </c>
      <c r="O1690" s="1">
        <v>7019.07</v>
      </c>
      <c r="P1690" s="1">
        <v>5753.34</v>
      </c>
      <c r="Q1690">
        <v>1.79</v>
      </c>
      <c r="R1690">
        <v>7.4700000000000001E-3</v>
      </c>
    </row>
    <row r="1691" spans="1:18" ht="13.8" outlineLevel="2" x14ac:dyDescent="0.25">
      <c r="A1691">
        <v>102571</v>
      </c>
      <c r="B1691" t="s">
        <v>2007</v>
      </c>
      <c r="C1691" t="s">
        <v>2010</v>
      </c>
      <c r="D1691" s="14" t="s">
        <v>2009</v>
      </c>
      <c r="E1691" s="12" t="s">
        <v>28</v>
      </c>
      <c r="F1691" s="13" t="s">
        <v>29</v>
      </c>
      <c r="G1691">
        <v>1</v>
      </c>
      <c r="H1691" t="s">
        <v>30</v>
      </c>
      <c r="I1691">
        <v>1</v>
      </c>
      <c r="J1691" s="15"/>
      <c r="K1691" s="16">
        <f>9437.4 - (9437.4 * $E$1)</f>
        <v>9437.4</v>
      </c>
      <c r="L1691" s="16">
        <f>7735.57 - (7735.57 * $E$1)</f>
        <v>7735.57</v>
      </c>
      <c r="M1691" s="1">
        <v>9437.4</v>
      </c>
      <c r="N1691" s="1">
        <v>7735.57</v>
      </c>
      <c r="O1691" s="1">
        <v>8021.79</v>
      </c>
      <c r="P1691" s="1">
        <v>6575.23</v>
      </c>
      <c r="Q1691">
        <v>2.09</v>
      </c>
      <c r="R1691">
        <v>9.9229999999999995E-3</v>
      </c>
    </row>
    <row r="1692" spans="1:18" ht="13.8" outlineLevel="2" x14ac:dyDescent="0.25">
      <c r="A1692">
        <v>101907</v>
      </c>
      <c r="B1692" t="s">
        <v>2011</v>
      </c>
      <c r="C1692" t="s">
        <v>2012</v>
      </c>
      <c r="D1692" s="14" t="s">
        <v>2013</v>
      </c>
      <c r="E1692" s="12" t="s">
        <v>28</v>
      </c>
      <c r="F1692" s="13" t="s">
        <v>29</v>
      </c>
      <c r="G1692">
        <v>1</v>
      </c>
      <c r="H1692" t="s">
        <v>30</v>
      </c>
      <c r="I1692">
        <v>1</v>
      </c>
      <c r="J1692" s="15"/>
      <c r="K1692" s="16">
        <f>5011 - (5011 * $E$1)</f>
        <v>5011</v>
      </c>
      <c r="L1692" s="16">
        <f>4107.38 - (4107.38 * $E$1)</f>
        <v>4107.38</v>
      </c>
      <c r="M1692" s="1">
        <v>5011</v>
      </c>
      <c r="N1692" s="1">
        <v>4107.38</v>
      </c>
      <c r="O1692" s="1">
        <v>4259.3500000000004</v>
      </c>
      <c r="P1692" s="1">
        <v>3491.27</v>
      </c>
      <c r="Q1692">
        <v>1.5</v>
      </c>
      <c r="R1692">
        <v>5.751E-3</v>
      </c>
    </row>
    <row r="1693" spans="1:18" ht="13.8" outlineLevel="2" x14ac:dyDescent="0.25">
      <c r="A1693">
        <v>66584</v>
      </c>
      <c r="B1693" t="s">
        <v>2011</v>
      </c>
      <c r="C1693" t="s">
        <v>2014</v>
      </c>
      <c r="D1693" s="14" t="s">
        <v>2013</v>
      </c>
      <c r="E1693" s="12" t="s">
        <v>28</v>
      </c>
      <c r="F1693" s="13" t="s">
        <v>29</v>
      </c>
      <c r="G1693">
        <v>1</v>
      </c>
      <c r="H1693" t="s">
        <v>30</v>
      </c>
      <c r="I1693">
        <v>1</v>
      </c>
      <c r="J1693" s="15"/>
      <c r="K1693" s="16">
        <f>5254.76 - (5254.76 * $E$1)</f>
        <v>5254.76</v>
      </c>
      <c r="L1693" s="16">
        <f>4307.18 - (4307.18 * $E$1)</f>
        <v>4307.18</v>
      </c>
      <c r="M1693" s="1">
        <v>5254.76</v>
      </c>
      <c r="N1693" s="1">
        <v>4307.18</v>
      </c>
      <c r="O1693" s="1">
        <v>4466.55</v>
      </c>
      <c r="P1693" s="1">
        <v>3661.1</v>
      </c>
      <c r="Q1693">
        <v>1.7</v>
      </c>
      <c r="R1693">
        <v>7.1999999999999998E-3</v>
      </c>
    </row>
    <row r="1694" spans="1:18" ht="13.8" outlineLevel="2" x14ac:dyDescent="0.25">
      <c r="A1694">
        <v>101908</v>
      </c>
      <c r="B1694" t="s">
        <v>2011</v>
      </c>
      <c r="C1694" t="s">
        <v>2015</v>
      </c>
      <c r="D1694" s="14" t="s">
        <v>2013</v>
      </c>
      <c r="E1694" s="12" t="s">
        <v>28</v>
      </c>
      <c r="F1694" s="13" t="s">
        <v>29</v>
      </c>
      <c r="G1694">
        <v>1</v>
      </c>
      <c r="H1694" t="s">
        <v>30</v>
      </c>
      <c r="I1694">
        <v>1</v>
      </c>
      <c r="J1694" s="15"/>
      <c r="K1694" s="16">
        <f>6086.84 - (6086.84 * $E$1)</f>
        <v>6086.84</v>
      </c>
      <c r="L1694" s="16">
        <f>4989.21 - (4989.21 * $E$1)</f>
        <v>4989.21</v>
      </c>
      <c r="M1694" s="1">
        <v>6086.84</v>
      </c>
      <c r="N1694" s="1">
        <v>4989.21</v>
      </c>
      <c r="O1694" s="1">
        <v>5173.8100000000004</v>
      </c>
      <c r="P1694" s="1">
        <v>4240.83</v>
      </c>
      <c r="Q1694">
        <v>1.5</v>
      </c>
      <c r="R1694">
        <v>6.8399999999999997E-3</v>
      </c>
    </row>
    <row r="1695" spans="1:18" ht="13.8" outlineLevel="2" x14ac:dyDescent="0.25">
      <c r="A1695">
        <v>101911</v>
      </c>
      <c r="B1695" t="s">
        <v>2011</v>
      </c>
      <c r="C1695" t="s">
        <v>2016</v>
      </c>
      <c r="D1695" s="14" t="s">
        <v>2013</v>
      </c>
      <c r="E1695" s="12" t="s">
        <v>28</v>
      </c>
      <c r="F1695" s="13" t="s">
        <v>29</v>
      </c>
      <c r="G1695">
        <v>1</v>
      </c>
      <c r="H1695" t="s">
        <v>30</v>
      </c>
      <c r="I1695">
        <v>1</v>
      </c>
      <c r="J1695" s="15"/>
      <c r="K1695" s="16">
        <f>9952.27 - (9952.27 * $E$1)</f>
        <v>9952.27</v>
      </c>
      <c r="L1695" s="16">
        <f>8157.6 - (8157.6 * $E$1)</f>
        <v>8157.6</v>
      </c>
      <c r="M1695" s="1">
        <v>9952.27</v>
      </c>
      <c r="N1695" s="1">
        <v>8157.6</v>
      </c>
      <c r="O1695" s="1">
        <v>8459.43</v>
      </c>
      <c r="P1695" s="1">
        <v>6933.96</v>
      </c>
      <c r="Q1695">
        <v>4</v>
      </c>
      <c r="R1695">
        <v>1.8928E-2</v>
      </c>
    </row>
    <row r="1696" spans="1:18" ht="13.8" outlineLevel="2" x14ac:dyDescent="0.25">
      <c r="A1696">
        <v>101909</v>
      </c>
      <c r="B1696" t="s">
        <v>2011</v>
      </c>
      <c r="C1696" t="s">
        <v>2017</v>
      </c>
      <c r="D1696" s="14" t="s">
        <v>2013</v>
      </c>
      <c r="E1696" s="12" t="s">
        <v>28</v>
      </c>
      <c r="F1696" s="13" t="s">
        <v>29</v>
      </c>
      <c r="G1696">
        <v>1</v>
      </c>
      <c r="H1696" t="s">
        <v>30</v>
      </c>
      <c r="I1696">
        <v>1</v>
      </c>
      <c r="J1696" s="15"/>
      <c r="K1696" s="16">
        <f>7193.21 - (7193.21 * $E$1)</f>
        <v>7193.21</v>
      </c>
      <c r="L1696" s="16">
        <f>5896.07 - (5896.07 * $E$1)</f>
        <v>5896.07</v>
      </c>
      <c r="M1696" s="1">
        <v>7193.21</v>
      </c>
      <c r="N1696" s="1">
        <v>5896.07</v>
      </c>
      <c r="O1696" s="1">
        <v>6114.22</v>
      </c>
      <c r="P1696" s="1">
        <v>5011.66</v>
      </c>
      <c r="Q1696">
        <v>2.8</v>
      </c>
      <c r="R1696">
        <v>1.0224E-2</v>
      </c>
    </row>
    <row r="1697" spans="1:18" ht="13.8" outlineLevel="2" x14ac:dyDescent="0.25">
      <c r="A1697">
        <v>101910</v>
      </c>
      <c r="B1697" t="s">
        <v>2011</v>
      </c>
      <c r="C1697" t="s">
        <v>2018</v>
      </c>
      <c r="D1697" s="14" t="s">
        <v>2013</v>
      </c>
      <c r="E1697" s="12" t="s">
        <v>28</v>
      </c>
      <c r="F1697" s="13" t="s">
        <v>29</v>
      </c>
      <c r="G1697">
        <v>1</v>
      </c>
      <c r="H1697" t="s">
        <v>30</v>
      </c>
      <c r="I1697">
        <v>1</v>
      </c>
      <c r="J1697" s="15"/>
      <c r="K1697" s="16">
        <f>6337.91 - (6337.91 * $E$1)</f>
        <v>6337.91</v>
      </c>
      <c r="L1697" s="16">
        <f>5195.01 - (5195.01 * $E$1)</f>
        <v>5195.01</v>
      </c>
      <c r="M1697" s="1">
        <v>6337.91</v>
      </c>
      <c r="N1697" s="1">
        <v>5195.01</v>
      </c>
      <c r="O1697" s="1">
        <v>5387.23</v>
      </c>
      <c r="P1697" s="1">
        <v>4415.76</v>
      </c>
      <c r="Q1697">
        <v>2.7</v>
      </c>
      <c r="R1697">
        <v>1.0224E-2</v>
      </c>
    </row>
    <row r="1698" spans="1:18" ht="13.8" outlineLevel="2" x14ac:dyDescent="0.25">
      <c r="A1698">
        <v>101912</v>
      </c>
      <c r="B1698" t="s">
        <v>2011</v>
      </c>
      <c r="C1698" t="s">
        <v>2019</v>
      </c>
      <c r="D1698" s="14" t="s">
        <v>2020</v>
      </c>
      <c r="E1698" s="12" t="s">
        <v>28</v>
      </c>
      <c r="F1698" s="13" t="s">
        <v>29</v>
      </c>
      <c r="G1698">
        <v>1</v>
      </c>
      <c r="H1698" t="s">
        <v>30</v>
      </c>
      <c r="I1698">
        <v>1</v>
      </c>
      <c r="J1698" s="15"/>
      <c r="K1698" s="16">
        <f>5142.7 - (5142.7 * $E$1)</f>
        <v>5142.7</v>
      </c>
      <c r="L1698" s="16">
        <f>4215.33 - (4215.33 * $E$1)</f>
        <v>4215.33</v>
      </c>
      <c r="M1698" s="1">
        <v>5142.7</v>
      </c>
      <c r="N1698" s="1">
        <v>4215.33</v>
      </c>
      <c r="O1698" s="1">
        <v>4371.3</v>
      </c>
      <c r="P1698" s="1">
        <v>3583.03</v>
      </c>
      <c r="Q1698">
        <v>1.6</v>
      </c>
      <c r="R1698">
        <v>5.751E-3</v>
      </c>
    </row>
    <row r="1699" spans="1:18" ht="13.8" outlineLevel="2" x14ac:dyDescent="0.25">
      <c r="A1699">
        <v>66587</v>
      </c>
      <c r="B1699" t="s">
        <v>2011</v>
      </c>
      <c r="C1699" t="s">
        <v>2021</v>
      </c>
      <c r="D1699" s="14" t="s">
        <v>2020</v>
      </c>
      <c r="E1699" s="12" t="s">
        <v>28</v>
      </c>
      <c r="F1699" s="13" t="s">
        <v>29</v>
      </c>
      <c r="G1699">
        <v>1</v>
      </c>
      <c r="H1699" t="s">
        <v>30</v>
      </c>
      <c r="I1699">
        <v>1</v>
      </c>
      <c r="J1699" s="15"/>
      <c r="K1699" s="16">
        <f>5429.72 - (5429.72 * $E$1)</f>
        <v>5429.72</v>
      </c>
      <c r="L1699" s="16">
        <f>4450.59 - (4450.59 * $E$1)</f>
        <v>4450.59</v>
      </c>
      <c r="M1699" s="1">
        <v>5429.72</v>
      </c>
      <c r="N1699" s="1">
        <v>4450.59</v>
      </c>
      <c r="O1699" s="1">
        <v>4615.26</v>
      </c>
      <c r="P1699" s="1">
        <v>3783</v>
      </c>
      <c r="Q1699">
        <v>1.65</v>
      </c>
      <c r="R1699">
        <v>5.751E-3</v>
      </c>
    </row>
    <row r="1700" spans="1:18" ht="13.8" outlineLevel="2" x14ac:dyDescent="0.25">
      <c r="A1700">
        <v>101913</v>
      </c>
      <c r="B1700" t="s">
        <v>2011</v>
      </c>
      <c r="C1700" t="s">
        <v>2022</v>
      </c>
      <c r="D1700" s="14" t="s">
        <v>2020</v>
      </c>
      <c r="E1700" s="12" t="s">
        <v>28</v>
      </c>
      <c r="F1700" s="13" t="s">
        <v>29</v>
      </c>
      <c r="G1700">
        <v>1</v>
      </c>
      <c r="H1700" t="s">
        <v>30</v>
      </c>
      <c r="I1700">
        <v>1</v>
      </c>
      <c r="J1700" s="15"/>
      <c r="K1700" s="16">
        <f>5756.77 - (5756.77 * $E$1)</f>
        <v>5756.77</v>
      </c>
      <c r="L1700" s="16">
        <f>4718.66 - (4718.66 * $E$1)</f>
        <v>4718.66</v>
      </c>
      <c r="M1700" s="1">
        <v>5756.77</v>
      </c>
      <c r="N1700" s="1">
        <v>4718.66</v>
      </c>
      <c r="O1700" s="1">
        <v>4893.25</v>
      </c>
      <c r="P1700" s="1">
        <v>4010.86</v>
      </c>
      <c r="Q1700">
        <v>1.6</v>
      </c>
      <c r="R1700">
        <v>5.751E-3</v>
      </c>
    </row>
    <row r="1701" spans="1:18" ht="13.8" outlineLevel="2" x14ac:dyDescent="0.25">
      <c r="A1701">
        <v>101916</v>
      </c>
      <c r="B1701" t="s">
        <v>2011</v>
      </c>
      <c r="C1701" t="s">
        <v>2023</v>
      </c>
      <c r="D1701" s="14" t="s">
        <v>2020</v>
      </c>
      <c r="E1701" s="12" t="s">
        <v>28</v>
      </c>
      <c r="F1701" s="13" t="s">
        <v>29</v>
      </c>
      <c r="G1701">
        <v>1</v>
      </c>
      <c r="H1701" t="s">
        <v>30</v>
      </c>
      <c r="I1701">
        <v>1</v>
      </c>
      <c r="J1701" s="15"/>
      <c r="K1701" s="16">
        <f>10288.02 - (10288.02 * $E$1)</f>
        <v>10288.02</v>
      </c>
      <c r="L1701" s="16">
        <f>8432.8 - (8432.8 * $E$1)</f>
        <v>8432.7999999999993</v>
      </c>
      <c r="M1701" s="1">
        <v>10288.02</v>
      </c>
      <c r="N1701" s="1">
        <v>8432.7999999999993</v>
      </c>
      <c r="O1701" s="1">
        <v>8744.81</v>
      </c>
      <c r="P1701" s="1">
        <v>7167.88</v>
      </c>
      <c r="Q1701">
        <v>4.0999999999999996</v>
      </c>
      <c r="R1701">
        <v>1.8928E-2</v>
      </c>
    </row>
    <row r="1702" spans="1:18" ht="13.8" outlineLevel="2" x14ac:dyDescent="0.25">
      <c r="A1702">
        <v>101914</v>
      </c>
      <c r="B1702" t="s">
        <v>2011</v>
      </c>
      <c r="C1702" t="s">
        <v>2024</v>
      </c>
      <c r="D1702" s="14" t="s">
        <v>2020</v>
      </c>
      <c r="E1702" s="12" t="s">
        <v>28</v>
      </c>
      <c r="F1702" s="13" t="s">
        <v>29</v>
      </c>
      <c r="G1702">
        <v>1</v>
      </c>
      <c r="H1702" t="s">
        <v>30</v>
      </c>
      <c r="I1702">
        <v>1</v>
      </c>
      <c r="J1702" s="15"/>
      <c r="K1702" s="16">
        <f>7675.68 - (7675.68 * $E$1)</f>
        <v>7675.68</v>
      </c>
      <c r="L1702" s="16">
        <f>6291.54 - (6291.54 * $E$1)</f>
        <v>6291.54</v>
      </c>
      <c r="M1702" s="1">
        <v>7675.68</v>
      </c>
      <c r="N1702" s="1">
        <v>6291.54</v>
      </c>
      <c r="O1702" s="1">
        <v>6524.33</v>
      </c>
      <c r="P1702" s="1">
        <v>5347.81</v>
      </c>
      <c r="Q1702">
        <v>3</v>
      </c>
      <c r="R1702">
        <v>1.0224E-2</v>
      </c>
    </row>
    <row r="1703" spans="1:18" ht="13.8" outlineLevel="2" x14ac:dyDescent="0.25">
      <c r="A1703">
        <v>101915</v>
      </c>
      <c r="B1703" t="s">
        <v>2011</v>
      </c>
      <c r="C1703" t="s">
        <v>2025</v>
      </c>
      <c r="D1703" s="14" t="s">
        <v>2020</v>
      </c>
      <c r="E1703" s="12" t="s">
        <v>28</v>
      </c>
      <c r="F1703" s="13" t="s">
        <v>29</v>
      </c>
      <c r="G1703">
        <v>1</v>
      </c>
      <c r="H1703" t="s">
        <v>30</v>
      </c>
      <c r="I1703">
        <v>1</v>
      </c>
      <c r="J1703" s="15"/>
      <c r="K1703" s="16">
        <f>6466.37 - (6466.37 * $E$1)</f>
        <v>6466.37</v>
      </c>
      <c r="L1703" s="16">
        <f>5300.3 - (5300.3 * $E$1)</f>
        <v>5300.3</v>
      </c>
      <c r="M1703" s="1">
        <v>6466.37</v>
      </c>
      <c r="N1703" s="1">
        <v>5300.3</v>
      </c>
      <c r="O1703" s="1">
        <v>5496.41</v>
      </c>
      <c r="P1703" s="1">
        <v>4505.26</v>
      </c>
      <c r="Q1703">
        <v>2.8</v>
      </c>
      <c r="R1703">
        <v>1.0224E-2</v>
      </c>
    </row>
    <row r="1704" spans="1:18" ht="13.8" outlineLevel="2" x14ac:dyDescent="0.25">
      <c r="A1704">
        <v>66589</v>
      </c>
      <c r="B1704" t="s">
        <v>2011</v>
      </c>
      <c r="C1704" t="s">
        <v>2026</v>
      </c>
      <c r="D1704" s="14" t="s">
        <v>2020</v>
      </c>
      <c r="E1704" s="12" t="s">
        <v>28</v>
      </c>
      <c r="F1704" s="13" t="s">
        <v>29</v>
      </c>
      <c r="G1704">
        <v>1</v>
      </c>
      <c r="H1704" t="s">
        <v>30</v>
      </c>
      <c r="I1704">
        <v>1</v>
      </c>
      <c r="J1704" s="15"/>
      <c r="K1704" s="16">
        <f>14455.49 - (14455.49 * $E$1)</f>
        <v>14455.49</v>
      </c>
      <c r="L1704" s="16">
        <f>11848.76 - (11848.76 * $E$1)</f>
        <v>11848.76</v>
      </c>
      <c r="M1704" s="1">
        <v>14455.49</v>
      </c>
      <c r="N1704" s="1">
        <v>11848.76</v>
      </c>
      <c r="O1704" s="1">
        <v>12287.16</v>
      </c>
      <c r="P1704" s="1">
        <v>10071.450000000001</v>
      </c>
      <c r="Q1704">
        <v>5</v>
      </c>
      <c r="R1704">
        <v>1.8928E-2</v>
      </c>
    </row>
    <row r="1705" spans="1:18" ht="13.8" outlineLevel="2" x14ac:dyDescent="0.25">
      <c r="A1705">
        <v>69465</v>
      </c>
      <c r="B1705" t="s">
        <v>2027</v>
      </c>
      <c r="C1705" t="s">
        <v>2028</v>
      </c>
      <c r="D1705" s="14" t="s">
        <v>2029</v>
      </c>
      <c r="E1705" s="12" t="s">
        <v>28</v>
      </c>
      <c r="F1705" s="13" t="s">
        <v>29</v>
      </c>
      <c r="G1705">
        <v>1</v>
      </c>
      <c r="H1705" t="s">
        <v>30</v>
      </c>
      <c r="I1705">
        <v>1</v>
      </c>
      <c r="J1705" s="15"/>
      <c r="K1705" s="16">
        <f>4805.36 - (4805.36 * $E$1)</f>
        <v>4805.3599999999997</v>
      </c>
      <c r="L1705" s="16">
        <f>3938.82 - (3938.82 * $E$1)</f>
        <v>3938.82</v>
      </c>
      <c r="M1705" s="1">
        <v>4805.3599999999997</v>
      </c>
      <c r="N1705" s="1">
        <v>3938.82</v>
      </c>
      <c r="O1705" s="1">
        <v>4084.56</v>
      </c>
      <c r="P1705" s="1">
        <v>3348</v>
      </c>
      <c r="Q1705">
        <v>0.24</v>
      </c>
      <c r="R1705">
        <v>4.64E-4</v>
      </c>
    </row>
    <row r="1706" spans="1:18" ht="13.8" outlineLevel="2" x14ac:dyDescent="0.25">
      <c r="A1706">
        <v>68066</v>
      </c>
      <c r="B1706" t="s">
        <v>2027</v>
      </c>
      <c r="C1706" t="s">
        <v>2030</v>
      </c>
      <c r="D1706" s="14" t="s">
        <v>2029</v>
      </c>
      <c r="E1706" s="12" t="s">
        <v>28</v>
      </c>
      <c r="F1706" s="13" t="s">
        <v>29</v>
      </c>
      <c r="G1706">
        <v>1</v>
      </c>
      <c r="H1706" t="s">
        <v>30</v>
      </c>
      <c r="I1706">
        <v>1</v>
      </c>
      <c r="J1706" s="15"/>
      <c r="K1706" s="16">
        <f>5145.23 - (5145.23 * $E$1)</f>
        <v>5145.2299999999996</v>
      </c>
      <c r="L1706" s="16">
        <f>4217.4 - (4217.4 * $E$1)</f>
        <v>4217.3999999999996</v>
      </c>
      <c r="M1706" s="1">
        <v>5145.2299999999996</v>
      </c>
      <c r="N1706" s="1">
        <v>4217.3999999999996</v>
      </c>
      <c r="O1706" s="1">
        <v>4373.4399999999996</v>
      </c>
      <c r="P1706" s="1">
        <v>3584.79</v>
      </c>
      <c r="Q1706">
        <v>0.56999999999999995</v>
      </c>
      <c r="R1706">
        <v>1.2999999999999999E-3</v>
      </c>
    </row>
    <row r="1707" spans="1:18" ht="13.8" outlineLevel="2" x14ac:dyDescent="0.25">
      <c r="A1707">
        <v>69091</v>
      </c>
      <c r="B1707" t="s">
        <v>2027</v>
      </c>
      <c r="C1707" t="s">
        <v>2031</v>
      </c>
      <c r="D1707" s="14" t="s">
        <v>2029</v>
      </c>
      <c r="E1707" s="12" t="s">
        <v>28</v>
      </c>
      <c r="F1707" s="13" t="s">
        <v>29</v>
      </c>
      <c r="G1707">
        <v>1</v>
      </c>
      <c r="H1707" t="s">
        <v>30</v>
      </c>
      <c r="I1707">
        <v>1</v>
      </c>
      <c r="J1707" s="15"/>
      <c r="K1707" s="16">
        <f>6626.97 - (6626.97 * $E$1)</f>
        <v>6626.97</v>
      </c>
      <c r="L1707" s="16">
        <f>5431.94 - (5431.94 * $E$1)</f>
        <v>5431.94</v>
      </c>
      <c r="M1707" s="1">
        <v>6626.97</v>
      </c>
      <c r="N1707" s="1">
        <v>5431.94</v>
      </c>
      <c r="O1707" s="1">
        <v>5632.92</v>
      </c>
      <c r="P1707" s="1">
        <v>4617.1499999999996</v>
      </c>
      <c r="Q1707">
        <v>0.95</v>
      </c>
      <c r="R1707">
        <v>1.2999999999999999E-3</v>
      </c>
    </row>
    <row r="1708" spans="1:18" ht="16.5" customHeight="1" outlineLevel="1" x14ac:dyDescent="0.35">
      <c r="A1708" s="9"/>
      <c r="B1708" s="10" t="s">
        <v>2032</v>
      </c>
      <c r="C1708" s="10"/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1"/>
    </row>
    <row r="1709" spans="1:18" ht="13.8" outlineLevel="2" x14ac:dyDescent="0.25">
      <c r="A1709">
        <v>78353</v>
      </c>
      <c r="B1709" t="s">
        <v>1524</v>
      </c>
      <c r="C1709" t="s">
        <v>2033</v>
      </c>
      <c r="D1709" s="14" t="s">
        <v>2034</v>
      </c>
      <c r="E1709" s="12" t="s">
        <v>28</v>
      </c>
      <c r="F1709" s="13" t="s">
        <v>29</v>
      </c>
      <c r="G1709">
        <v>1</v>
      </c>
      <c r="H1709" t="s">
        <v>30</v>
      </c>
      <c r="I1709">
        <v>1</v>
      </c>
      <c r="J1709" s="15"/>
      <c r="K1709" s="16">
        <f>3575.25 - (3575.25 * $E$1)</f>
        <v>3575.25</v>
      </c>
      <c r="L1709" s="16">
        <f>2930.53 - (2930.53 * $E$1)</f>
        <v>2930.53</v>
      </c>
      <c r="M1709" s="1">
        <v>3575.25</v>
      </c>
      <c r="N1709" s="1">
        <v>2930.53</v>
      </c>
      <c r="O1709" s="1">
        <v>3038.96</v>
      </c>
      <c r="P1709" s="1">
        <v>2490.9499999999998</v>
      </c>
      <c r="Q1709">
        <v>0.78</v>
      </c>
      <c r="R1709">
        <v>1.0224E-2</v>
      </c>
    </row>
    <row r="1710" spans="1:18" ht="13.8" outlineLevel="2" x14ac:dyDescent="0.25">
      <c r="A1710">
        <v>78355</v>
      </c>
      <c r="B1710" t="s">
        <v>1524</v>
      </c>
      <c r="C1710" t="s">
        <v>2035</v>
      </c>
      <c r="D1710" s="14" t="s">
        <v>2034</v>
      </c>
      <c r="E1710" s="12" t="s">
        <v>28</v>
      </c>
      <c r="F1710" s="13" t="s">
        <v>29</v>
      </c>
      <c r="G1710">
        <v>1</v>
      </c>
      <c r="H1710" t="s">
        <v>30</v>
      </c>
      <c r="I1710">
        <v>1</v>
      </c>
      <c r="J1710" s="15"/>
      <c r="K1710" s="16">
        <f>3805.39 - (3805.39 * $E$1)</f>
        <v>3805.39</v>
      </c>
      <c r="L1710" s="16">
        <f>3119.17 - (3119.17 * $E$1)</f>
        <v>3119.17</v>
      </c>
      <c r="M1710" s="1">
        <v>3805.39</v>
      </c>
      <c r="N1710" s="1">
        <v>3119.17</v>
      </c>
      <c r="O1710" s="1">
        <v>3234.58</v>
      </c>
      <c r="P1710" s="1">
        <v>2651.29</v>
      </c>
      <c r="Q1710">
        <v>0.94</v>
      </c>
      <c r="R1710">
        <v>1.0224E-2</v>
      </c>
    </row>
    <row r="1711" spans="1:18" ht="13.8" outlineLevel="2" x14ac:dyDescent="0.25">
      <c r="A1711">
        <v>78357</v>
      </c>
      <c r="B1711" t="s">
        <v>1524</v>
      </c>
      <c r="C1711" t="s">
        <v>2036</v>
      </c>
      <c r="D1711" s="14" t="s">
        <v>2034</v>
      </c>
      <c r="E1711" s="12" t="s">
        <v>28</v>
      </c>
      <c r="F1711" s="13" t="s">
        <v>29</v>
      </c>
      <c r="G1711">
        <v>1</v>
      </c>
      <c r="H1711" t="s">
        <v>30</v>
      </c>
      <c r="I1711">
        <v>1</v>
      </c>
      <c r="J1711" s="15"/>
      <c r="K1711" s="16">
        <f>4329.32 - (4329.32 * $E$1)</f>
        <v>4329.32</v>
      </c>
      <c r="L1711" s="16">
        <f>3548.62 - (3548.62 * $E$1)</f>
        <v>3548.62</v>
      </c>
      <c r="M1711" s="1">
        <v>4329.32</v>
      </c>
      <c r="N1711" s="1">
        <v>3548.62</v>
      </c>
      <c r="O1711" s="1">
        <v>3679.92</v>
      </c>
      <c r="P1711" s="1">
        <v>3016.33</v>
      </c>
      <c r="Q1711">
        <v>1.2</v>
      </c>
      <c r="R1711">
        <v>1.704E-2</v>
      </c>
    </row>
    <row r="1712" spans="1:18" ht="13.8" outlineLevel="2" x14ac:dyDescent="0.25">
      <c r="A1712">
        <v>78354</v>
      </c>
      <c r="B1712" t="s">
        <v>1524</v>
      </c>
      <c r="C1712" t="s">
        <v>2037</v>
      </c>
      <c r="D1712" s="14" t="s">
        <v>2034</v>
      </c>
      <c r="E1712" s="12" t="s">
        <v>28</v>
      </c>
      <c r="F1712" s="13" t="s">
        <v>29</v>
      </c>
      <c r="G1712">
        <v>1</v>
      </c>
      <c r="H1712" t="s">
        <v>30</v>
      </c>
      <c r="I1712">
        <v>1</v>
      </c>
      <c r="J1712" s="15"/>
      <c r="K1712" s="16">
        <f>4680.12 - (4680.12 * $E$1)</f>
        <v>4680.12</v>
      </c>
      <c r="L1712" s="16">
        <f>3836.16 - (3836.16 * $E$1)</f>
        <v>3836.16</v>
      </c>
      <c r="M1712" s="1">
        <v>4680.12</v>
      </c>
      <c r="N1712" s="1">
        <v>3836.16</v>
      </c>
      <c r="O1712" s="1">
        <v>3978.1</v>
      </c>
      <c r="P1712" s="1">
        <v>3260.74</v>
      </c>
      <c r="Q1712">
        <v>0.82</v>
      </c>
      <c r="R1712">
        <v>1.0224E-2</v>
      </c>
    </row>
    <row r="1713" spans="1:18" ht="13.8" outlineLevel="2" x14ac:dyDescent="0.25">
      <c r="A1713">
        <v>78356</v>
      </c>
      <c r="B1713" t="s">
        <v>1524</v>
      </c>
      <c r="C1713" t="s">
        <v>2038</v>
      </c>
      <c r="D1713" s="14" t="s">
        <v>2034</v>
      </c>
      <c r="E1713" s="12" t="s">
        <v>28</v>
      </c>
      <c r="F1713" s="13" t="s">
        <v>29</v>
      </c>
      <c r="G1713">
        <v>1</v>
      </c>
      <c r="H1713" t="s">
        <v>30</v>
      </c>
      <c r="I1713">
        <v>1</v>
      </c>
      <c r="J1713" s="15"/>
      <c r="K1713" s="16">
        <f>5448.2 - (5448.2 * $E$1)</f>
        <v>5448.2</v>
      </c>
      <c r="L1713" s="16">
        <f>4465.74 - (4465.74 * $E$1)</f>
        <v>4465.74</v>
      </c>
      <c r="M1713" s="1">
        <v>5448.2</v>
      </c>
      <c r="N1713" s="1">
        <v>4465.74</v>
      </c>
      <c r="O1713" s="1">
        <v>4630.97</v>
      </c>
      <c r="P1713" s="1">
        <v>3795.88</v>
      </c>
      <c r="Q1713">
        <v>1.1000000000000001</v>
      </c>
      <c r="R1713">
        <v>1.0224E-2</v>
      </c>
    </row>
    <row r="1714" spans="1:18" ht="13.8" outlineLevel="2" x14ac:dyDescent="0.25">
      <c r="A1714">
        <v>78358</v>
      </c>
      <c r="B1714" t="s">
        <v>1524</v>
      </c>
      <c r="C1714" t="s">
        <v>2039</v>
      </c>
      <c r="D1714" s="14" t="s">
        <v>2034</v>
      </c>
      <c r="E1714" s="12" t="s">
        <v>28</v>
      </c>
      <c r="F1714" s="13" t="s">
        <v>29</v>
      </c>
      <c r="G1714">
        <v>1</v>
      </c>
      <c r="H1714" t="s">
        <v>30</v>
      </c>
      <c r="I1714">
        <v>1</v>
      </c>
      <c r="J1714" s="15"/>
      <c r="K1714" s="16">
        <f>7272.04 - (7272.04 * $E$1)</f>
        <v>7272.04</v>
      </c>
      <c r="L1714" s="16">
        <f>5960.69 - (5960.69 * $E$1)</f>
        <v>5960.69</v>
      </c>
      <c r="M1714" s="1">
        <v>7272.04</v>
      </c>
      <c r="N1714" s="1">
        <v>5960.69</v>
      </c>
      <c r="O1714" s="1">
        <v>6181.24</v>
      </c>
      <c r="P1714" s="1">
        <v>5066.59</v>
      </c>
      <c r="Q1714">
        <v>1.5</v>
      </c>
      <c r="R1714">
        <v>1.704E-2</v>
      </c>
    </row>
    <row r="1715" spans="1:18" ht="13.8" outlineLevel="2" x14ac:dyDescent="0.25">
      <c r="A1715">
        <v>65511</v>
      </c>
      <c r="B1715" t="s">
        <v>1524</v>
      </c>
      <c r="C1715" t="s">
        <v>2040</v>
      </c>
      <c r="D1715" s="14" t="s">
        <v>2041</v>
      </c>
      <c r="E1715" s="12" t="s">
        <v>28</v>
      </c>
      <c r="F1715" s="13" t="s">
        <v>29</v>
      </c>
      <c r="G1715">
        <v>1</v>
      </c>
      <c r="H1715" t="s">
        <v>30</v>
      </c>
      <c r="I1715">
        <v>1</v>
      </c>
      <c r="J1715" s="15"/>
      <c r="K1715" s="16">
        <f>3666.99 - (3666.99 * $E$1)</f>
        <v>3666.99</v>
      </c>
      <c r="L1715" s="16">
        <f>3005.73 - (3005.73 * $E$1)</f>
        <v>3005.73</v>
      </c>
      <c r="M1715" s="1">
        <v>3666.99</v>
      </c>
      <c r="N1715" s="1">
        <v>3005.73</v>
      </c>
      <c r="O1715" s="1">
        <v>3116.94</v>
      </c>
      <c r="P1715" s="1">
        <v>2554.87</v>
      </c>
      <c r="Q1715">
        <v>0.71</v>
      </c>
      <c r="R1715">
        <v>1.0224E-2</v>
      </c>
    </row>
    <row r="1716" spans="1:18" ht="13.8" outlineLevel="2" x14ac:dyDescent="0.25">
      <c r="A1716">
        <v>65512</v>
      </c>
      <c r="B1716" t="s">
        <v>1524</v>
      </c>
      <c r="C1716" t="s">
        <v>2042</v>
      </c>
      <c r="D1716" s="14" t="s">
        <v>2041</v>
      </c>
      <c r="E1716" s="12" t="s">
        <v>28</v>
      </c>
      <c r="F1716" s="13" t="s">
        <v>29</v>
      </c>
      <c r="G1716">
        <v>1</v>
      </c>
      <c r="H1716" t="s">
        <v>30</v>
      </c>
      <c r="I1716">
        <v>1</v>
      </c>
      <c r="J1716" s="15"/>
      <c r="K1716" s="16">
        <f>4112.77 - (4112.77 * $E$1)</f>
        <v>4112.7700000000004</v>
      </c>
      <c r="L1716" s="16">
        <f>3371.12 - (3371.12 * $E$1)</f>
        <v>3371.12</v>
      </c>
      <c r="M1716" s="1">
        <v>4112.7700000000004</v>
      </c>
      <c r="N1716" s="1">
        <v>3371.12</v>
      </c>
      <c r="O1716" s="1">
        <v>3495.85</v>
      </c>
      <c r="P1716" s="1">
        <v>2865.45</v>
      </c>
      <c r="Q1716">
        <v>0.95</v>
      </c>
      <c r="R1716">
        <v>1.0224E-2</v>
      </c>
    </row>
    <row r="1717" spans="1:18" ht="13.8" outlineLevel="2" x14ac:dyDescent="0.25">
      <c r="A1717">
        <v>65513</v>
      </c>
      <c r="B1717" t="s">
        <v>1524</v>
      </c>
      <c r="C1717" t="s">
        <v>2043</v>
      </c>
      <c r="D1717" s="14" t="s">
        <v>2041</v>
      </c>
      <c r="E1717" s="12" t="s">
        <v>28</v>
      </c>
      <c r="F1717" s="13" t="s">
        <v>29</v>
      </c>
      <c r="G1717">
        <v>1</v>
      </c>
      <c r="H1717" t="s">
        <v>30</v>
      </c>
      <c r="I1717">
        <v>1</v>
      </c>
      <c r="J1717" s="15"/>
      <c r="K1717" s="16">
        <f>5589.09 - (5589.09 * $E$1)</f>
        <v>5589.09</v>
      </c>
      <c r="L1717" s="16">
        <f>4581.22 - (4581.22 * $E$1)</f>
        <v>4581.22</v>
      </c>
      <c r="M1717" s="1">
        <v>5589.09</v>
      </c>
      <c r="N1717" s="1">
        <v>4581.22</v>
      </c>
      <c r="O1717" s="1">
        <v>4750.7299999999996</v>
      </c>
      <c r="P1717" s="1">
        <v>3894.04</v>
      </c>
      <c r="Q1717">
        <v>1.29</v>
      </c>
      <c r="R1717">
        <v>1.0224E-2</v>
      </c>
    </row>
    <row r="1718" spans="1:18" ht="13.8" outlineLevel="2" x14ac:dyDescent="0.25">
      <c r="A1718">
        <v>65514</v>
      </c>
      <c r="B1718" t="s">
        <v>1524</v>
      </c>
      <c r="C1718" t="s">
        <v>2044</v>
      </c>
      <c r="D1718" s="14" t="s">
        <v>2041</v>
      </c>
      <c r="E1718" s="12" t="s">
        <v>28</v>
      </c>
      <c r="F1718" s="13" t="s">
        <v>29</v>
      </c>
      <c r="G1718">
        <v>1</v>
      </c>
      <c r="H1718" t="s">
        <v>30</v>
      </c>
      <c r="I1718">
        <v>1</v>
      </c>
      <c r="J1718" s="15"/>
      <c r="K1718" s="16">
        <f>5106.11 - (5106.11 * $E$1)</f>
        <v>5106.1099999999997</v>
      </c>
      <c r="L1718" s="16">
        <f>4185.34 - (4185.34 * $E$1)</f>
        <v>4185.34</v>
      </c>
      <c r="M1718" s="1">
        <v>5106.1099999999997</v>
      </c>
      <c r="N1718" s="1">
        <v>4185.34</v>
      </c>
      <c r="O1718" s="1">
        <v>4340.2</v>
      </c>
      <c r="P1718" s="1">
        <v>3557.54</v>
      </c>
      <c r="Q1718">
        <v>0.8</v>
      </c>
      <c r="R1718">
        <v>1.0224E-2</v>
      </c>
    </row>
    <row r="1719" spans="1:18" ht="13.8" outlineLevel="2" x14ac:dyDescent="0.25">
      <c r="A1719">
        <v>65515</v>
      </c>
      <c r="B1719" t="s">
        <v>1524</v>
      </c>
      <c r="C1719" t="s">
        <v>2045</v>
      </c>
      <c r="D1719" s="14" t="s">
        <v>2041</v>
      </c>
      <c r="E1719" s="12" t="s">
        <v>28</v>
      </c>
      <c r="F1719" s="13" t="s">
        <v>29</v>
      </c>
      <c r="G1719">
        <v>1</v>
      </c>
      <c r="H1719" t="s">
        <v>30</v>
      </c>
      <c r="I1719">
        <v>1</v>
      </c>
      <c r="J1719" s="15"/>
      <c r="K1719" s="16">
        <f>6916 - (6916 * $E$1)</f>
        <v>6916</v>
      </c>
      <c r="L1719" s="16">
        <f>5668.85 - (5668.85 * $E$1)</f>
        <v>5668.85</v>
      </c>
      <c r="M1719" s="1">
        <v>6916</v>
      </c>
      <c r="N1719" s="1">
        <v>5668.85</v>
      </c>
      <c r="O1719" s="1">
        <v>5878.6</v>
      </c>
      <c r="P1719" s="1">
        <v>4818.5200000000004</v>
      </c>
      <c r="Q1719">
        <v>1.18</v>
      </c>
      <c r="R1719">
        <v>1.0224E-2</v>
      </c>
    </row>
    <row r="1720" spans="1:18" ht="13.8" outlineLevel="2" x14ac:dyDescent="0.25">
      <c r="A1720">
        <v>65516</v>
      </c>
      <c r="B1720" t="s">
        <v>1524</v>
      </c>
      <c r="C1720" t="s">
        <v>2046</v>
      </c>
      <c r="D1720" s="14" t="s">
        <v>2041</v>
      </c>
      <c r="E1720" s="12" t="s">
        <v>28</v>
      </c>
      <c r="F1720" s="13" t="s">
        <v>29</v>
      </c>
      <c r="G1720">
        <v>1</v>
      </c>
      <c r="H1720" t="s">
        <v>30</v>
      </c>
      <c r="I1720">
        <v>1</v>
      </c>
      <c r="J1720" s="15"/>
      <c r="K1720" s="16">
        <f>10100.64 - (10100.64 * $E$1)</f>
        <v>10100.64</v>
      </c>
      <c r="L1720" s="16">
        <f>8279.21 - (8279.21 * $E$1)</f>
        <v>8279.2099999999991</v>
      </c>
      <c r="M1720" s="1">
        <v>10100.64</v>
      </c>
      <c r="N1720" s="1">
        <v>8279.2099999999991</v>
      </c>
      <c r="O1720" s="1">
        <v>8585.5400000000009</v>
      </c>
      <c r="P1720" s="1">
        <v>7037.33</v>
      </c>
      <c r="Q1720">
        <v>1.77</v>
      </c>
      <c r="R1720">
        <v>1.0224E-2</v>
      </c>
    </row>
    <row r="1721" spans="1:18" ht="13.8" outlineLevel="2" x14ac:dyDescent="0.25">
      <c r="A1721">
        <v>69546</v>
      </c>
      <c r="B1721" t="s">
        <v>1524</v>
      </c>
      <c r="C1721" t="s">
        <v>2047</v>
      </c>
      <c r="D1721" s="14" t="s">
        <v>2048</v>
      </c>
      <c r="E1721" s="12" t="s">
        <v>28</v>
      </c>
      <c r="F1721" s="13" t="s">
        <v>29</v>
      </c>
      <c r="G1721">
        <v>3</v>
      </c>
      <c r="H1721" t="s">
        <v>30</v>
      </c>
      <c r="I1721">
        <v>3</v>
      </c>
      <c r="J1721" s="15"/>
      <c r="K1721" s="16">
        <f>1398.38 - (1398.38 * $E$1)</f>
        <v>1398.38</v>
      </c>
      <c r="L1721" s="16">
        <f>1146.21 - (1146.21 * $E$1)</f>
        <v>1146.21</v>
      </c>
      <c r="M1721" s="1">
        <v>1398.38</v>
      </c>
      <c r="N1721" s="1">
        <v>1146.21</v>
      </c>
      <c r="O1721" s="1">
        <v>1188.6199999999999</v>
      </c>
      <c r="P1721" s="1">
        <v>974.28</v>
      </c>
      <c r="Q1721">
        <v>0.13333333333333</v>
      </c>
      <c r="R1721">
        <v>3.3600000000000001E-3</v>
      </c>
    </row>
    <row r="1722" spans="1:18" ht="13.8" outlineLevel="2" x14ac:dyDescent="0.25">
      <c r="A1722">
        <v>54697</v>
      </c>
      <c r="B1722" t="s">
        <v>1524</v>
      </c>
      <c r="C1722" t="s">
        <v>2049</v>
      </c>
      <c r="D1722" s="14" t="s">
        <v>2048</v>
      </c>
      <c r="E1722" s="12" t="s">
        <v>28</v>
      </c>
      <c r="F1722" s="13" t="s">
        <v>29</v>
      </c>
      <c r="G1722">
        <v>3</v>
      </c>
      <c r="H1722" t="s">
        <v>30</v>
      </c>
      <c r="I1722">
        <v>3</v>
      </c>
      <c r="J1722" s="15"/>
      <c r="K1722" s="16">
        <f>1727.26 - (1727.26 * $E$1)</f>
        <v>1727.26</v>
      </c>
      <c r="L1722" s="16">
        <f>1415.79 - (1415.79 * $E$1)</f>
        <v>1415.79</v>
      </c>
      <c r="M1722" s="1">
        <v>1727.26</v>
      </c>
      <c r="N1722" s="1">
        <v>1415.79</v>
      </c>
      <c r="O1722" s="1">
        <v>1468.17</v>
      </c>
      <c r="P1722" s="1">
        <v>1203.42</v>
      </c>
      <c r="Q1722">
        <v>0.28000000000000003</v>
      </c>
      <c r="R1722">
        <v>3.3600000000000001E-3</v>
      </c>
    </row>
    <row r="1723" spans="1:18" ht="13.8" outlineLevel="2" x14ac:dyDescent="0.25">
      <c r="A1723">
        <v>54698</v>
      </c>
      <c r="B1723" t="s">
        <v>1524</v>
      </c>
      <c r="C1723" t="s">
        <v>2050</v>
      </c>
      <c r="D1723" s="14" t="s">
        <v>2048</v>
      </c>
      <c r="E1723" s="12" t="s">
        <v>28</v>
      </c>
      <c r="F1723" s="13" t="s">
        <v>29</v>
      </c>
      <c r="G1723">
        <v>3</v>
      </c>
      <c r="H1723" t="s">
        <v>30</v>
      </c>
      <c r="I1723">
        <v>3</v>
      </c>
      <c r="J1723" s="15"/>
      <c r="K1723" s="16">
        <f>1795.88 - (1795.88 * $E$1)</f>
        <v>1795.88</v>
      </c>
      <c r="L1723" s="16">
        <f>1472.03 - (1472.03 * $E$1)</f>
        <v>1472.03</v>
      </c>
      <c r="M1723" s="1">
        <v>1795.88</v>
      </c>
      <c r="N1723" s="1">
        <v>1472.03</v>
      </c>
      <c r="O1723" s="1">
        <v>1526.5</v>
      </c>
      <c r="P1723" s="1">
        <v>1251.23</v>
      </c>
      <c r="Q1723">
        <v>0.28666666666667001</v>
      </c>
      <c r="R1723">
        <v>3.3600000000000001E-3</v>
      </c>
    </row>
    <row r="1724" spans="1:18" ht="13.8" outlineLevel="2" x14ac:dyDescent="0.25">
      <c r="A1724">
        <v>54699</v>
      </c>
      <c r="B1724" t="s">
        <v>1524</v>
      </c>
      <c r="C1724" t="s">
        <v>2051</v>
      </c>
      <c r="D1724" s="14" t="s">
        <v>2048</v>
      </c>
      <c r="E1724" s="12" t="s">
        <v>28</v>
      </c>
      <c r="F1724" s="13" t="s">
        <v>29</v>
      </c>
      <c r="G1724">
        <v>3</v>
      </c>
      <c r="H1724" t="s">
        <v>30</v>
      </c>
      <c r="I1724">
        <v>3</v>
      </c>
      <c r="J1724" s="15"/>
      <c r="K1724" s="16">
        <f>2711.57 - (2711.57 * $E$1)</f>
        <v>2711.57</v>
      </c>
      <c r="L1724" s="16">
        <f>2222.6 - (2222.6 * $E$1)</f>
        <v>2222.6</v>
      </c>
      <c r="M1724" s="1">
        <v>2711.57</v>
      </c>
      <c r="N1724" s="1">
        <v>2222.6</v>
      </c>
      <c r="O1724" s="1">
        <v>2304.84</v>
      </c>
      <c r="P1724" s="1">
        <v>1889.21</v>
      </c>
      <c r="Q1724">
        <v>0.33333333333332998</v>
      </c>
      <c r="R1724">
        <v>3.3600000000000001E-3</v>
      </c>
    </row>
    <row r="1725" spans="1:18" ht="13.8" outlineLevel="2" x14ac:dyDescent="0.25">
      <c r="A1725">
        <v>67013</v>
      </c>
      <c r="B1725" t="s">
        <v>1524</v>
      </c>
      <c r="C1725" t="s">
        <v>2052</v>
      </c>
      <c r="D1725" s="14" t="s">
        <v>2048</v>
      </c>
      <c r="E1725" s="12" t="s">
        <v>28</v>
      </c>
      <c r="F1725" s="13" t="s">
        <v>29</v>
      </c>
      <c r="G1725">
        <v>3</v>
      </c>
      <c r="H1725" t="s">
        <v>30</v>
      </c>
      <c r="I1725">
        <v>3</v>
      </c>
      <c r="J1725" s="15"/>
      <c r="K1725" s="16">
        <f>3101.97 - (3101.97 * $E$1)</f>
        <v>3101.97</v>
      </c>
      <c r="L1725" s="16">
        <f>2542.6 - (2542.6 * $E$1)</f>
        <v>2542.6</v>
      </c>
      <c r="M1725" s="1">
        <v>3101.97</v>
      </c>
      <c r="N1725" s="1">
        <v>2542.6</v>
      </c>
      <c r="O1725" s="1">
        <v>2636.68</v>
      </c>
      <c r="P1725" s="1">
        <v>2161.21</v>
      </c>
      <c r="Q1725">
        <v>0.45666666666667</v>
      </c>
      <c r="R1725">
        <v>3.3600000000000001E-3</v>
      </c>
    </row>
    <row r="1726" spans="1:18" ht="13.8" outlineLevel="2" x14ac:dyDescent="0.25">
      <c r="A1726">
        <v>82796</v>
      </c>
      <c r="B1726" t="s">
        <v>1524</v>
      </c>
      <c r="C1726" t="s">
        <v>2053</v>
      </c>
      <c r="D1726" s="14" t="s">
        <v>2048</v>
      </c>
      <c r="E1726" s="12" t="s">
        <v>28</v>
      </c>
      <c r="F1726" s="13" t="s">
        <v>29</v>
      </c>
      <c r="G1726">
        <v>3</v>
      </c>
      <c r="H1726" t="s">
        <v>30</v>
      </c>
      <c r="I1726">
        <v>3</v>
      </c>
      <c r="J1726" s="15"/>
      <c r="K1726" s="16">
        <f>3085.33 - (3085.33 * $E$1)</f>
        <v>3085.33</v>
      </c>
      <c r="L1726" s="16">
        <f>2528.96 - (2528.96 * $E$1)</f>
        <v>2528.96</v>
      </c>
      <c r="M1726" s="1">
        <v>3085.33</v>
      </c>
      <c r="N1726" s="1">
        <v>2528.96</v>
      </c>
      <c r="O1726" s="1">
        <v>2622.53</v>
      </c>
      <c r="P1726" s="1">
        <v>2149.62</v>
      </c>
      <c r="Q1726">
        <v>0.47666666666667001</v>
      </c>
      <c r="R1726">
        <v>3.3600000000000001E-3</v>
      </c>
    </row>
    <row r="1727" spans="1:18" ht="13.8" outlineLevel="2" x14ac:dyDescent="0.25">
      <c r="A1727">
        <v>69547</v>
      </c>
      <c r="B1727" t="s">
        <v>1524</v>
      </c>
      <c r="C1727" t="s">
        <v>2054</v>
      </c>
      <c r="D1727" s="14" t="s">
        <v>2048</v>
      </c>
      <c r="E1727" s="12" t="s">
        <v>28</v>
      </c>
      <c r="F1727" s="13" t="s">
        <v>29</v>
      </c>
      <c r="G1727">
        <v>3</v>
      </c>
      <c r="H1727" t="s">
        <v>30</v>
      </c>
      <c r="I1727">
        <v>3</v>
      </c>
      <c r="J1727" s="15"/>
      <c r="K1727" s="16">
        <f>1927.36 - (1927.36 * $E$1)</f>
        <v>1927.36</v>
      </c>
      <c r="L1727" s="16">
        <f>1579.8 - (1579.8 * $E$1)</f>
        <v>1579.8</v>
      </c>
      <c r="M1727" s="1">
        <v>1927.36</v>
      </c>
      <c r="N1727" s="1">
        <v>1579.8</v>
      </c>
      <c r="O1727" s="1">
        <v>1638.25</v>
      </c>
      <c r="P1727" s="1">
        <v>1342.83</v>
      </c>
      <c r="Q1727">
        <v>0.26333333333332998</v>
      </c>
      <c r="R1727">
        <v>3.7683333333333002E-3</v>
      </c>
    </row>
    <row r="1728" spans="1:18" ht="13.8" outlineLevel="2" x14ac:dyDescent="0.25">
      <c r="A1728">
        <v>57810</v>
      </c>
      <c r="B1728" t="s">
        <v>1524</v>
      </c>
      <c r="C1728" t="s">
        <v>2055</v>
      </c>
      <c r="D1728" s="14" t="s">
        <v>2048</v>
      </c>
      <c r="E1728" s="12" t="s">
        <v>28</v>
      </c>
      <c r="F1728" s="13" t="s">
        <v>29</v>
      </c>
      <c r="G1728">
        <v>3</v>
      </c>
      <c r="H1728" t="s">
        <v>30</v>
      </c>
      <c r="I1728">
        <v>3</v>
      </c>
      <c r="J1728" s="15"/>
      <c r="K1728" s="16">
        <f>2240.55 - (2240.55 * $E$1)</f>
        <v>2240.5500000000002</v>
      </c>
      <c r="L1728" s="16">
        <f>1836.52 - (1836.52 * $E$1)</f>
        <v>1836.52</v>
      </c>
      <c r="M1728" s="1">
        <v>2240.5500000000002</v>
      </c>
      <c r="N1728" s="1">
        <v>1836.52</v>
      </c>
      <c r="O1728" s="1">
        <v>1904.47</v>
      </c>
      <c r="P1728" s="1">
        <v>1561.04</v>
      </c>
      <c r="Q1728">
        <v>0.32</v>
      </c>
      <c r="R1728">
        <v>3.7683333333333002E-3</v>
      </c>
    </row>
    <row r="1729" spans="1:18" ht="13.8" outlineLevel="2" x14ac:dyDescent="0.25">
      <c r="A1729">
        <v>57812</v>
      </c>
      <c r="B1729" t="s">
        <v>1524</v>
      </c>
      <c r="C1729" t="s">
        <v>2056</v>
      </c>
      <c r="D1729" s="14" t="s">
        <v>2048</v>
      </c>
      <c r="E1729" s="12" t="s">
        <v>28</v>
      </c>
      <c r="F1729" s="13" t="s">
        <v>29</v>
      </c>
      <c r="G1729">
        <v>3</v>
      </c>
      <c r="H1729" t="s">
        <v>30</v>
      </c>
      <c r="I1729">
        <v>3</v>
      </c>
      <c r="J1729" s="15"/>
      <c r="K1729" s="16">
        <f>3090.2 - (3090.2 * $E$1)</f>
        <v>3090.2</v>
      </c>
      <c r="L1729" s="16">
        <f>2532.95 - (2532.95 * $E$1)</f>
        <v>2532.9499999999998</v>
      </c>
      <c r="M1729" s="1">
        <v>3090.2</v>
      </c>
      <c r="N1729" s="1">
        <v>2532.9499999999998</v>
      </c>
      <c r="O1729" s="1">
        <v>2626.67</v>
      </c>
      <c r="P1729" s="1">
        <v>2153.0100000000002</v>
      </c>
      <c r="Q1729">
        <v>0.39666666666667</v>
      </c>
      <c r="R1729">
        <v>3.7683333333333002E-3</v>
      </c>
    </row>
    <row r="1730" spans="1:18" ht="13.8" outlineLevel="2" x14ac:dyDescent="0.25">
      <c r="A1730">
        <v>57814</v>
      </c>
      <c r="B1730" t="s">
        <v>1524</v>
      </c>
      <c r="C1730" t="s">
        <v>2057</v>
      </c>
      <c r="D1730" s="14" t="s">
        <v>2048</v>
      </c>
      <c r="E1730" s="12" t="s">
        <v>28</v>
      </c>
      <c r="F1730" s="13" t="s">
        <v>29</v>
      </c>
      <c r="G1730">
        <v>3</v>
      </c>
      <c r="H1730" t="s">
        <v>30</v>
      </c>
      <c r="I1730">
        <v>3</v>
      </c>
      <c r="J1730" s="15"/>
      <c r="K1730" s="16">
        <f>4470.18 - (4470.18 * $E$1)</f>
        <v>4470.18</v>
      </c>
      <c r="L1730" s="16">
        <f>3664.08 - (3664.08 * $E$1)</f>
        <v>3664.08</v>
      </c>
      <c r="M1730" s="1">
        <v>4470.18</v>
      </c>
      <c r="N1730" s="1">
        <v>3664.08</v>
      </c>
      <c r="O1730" s="1">
        <v>3799.65</v>
      </c>
      <c r="P1730" s="1">
        <v>3114.47</v>
      </c>
      <c r="Q1730">
        <v>0.54333333333333</v>
      </c>
      <c r="R1730">
        <v>3.3600000000000001E-3</v>
      </c>
    </row>
    <row r="1731" spans="1:18" ht="13.8" outlineLevel="2" x14ac:dyDescent="0.25">
      <c r="A1731">
        <v>67014</v>
      </c>
      <c r="B1731" t="s">
        <v>1524</v>
      </c>
      <c r="C1731" t="s">
        <v>2058</v>
      </c>
      <c r="D1731" s="14" t="s">
        <v>2048</v>
      </c>
      <c r="E1731" s="12" t="s">
        <v>28</v>
      </c>
      <c r="F1731" s="13" t="s">
        <v>29</v>
      </c>
      <c r="G1731">
        <v>3</v>
      </c>
      <c r="H1731" t="s">
        <v>30</v>
      </c>
      <c r="I1731">
        <v>3</v>
      </c>
      <c r="J1731" s="15"/>
      <c r="K1731" s="16">
        <f>7903.56 - (7903.56 * $E$1)</f>
        <v>7903.56</v>
      </c>
      <c r="L1731" s="16">
        <f>6478.33 - (6478.33 * $E$1)</f>
        <v>6478.33</v>
      </c>
      <c r="M1731" s="1">
        <v>7903.56</v>
      </c>
      <c r="N1731" s="1">
        <v>6478.33</v>
      </c>
      <c r="O1731" s="1">
        <v>6718.03</v>
      </c>
      <c r="P1731" s="1">
        <v>5506.58</v>
      </c>
      <c r="Q1731">
        <v>0.86333333333332996</v>
      </c>
      <c r="R1731">
        <v>3.3600000000000001E-3</v>
      </c>
    </row>
    <row r="1732" spans="1:18" ht="13.8" outlineLevel="2" x14ac:dyDescent="0.25">
      <c r="A1732">
        <v>70268</v>
      </c>
      <c r="B1732" t="s">
        <v>1524</v>
      </c>
      <c r="C1732" t="s">
        <v>2059</v>
      </c>
      <c r="D1732" s="14" t="s">
        <v>2048</v>
      </c>
      <c r="E1732" s="12" t="s">
        <v>28</v>
      </c>
      <c r="F1732" s="13" t="s">
        <v>29</v>
      </c>
      <c r="G1732">
        <v>3</v>
      </c>
      <c r="H1732" t="s">
        <v>30</v>
      </c>
      <c r="I1732">
        <v>3</v>
      </c>
      <c r="J1732" s="15"/>
      <c r="K1732" s="16">
        <f>13188.85 - (13188.85 * $E$1)</f>
        <v>13188.85</v>
      </c>
      <c r="L1732" s="16">
        <f>10810.53 - (10810.53 * $E$1)</f>
        <v>10810.53</v>
      </c>
      <c r="M1732" s="1">
        <v>13188.85</v>
      </c>
      <c r="N1732" s="1">
        <v>10810.53</v>
      </c>
      <c r="O1732" s="1">
        <v>11210.52</v>
      </c>
      <c r="P1732" s="1">
        <v>9188.9500000000007</v>
      </c>
      <c r="Q1732">
        <v>1.0766666666666671</v>
      </c>
      <c r="R1732">
        <v>3.3600000000000001E-3</v>
      </c>
    </row>
    <row r="1733" spans="1:18" ht="13.8" outlineLevel="2" x14ac:dyDescent="0.25">
      <c r="A1733">
        <v>69548</v>
      </c>
      <c r="B1733" t="s">
        <v>1524</v>
      </c>
      <c r="C1733" t="s">
        <v>2060</v>
      </c>
      <c r="D1733" s="14" t="s">
        <v>2061</v>
      </c>
      <c r="E1733" s="12" t="s">
        <v>28</v>
      </c>
      <c r="F1733" s="13" t="s">
        <v>29</v>
      </c>
      <c r="G1733">
        <v>3</v>
      </c>
      <c r="H1733" t="s">
        <v>30</v>
      </c>
      <c r="I1733">
        <v>3</v>
      </c>
      <c r="J1733" s="15"/>
      <c r="K1733" s="16">
        <f>1878.17 - (1878.17 * $E$1)</f>
        <v>1878.17</v>
      </c>
      <c r="L1733" s="16">
        <f>1539.48 - (1539.48 * $E$1)</f>
        <v>1539.48</v>
      </c>
      <c r="M1733" s="1">
        <v>1878.17</v>
      </c>
      <c r="N1733" s="1">
        <v>1539.48</v>
      </c>
      <c r="O1733" s="1">
        <v>1596.44</v>
      </c>
      <c r="P1733" s="1">
        <v>1308.56</v>
      </c>
      <c r="Q1733">
        <v>0.28333333333333</v>
      </c>
      <c r="R1733">
        <v>3.3600000000000001E-3</v>
      </c>
    </row>
    <row r="1734" spans="1:18" ht="13.8" outlineLevel="2" x14ac:dyDescent="0.25">
      <c r="A1734">
        <v>54825</v>
      </c>
      <c r="B1734" t="s">
        <v>1524</v>
      </c>
      <c r="C1734" t="s">
        <v>2062</v>
      </c>
      <c r="D1734" s="14" t="s">
        <v>2061</v>
      </c>
      <c r="E1734" s="12" t="s">
        <v>28</v>
      </c>
      <c r="F1734" s="13" t="s">
        <v>29</v>
      </c>
      <c r="G1734">
        <v>3</v>
      </c>
      <c r="H1734" t="s">
        <v>30</v>
      </c>
      <c r="I1734">
        <v>3</v>
      </c>
      <c r="J1734" s="15"/>
      <c r="K1734" s="16">
        <f>2217.05 - (2217.05 * $E$1)</f>
        <v>2217.0500000000002</v>
      </c>
      <c r="L1734" s="16">
        <f>1817.25 - (1817.25 * $E$1)</f>
        <v>1817.25</v>
      </c>
      <c r="M1734" s="1">
        <v>2217.0500000000002</v>
      </c>
      <c r="N1734" s="1">
        <v>1817.25</v>
      </c>
      <c r="O1734" s="1">
        <v>1884.49</v>
      </c>
      <c r="P1734" s="1">
        <v>1544.66</v>
      </c>
      <c r="Q1734">
        <v>0.32333333333332998</v>
      </c>
      <c r="R1734">
        <v>3.3600000000000001E-3</v>
      </c>
    </row>
    <row r="1735" spans="1:18" ht="13.8" outlineLevel="2" x14ac:dyDescent="0.25">
      <c r="A1735">
        <v>54827</v>
      </c>
      <c r="B1735" t="s">
        <v>1524</v>
      </c>
      <c r="C1735" t="s">
        <v>2063</v>
      </c>
      <c r="D1735" s="14" t="s">
        <v>2061</v>
      </c>
      <c r="E1735" s="12" t="s">
        <v>28</v>
      </c>
      <c r="F1735" s="13" t="s">
        <v>29</v>
      </c>
      <c r="G1735">
        <v>3</v>
      </c>
      <c r="H1735" t="s">
        <v>30</v>
      </c>
      <c r="I1735">
        <v>3</v>
      </c>
      <c r="J1735" s="15"/>
      <c r="K1735" s="16">
        <f>2470.22 - (2470.22 * $E$1)</f>
        <v>2470.2199999999998</v>
      </c>
      <c r="L1735" s="16">
        <f>2024.77 - (2024.77 * $E$1)</f>
        <v>2024.77</v>
      </c>
      <c r="M1735" s="1">
        <v>2470.2199999999998</v>
      </c>
      <c r="N1735" s="1">
        <v>2024.77</v>
      </c>
      <c r="O1735" s="1">
        <v>2099.69</v>
      </c>
      <c r="P1735" s="1">
        <v>1721.05</v>
      </c>
      <c r="Q1735">
        <v>0.33</v>
      </c>
      <c r="R1735">
        <v>3.3600000000000001E-3</v>
      </c>
    </row>
    <row r="1736" spans="1:18" ht="13.8" outlineLevel="2" x14ac:dyDescent="0.25">
      <c r="A1736">
        <v>54828</v>
      </c>
      <c r="B1736" t="s">
        <v>1524</v>
      </c>
      <c r="C1736" t="s">
        <v>2064</v>
      </c>
      <c r="D1736" s="14" t="s">
        <v>2061</v>
      </c>
      <c r="E1736" s="12" t="s">
        <v>28</v>
      </c>
      <c r="F1736" s="13" t="s">
        <v>29</v>
      </c>
      <c r="G1736">
        <v>3</v>
      </c>
      <c r="H1736" t="s">
        <v>30</v>
      </c>
      <c r="I1736">
        <v>3</v>
      </c>
      <c r="J1736" s="15"/>
      <c r="K1736" s="16">
        <f>3208.45 - (3208.45 * $E$1)</f>
        <v>3208.45</v>
      </c>
      <c r="L1736" s="16">
        <f>2629.88 - (2629.88 * $E$1)</f>
        <v>2629.88</v>
      </c>
      <c r="M1736" s="1">
        <v>3208.45</v>
      </c>
      <c r="N1736" s="1">
        <v>2629.88</v>
      </c>
      <c r="O1736" s="1">
        <v>2727.19</v>
      </c>
      <c r="P1736" s="1">
        <v>2235.4</v>
      </c>
      <c r="Q1736">
        <v>0.38666666666666999</v>
      </c>
      <c r="R1736">
        <v>3.3600000000000001E-3</v>
      </c>
    </row>
    <row r="1737" spans="1:18" ht="13.8" outlineLevel="2" x14ac:dyDescent="0.25">
      <c r="A1737">
        <v>67015</v>
      </c>
      <c r="B1737" t="s">
        <v>1524</v>
      </c>
      <c r="C1737" t="s">
        <v>2065</v>
      </c>
      <c r="D1737" s="14" t="s">
        <v>2061</v>
      </c>
      <c r="E1737" s="12" t="s">
        <v>28</v>
      </c>
      <c r="F1737" s="13" t="s">
        <v>29</v>
      </c>
      <c r="G1737">
        <v>3</v>
      </c>
      <c r="H1737" t="s">
        <v>30</v>
      </c>
      <c r="I1737">
        <v>3</v>
      </c>
      <c r="J1737" s="15"/>
      <c r="K1737" s="16">
        <f>3854.39 - (3854.39 * $E$1)</f>
        <v>3854.39</v>
      </c>
      <c r="L1737" s="16">
        <f>3159.34 - (3159.34 * $E$1)</f>
        <v>3159.34</v>
      </c>
      <c r="M1737" s="1">
        <v>3854.39</v>
      </c>
      <c r="N1737" s="1">
        <v>3159.34</v>
      </c>
      <c r="O1737" s="1">
        <v>3276.24</v>
      </c>
      <c r="P1737" s="1">
        <v>2685.44</v>
      </c>
      <c r="Q1737">
        <v>0.52333333333332999</v>
      </c>
      <c r="R1737">
        <v>3.3600000000000001E-3</v>
      </c>
    </row>
    <row r="1738" spans="1:18" ht="13.8" outlineLevel="2" x14ac:dyDescent="0.25">
      <c r="A1738">
        <v>82797</v>
      </c>
      <c r="B1738" t="s">
        <v>1524</v>
      </c>
      <c r="C1738" t="s">
        <v>2066</v>
      </c>
      <c r="D1738" s="14" t="s">
        <v>2061</v>
      </c>
      <c r="E1738" s="12" t="s">
        <v>28</v>
      </c>
      <c r="F1738" s="13" t="s">
        <v>29</v>
      </c>
      <c r="G1738">
        <v>3</v>
      </c>
      <c r="H1738" t="s">
        <v>30</v>
      </c>
      <c r="I1738">
        <v>3</v>
      </c>
      <c r="J1738" s="15"/>
      <c r="K1738" s="16">
        <f>3281.73 - (3281.73 * $E$1)</f>
        <v>3281.73</v>
      </c>
      <c r="L1738" s="16">
        <f>2689.94 - (2689.94 * $E$1)</f>
        <v>2689.94</v>
      </c>
      <c r="M1738" s="1">
        <v>3281.73</v>
      </c>
      <c r="N1738" s="1">
        <v>2689.94</v>
      </c>
      <c r="O1738" s="1">
        <v>2789.47</v>
      </c>
      <c r="P1738" s="1">
        <v>2286.4499999999998</v>
      </c>
      <c r="Q1738">
        <v>0.55666666666666997</v>
      </c>
      <c r="R1738">
        <v>3.3600000000000001E-3</v>
      </c>
    </row>
    <row r="1739" spans="1:18" ht="13.8" outlineLevel="2" x14ac:dyDescent="0.25">
      <c r="A1739">
        <v>69549</v>
      </c>
      <c r="B1739" t="s">
        <v>1524</v>
      </c>
      <c r="C1739" t="s">
        <v>2067</v>
      </c>
      <c r="D1739" s="14" t="s">
        <v>2061</v>
      </c>
      <c r="E1739" s="12" t="s">
        <v>28</v>
      </c>
      <c r="F1739" s="13" t="s">
        <v>29</v>
      </c>
      <c r="G1739">
        <v>3</v>
      </c>
      <c r="H1739" t="s">
        <v>30</v>
      </c>
      <c r="I1739">
        <v>3</v>
      </c>
      <c r="J1739" s="15"/>
      <c r="K1739" s="16">
        <f>2481.05 - (2481.05 * $E$1)</f>
        <v>2481.0500000000002</v>
      </c>
      <c r="L1739" s="16">
        <f>2033.65 - (2033.65 * $E$1)</f>
        <v>2033.65</v>
      </c>
      <c r="M1739" s="1">
        <v>2481.0500000000002</v>
      </c>
      <c r="N1739" s="1">
        <v>2033.65</v>
      </c>
      <c r="O1739" s="1">
        <v>2108.9</v>
      </c>
      <c r="P1739" s="1">
        <v>1728.6</v>
      </c>
      <c r="Q1739">
        <v>0.30666666666666997</v>
      </c>
      <c r="R1739">
        <v>3.7683333333333002E-3</v>
      </c>
    </row>
    <row r="1740" spans="1:18" ht="13.8" outlineLevel="2" x14ac:dyDescent="0.25">
      <c r="A1740">
        <v>57811</v>
      </c>
      <c r="B1740" t="s">
        <v>1524</v>
      </c>
      <c r="C1740" t="s">
        <v>2068</v>
      </c>
      <c r="D1740" s="14" t="s">
        <v>2061</v>
      </c>
      <c r="E1740" s="12" t="s">
        <v>28</v>
      </c>
      <c r="F1740" s="13" t="s">
        <v>29</v>
      </c>
      <c r="G1740">
        <v>3</v>
      </c>
      <c r="H1740" t="s">
        <v>30</v>
      </c>
      <c r="I1740">
        <v>3</v>
      </c>
      <c r="J1740" s="15"/>
      <c r="K1740" s="16">
        <f>2892.77 - (2892.77 * $E$1)</f>
        <v>2892.77</v>
      </c>
      <c r="L1740" s="16">
        <f>2371.12 - (2371.12 * $E$1)</f>
        <v>2371.12</v>
      </c>
      <c r="M1740" s="1">
        <v>2892.77</v>
      </c>
      <c r="N1740" s="1">
        <v>2371.12</v>
      </c>
      <c r="O1740" s="1">
        <v>2458.85</v>
      </c>
      <c r="P1740" s="1">
        <v>2015.45</v>
      </c>
      <c r="Q1740">
        <v>0.35666666666667002</v>
      </c>
      <c r="R1740">
        <v>3.7683333333333002E-3</v>
      </c>
    </row>
    <row r="1741" spans="1:18" ht="13.8" outlineLevel="2" x14ac:dyDescent="0.25">
      <c r="A1741">
        <v>57813</v>
      </c>
      <c r="B1741" t="s">
        <v>1524</v>
      </c>
      <c r="C1741" t="s">
        <v>2069</v>
      </c>
      <c r="D1741" s="14" t="s">
        <v>2061</v>
      </c>
      <c r="E1741" s="12" t="s">
        <v>28</v>
      </c>
      <c r="F1741" s="13" t="s">
        <v>29</v>
      </c>
      <c r="G1741">
        <v>3</v>
      </c>
      <c r="H1741" t="s">
        <v>30</v>
      </c>
      <c r="I1741">
        <v>3</v>
      </c>
      <c r="J1741" s="15"/>
      <c r="K1741" s="16">
        <f>3768.86 - (3768.86 * $E$1)</f>
        <v>3768.86</v>
      </c>
      <c r="L1741" s="16">
        <f>3089.23 - (3089.23 * $E$1)</f>
        <v>3089.23</v>
      </c>
      <c r="M1741" s="1">
        <v>3768.86</v>
      </c>
      <c r="N1741" s="1">
        <v>3089.23</v>
      </c>
      <c r="O1741" s="1">
        <v>3203.53</v>
      </c>
      <c r="P1741" s="1">
        <v>2625.85</v>
      </c>
      <c r="Q1741">
        <v>0.44</v>
      </c>
      <c r="R1741">
        <v>3.7683333333333002E-3</v>
      </c>
    </row>
    <row r="1742" spans="1:18" ht="13.8" outlineLevel="2" x14ac:dyDescent="0.25">
      <c r="A1742">
        <v>57815</v>
      </c>
      <c r="B1742" t="s">
        <v>1524</v>
      </c>
      <c r="C1742" t="s">
        <v>2070</v>
      </c>
      <c r="D1742" s="14" t="s">
        <v>2061</v>
      </c>
      <c r="E1742" s="12" t="s">
        <v>28</v>
      </c>
      <c r="F1742" s="13" t="s">
        <v>29</v>
      </c>
      <c r="G1742">
        <v>3</v>
      </c>
      <c r="H1742" t="s">
        <v>30</v>
      </c>
      <c r="I1742">
        <v>3</v>
      </c>
      <c r="J1742" s="15"/>
      <c r="K1742" s="16">
        <f>5235.36 - (5235.36 * $E$1)</f>
        <v>5235.3599999999997</v>
      </c>
      <c r="L1742" s="16">
        <f>4291.28 - (4291.28 * $E$1)</f>
        <v>4291.28</v>
      </c>
      <c r="M1742" s="1">
        <v>5235.3599999999997</v>
      </c>
      <c r="N1742" s="1">
        <v>4291.28</v>
      </c>
      <c r="O1742" s="1">
        <v>4450.0600000000004</v>
      </c>
      <c r="P1742" s="1">
        <v>3647.59</v>
      </c>
      <c r="Q1742">
        <v>0.59666666666667001</v>
      </c>
      <c r="R1742">
        <v>3.3600000000000001E-3</v>
      </c>
    </row>
    <row r="1743" spans="1:18" ht="13.8" outlineLevel="2" x14ac:dyDescent="0.25">
      <c r="A1743">
        <v>67016</v>
      </c>
      <c r="B1743" t="s">
        <v>1524</v>
      </c>
      <c r="C1743" t="s">
        <v>2071</v>
      </c>
      <c r="D1743" s="14" t="s">
        <v>2061</v>
      </c>
      <c r="E1743" s="12" t="s">
        <v>28</v>
      </c>
      <c r="F1743" s="13" t="s">
        <v>29</v>
      </c>
      <c r="G1743">
        <v>3</v>
      </c>
      <c r="H1743" t="s">
        <v>30</v>
      </c>
      <c r="I1743">
        <v>3</v>
      </c>
      <c r="J1743" s="15"/>
      <c r="K1743" s="16">
        <f>8617.93 - (8617.93 * $E$1)</f>
        <v>8617.93</v>
      </c>
      <c r="L1743" s="16">
        <f>7063.88 - (7063.88 * $E$1)</f>
        <v>7063.88</v>
      </c>
      <c r="M1743" s="1">
        <v>8617.93</v>
      </c>
      <c r="N1743" s="1">
        <v>7063.88</v>
      </c>
      <c r="O1743" s="1">
        <v>7325.24</v>
      </c>
      <c r="P1743" s="1">
        <v>6004.3</v>
      </c>
      <c r="Q1743">
        <v>0.92666666666666997</v>
      </c>
      <c r="R1743">
        <v>3.3600000000000001E-3</v>
      </c>
    </row>
    <row r="1744" spans="1:18" ht="13.8" outlineLevel="2" x14ac:dyDescent="0.25">
      <c r="A1744">
        <v>70270</v>
      </c>
      <c r="B1744" t="s">
        <v>1524</v>
      </c>
      <c r="C1744" t="s">
        <v>2072</v>
      </c>
      <c r="D1744" s="14" t="s">
        <v>2061</v>
      </c>
      <c r="E1744" s="12" t="s">
        <v>28</v>
      </c>
      <c r="F1744" s="13" t="s">
        <v>29</v>
      </c>
      <c r="G1744">
        <v>3</v>
      </c>
      <c r="H1744" t="s">
        <v>30</v>
      </c>
      <c r="I1744">
        <v>3</v>
      </c>
      <c r="J1744" s="15"/>
      <c r="K1744" s="16">
        <f>14452.23 - (14452.23 * $E$1)</f>
        <v>14452.23</v>
      </c>
      <c r="L1744" s="16">
        <f>11846.09 - (11846.09 * $E$1)</f>
        <v>11846.09</v>
      </c>
      <c r="M1744" s="1">
        <v>14452.23</v>
      </c>
      <c r="N1744" s="1">
        <v>11846.09</v>
      </c>
      <c r="O1744" s="1">
        <v>12284.4</v>
      </c>
      <c r="P1744" s="1">
        <v>10069.18</v>
      </c>
      <c r="Q1744">
        <v>1.12666666666667</v>
      </c>
      <c r="R1744">
        <v>3.3600000000000001E-3</v>
      </c>
    </row>
    <row r="1745" spans="1:18" ht="13.8" outlineLevel="2" x14ac:dyDescent="0.25">
      <c r="A1745">
        <v>66278</v>
      </c>
      <c r="B1745" t="s">
        <v>1524</v>
      </c>
      <c r="C1745" t="s">
        <v>2073</v>
      </c>
      <c r="D1745" s="14" t="s">
        <v>2074</v>
      </c>
      <c r="E1745" s="12" t="s">
        <v>28</v>
      </c>
      <c r="F1745" s="13" t="s">
        <v>29</v>
      </c>
      <c r="G1745">
        <v>1</v>
      </c>
      <c r="H1745" t="s">
        <v>30</v>
      </c>
      <c r="I1745">
        <v>1</v>
      </c>
      <c r="J1745" s="15"/>
      <c r="K1745" s="16">
        <f>5436.82 - (5436.82 * $E$1)</f>
        <v>5436.82</v>
      </c>
      <c r="L1745" s="16">
        <f>4456.41 - (4456.41 * $E$1)</f>
        <v>4456.41</v>
      </c>
      <c r="M1745" s="1">
        <v>5436.82</v>
      </c>
      <c r="N1745" s="1">
        <v>4456.41</v>
      </c>
      <c r="O1745" s="1">
        <v>4621.3</v>
      </c>
      <c r="P1745" s="1">
        <v>3787.95</v>
      </c>
      <c r="Q1745">
        <v>1.07</v>
      </c>
      <c r="R1745">
        <v>1.0224E-2</v>
      </c>
    </row>
    <row r="1746" spans="1:18" ht="13.8" outlineLevel="2" x14ac:dyDescent="0.25">
      <c r="A1746">
        <v>66282</v>
      </c>
      <c r="B1746" t="s">
        <v>1524</v>
      </c>
      <c r="C1746" t="s">
        <v>2075</v>
      </c>
      <c r="D1746" s="14" t="s">
        <v>2074</v>
      </c>
      <c r="E1746" s="12" t="s">
        <v>28</v>
      </c>
      <c r="F1746" s="13" t="s">
        <v>29</v>
      </c>
      <c r="G1746">
        <v>1</v>
      </c>
      <c r="H1746" t="s">
        <v>30</v>
      </c>
      <c r="I1746">
        <v>1</v>
      </c>
      <c r="J1746" s="15"/>
      <c r="K1746" s="16">
        <f>6114.77 - (6114.77 * $E$1)</f>
        <v>6114.77</v>
      </c>
      <c r="L1746" s="16">
        <f>5012.11 - (5012.11 * $E$1)</f>
        <v>5012.1099999999997</v>
      </c>
      <c r="M1746" s="1">
        <v>6114.77</v>
      </c>
      <c r="N1746" s="1">
        <v>5012.1099999999997</v>
      </c>
      <c r="O1746" s="1">
        <v>5197.5600000000004</v>
      </c>
      <c r="P1746" s="1">
        <v>4260.29</v>
      </c>
      <c r="Q1746">
        <v>1.1000000000000001</v>
      </c>
      <c r="R1746">
        <v>1.2168E-2</v>
      </c>
    </row>
    <row r="1747" spans="1:18" ht="13.8" outlineLevel="2" x14ac:dyDescent="0.25">
      <c r="A1747">
        <v>66286</v>
      </c>
      <c r="B1747" t="s">
        <v>1524</v>
      </c>
      <c r="C1747" t="s">
        <v>2076</v>
      </c>
      <c r="D1747" s="14" t="s">
        <v>2074</v>
      </c>
      <c r="E1747" s="12" t="s">
        <v>28</v>
      </c>
      <c r="F1747" s="13" t="s">
        <v>29</v>
      </c>
      <c r="G1747">
        <v>1</v>
      </c>
      <c r="H1747" t="s">
        <v>30</v>
      </c>
      <c r="I1747">
        <v>1</v>
      </c>
      <c r="J1747" s="15"/>
      <c r="K1747" s="16">
        <f>7243.21 - (7243.21 * $E$1)</f>
        <v>7243.21</v>
      </c>
      <c r="L1747" s="16">
        <f>5937.06 - (5937.06 * $E$1)</f>
        <v>5937.06</v>
      </c>
      <c r="M1747" s="1">
        <v>7243.21</v>
      </c>
      <c r="N1747" s="1">
        <v>5937.06</v>
      </c>
      <c r="O1747" s="1">
        <v>6156.73</v>
      </c>
      <c r="P1747" s="1">
        <v>5046.5</v>
      </c>
      <c r="Q1747">
        <v>1.48</v>
      </c>
      <c r="R1747">
        <v>1.704E-2</v>
      </c>
    </row>
    <row r="1748" spans="1:18" ht="13.8" outlineLevel="2" x14ac:dyDescent="0.25">
      <c r="A1748">
        <v>66279</v>
      </c>
      <c r="B1748" t="s">
        <v>1524</v>
      </c>
      <c r="C1748" t="s">
        <v>2077</v>
      </c>
      <c r="D1748" s="14" t="s">
        <v>2074</v>
      </c>
      <c r="E1748" s="12" t="s">
        <v>28</v>
      </c>
      <c r="F1748" s="13" t="s">
        <v>29</v>
      </c>
      <c r="G1748">
        <v>1</v>
      </c>
      <c r="H1748" t="s">
        <v>30</v>
      </c>
      <c r="I1748">
        <v>1</v>
      </c>
      <c r="J1748" s="15"/>
      <c r="K1748" s="16">
        <f>6943.26 - (6943.26 * $E$1)</f>
        <v>6943.26</v>
      </c>
      <c r="L1748" s="16">
        <f>5691.2 - (5691.2 * $E$1)</f>
        <v>5691.2</v>
      </c>
      <c r="M1748" s="1">
        <v>6943.26</v>
      </c>
      <c r="N1748" s="1">
        <v>5691.2</v>
      </c>
      <c r="O1748" s="1">
        <v>5901.77</v>
      </c>
      <c r="P1748" s="1">
        <v>4837.5200000000004</v>
      </c>
      <c r="Q1748">
        <v>1.1599999999999999</v>
      </c>
      <c r="R1748">
        <v>1.0224E-2</v>
      </c>
    </row>
    <row r="1749" spans="1:18" ht="13.8" outlineLevel="2" x14ac:dyDescent="0.25">
      <c r="A1749">
        <v>66283</v>
      </c>
      <c r="B1749" t="s">
        <v>1524</v>
      </c>
      <c r="C1749" t="s">
        <v>2078</v>
      </c>
      <c r="D1749" s="14" t="s">
        <v>2074</v>
      </c>
      <c r="E1749" s="12" t="s">
        <v>28</v>
      </c>
      <c r="F1749" s="13" t="s">
        <v>29</v>
      </c>
      <c r="G1749">
        <v>1</v>
      </c>
      <c r="H1749" t="s">
        <v>30</v>
      </c>
      <c r="I1749">
        <v>1</v>
      </c>
      <c r="J1749" s="15"/>
      <c r="K1749" s="16">
        <f>8865.56 - (8865.56 * $E$1)</f>
        <v>8865.56</v>
      </c>
      <c r="L1749" s="16">
        <f>7266.85 - (7266.85 * $E$1)</f>
        <v>7266.85</v>
      </c>
      <c r="M1749" s="1">
        <v>8865.56</v>
      </c>
      <c r="N1749" s="1">
        <v>7266.85</v>
      </c>
      <c r="O1749" s="1">
        <v>7535.72</v>
      </c>
      <c r="P1749" s="1">
        <v>6176.82</v>
      </c>
      <c r="Q1749">
        <v>1.46</v>
      </c>
      <c r="R1749">
        <v>1.0224E-2</v>
      </c>
    </row>
    <row r="1750" spans="1:18" ht="13.8" outlineLevel="2" x14ac:dyDescent="0.25">
      <c r="A1750">
        <v>66287</v>
      </c>
      <c r="B1750" t="s">
        <v>1524</v>
      </c>
      <c r="C1750" t="s">
        <v>2079</v>
      </c>
      <c r="D1750" s="14" t="s">
        <v>2074</v>
      </c>
      <c r="E1750" s="12" t="s">
        <v>28</v>
      </c>
      <c r="F1750" s="13" t="s">
        <v>29</v>
      </c>
      <c r="G1750">
        <v>1</v>
      </c>
      <c r="H1750" t="s">
        <v>30</v>
      </c>
      <c r="I1750">
        <v>1</v>
      </c>
      <c r="J1750" s="15"/>
      <c r="K1750" s="16">
        <f>11725.85 - (11725.85 * $E$1)</f>
        <v>11725.85</v>
      </c>
      <c r="L1750" s="16">
        <f>9611.35 - (9611.35 * $E$1)</f>
        <v>9611.35</v>
      </c>
      <c r="M1750" s="1">
        <v>11725.85</v>
      </c>
      <c r="N1750" s="1">
        <v>9611.35</v>
      </c>
      <c r="O1750" s="1">
        <v>9966.9699999999993</v>
      </c>
      <c r="P1750" s="1">
        <v>8169.65</v>
      </c>
      <c r="Q1750">
        <v>1.76</v>
      </c>
      <c r="R1750">
        <v>1.9311999999999999E-2</v>
      </c>
    </row>
    <row r="1751" spans="1:18" ht="13.8" outlineLevel="2" x14ac:dyDescent="0.25">
      <c r="A1751">
        <v>92345</v>
      </c>
      <c r="B1751" t="s">
        <v>1524</v>
      </c>
      <c r="C1751" t="s">
        <v>2080</v>
      </c>
      <c r="D1751" s="14" t="s">
        <v>2074</v>
      </c>
      <c r="E1751" s="12" t="s">
        <v>28</v>
      </c>
      <c r="F1751" s="13" t="s">
        <v>29</v>
      </c>
      <c r="G1751">
        <v>1</v>
      </c>
      <c r="H1751" t="s">
        <v>30</v>
      </c>
      <c r="I1751">
        <v>1</v>
      </c>
      <c r="J1751" s="15"/>
      <c r="K1751" s="16">
        <f>7714.06 - (7714.06 * $E$1)</f>
        <v>7714.06</v>
      </c>
      <c r="L1751" s="16">
        <f>6323 - (6323 * $E$1)</f>
        <v>6323</v>
      </c>
      <c r="M1751" s="1">
        <v>7714.06</v>
      </c>
      <c r="N1751" s="1">
        <v>6323</v>
      </c>
      <c r="O1751" s="1">
        <v>6556.95</v>
      </c>
      <c r="P1751" s="1">
        <v>5374.55</v>
      </c>
      <c r="Q1751">
        <v>1.8</v>
      </c>
      <c r="R1751">
        <v>1.704E-2</v>
      </c>
    </row>
    <row r="1752" spans="1:18" ht="13.8" outlineLevel="2" x14ac:dyDescent="0.25">
      <c r="A1752">
        <v>92346</v>
      </c>
      <c r="B1752" t="s">
        <v>1524</v>
      </c>
      <c r="C1752" t="s">
        <v>2081</v>
      </c>
      <c r="D1752" s="14" t="s">
        <v>2074</v>
      </c>
      <c r="E1752" s="12" t="s">
        <v>28</v>
      </c>
      <c r="F1752" s="13" t="s">
        <v>29</v>
      </c>
      <c r="G1752">
        <v>1</v>
      </c>
      <c r="H1752" t="s">
        <v>30</v>
      </c>
      <c r="I1752">
        <v>1</v>
      </c>
      <c r="J1752" s="15"/>
      <c r="K1752" s="16">
        <f>15936.87 - (15936.87 * $E$1)</f>
        <v>15936.87</v>
      </c>
      <c r="L1752" s="16">
        <f>13063.01 - (13063.01 * $E$1)</f>
        <v>13063.01</v>
      </c>
      <c r="M1752" s="1">
        <v>15936.87</v>
      </c>
      <c r="N1752" s="1">
        <v>13063.01</v>
      </c>
      <c r="O1752" s="1">
        <v>13546.34</v>
      </c>
      <c r="P1752" s="1">
        <v>11103.56</v>
      </c>
      <c r="Q1752">
        <v>2.8</v>
      </c>
      <c r="R1752">
        <v>1.704E-2</v>
      </c>
    </row>
    <row r="1753" spans="1:18" ht="13.8" outlineLevel="2" x14ac:dyDescent="0.25">
      <c r="A1753">
        <v>66280</v>
      </c>
      <c r="B1753" t="s">
        <v>1524</v>
      </c>
      <c r="C1753" t="s">
        <v>2082</v>
      </c>
      <c r="D1753" s="14" t="s">
        <v>2083</v>
      </c>
      <c r="E1753" s="12" t="s">
        <v>28</v>
      </c>
      <c r="F1753" s="13" t="s">
        <v>29</v>
      </c>
      <c r="G1753">
        <v>1</v>
      </c>
      <c r="H1753" t="s">
        <v>30</v>
      </c>
      <c r="I1753">
        <v>1</v>
      </c>
      <c r="J1753" s="15"/>
      <c r="K1753" s="16">
        <f>6954.12 - (6954.12 * $E$1)</f>
        <v>6954.12</v>
      </c>
      <c r="L1753" s="16">
        <f>5700.1 - (5700.1 * $E$1)</f>
        <v>5700.1</v>
      </c>
      <c r="M1753" s="1">
        <v>6954.12</v>
      </c>
      <c r="N1753" s="1">
        <v>5700.1</v>
      </c>
      <c r="O1753" s="1">
        <v>5911</v>
      </c>
      <c r="P1753" s="1">
        <v>4845.09</v>
      </c>
      <c r="Q1753">
        <v>1.19</v>
      </c>
      <c r="R1753">
        <v>1.0224E-2</v>
      </c>
    </row>
    <row r="1754" spans="1:18" ht="13.8" outlineLevel="2" x14ac:dyDescent="0.25">
      <c r="A1754">
        <v>66284</v>
      </c>
      <c r="B1754" t="s">
        <v>1524</v>
      </c>
      <c r="C1754" t="s">
        <v>2084</v>
      </c>
      <c r="D1754" s="14" t="s">
        <v>2083</v>
      </c>
      <c r="E1754" s="12" t="s">
        <v>28</v>
      </c>
      <c r="F1754" s="13" t="s">
        <v>29</v>
      </c>
      <c r="G1754">
        <v>1</v>
      </c>
      <c r="H1754" t="s">
        <v>30</v>
      </c>
      <c r="I1754">
        <v>1</v>
      </c>
      <c r="J1754" s="15"/>
      <c r="K1754" s="16">
        <f>7893.68 - (7893.68 * $E$1)</f>
        <v>7893.68</v>
      </c>
      <c r="L1754" s="16">
        <f>6470.23 - (6470.23 * $E$1)</f>
        <v>6470.23</v>
      </c>
      <c r="M1754" s="1">
        <v>7893.68</v>
      </c>
      <c r="N1754" s="1">
        <v>6470.23</v>
      </c>
      <c r="O1754" s="1">
        <v>6709.63</v>
      </c>
      <c r="P1754" s="1">
        <v>5499.7</v>
      </c>
      <c r="Q1754">
        <v>1.36</v>
      </c>
      <c r="R1754">
        <v>1.0224E-2</v>
      </c>
    </row>
    <row r="1755" spans="1:18" ht="13.8" outlineLevel="2" x14ac:dyDescent="0.25">
      <c r="A1755">
        <v>66288</v>
      </c>
      <c r="B1755" t="s">
        <v>1524</v>
      </c>
      <c r="C1755" t="s">
        <v>2085</v>
      </c>
      <c r="D1755" s="14" t="s">
        <v>2083</v>
      </c>
      <c r="E1755" s="12" t="s">
        <v>28</v>
      </c>
      <c r="F1755" s="13" t="s">
        <v>29</v>
      </c>
      <c r="G1755">
        <v>1</v>
      </c>
      <c r="H1755" t="s">
        <v>30</v>
      </c>
      <c r="I1755">
        <v>1</v>
      </c>
      <c r="J1755" s="15"/>
      <c r="K1755" s="16">
        <f>9971.68 - (9971.68 * $E$1)</f>
        <v>9971.68</v>
      </c>
      <c r="L1755" s="16">
        <f>8173.51 - (8173.51 * $E$1)</f>
        <v>8173.51</v>
      </c>
      <c r="M1755" s="1">
        <v>9971.68</v>
      </c>
      <c r="N1755" s="1">
        <v>8173.51</v>
      </c>
      <c r="O1755" s="1">
        <v>8475.93</v>
      </c>
      <c r="P1755" s="1">
        <v>6947.48</v>
      </c>
      <c r="Q1755">
        <v>1.5</v>
      </c>
      <c r="R1755">
        <v>2.0518999999999999E-2</v>
      </c>
    </row>
    <row r="1756" spans="1:18" ht="13.8" outlineLevel="2" x14ac:dyDescent="0.25">
      <c r="A1756">
        <v>66281</v>
      </c>
      <c r="B1756" t="s">
        <v>1524</v>
      </c>
      <c r="C1756" t="s">
        <v>2086</v>
      </c>
      <c r="D1756" s="14" t="s">
        <v>2083</v>
      </c>
      <c r="E1756" s="12" t="s">
        <v>28</v>
      </c>
      <c r="F1756" s="13" t="s">
        <v>29</v>
      </c>
      <c r="G1756">
        <v>1</v>
      </c>
      <c r="H1756" t="s">
        <v>30</v>
      </c>
      <c r="I1756">
        <v>1</v>
      </c>
      <c r="J1756" s="15"/>
      <c r="K1756" s="16">
        <f>9027.46 - (9027.46 * $E$1)</f>
        <v>9027.4599999999991</v>
      </c>
      <c r="L1756" s="16">
        <f>7399.56 - (7399.56 * $E$1)</f>
        <v>7399.56</v>
      </c>
      <c r="M1756" s="1">
        <v>9027.4599999999991</v>
      </c>
      <c r="N1756" s="1">
        <v>7399.56</v>
      </c>
      <c r="O1756" s="1">
        <v>7673.34</v>
      </c>
      <c r="P1756" s="1">
        <v>6289.63</v>
      </c>
      <c r="Q1756">
        <v>1.28</v>
      </c>
      <c r="R1756">
        <v>1.0224E-2</v>
      </c>
    </row>
    <row r="1757" spans="1:18" ht="13.8" outlineLevel="2" x14ac:dyDescent="0.25">
      <c r="A1757">
        <v>66285</v>
      </c>
      <c r="B1757" t="s">
        <v>1524</v>
      </c>
      <c r="C1757" t="s">
        <v>2087</v>
      </c>
      <c r="D1757" s="14" t="s">
        <v>2083</v>
      </c>
      <c r="E1757" s="12" t="s">
        <v>28</v>
      </c>
      <c r="F1757" s="13" t="s">
        <v>29</v>
      </c>
      <c r="G1757">
        <v>1</v>
      </c>
      <c r="H1757" t="s">
        <v>30</v>
      </c>
      <c r="I1757">
        <v>1</v>
      </c>
      <c r="J1757" s="15"/>
      <c r="K1757" s="16">
        <f>10693.51 - (10693.51 * $E$1)</f>
        <v>10693.51</v>
      </c>
      <c r="L1757" s="16">
        <f>8765.17 - (8765.17 * $E$1)</f>
        <v>8765.17</v>
      </c>
      <c r="M1757" s="1">
        <v>10693.51</v>
      </c>
      <c r="N1757" s="1">
        <v>8765.17</v>
      </c>
      <c r="O1757" s="1">
        <v>9089.48</v>
      </c>
      <c r="P1757" s="1">
        <v>7450.39</v>
      </c>
      <c r="Q1757">
        <v>1.6</v>
      </c>
      <c r="R1757">
        <v>1.0224E-2</v>
      </c>
    </row>
    <row r="1758" spans="1:18" ht="13.8" outlineLevel="2" x14ac:dyDescent="0.25">
      <c r="A1758">
        <v>66289</v>
      </c>
      <c r="B1758" t="s">
        <v>1524</v>
      </c>
      <c r="C1758" t="s">
        <v>2088</v>
      </c>
      <c r="D1758" s="14" t="s">
        <v>2083</v>
      </c>
      <c r="E1758" s="12" t="s">
        <v>28</v>
      </c>
      <c r="F1758" s="13" t="s">
        <v>29</v>
      </c>
      <c r="G1758">
        <v>1</v>
      </c>
      <c r="H1758" t="s">
        <v>30</v>
      </c>
      <c r="I1758">
        <v>1</v>
      </c>
      <c r="J1758" s="15"/>
      <c r="K1758" s="16">
        <f>14180.91 - (14180.91 * $E$1)</f>
        <v>14180.91</v>
      </c>
      <c r="L1758" s="16">
        <f>11623.7 - (11623.7 * $E$1)</f>
        <v>11623.7</v>
      </c>
      <c r="M1758" s="1">
        <v>14180.91</v>
      </c>
      <c r="N1758" s="1">
        <v>11623.7</v>
      </c>
      <c r="O1758" s="1">
        <v>12053.78</v>
      </c>
      <c r="P1758" s="1">
        <v>9880.15</v>
      </c>
      <c r="Q1758">
        <v>2.11</v>
      </c>
      <c r="R1758">
        <v>1.704E-2</v>
      </c>
    </row>
    <row r="1759" spans="1:18" ht="13.8" outlineLevel="2" x14ac:dyDescent="0.25">
      <c r="A1759">
        <v>92347</v>
      </c>
      <c r="B1759" t="s">
        <v>1524</v>
      </c>
      <c r="C1759" t="s">
        <v>2089</v>
      </c>
      <c r="D1759" s="14" t="s">
        <v>2083</v>
      </c>
      <c r="E1759" s="12" t="s">
        <v>28</v>
      </c>
      <c r="F1759" s="13" t="s">
        <v>29</v>
      </c>
      <c r="G1759">
        <v>1</v>
      </c>
      <c r="H1759" t="s">
        <v>30</v>
      </c>
      <c r="I1759">
        <v>1</v>
      </c>
      <c r="J1759" s="15"/>
      <c r="K1759" s="16">
        <f>10252.51 - (10252.51 * $E$1)</f>
        <v>10252.51</v>
      </c>
      <c r="L1759" s="16">
        <f>8403.7 - (8403.7 * $E$1)</f>
        <v>8403.7000000000007</v>
      </c>
      <c r="M1759" s="1">
        <v>10252.51</v>
      </c>
      <c r="N1759" s="1">
        <v>8403.7000000000007</v>
      </c>
      <c r="O1759" s="1">
        <v>8714.64</v>
      </c>
      <c r="P1759" s="1">
        <v>7143.15</v>
      </c>
      <c r="Q1759">
        <v>2</v>
      </c>
      <c r="R1759">
        <v>1.704E-2</v>
      </c>
    </row>
    <row r="1760" spans="1:18" ht="13.8" outlineLevel="2" x14ac:dyDescent="0.25">
      <c r="A1760">
        <v>92348</v>
      </c>
      <c r="B1760" t="s">
        <v>1524</v>
      </c>
      <c r="C1760" t="s">
        <v>2090</v>
      </c>
      <c r="D1760" s="14" t="s">
        <v>2083</v>
      </c>
      <c r="E1760" s="12" t="s">
        <v>28</v>
      </c>
      <c r="F1760" s="13" t="s">
        <v>29</v>
      </c>
      <c r="G1760">
        <v>1</v>
      </c>
      <c r="H1760" t="s">
        <v>30</v>
      </c>
      <c r="I1760">
        <v>1</v>
      </c>
      <c r="J1760" s="15"/>
      <c r="K1760" s="16">
        <f>18260.5 - (18260.5 * $E$1)</f>
        <v>18260.5</v>
      </c>
      <c r="L1760" s="16">
        <f>14967.62 - (14967.62 * $E$1)</f>
        <v>14967.62</v>
      </c>
      <c r="M1760" s="1">
        <v>18260.5</v>
      </c>
      <c r="N1760" s="1">
        <v>14967.62</v>
      </c>
      <c r="O1760" s="1">
        <v>15521.42</v>
      </c>
      <c r="P1760" s="1">
        <v>12722.48</v>
      </c>
      <c r="Q1760">
        <v>3</v>
      </c>
      <c r="R1760">
        <v>1.704E-2</v>
      </c>
    </row>
    <row r="1761" spans="1:18" ht="13.8" outlineLevel="2" x14ac:dyDescent="0.25">
      <c r="A1761">
        <v>88106</v>
      </c>
      <c r="B1761" t="s">
        <v>1524</v>
      </c>
      <c r="C1761" t="s">
        <v>2091</v>
      </c>
      <c r="D1761" s="14" t="s">
        <v>2092</v>
      </c>
      <c r="E1761" s="12" t="s">
        <v>28</v>
      </c>
      <c r="F1761" s="13" t="s">
        <v>29</v>
      </c>
      <c r="G1761">
        <v>1</v>
      </c>
      <c r="H1761" t="s">
        <v>30</v>
      </c>
      <c r="I1761">
        <v>1</v>
      </c>
      <c r="J1761" s="15"/>
      <c r="K1761" s="16">
        <f>6331.79 - (6331.79 * $E$1)</f>
        <v>6331.79</v>
      </c>
      <c r="L1761" s="16">
        <f>5189.99 - (5189.99 * $E$1)</f>
        <v>5189.99</v>
      </c>
      <c r="M1761" s="1">
        <v>6331.79</v>
      </c>
      <c r="N1761" s="1">
        <v>5189.99</v>
      </c>
      <c r="O1761" s="1">
        <v>5382.02</v>
      </c>
      <c r="P1761" s="1">
        <v>4411.49</v>
      </c>
      <c r="Q1761">
        <v>1.05</v>
      </c>
      <c r="R1761">
        <v>1.0224E-2</v>
      </c>
    </row>
    <row r="1762" spans="1:18" ht="13.8" outlineLevel="2" x14ac:dyDescent="0.25">
      <c r="A1762">
        <v>88107</v>
      </c>
      <c r="B1762" t="s">
        <v>1524</v>
      </c>
      <c r="C1762" t="s">
        <v>2093</v>
      </c>
      <c r="D1762" s="14" t="s">
        <v>2092</v>
      </c>
      <c r="E1762" s="12" t="s">
        <v>28</v>
      </c>
      <c r="F1762" s="13" t="s">
        <v>29</v>
      </c>
      <c r="G1762">
        <v>1</v>
      </c>
      <c r="H1762" t="s">
        <v>30</v>
      </c>
      <c r="I1762">
        <v>1</v>
      </c>
      <c r="J1762" s="15"/>
      <c r="K1762" s="16">
        <f>8027.82 - (8027.82 * $E$1)</f>
        <v>8027.82</v>
      </c>
      <c r="L1762" s="16">
        <f>6580.18 - (6580.18 * $E$1)</f>
        <v>6580.18</v>
      </c>
      <c r="M1762" s="1">
        <v>8027.82</v>
      </c>
      <c r="N1762" s="1">
        <v>6580.18</v>
      </c>
      <c r="O1762" s="1">
        <v>6823.65</v>
      </c>
      <c r="P1762" s="1">
        <v>5593.15</v>
      </c>
      <c r="Q1762">
        <v>1.17</v>
      </c>
      <c r="R1762">
        <v>1.0224E-2</v>
      </c>
    </row>
    <row r="1763" spans="1:18" ht="13.8" outlineLevel="2" x14ac:dyDescent="0.25">
      <c r="A1763">
        <v>88109</v>
      </c>
      <c r="B1763" t="s">
        <v>1524</v>
      </c>
      <c r="C1763" t="s">
        <v>2094</v>
      </c>
      <c r="D1763" s="14" t="s">
        <v>2092</v>
      </c>
      <c r="E1763" s="12" t="s">
        <v>28</v>
      </c>
      <c r="F1763" s="13" t="s">
        <v>29</v>
      </c>
      <c r="G1763">
        <v>1</v>
      </c>
      <c r="H1763" t="s">
        <v>30</v>
      </c>
      <c r="I1763">
        <v>1</v>
      </c>
      <c r="J1763" s="15"/>
      <c r="K1763" s="16">
        <f>7434.38 - (7434.38 * $E$1)</f>
        <v>7434.38</v>
      </c>
      <c r="L1763" s="16">
        <f>6093.75 - (6093.75 * $E$1)</f>
        <v>6093.75</v>
      </c>
      <c r="M1763" s="1">
        <v>7434.38</v>
      </c>
      <c r="N1763" s="1">
        <v>6093.75</v>
      </c>
      <c r="O1763" s="1">
        <v>6319.22</v>
      </c>
      <c r="P1763" s="1">
        <v>5179.6899999999996</v>
      </c>
      <c r="Q1763">
        <v>1.23</v>
      </c>
      <c r="R1763">
        <v>1.0224E-2</v>
      </c>
    </row>
    <row r="1764" spans="1:18" ht="13.8" outlineLevel="2" x14ac:dyDescent="0.25">
      <c r="A1764">
        <v>88110</v>
      </c>
      <c r="B1764" t="s">
        <v>1524</v>
      </c>
      <c r="C1764" t="s">
        <v>2095</v>
      </c>
      <c r="D1764" s="14" t="s">
        <v>2092</v>
      </c>
      <c r="E1764" s="12" t="s">
        <v>28</v>
      </c>
      <c r="F1764" s="13" t="s">
        <v>29</v>
      </c>
      <c r="G1764">
        <v>1</v>
      </c>
      <c r="H1764" t="s">
        <v>30</v>
      </c>
      <c r="I1764">
        <v>1</v>
      </c>
      <c r="J1764" s="15"/>
      <c r="K1764" s="16">
        <f>9532.86 - (9532.86 * $E$1)</f>
        <v>9532.86</v>
      </c>
      <c r="L1764" s="16">
        <f>7813.82 - (7813.82 * $E$1)</f>
        <v>7813.82</v>
      </c>
      <c r="M1764" s="1">
        <v>9532.86</v>
      </c>
      <c r="N1764" s="1">
        <v>7813.82</v>
      </c>
      <c r="O1764" s="1">
        <v>8102.93</v>
      </c>
      <c r="P1764" s="1">
        <v>6641.75</v>
      </c>
      <c r="Q1764">
        <v>1.49</v>
      </c>
      <c r="R1764">
        <v>1.0224E-2</v>
      </c>
    </row>
    <row r="1765" spans="1:18" ht="13.8" outlineLevel="2" x14ac:dyDescent="0.25">
      <c r="A1765">
        <v>88111</v>
      </c>
      <c r="B1765" t="s">
        <v>1524</v>
      </c>
      <c r="C1765" t="s">
        <v>2096</v>
      </c>
      <c r="D1765" s="14" t="s">
        <v>2092</v>
      </c>
      <c r="E1765" s="12" t="s">
        <v>28</v>
      </c>
      <c r="F1765" s="13" t="s">
        <v>29</v>
      </c>
      <c r="G1765">
        <v>1</v>
      </c>
      <c r="H1765" t="s">
        <v>30</v>
      </c>
      <c r="I1765">
        <v>1</v>
      </c>
      <c r="J1765" s="15"/>
      <c r="K1765" s="16">
        <f>9004.98 - (9004.98 * $E$1)</f>
        <v>9004.98</v>
      </c>
      <c r="L1765" s="16">
        <f>7381.13 - (7381.13 * $E$1)</f>
        <v>7381.13</v>
      </c>
      <c r="M1765" s="1">
        <v>9004.98</v>
      </c>
      <c r="N1765" s="1">
        <v>7381.13</v>
      </c>
      <c r="O1765" s="1">
        <v>7654.23</v>
      </c>
      <c r="P1765" s="1">
        <v>6273.96</v>
      </c>
      <c r="Q1765">
        <v>1.62</v>
      </c>
      <c r="R1765">
        <v>1.704E-2</v>
      </c>
    </row>
    <row r="1766" spans="1:18" ht="13.8" outlineLevel="2" x14ac:dyDescent="0.25">
      <c r="A1766">
        <v>88112</v>
      </c>
      <c r="B1766" t="s">
        <v>1524</v>
      </c>
      <c r="C1766" t="s">
        <v>2097</v>
      </c>
      <c r="D1766" s="14" t="s">
        <v>2092</v>
      </c>
      <c r="E1766" s="12" t="s">
        <v>28</v>
      </c>
      <c r="F1766" s="13" t="s">
        <v>29</v>
      </c>
      <c r="G1766">
        <v>1</v>
      </c>
      <c r="H1766" t="s">
        <v>30</v>
      </c>
      <c r="I1766">
        <v>1</v>
      </c>
      <c r="J1766" s="15"/>
      <c r="K1766" s="16">
        <f>12060.87 - (12060.87 * $E$1)</f>
        <v>12060.87</v>
      </c>
      <c r="L1766" s="16">
        <f>9885.96 - (9885.96 * $E$1)</f>
        <v>9885.9599999999991</v>
      </c>
      <c r="M1766" s="1">
        <v>12060.87</v>
      </c>
      <c r="N1766" s="1">
        <v>9885.9599999999991</v>
      </c>
      <c r="O1766" s="1">
        <v>10251.74</v>
      </c>
      <c r="P1766" s="1">
        <v>8403.07</v>
      </c>
      <c r="Q1766">
        <v>2.16</v>
      </c>
      <c r="R1766">
        <v>1.704E-2</v>
      </c>
    </row>
    <row r="1767" spans="1:18" ht="13.8" outlineLevel="2" x14ac:dyDescent="0.25">
      <c r="A1767">
        <v>88113</v>
      </c>
      <c r="B1767" t="s">
        <v>1524</v>
      </c>
      <c r="C1767" t="s">
        <v>2098</v>
      </c>
      <c r="D1767" s="14" t="s">
        <v>2092</v>
      </c>
      <c r="E1767" s="12" t="s">
        <v>28</v>
      </c>
      <c r="F1767" s="13" t="s">
        <v>29</v>
      </c>
      <c r="G1767">
        <v>1</v>
      </c>
      <c r="H1767" t="s">
        <v>30</v>
      </c>
      <c r="I1767">
        <v>1</v>
      </c>
      <c r="J1767" s="15"/>
      <c r="K1767" s="16">
        <f>9359.56 - (9359.56 * $E$1)</f>
        <v>9359.56</v>
      </c>
      <c r="L1767" s="16">
        <f>7671.77 - (7671.77 * $E$1)</f>
        <v>7671.77</v>
      </c>
      <c r="M1767" s="1">
        <v>9359.56</v>
      </c>
      <c r="N1767" s="1">
        <v>7671.77</v>
      </c>
      <c r="O1767" s="1">
        <v>7955.63</v>
      </c>
      <c r="P1767" s="1">
        <v>6521</v>
      </c>
      <c r="Q1767">
        <v>1.7</v>
      </c>
      <c r="R1767">
        <v>1.704E-2</v>
      </c>
    </row>
    <row r="1768" spans="1:18" ht="13.8" outlineLevel="2" x14ac:dyDescent="0.25">
      <c r="A1768">
        <v>88114</v>
      </c>
      <c r="B1768" t="s">
        <v>1524</v>
      </c>
      <c r="C1768" t="s">
        <v>2099</v>
      </c>
      <c r="D1768" s="14" t="s">
        <v>2092</v>
      </c>
      <c r="E1768" s="12" t="s">
        <v>28</v>
      </c>
      <c r="F1768" s="13" t="s">
        <v>29</v>
      </c>
      <c r="G1768">
        <v>1</v>
      </c>
      <c r="H1768" t="s">
        <v>30</v>
      </c>
      <c r="I1768">
        <v>1</v>
      </c>
      <c r="J1768" s="15"/>
      <c r="K1768" s="16">
        <f>14741.57 - (14741.57 * $E$1)</f>
        <v>14741.57</v>
      </c>
      <c r="L1768" s="16">
        <f>12083.25 - (12083.25 * $E$1)</f>
        <v>12083.25</v>
      </c>
      <c r="M1768" s="1">
        <v>14741.57</v>
      </c>
      <c r="N1768" s="1">
        <v>12083.25</v>
      </c>
      <c r="O1768" s="1">
        <v>12530.33</v>
      </c>
      <c r="P1768" s="1">
        <v>10270.76</v>
      </c>
      <c r="Q1768">
        <v>2.75</v>
      </c>
      <c r="R1768">
        <v>1.704E-2</v>
      </c>
    </row>
    <row r="1769" spans="1:18" ht="13.8" outlineLevel="2" x14ac:dyDescent="0.25">
      <c r="A1769">
        <v>88115</v>
      </c>
      <c r="B1769" t="s">
        <v>1524</v>
      </c>
      <c r="C1769" t="s">
        <v>2100</v>
      </c>
      <c r="D1769" s="14" t="s">
        <v>2101</v>
      </c>
      <c r="E1769" s="12" t="s">
        <v>28</v>
      </c>
      <c r="F1769" s="13" t="s">
        <v>29</v>
      </c>
      <c r="G1769">
        <v>1</v>
      </c>
      <c r="H1769" t="s">
        <v>30</v>
      </c>
      <c r="I1769">
        <v>1</v>
      </c>
      <c r="J1769" s="15"/>
      <c r="K1769" s="16">
        <f>8645.57 - (8645.57 * $E$1)</f>
        <v>8645.57</v>
      </c>
      <c r="L1769" s="16">
        <f>7086.53 - (7086.53 * $E$1)</f>
        <v>7086.53</v>
      </c>
      <c r="M1769" s="1">
        <v>8645.57</v>
      </c>
      <c r="N1769" s="1">
        <v>7086.53</v>
      </c>
      <c r="O1769" s="1">
        <v>7348.73</v>
      </c>
      <c r="P1769" s="1">
        <v>6023.55</v>
      </c>
      <c r="Q1769">
        <v>1.1200000000000001</v>
      </c>
      <c r="R1769">
        <v>1.0224E-2</v>
      </c>
    </row>
    <row r="1770" spans="1:18" ht="13.8" outlineLevel="2" x14ac:dyDescent="0.25">
      <c r="A1770">
        <v>88116</v>
      </c>
      <c r="B1770" t="s">
        <v>1524</v>
      </c>
      <c r="C1770" t="s">
        <v>2102</v>
      </c>
      <c r="D1770" s="14" t="s">
        <v>2101</v>
      </c>
      <c r="E1770" s="12" t="s">
        <v>28</v>
      </c>
      <c r="F1770" s="13" t="s">
        <v>29</v>
      </c>
      <c r="G1770">
        <v>1</v>
      </c>
      <c r="H1770" t="s">
        <v>30</v>
      </c>
      <c r="I1770">
        <v>1</v>
      </c>
      <c r="J1770" s="15"/>
      <c r="K1770" s="16">
        <f>9706.95 - (9706.95 * $E$1)</f>
        <v>9706.9500000000007</v>
      </c>
      <c r="L1770" s="16">
        <f>7956.52 - (7956.52 * $E$1)</f>
        <v>7956.52</v>
      </c>
      <c r="M1770" s="1">
        <v>9706.9500000000007</v>
      </c>
      <c r="N1770" s="1">
        <v>7956.52</v>
      </c>
      <c r="O1770" s="1">
        <v>8250.91</v>
      </c>
      <c r="P1770" s="1">
        <v>6763.04</v>
      </c>
      <c r="Q1770">
        <v>1.29</v>
      </c>
      <c r="R1770">
        <v>1.0224E-2</v>
      </c>
    </row>
    <row r="1771" spans="1:18" ht="13.8" outlineLevel="2" x14ac:dyDescent="0.25">
      <c r="A1771">
        <v>88117</v>
      </c>
      <c r="B1771" t="s">
        <v>1524</v>
      </c>
      <c r="C1771" t="s">
        <v>2103</v>
      </c>
      <c r="D1771" s="14" t="s">
        <v>2101</v>
      </c>
      <c r="E1771" s="12" t="s">
        <v>28</v>
      </c>
      <c r="F1771" s="13" t="s">
        <v>29</v>
      </c>
      <c r="G1771">
        <v>1</v>
      </c>
      <c r="H1771" t="s">
        <v>30</v>
      </c>
      <c r="I1771">
        <v>1</v>
      </c>
      <c r="J1771" s="15"/>
      <c r="K1771" s="16">
        <f>9813.66 - (9813.66 * $E$1)</f>
        <v>9813.66</v>
      </c>
      <c r="L1771" s="16">
        <f>8043.98 - (8043.98 * $E$1)</f>
        <v>8043.98</v>
      </c>
      <c r="M1771" s="1">
        <v>9813.66</v>
      </c>
      <c r="N1771" s="1">
        <v>8043.98</v>
      </c>
      <c r="O1771" s="1">
        <v>8341.61</v>
      </c>
      <c r="P1771" s="1">
        <v>6837.38</v>
      </c>
      <c r="Q1771">
        <v>1.35</v>
      </c>
      <c r="R1771">
        <v>1.0224E-2</v>
      </c>
    </row>
    <row r="1772" spans="1:18" ht="13.8" outlineLevel="2" x14ac:dyDescent="0.25">
      <c r="A1772">
        <v>88118</v>
      </c>
      <c r="B1772" t="s">
        <v>1524</v>
      </c>
      <c r="C1772" t="s">
        <v>2104</v>
      </c>
      <c r="D1772" s="14" t="s">
        <v>2101</v>
      </c>
      <c r="E1772" s="12" t="s">
        <v>28</v>
      </c>
      <c r="F1772" s="13" t="s">
        <v>29</v>
      </c>
      <c r="G1772">
        <v>1</v>
      </c>
      <c r="H1772" t="s">
        <v>30</v>
      </c>
      <c r="I1772">
        <v>1</v>
      </c>
      <c r="J1772" s="15"/>
      <c r="K1772" s="16">
        <f>11498.4 - (11498.4 * $E$1)</f>
        <v>11498.4</v>
      </c>
      <c r="L1772" s="16">
        <f>9424.92 - (9424.92 * $E$1)</f>
        <v>9424.92</v>
      </c>
      <c r="M1772" s="1">
        <v>11498.4</v>
      </c>
      <c r="N1772" s="1">
        <v>9424.92</v>
      </c>
      <c r="O1772" s="1">
        <v>9773.64</v>
      </c>
      <c r="P1772" s="1">
        <v>8011.18</v>
      </c>
      <c r="Q1772">
        <v>1.61</v>
      </c>
      <c r="R1772">
        <v>1.0224E-2</v>
      </c>
    </row>
    <row r="1773" spans="1:18" ht="13.8" outlineLevel="2" x14ac:dyDescent="0.25">
      <c r="A1773">
        <v>88119</v>
      </c>
      <c r="B1773" t="s">
        <v>1524</v>
      </c>
      <c r="C1773" t="s">
        <v>2105</v>
      </c>
      <c r="D1773" s="14" t="s">
        <v>2101</v>
      </c>
      <c r="E1773" s="12" t="s">
        <v>28</v>
      </c>
      <c r="F1773" s="13" t="s">
        <v>29</v>
      </c>
      <c r="G1773">
        <v>1</v>
      </c>
      <c r="H1773" t="s">
        <v>30</v>
      </c>
      <c r="I1773">
        <v>1</v>
      </c>
      <c r="J1773" s="15"/>
      <c r="K1773" s="16">
        <f>11529.29 - (11529.29 * $E$1)</f>
        <v>11529.29</v>
      </c>
      <c r="L1773" s="16">
        <f>9450.24 - (9450.24 * $E$1)</f>
        <v>9450.24</v>
      </c>
      <c r="M1773" s="1">
        <v>11529.29</v>
      </c>
      <c r="N1773" s="1">
        <v>9450.24</v>
      </c>
      <c r="O1773" s="1">
        <v>9799.9</v>
      </c>
      <c r="P1773" s="1">
        <v>8032.7</v>
      </c>
      <c r="Q1773">
        <v>1.74</v>
      </c>
      <c r="R1773">
        <v>1.704E-2</v>
      </c>
    </row>
    <row r="1774" spans="1:18" ht="13.8" outlineLevel="2" x14ac:dyDescent="0.25">
      <c r="A1774">
        <v>88120</v>
      </c>
      <c r="B1774" t="s">
        <v>1524</v>
      </c>
      <c r="C1774" t="s">
        <v>2106</v>
      </c>
      <c r="D1774" s="14" t="s">
        <v>2101</v>
      </c>
      <c r="E1774" s="12" t="s">
        <v>28</v>
      </c>
      <c r="F1774" s="13" t="s">
        <v>29</v>
      </c>
      <c r="G1774">
        <v>1</v>
      </c>
      <c r="H1774" t="s">
        <v>30</v>
      </c>
      <c r="I1774">
        <v>1</v>
      </c>
      <c r="J1774" s="15"/>
      <c r="K1774" s="16">
        <f>14927.29 - (14927.29 * $E$1)</f>
        <v>14927.29</v>
      </c>
      <c r="L1774" s="16">
        <f>12235.48 - (12235.48 * $E$1)</f>
        <v>12235.48</v>
      </c>
      <c r="M1774" s="1">
        <v>14927.29</v>
      </c>
      <c r="N1774" s="1">
        <v>12235.48</v>
      </c>
      <c r="O1774" s="1">
        <v>12688.19</v>
      </c>
      <c r="P1774" s="1">
        <v>10400.16</v>
      </c>
      <c r="Q1774">
        <v>2.23</v>
      </c>
      <c r="R1774">
        <v>1.704E-2</v>
      </c>
    </row>
    <row r="1775" spans="1:18" ht="13.8" outlineLevel="2" x14ac:dyDescent="0.25">
      <c r="A1775">
        <v>88121</v>
      </c>
      <c r="B1775" t="s">
        <v>1524</v>
      </c>
      <c r="C1775" t="s">
        <v>2107</v>
      </c>
      <c r="D1775" s="14" t="s">
        <v>2101</v>
      </c>
      <c r="E1775" s="12" t="s">
        <v>28</v>
      </c>
      <c r="F1775" s="13" t="s">
        <v>29</v>
      </c>
      <c r="G1775">
        <v>1</v>
      </c>
      <c r="H1775" t="s">
        <v>30</v>
      </c>
      <c r="I1775">
        <v>1</v>
      </c>
      <c r="J1775" s="15"/>
      <c r="K1775" s="16">
        <f>12366.84 - (12366.84 * $E$1)</f>
        <v>12366.84</v>
      </c>
      <c r="L1775" s="16">
        <f>10136.75 - (10136.75 * $E$1)</f>
        <v>10136.75</v>
      </c>
      <c r="M1775" s="1">
        <v>12366.84</v>
      </c>
      <c r="N1775" s="1">
        <v>10136.75</v>
      </c>
      <c r="O1775" s="1">
        <v>10511.81</v>
      </c>
      <c r="P1775" s="1">
        <v>8616.24</v>
      </c>
      <c r="Q1775">
        <v>1.92</v>
      </c>
      <c r="R1775">
        <v>1.704E-2</v>
      </c>
    </row>
    <row r="1776" spans="1:18" ht="13.8" outlineLevel="2" x14ac:dyDescent="0.25">
      <c r="A1776">
        <v>88122</v>
      </c>
      <c r="B1776" t="s">
        <v>1524</v>
      </c>
      <c r="C1776" t="s">
        <v>2108</v>
      </c>
      <c r="D1776" s="14" t="s">
        <v>2101</v>
      </c>
      <c r="E1776" s="12" t="s">
        <v>28</v>
      </c>
      <c r="F1776" s="13" t="s">
        <v>29</v>
      </c>
      <c r="G1776">
        <v>1</v>
      </c>
      <c r="H1776" t="s">
        <v>30</v>
      </c>
      <c r="I1776">
        <v>1</v>
      </c>
      <c r="J1776" s="15"/>
      <c r="K1776" s="16">
        <f>19153.32 - (19153.32 * $E$1)</f>
        <v>19153.32</v>
      </c>
      <c r="L1776" s="16">
        <f>15699.44 - (15699.44 * $E$1)</f>
        <v>15699.44</v>
      </c>
      <c r="M1776" s="1">
        <v>19153.32</v>
      </c>
      <c r="N1776" s="1">
        <v>15699.44</v>
      </c>
      <c r="O1776" s="1">
        <v>16280.32</v>
      </c>
      <c r="P1776" s="1">
        <v>13344.52</v>
      </c>
      <c r="Q1776">
        <v>2.97</v>
      </c>
      <c r="R1776">
        <v>1.704E-2</v>
      </c>
    </row>
    <row r="1777" spans="1:18" ht="13.8" outlineLevel="2" x14ac:dyDescent="0.25">
      <c r="A1777">
        <v>88752</v>
      </c>
      <c r="B1777" t="s">
        <v>1524</v>
      </c>
      <c r="C1777" t="s">
        <v>2109</v>
      </c>
      <c r="D1777" s="14" t="s">
        <v>2110</v>
      </c>
      <c r="E1777" s="12" t="s">
        <v>28</v>
      </c>
      <c r="F1777" s="13" t="s">
        <v>29</v>
      </c>
      <c r="G1777">
        <v>1</v>
      </c>
      <c r="H1777" t="s">
        <v>30</v>
      </c>
      <c r="I1777">
        <v>1</v>
      </c>
      <c r="J1777" s="15"/>
      <c r="K1777" s="16">
        <f>4236.9 - (4236.9 * $E$1)</f>
        <v>4236.8999999999996</v>
      </c>
      <c r="L1777" s="16">
        <f>3472.87 - (3472.87 * $E$1)</f>
        <v>3472.87</v>
      </c>
      <c r="M1777" s="1">
        <v>4236.8999999999996</v>
      </c>
      <c r="N1777" s="1">
        <v>3472.87</v>
      </c>
      <c r="O1777" s="1">
        <v>3601.37</v>
      </c>
      <c r="P1777" s="1">
        <v>2951.94</v>
      </c>
      <c r="Q1777">
        <v>0.84</v>
      </c>
      <c r="R1777">
        <v>1.1998999999999999E-2</v>
      </c>
    </row>
    <row r="1778" spans="1:18" ht="13.8" outlineLevel="2" x14ac:dyDescent="0.25">
      <c r="A1778">
        <v>88753</v>
      </c>
      <c r="B1778" t="s">
        <v>1524</v>
      </c>
      <c r="C1778" t="s">
        <v>2111</v>
      </c>
      <c r="D1778" s="14" t="s">
        <v>2110</v>
      </c>
      <c r="E1778" s="12" t="s">
        <v>28</v>
      </c>
      <c r="F1778" s="13" t="s">
        <v>29</v>
      </c>
      <c r="G1778">
        <v>1</v>
      </c>
      <c r="H1778" t="s">
        <v>30</v>
      </c>
      <c r="I1778">
        <v>1</v>
      </c>
      <c r="J1778" s="15"/>
      <c r="K1778" s="16">
        <f>4932.24 - (4932.24 * $E$1)</f>
        <v>4932.24</v>
      </c>
      <c r="L1778" s="16">
        <f>4042.82 - (4042.82 * $E$1)</f>
        <v>4042.82</v>
      </c>
      <c r="M1778" s="1">
        <v>4932.24</v>
      </c>
      <c r="N1778" s="1">
        <v>4042.82</v>
      </c>
      <c r="O1778" s="1">
        <v>4192.3999999999996</v>
      </c>
      <c r="P1778" s="1">
        <v>3436.4</v>
      </c>
      <c r="Q1778">
        <v>0.91</v>
      </c>
      <c r="R1778">
        <v>1.1998999999999999E-2</v>
      </c>
    </row>
    <row r="1779" spans="1:18" ht="13.8" outlineLevel="2" x14ac:dyDescent="0.25">
      <c r="A1779">
        <v>88754</v>
      </c>
      <c r="B1779" t="s">
        <v>1524</v>
      </c>
      <c r="C1779" t="s">
        <v>2112</v>
      </c>
      <c r="D1779" s="14" t="s">
        <v>2110</v>
      </c>
      <c r="E1779" s="12" t="s">
        <v>28</v>
      </c>
      <c r="F1779" s="13" t="s">
        <v>29</v>
      </c>
      <c r="G1779">
        <v>1</v>
      </c>
      <c r="H1779" t="s">
        <v>30</v>
      </c>
      <c r="I1779">
        <v>1</v>
      </c>
      <c r="J1779" s="15"/>
      <c r="K1779" s="16">
        <f>4414.83 - (4414.83 * $E$1)</f>
        <v>4414.83</v>
      </c>
      <c r="L1779" s="16">
        <f>3618.71 - (3618.71 * $E$1)</f>
        <v>3618.71</v>
      </c>
      <c r="M1779" s="1">
        <v>4414.83</v>
      </c>
      <c r="N1779" s="1">
        <v>3618.71</v>
      </c>
      <c r="O1779" s="1">
        <v>3752.6</v>
      </c>
      <c r="P1779" s="1">
        <v>3075.9</v>
      </c>
      <c r="Q1779">
        <v>0.97</v>
      </c>
      <c r="R1779">
        <v>1.1998999999999999E-2</v>
      </c>
    </row>
    <row r="1780" spans="1:18" ht="13.8" outlineLevel="2" x14ac:dyDescent="0.25">
      <c r="A1780">
        <v>88755</v>
      </c>
      <c r="B1780" t="s">
        <v>1524</v>
      </c>
      <c r="C1780" t="s">
        <v>2113</v>
      </c>
      <c r="D1780" s="14" t="s">
        <v>2110</v>
      </c>
      <c r="E1780" s="12" t="s">
        <v>28</v>
      </c>
      <c r="F1780" s="13" t="s">
        <v>29</v>
      </c>
      <c r="G1780">
        <v>1</v>
      </c>
      <c r="H1780" t="s">
        <v>30</v>
      </c>
      <c r="I1780">
        <v>1</v>
      </c>
      <c r="J1780" s="15"/>
      <c r="K1780" s="16">
        <f>6486.28 - (6486.28 * $E$1)</f>
        <v>6486.28</v>
      </c>
      <c r="L1780" s="16">
        <f>5316.62 - (5316.62 * $E$1)</f>
        <v>5316.62</v>
      </c>
      <c r="M1780" s="1">
        <v>6486.28</v>
      </c>
      <c r="N1780" s="1">
        <v>5316.62</v>
      </c>
      <c r="O1780" s="1">
        <v>5513.33</v>
      </c>
      <c r="P1780" s="1">
        <v>4519.13</v>
      </c>
      <c r="Q1780">
        <v>1.22</v>
      </c>
      <c r="R1780">
        <v>1.1998999999999999E-2</v>
      </c>
    </row>
    <row r="1781" spans="1:18" ht="13.8" outlineLevel="2" x14ac:dyDescent="0.25">
      <c r="A1781">
        <v>88756</v>
      </c>
      <c r="B1781" t="s">
        <v>1524</v>
      </c>
      <c r="C1781" t="s">
        <v>2114</v>
      </c>
      <c r="D1781" s="14" t="s">
        <v>2110</v>
      </c>
      <c r="E1781" s="12" t="s">
        <v>28</v>
      </c>
      <c r="F1781" s="13" t="s">
        <v>29</v>
      </c>
      <c r="G1781">
        <v>1</v>
      </c>
      <c r="H1781" t="s">
        <v>30</v>
      </c>
      <c r="I1781">
        <v>1</v>
      </c>
      <c r="J1781" s="15"/>
      <c r="K1781" s="16">
        <f>5528.78 - (5528.78 * $E$1)</f>
        <v>5528.78</v>
      </c>
      <c r="L1781" s="16">
        <f>4531.79 - (4531.79 * $E$1)</f>
        <v>4531.79</v>
      </c>
      <c r="M1781" s="1">
        <v>5528.78</v>
      </c>
      <c r="N1781" s="1">
        <v>4531.79</v>
      </c>
      <c r="O1781" s="1">
        <v>4699.47</v>
      </c>
      <c r="P1781" s="1">
        <v>3852.02</v>
      </c>
      <c r="Q1781">
        <v>1.1100000000000001</v>
      </c>
      <c r="R1781">
        <v>1.1998999999999999E-2</v>
      </c>
    </row>
    <row r="1782" spans="1:18" ht="13.8" outlineLevel="2" x14ac:dyDescent="0.25">
      <c r="A1782">
        <v>88757</v>
      </c>
      <c r="B1782" t="s">
        <v>1524</v>
      </c>
      <c r="C1782" t="s">
        <v>2115</v>
      </c>
      <c r="D1782" s="14" t="s">
        <v>2110</v>
      </c>
      <c r="E1782" s="12" t="s">
        <v>28</v>
      </c>
      <c r="F1782" s="13" t="s">
        <v>29</v>
      </c>
      <c r="G1782">
        <v>1</v>
      </c>
      <c r="H1782" t="s">
        <v>30</v>
      </c>
      <c r="I1782">
        <v>1</v>
      </c>
      <c r="J1782" s="15"/>
      <c r="K1782" s="16">
        <f>8408.91 - (8408.91 * $E$1)</f>
        <v>8408.91</v>
      </c>
      <c r="L1782" s="16">
        <f>6892.55 - (6892.55 * $E$1)</f>
        <v>6892.55</v>
      </c>
      <c r="M1782" s="1">
        <v>8408.91</v>
      </c>
      <c r="N1782" s="1">
        <v>6892.55</v>
      </c>
      <c r="O1782" s="1">
        <v>7147.57</v>
      </c>
      <c r="P1782" s="1">
        <v>5858.67</v>
      </c>
      <c r="Q1782">
        <v>1.62</v>
      </c>
      <c r="R1782">
        <v>1.1998999999999999E-2</v>
      </c>
    </row>
    <row r="1783" spans="1:18" ht="13.8" outlineLevel="2" x14ac:dyDescent="0.25">
      <c r="A1783">
        <v>50348</v>
      </c>
      <c r="B1783" t="s">
        <v>1524</v>
      </c>
      <c r="C1783" t="s">
        <v>2116</v>
      </c>
      <c r="D1783" s="14" t="s">
        <v>2117</v>
      </c>
      <c r="E1783" s="12" t="s">
        <v>28</v>
      </c>
      <c r="F1783" s="13" t="s">
        <v>29</v>
      </c>
      <c r="G1783">
        <v>1</v>
      </c>
      <c r="H1783" t="s">
        <v>30</v>
      </c>
      <c r="I1783">
        <v>1</v>
      </c>
      <c r="J1783" s="15"/>
      <c r="K1783" s="16">
        <f>3923.06 - (3923.06 * $E$1)</f>
        <v>3923.06</v>
      </c>
      <c r="L1783" s="16">
        <f>3215.62 - (3215.62 * $E$1)</f>
        <v>3215.62</v>
      </c>
      <c r="M1783" s="1">
        <v>3923.06</v>
      </c>
      <c r="N1783" s="1">
        <v>3215.62</v>
      </c>
      <c r="O1783" s="1">
        <v>3334.6</v>
      </c>
      <c r="P1783" s="1">
        <v>2733.28</v>
      </c>
      <c r="Q1783">
        <v>0.75</v>
      </c>
      <c r="R1783">
        <v>1.1998999999999999E-2</v>
      </c>
    </row>
    <row r="1784" spans="1:18" ht="13.8" outlineLevel="2" x14ac:dyDescent="0.25">
      <c r="A1784">
        <v>50351</v>
      </c>
      <c r="B1784" t="s">
        <v>1524</v>
      </c>
      <c r="C1784" t="s">
        <v>2118</v>
      </c>
      <c r="D1784" s="14" t="s">
        <v>2117</v>
      </c>
      <c r="E1784" s="12" t="s">
        <v>28</v>
      </c>
      <c r="F1784" s="13" t="s">
        <v>29</v>
      </c>
      <c r="G1784">
        <v>1</v>
      </c>
      <c r="H1784" t="s">
        <v>30</v>
      </c>
      <c r="I1784">
        <v>1</v>
      </c>
      <c r="J1784" s="15"/>
      <c r="K1784" s="16">
        <f>4341.7 - (4341.7 * $E$1)</f>
        <v>4341.7</v>
      </c>
      <c r="L1784" s="16">
        <f>3558.77 - (3558.77 * $E$1)</f>
        <v>3558.77</v>
      </c>
      <c r="M1784" s="1">
        <v>4341.7</v>
      </c>
      <c r="N1784" s="1">
        <v>3558.77</v>
      </c>
      <c r="O1784" s="1">
        <v>3690.44</v>
      </c>
      <c r="P1784" s="1">
        <v>3024.95</v>
      </c>
      <c r="Q1784">
        <v>0.98</v>
      </c>
      <c r="R1784">
        <v>1.0224E-2</v>
      </c>
    </row>
    <row r="1785" spans="1:18" ht="13.8" outlineLevel="2" x14ac:dyDescent="0.25">
      <c r="A1785">
        <v>50352</v>
      </c>
      <c r="B1785" t="s">
        <v>1524</v>
      </c>
      <c r="C1785" t="s">
        <v>2119</v>
      </c>
      <c r="D1785" s="14" t="s">
        <v>2117</v>
      </c>
      <c r="E1785" s="12" t="s">
        <v>28</v>
      </c>
      <c r="F1785" s="13" t="s">
        <v>29</v>
      </c>
      <c r="G1785">
        <v>1</v>
      </c>
      <c r="H1785" t="s">
        <v>30</v>
      </c>
      <c r="I1785">
        <v>1</v>
      </c>
      <c r="J1785" s="15"/>
      <c r="K1785" s="16">
        <f>5265.51 - (5265.51 * $E$1)</f>
        <v>5265.51</v>
      </c>
      <c r="L1785" s="16">
        <f>4315.99 - (4315.99 * $E$1)</f>
        <v>4315.99</v>
      </c>
      <c r="M1785" s="1">
        <v>5265.51</v>
      </c>
      <c r="N1785" s="1">
        <v>4315.99</v>
      </c>
      <c r="O1785" s="1">
        <v>4475.68</v>
      </c>
      <c r="P1785" s="1">
        <v>3668.59</v>
      </c>
      <c r="Q1785">
        <v>1.28</v>
      </c>
      <c r="R1785">
        <v>1.0224E-2</v>
      </c>
    </row>
    <row r="1786" spans="1:18" ht="13.8" outlineLevel="2" x14ac:dyDescent="0.25">
      <c r="A1786">
        <v>50115</v>
      </c>
      <c r="B1786" t="s">
        <v>1524</v>
      </c>
      <c r="C1786" t="s">
        <v>2120</v>
      </c>
      <c r="D1786" s="14" t="s">
        <v>2117</v>
      </c>
      <c r="E1786" s="12" t="s">
        <v>28</v>
      </c>
      <c r="F1786" s="13" t="s">
        <v>29</v>
      </c>
      <c r="G1786">
        <v>1</v>
      </c>
      <c r="H1786" t="s">
        <v>30</v>
      </c>
      <c r="I1786">
        <v>1</v>
      </c>
      <c r="J1786" s="15"/>
      <c r="K1786" s="16">
        <f>4462.5 - (4462.5 * $E$1)</f>
        <v>4462.5</v>
      </c>
      <c r="L1786" s="16">
        <f>3657.79 - (3657.79 * $E$1)</f>
        <v>3657.79</v>
      </c>
      <c r="M1786" s="1">
        <v>4462.5</v>
      </c>
      <c r="N1786" s="1">
        <v>3657.79</v>
      </c>
      <c r="O1786" s="1">
        <v>3793.13</v>
      </c>
      <c r="P1786" s="1">
        <v>3109.12</v>
      </c>
      <c r="Q1786">
        <v>0.8</v>
      </c>
      <c r="R1786">
        <v>1.1998999999999999E-2</v>
      </c>
    </row>
    <row r="1787" spans="1:18" ht="13.8" outlineLevel="2" x14ac:dyDescent="0.25">
      <c r="A1787">
        <v>50116</v>
      </c>
      <c r="B1787" t="s">
        <v>1524</v>
      </c>
      <c r="C1787" t="s">
        <v>2121</v>
      </c>
      <c r="D1787" s="14" t="s">
        <v>2117</v>
      </c>
      <c r="E1787" s="12" t="s">
        <v>28</v>
      </c>
      <c r="F1787" s="13" t="s">
        <v>29</v>
      </c>
      <c r="G1787">
        <v>1</v>
      </c>
      <c r="H1787" t="s">
        <v>30</v>
      </c>
      <c r="I1787">
        <v>1</v>
      </c>
      <c r="J1787" s="15"/>
      <c r="K1787" s="16">
        <f>5868.54 - (5868.54 * $E$1)</f>
        <v>5868.54</v>
      </c>
      <c r="L1787" s="16">
        <f>4810.28 - (4810.28 * $E$1)</f>
        <v>4810.28</v>
      </c>
      <c r="M1787" s="1">
        <v>5868.54</v>
      </c>
      <c r="N1787" s="1">
        <v>4810.28</v>
      </c>
      <c r="O1787" s="1">
        <v>4988.26</v>
      </c>
      <c r="P1787" s="1">
        <v>4088.74</v>
      </c>
      <c r="Q1787">
        <v>1.1000000000000001</v>
      </c>
      <c r="R1787">
        <v>1.1998999999999999E-2</v>
      </c>
    </row>
    <row r="1788" spans="1:18" ht="13.8" outlineLevel="2" x14ac:dyDescent="0.25">
      <c r="A1788">
        <v>50117</v>
      </c>
      <c r="B1788" t="s">
        <v>1524</v>
      </c>
      <c r="C1788" t="s">
        <v>2122</v>
      </c>
      <c r="D1788" s="14" t="s">
        <v>2117</v>
      </c>
      <c r="E1788" s="12" t="s">
        <v>28</v>
      </c>
      <c r="F1788" s="13" t="s">
        <v>29</v>
      </c>
      <c r="G1788">
        <v>1</v>
      </c>
      <c r="H1788" t="s">
        <v>30</v>
      </c>
      <c r="I1788">
        <v>1</v>
      </c>
      <c r="J1788" s="15"/>
      <c r="K1788" s="16">
        <f>7608.07 - (7608.07 * $E$1)</f>
        <v>7608.07</v>
      </c>
      <c r="L1788" s="16">
        <f>6236.12 - (6236.12 * $E$1)</f>
        <v>6236.12</v>
      </c>
      <c r="M1788" s="1">
        <v>7608.07</v>
      </c>
      <c r="N1788" s="1">
        <v>6236.12</v>
      </c>
      <c r="O1788" s="1">
        <v>6466.86</v>
      </c>
      <c r="P1788" s="1">
        <v>5300.7</v>
      </c>
      <c r="Q1788">
        <v>1.56</v>
      </c>
      <c r="R1788">
        <v>1.1998999999999999E-2</v>
      </c>
    </row>
    <row r="1789" spans="1:18" ht="13.8" outlineLevel="2" x14ac:dyDescent="0.25">
      <c r="A1789">
        <v>88758</v>
      </c>
      <c r="B1789" t="s">
        <v>1524</v>
      </c>
      <c r="C1789" t="s">
        <v>2123</v>
      </c>
      <c r="D1789" s="14" t="s">
        <v>2124</v>
      </c>
      <c r="E1789" s="12" t="s">
        <v>28</v>
      </c>
      <c r="F1789" s="13" t="s">
        <v>29</v>
      </c>
      <c r="G1789">
        <v>1</v>
      </c>
      <c r="H1789" t="s">
        <v>30</v>
      </c>
      <c r="I1789">
        <v>1</v>
      </c>
      <c r="J1789" s="15"/>
      <c r="K1789" s="16">
        <f>5638.41 - (5638.41 * $E$1)</f>
        <v>5638.41</v>
      </c>
      <c r="L1789" s="16">
        <f>4621.65 - (4621.65 * $E$1)</f>
        <v>4621.6499999999996</v>
      </c>
      <c r="M1789" s="1">
        <v>5638.41</v>
      </c>
      <c r="N1789" s="1">
        <v>4621.6499999999996</v>
      </c>
      <c r="O1789" s="1">
        <v>4792.6499999999996</v>
      </c>
      <c r="P1789" s="1">
        <v>3928.4</v>
      </c>
      <c r="Q1789">
        <v>0.92</v>
      </c>
      <c r="R1789">
        <v>1.1998999999999999E-2</v>
      </c>
    </row>
    <row r="1790" spans="1:18" ht="13.8" outlineLevel="2" x14ac:dyDescent="0.25">
      <c r="A1790">
        <v>88759</v>
      </c>
      <c r="B1790" t="s">
        <v>1524</v>
      </c>
      <c r="C1790" t="s">
        <v>2125</v>
      </c>
      <c r="D1790" s="14" t="s">
        <v>2124</v>
      </c>
      <c r="E1790" s="12" t="s">
        <v>28</v>
      </c>
      <c r="F1790" s="13" t="s">
        <v>29</v>
      </c>
      <c r="G1790">
        <v>1</v>
      </c>
      <c r="H1790" t="s">
        <v>30</v>
      </c>
      <c r="I1790">
        <v>1</v>
      </c>
      <c r="J1790" s="15"/>
      <c r="K1790" s="16">
        <f>6269.32 - (6269.32 * $E$1)</f>
        <v>6269.32</v>
      </c>
      <c r="L1790" s="16">
        <f>5138.79 - (5138.79 * $E$1)</f>
        <v>5138.79</v>
      </c>
      <c r="M1790" s="1">
        <v>6269.32</v>
      </c>
      <c r="N1790" s="1">
        <v>5138.79</v>
      </c>
      <c r="O1790" s="1">
        <v>5328.93</v>
      </c>
      <c r="P1790" s="1">
        <v>4367.97</v>
      </c>
      <c r="Q1790">
        <v>1</v>
      </c>
      <c r="R1790">
        <v>1.1998999999999999E-2</v>
      </c>
    </row>
    <row r="1791" spans="1:18" ht="13.8" outlineLevel="2" x14ac:dyDescent="0.25">
      <c r="A1791">
        <v>88760</v>
      </c>
      <c r="B1791" t="s">
        <v>1524</v>
      </c>
      <c r="C1791" t="s">
        <v>2126</v>
      </c>
      <c r="D1791" s="14" t="s">
        <v>2124</v>
      </c>
      <c r="E1791" s="12" t="s">
        <v>28</v>
      </c>
      <c r="F1791" s="13" t="s">
        <v>29</v>
      </c>
      <c r="G1791">
        <v>1</v>
      </c>
      <c r="H1791" t="s">
        <v>30</v>
      </c>
      <c r="I1791">
        <v>1</v>
      </c>
      <c r="J1791" s="15"/>
      <c r="K1791" s="16">
        <f>6093.17 - (6093.17 * $E$1)</f>
        <v>6093.17</v>
      </c>
      <c r="L1791" s="16">
        <f>4994.4 - (4994.4 * $E$1)</f>
        <v>4994.3999999999996</v>
      </c>
      <c r="M1791" s="1">
        <v>6093.17</v>
      </c>
      <c r="N1791" s="1">
        <v>4994.3999999999996</v>
      </c>
      <c r="O1791" s="1">
        <v>5179.1899999999996</v>
      </c>
      <c r="P1791" s="1">
        <v>4245.24</v>
      </c>
      <c r="Q1791">
        <v>1.22</v>
      </c>
      <c r="R1791">
        <v>1.1998999999999999E-2</v>
      </c>
    </row>
    <row r="1792" spans="1:18" ht="13.8" outlineLevel="2" x14ac:dyDescent="0.25">
      <c r="A1792">
        <v>88761</v>
      </c>
      <c r="B1792" t="s">
        <v>1524</v>
      </c>
      <c r="C1792" t="s">
        <v>2127</v>
      </c>
      <c r="D1792" s="14" t="s">
        <v>2124</v>
      </c>
      <c r="E1792" s="12" t="s">
        <v>28</v>
      </c>
      <c r="F1792" s="13" t="s">
        <v>29</v>
      </c>
      <c r="G1792">
        <v>1</v>
      </c>
      <c r="H1792" t="s">
        <v>30</v>
      </c>
      <c r="I1792">
        <v>1</v>
      </c>
      <c r="J1792" s="15"/>
      <c r="K1792" s="16">
        <f>7999.69 - (7999.69 * $E$1)</f>
        <v>7999.69</v>
      </c>
      <c r="L1792" s="16">
        <f>6557.12 - (6557.12 * $E$1)</f>
        <v>6557.12</v>
      </c>
      <c r="M1792" s="1">
        <v>7999.69</v>
      </c>
      <c r="N1792" s="1">
        <v>6557.12</v>
      </c>
      <c r="O1792" s="1">
        <v>6799.73</v>
      </c>
      <c r="P1792" s="1">
        <v>5573.55</v>
      </c>
      <c r="Q1792">
        <v>1.47</v>
      </c>
      <c r="R1792">
        <v>1.1998999999999999E-2</v>
      </c>
    </row>
    <row r="1793" spans="1:18" ht="13.8" outlineLevel="2" x14ac:dyDescent="0.25">
      <c r="A1793">
        <v>88762</v>
      </c>
      <c r="B1793" t="s">
        <v>1524</v>
      </c>
      <c r="C1793" t="s">
        <v>2128</v>
      </c>
      <c r="D1793" s="14" t="s">
        <v>2124</v>
      </c>
      <c r="E1793" s="12" t="s">
        <v>28</v>
      </c>
      <c r="F1793" s="13" t="s">
        <v>29</v>
      </c>
      <c r="G1793">
        <v>1</v>
      </c>
      <c r="H1793" t="s">
        <v>30</v>
      </c>
      <c r="I1793">
        <v>1</v>
      </c>
      <c r="J1793" s="15"/>
      <c r="K1793" s="16">
        <f>7042.76 - (7042.76 * $E$1)</f>
        <v>7042.76</v>
      </c>
      <c r="L1793" s="16">
        <f>5772.75 - (5772.75 * $E$1)</f>
        <v>5772.75</v>
      </c>
      <c r="M1793" s="1">
        <v>7042.76</v>
      </c>
      <c r="N1793" s="1">
        <v>5772.75</v>
      </c>
      <c r="O1793" s="1">
        <v>5986.34</v>
      </c>
      <c r="P1793" s="1">
        <v>4906.84</v>
      </c>
      <c r="Q1793">
        <v>1.38</v>
      </c>
      <c r="R1793">
        <v>1.1998999999999999E-2</v>
      </c>
    </row>
    <row r="1794" spans="1:18" ht="13.8" outlineLevel="2" x14ac:dyDescent="0.25">
      <c r="A1794">
        <v>88763</v>
      </c>
      <c r="B1794" t="s">
        <v>1524</v>
      </c>
      <c r="C1794" t="s">
        <v>2129</v>
      </c>
      <c r="D1794" s="14" t="s">
        <v>2124</v>
      </c>
      <c r="E1794" s="12" t="s">
        <v>28</v>
      </c>
      <c r="F1794" s="13" t="s">
        <v>29</v>
      </c>
      <c r="G1794">
        <v>1</v>
      </c>
      <c r="H1794" t="s">
        <v>30</v>
      </c>
      <c r="I1794">
        <v>1</v>
      </c>
      <c r="J1794" s="15"/>
      <c r="K1794" s="16">
        <f>9940.32 - (9940.32 * $E$1)</f>
        <v>9940.32</v>
      </c>
      <c r="L1794" s="16">
        <f>8147.8 - (8147.8 * $E$1)</f>
        <v>8147.8</v>
      </c>
      <c r="M1794" s="1">
        <v>9940.32</v>
      </c>
      <c r="N1794" s="1">
        <v>8147.8</v>
      </c>
      <c r="O1794" s="1">
        <v>8449.27</v>
      </c>
      <c r="P1794" s="1">
        <v>6925.63</v>
      </c>
      <c r="Q1794">
        <v>1.89</v>
      </c>
      <c r="R1794">
        <v>1.1998999999999999E-2</v>
      </c>
    </row>
    <row r="1795" spans="1:18" ht="13.8" outlineLevel="2" x14ac:dyDescent="0.25">
      <c r="A1795">
        <v>50353</v>
      </c>
      <c r="B1795" t="s">
        <v>1524</v>
      </c>
      <c r="C1795" t="s">
        <v>2130</v>
      </c>
      <c r="D1795" s="14" t="s">
        <v>2131</v>
      </c>
      <c r="E1795" s="12" t="s">
        <v>28</v>
      </c>
      <c r="F1795" s="13" t="s">
        <v>29</v>
      </c>
      <c r="G1795">
        <v>1</v>
      </c>
      <c r="H1795" t="s">
        <v>30</v>
      </c>
      <c r="I1795">
        <v>1</v>
      </c>
      <c r="J1795" s="15"/>
      <c r="K1795" s="16">
        <f>5376.67 - (5376.67 * $E$1)</f>
        <v>5376.67</v>
      </c>
      <c r="L1795" s="16">
        <f>4407.11 - (4407.11 * $E$1)</f>
        <v>4407.1099999999997</v>
      </c>
      <c r="M1795" s="1">
        <v>5376.67</v>
      </c>
      <c r="N1795" s="1">
        <v>4407.1099999999997</v>
      </c>
      <c r="O1795" s="1">
        <v>4570.17</v>
      </c>
      <c r="P1795" s="1">
        <v>3746.04</v>
      </c>
      <c r="Q1795">
        <v>0.97</v>
      </c>
      <c r="R1795">
        <v>1.0224E-2</v>
      </c>
    </row>
    <row r="1796" spans="1:18" ht="13.8" outlineLevel="2" x14ac:dyDescent="0.25">
      <c r="A1796">
        <v>50354</v>
      </c>
      <c r="B1796" t="s">
        <v>1524</v>
      </c>
      <c r="C1796" t="s">
        <v>2132</v>
      </c>
      <c r="D1796" s="14" t="s">
        <v>2131</v>
      </c>
      <c r="E1796" s="12" t="s">
        <v>28</v>
      </c>
      <c r="F1796" s="13" t="s">
        <v>29</v>
      </c>
      <c r="G1796">
        <v>1</v>
      </c>
      <c r="H1796" t="s">
        <v>30</v>
      </c>
      <c r="I1796">
        <v>1</v>
      </c>
      <c r="J1796" s="15"/>
      <c r="K1796" s="16">
        <f>5803.02 - (5803.02 * $E$1)</f>
        <v>5803.02</v>
      </c>
      <c r="L1796" s="16">
        <f>4756.57 - (4756.57 * $E$1)</f>
        <v>4756.57</v>
      </c>
      <c r="M1796" s="1">
        <v>5803.02</v>
      </c>
      <c r="N1796" s="1">
        <v>4756.57</v>
      </c>
      <c r="O1796" s="1">
        <v>4932.5600000000004</v>
      </c>
      <c r="P1796" s="1">
        <v>4043.08</v>
      </c>
      <c r="Q1796">
        <v>1.1100000000000001</v>
      </c>
      <c r="R1796">
        <v>1.0224E-2</v>
      </c>
    </row>
    <row r="1797" spans="1:18" ht="13.8" outlineLevel="2" x14ac:dyDescent="0.25">
      <c r="A1797">
        <v>50356</v>
      </c>
      <c r="B1797" t="s">
        <v>1524</v>
      </c>
      <c r="C1797" t="s">
        <v>2133</v>
      </c>
      <c r="D1797" s="14" t="s">
        <v>2131</v>
      </c>
      <c r="E1797" s="12" t="s">
        <v>28</v>
      </c>
      <c r="F1797" s="13" t="s">
        <v>29</v>
      </c>
      <c r="G1797">
        <v>1</v>
      </c>
      <c r="H1797" t="s">
        <v>30</v>
      </c>
      <c r="I1797">
        <v>1</v>
      </c>
      <c r="J1797" s="15"/>
      <c r="K1797" s="16">
        <f>6707.38 - (6707.38 * $E$1)</f>
        <v>6707.38</v>
      </c>
      <c r="L1797" s="16">
        <f>5497.85 - (5497.85 * $E$1)</f>
        <v>5497.85</v>
      </c>
      <c r="M1797" s="1">
        <v>6707.38</v>
      </c>
      <c r="N1797" s="1">
        <v>5497.85</v>
      </c>
      <c r="O1797" s="1">
        <v>5701.27</v>
      </c>
      <c r="P1797" s="1">
        <v>4673.17</v>
      </c>
      <c r="Q1797">
        <v>1.41</v>
      </c>
      <c r="R1797">
        <v>1.0224E-2</v>
      </c>
    </row>
    <row r="1798" spans="1:18" ht="13.8" outlineLevel="2" x14ac:dyDescent="0.25">
      <c r="A1798">
        <v>50118</v>
      </c>
      <c r="B1798" t="s">
        <v>1524</v>
      </c>
      <c r="C1798" t="s">
        <v>2134</v>
      </c>
      <c r="D1798" s="14" t="s">
        <v>2131</v>
      </c>
      <c r="E1798" s="12" t="s">
        <v>28</v>
      </c>
      <c r="F1798" s="13" t="s">
        <v>29</v>
      </c>
      <c r="G1798">
        <v>1</v>
      </c>
      <c r="H1798" t="s">
        <v>30</v>
      </c>
      <c r="I1798">
        <v>1</v>
      </c>
      <c r="J1798" s="15"/>
      <c r="K1798" s="16">
        <f>6169.71 - (6169.71 * $E$1)</f>
        <v>6169.71</v>
      </c>
      <c r="L1798" s="16">
        <f>5057.14 - (5057.14 * $E$1)</f>
        <v>5057.1400000000003</v>
      </c>
      <c r="M1798" s="1">
        <v>6169.71</v>
      </c>
      <c r="N1798" s="1">
        <v>5057.1400000000003</v>
      </c>
      <c r="O1798" s="1">
        <v>5244.25</v>
      </c>
      <c r="P1798" s="1">
        <v>4298.57</v>
      </c>
      <c r="Q1798">
        <v>0.99</v>
      </c>
      <c r="R1798">
        <v>1.1998999999999999E-2</v>
      </c>
    </row>
    <row r="1799" spans="1:18" ht="13.8" outlineLevel="2" x14ac:dyDescent="0.25">
      <c r="A1799">
        <v>50119</v>
      </c>
      <c r="B1799" t="s">
        <v>1524</v>
      </c>
      <c r="C1799" t="s">
        <v>2135</v>
      </c>
      <c r="D1799" s="14" t="s">
        <v>2131</v>
      </c>
      <c r="E1799" s="12" t="s">
        <v>28</v>
      </c>
      <c r="F1799" s="13" t="s">
        <v>29</v>
      </c>
      <c r="G1799">
        <v>1</v>
      </c>
      <c r="H1799" t="s">
        <v>30</v>
      </c>
      <c r="I1799">
        <v>1</v>
      </c>
      <c r="J1799" s="15"/>
      <c r="K1799" s="16">
        <f>7618.75 - (7618.75 * $E$1)</f>
        <v>7618.75</v>
      </c>
      <c r="L1799" s="16">
        <f>6244.88 - (6244.88 * $E$1)</f>
        <v>6244.88</v>
      </c>
      <c r="M1799" s="1">
        <v>7618.75</v>
      </c>
      <c r="N1799" s="1">
        <v>6244.88</v>
      </c>
      <c r="O1799" s="1">
        <v>6475.94</v>
      </c>
      <c r="P1799" s="1">
        <v>5308.15</v>
      </c>
      <c r="Q1799">
        <v>1.31</v>
      </c>
      <c r="R1799">
        <v>1.1998999999999999E-2</v>
      </c>
    </row>
    <row r="1800" spans="1:18" ht="13.8" outlineLevel="2" x14ac:dyDescent="0.25">
      <c r="A1800">
        <v>50120</v>
      </c>
      <c r="B1800" t="s">
        <v>1524</v>
      </c>
      <c r="C1800" t="s">
        <v>2136</v>
      </c>
      <c r="D1800" s="14" t="s">
        <v>2131</v>
      </c>
      <c r="E1800" s="12" t="s">
        <v>28</v>
      </c>
      <c r="F1800" s="13" t="s">
        <v>29</v>
      </c>
      <c r="G1800">
        <v>1</v>
      </c>
      <c r="H1800" t="s">
        <v>30</v>
      </c>
      <c r="I1800">
        <v>1</v>
      </c>
      <c r="J1800" s="15"/>
      <c r="K1800" s="16">
        <f>9466.97 - (9466.97 * $E$1)</f>
        <v>9466.9699999999993</v>
      </c>
      <c r="L1800" s="16">
        <f>7759.81 - (7759.81 * $E$1)</f>
        <v>7759.81</v>
      </c>
      <c r="M1800" s="1">
        <v>9466.9699999999993</v>
      </c>
      <c r="N1800" s="1">
        <v>7759.81</v>
      </c>
      <c r="O1800" s="1">
        <v>8046.92</v>
      </c>
      <c r="P1800" s="1">
        <v>6595.84</v>
      </c>
      <c r="Q1800">
        <v>1.8</v>
      </c>
      <c r="R1800">
        <v>1.1998999999999999E-2</v>
      </c>
    </row>
    <row r="1801" spans="1:18" ht="13.8" outlineLevel="2" x14ac:dyDescent="0.25">
      <c r="A1801">
        <v>65517</v>
      </c>
      <c r="B1801" t="s">
        <v>1594</v>
      </c>
      <c r="C1801" t="s">
        <v>2137</v>
      </c>
      <c r="D1801" s="14" t="s">
        <v>2138</v>
      </c>
      <c r="E1801" s="12" t="s">
        <v>28</v>
      </c>
      <c r="F1801" s="13" t="s">
        <v>29</v>
      </c>
      <c r="G1801">
        <v>1</v>
      </c>
      <c r="H1801" t="s">
        <v>30</v>
      </c>
      <c r="I1801">
        <v>1</v>
      </c>
      <c r="J1801" s="15"/>
      <c r="K1801" s="16">
        <f>7737.83 - (7737.83 * $E$1)</f>
        <v>7737.83</v>
      </c>
      <c r="L1801" s="16">
        <f>6342.48 - (6342.48 * $E$1)</f>
        <v>6342.48</v>
      </c>
      <c r="M1801" s="1">
        <v>7737.83</v>
      </c>
      <c r="N1801" s="1">
        <v>6342.48</v>
      </c>
      <c r="O1801" s="1">
        <v>6577.15</v>
      </c>
      <c r="P1801" s="1">
        <v>5391.11</v>
      </c>
      <c r="Q1801">
        <v>1.8</v>
      </c>
      <c r="R1801">
        <v>1.8928E-2</v>
      </c>
    </row>
    <row r="1802" spans="1:18" ht="13.8" outlineLevel="2" x14ac:dyDescent="0.25">
      <c r="A1802">
        <v>65518</v>
      </c>
      <c r="B1802" t="s">
        <v>1594</v>
      </c>
      <c r="C1802" t="s">
        <v>2139</v>
      </c>
      <c r="D1802" s="14" t="s">
        <v>2138</v>
      </c>
      <c r="E1802" s="12" t="s">
        <v>28</v>
      </c>
      <c r="F1802" s="13" t="s">
        <v>29</v>
      </c>
      <c r="G1802">
        <v>1</v>
      </c>
      <c r="H1802" t="s">
        <v>30</v>
      </c>
      <c r="I1802">
        <v>1</v>
      </c>
      <c r="J1802" s="15"/>
      <c r="K1802" s="16">
        <f>9289.03 - (9289.03 * $E$1)</f>
        <v>9289.0300000000007</v>
      </c>
      <c r="L1802" s="16">
        <f>7613.96 - (7613.96 * $E$1)</f>
        <v>7613.96</v>
      </c>
      <c r="M1802" s="1">
        <v>9289.0300000000007</v>
      </c>
      <c r="N1802" s="1">
        <v>7613.96</v>
      </c>
      <c r="O1802" s="1">
        <v>7895.68</v>
      </c>
      <c r="P1802" s="1">
        <v>6471.87</v>
      </c>
      <c r="Q1802">
        <v>2.1</v>
      </c>
      <c r="R1802">
        <v>2.928E-2</v>
      </c>
    </row>
    <row r="1803" spans="1:18" ht="13.8" outlineLevel="2" x14ac:dyDescent="0.25">
      <c r="A1803">
        <v>65519</v>
      </c>
      <c r="B1803" t="s">
        <v>1594</v>
      </c>
      <c r="C1803" t="s">
        <v>2140</v>
      </c>
      <c r="D1803" s="14" t="s">
        <v>2138</v>
      </c>
      <c r="E1803" s="12" t="s">
        <v>28</v>
      </c>
      <c r="F1803" s="13" t="s">
        <v>29</v>
      </c>
      <c r="G1803">
        <v>1</v>
      </c>
      <c r="H1803" t="s">
        <v>30</v>
      </c>
      <c r="I1803">
        <v>1</v>
      </c>
      <c r="J1803" s="15"/>
      <c r="K1803" s="16">
        <f>10376.04 - (10376.04 * $E$1)</f>
        <v>10376.040000000001</v>
      </c>
      <c r="L1803" s="16">
        <f>8504.95 - (8504.95 * $E$1)</f>
        <v>8504.9500000000007</v>
      </c>
      <c r="M1803" s="1">
        <v>10376.040000000001</v>
      </c>
      <c r="N1803" s="1">
        <v>8504.9500000000007</v>
      </c>
      <c r="O1803" s="1">
        <v>8819.6299999999992</v>
      </c>
      <c r="P1803" s="1">
        <v>7229.21</v>
      </c>
      <c r="Q1803">
        <v>2.6</v>
      </c>
      <c r="R1803">
        <v>2.928E-2</v>
      </c>
    </row>
    <row r="1804" spans="1:18" ht="13.8" outlineLevel="2" x14ac:dyDescent="0.25">
      <c r="A1804">
        <v>65520</v>
      </c>
      <c r="B1804" t="s">
        <v>1594</v>
      </c>
      <c r="C1804" t="s">
        <v>2141</v>
      </c>
      <c r="D1804" s="14" t="s">
        <v>2138</v>
      </c>
      <c r="E1804" s="12" t="s">
        <v>28</v>
      </c>
      <c r="F1804" s="13" t="s">
        <v>29</v>
      </c>
      <c r="G1804">
        <v>1</v>
      </c>
      <c r="H1804" t="s">
        <v>30</v>
      </c>
      <c r="I1804">
        <v>1</v>
      </c>
      <c r="J1804" s="15"/>
      <c r="K1804" s="16">
        <f>9525.08 - (9525.08 * $E$1)</f>
        <v>9525.08</v>
      </c>
      <c r="L1804" s="16">
        <f>7807.44 - (7807.44 * $E$1)</f>
        <v>7807.44</v>
      </c>
      <c r="M1804" s="1">
        <v>9525.08</v>
      </c>
      <c r="N1804" s="1">
        <v>7807.44</v>
      </c>
      <c r="O1804" s="1">
        <v>8096.32</v>
      </c>
      <c r="P1804" s="1">
        <v>6636.32</v>
      </c>
      <c r="Q1804">
        <v>1.9</v>
      </c>
      <c r="R1804">
        <v>1.8928E-2</v>
      </c>
    </row>
    <row r="1805" spans="1:18" ht="13.8" outlineLevel="2" x14ac:dyDescent="0.25">
      <c r="A1805">
        <v>65521</v>
      </c>
      <c r="B1805" t="s">
        <v>1594</v>
      </c>
      <c r="C1805" t="s">
        <v>2142</v>
      </c>
      <c r="D1805" s="14" t="s">
        <v>2138</v>
      </c>
      <c r="E1805" s="12" t="s">
        <v>28</v>
      </c>
      <c r="F1805" s="13" t="s">
        <v>29</v>
      </c>
      <c r="G1805">
        <v>1</v>
      </c>
      <c r="H1805" t="s">
        <v>30</v>
      </c>
      <c r="I1805">
        <v>1</v>
      </c>
      <c r="J1805" s="15"/>
      <c r="K1805" s="16">
        <f>13418.04 - (13418.04 * $E$1)</f>
        <v>13418.04</v>
      </c>
      <c r="L1805" s="16">
        <f>10998.39 - (10998.39 * $E$1)</f>
        <v>10998.39</v>
      </c>
      <c r="M1805" s="1">
        <v>13418.04</v>
      </c>
      <c r="N1805" s="1">
        <v>10998.39</v>
      </c>
      <c r="O1805" s="1">
        <v>11405.33</v>
      </c>
      <c r="P1805" s="1">
        <v>9348.6299999999992</v>
      </c>
      <c r="Q1805">
        <v>2.4</v>
      </c>
      <c r="R1805">
        <v>2.928E-2</v>
      </c>
    </row>
    <row r="1806" spans="1:18" ht="13.8" outlineLevel="2" x14ac:dyDescent="0.25">
      <c r="A1806">
        <v>65522</v>
      </c>
      <c r="B1806" t="s">
        <v>1594</v>
      </c>
      <c r="C1806" t="s">
        <v>2143</v>
      </c>
      <c r="D1806" s="14" t="s">
        <v>2138</v>
      </c>
      <c r="E1806" s="12" t="s">
        <v>28</v>
      </c>
      <c r="F1806" s="13" t="s">
        <v>29</v>
      </c>
      <c r="G1806">
        <v>1</v>
      </c>
      <c r="H1806" t="s">
        <v>30</v>
      </c>
      <c r="I1806">
        <v>1</v>
      </c>
      <c r="J1806" s="15"/>
      <c r="K1806" s="16">
        <f>16291.42 - (16291.42 * $E$1)</f>
        <v>16291.42</v>
      </c>
      <c r="L1806" s="16">
        <f>13353.62 - (13353.62 * $E$1)</f>
        <v>13353.62</v>
      </c>
      <c r="M1806" s="1">
        <v>16291.42</v>
      </c>
      <c r="N1806" s="1">
        <v>13353.62</v>
      </c>
      <c r="O1806" s="1">
        <v>13847.7</v>
      </c>
      <c r="P1806" s="1">
        <v>11350.58</v>
      </c>
      <c r="Q1806">
        <v>3.3</v>
      </c>
      <c r="R1806">
        <v>2.928E-2</v>
      </c>
    </row>
    <row r="1807" spans="1:18" ht="13.8" outlineLevel="2" x14ac:dyDescent="0.25">
      <c r="A1807">
        <v>69551</v>
      </c>
      <c r="B1807" t="s">
        <v>1594</v>
      </c>
      <c r="C1807" t="s">
        <v>2144</v>
      </c>
      <c r="D1807" s="14" t="s">
        <v>2145</v>
      </c>
      <c r="E1807" s="12" t="s">
        <v>28</v>
      </c>
      <c r="F1807" s="13" t="s">
        <v>29</v>
      </c>
      <c r="G1807">
        <v>3</v>
      </c>
      <c r="H1807" t="s">
        <v>30</v>
      </c>
      <c r="I1807">
        <v>3</v>
      </c>
      <c r="J1807" s="15"/>
      <c r="K1807" s="16">
        <f>3582.25 - (3582.25 * $E$1)</f>
        <v>3582.25</v>
      </c>
      <c r="L1807" s="16">
        <f>2936.27 - (2936.27 * $E$1)</f>
        <v>2936.27</v>
      </c>
      <c r="M1807" s="1">
        <v>3582.25</v>
      </c>
      <c r="N1807" s="1">
        <v>2936.27</v>
      </c>
      <c r="O1807" s="1">
        <v>3044.91</v>
      </c>
      <c r="P1807" s="1">
        <v>2495.83</v>
      </c>
      <c r="Q1807">
        <v>0.7</v>
      </c>
      <c r="R1807">
        <v>7.0200000000000002E-3</v>
      </c>
    </row>
    <row r="1808" spans="1:18" ht="13.8" outlineLevel="2" x14ac:dyDescent="0.25">
      <c r="A1808">
        <v>55071</v>
      </c>
      <c r="B1808" t="s">
        <v>1594</v>
      </c>
      <c r="C1808" t="s">
        <v>2146</v>
      </c>
      <c r="D1808" s="14" t="s">
        <v>2145</v>
      </c>
      <c r="E1808" s="12" t="s">
        <v>28</v>
      </c>
      <c r="F1808" s="13" t="s">
        <v>29</v>
      </c>
      <c r="G1808">
        <v>3</v>
      </c>
      <c r="H1808" t="s">
        <v>30</v>
      </c>
      <c r="I1808">
        <v>3</v>
      </c>
      <c r="J1808" s="15"/>
      <c r="K1808" s="16">
        <f>4367.84 - (4367.84 * $E$1)</f>
        <v>4367.84</v>
      </c>
      <c r="L1808" s="16">
        <f>3580.2 - (3580.2 * $E$1)</f>
        <v>3580.2</v>
      </c>
      <c r="M1808" s="1">
        <v>4367.84</v>
      </c>
      <c r="N1808" s="1">
        <v>3580.2</v>
      </c>
      <c r="O1808" s="1">
        <v>3712.67</v>
      </c>
      <c r="P1808" s="1">
        <v>3043.17</v>
      </c>
      <c r="Q1808">
        <v>0.83666666666667</v>
      </c>
      <c r="R1808">
        <v>7.0200000000000002E-3</v>
      </c>
    </row>
    <row r="1809" spans="1:18" ht="13.8" outlineLevel="2" x14ac:dyDescent="0.25">
      <c r="A1809">
        <v>55072</v>
      </c>
      <c r="B1809" t="s">
        <v>1594</v>
      </c>
      <c r="C1809" t="s">
        <v>2147</v>
      </c>
      <c r="D1809" s="14" t="s">
        <v>2145</v>
      </c>
      <c r="E1809" s="12" t="s">
        <v>28</v>
      </c>
      <c r="F1809" s="13" t="s">
        <v>29</v>
      </c>
      <c r="G1809">
        <v>3</v>
      </c>
      <c r="H1809" t="s">
        <v>30</v>
      </c>
      <c r="I1809">
        <v>3</v>
      </c>
      <c r="J1809" s="15"/>
      <c r="K1809" s="16">
        <f>4448.29 - (4448.29 * $E$1)</f>
        <v>4448.29</v>
      </c>
      <c r="L1809" s="16">
        <f>3646.14 - (3646.14 * $E$1)</f>
        <v>3646.14</v>
      </c>
      <c r="M1809" s="1">
        <v>4448.29</v>
      </c>
      <c r="N1809" s="1">
        <v>3646.14</v>
      </c>
      <c r="O1809" s="1">
        <v>3781.05</v>
      </c>
      <c r="P1809" s="1">
        <v>3099.22</v>
      </c>
      <c r="Q1809">
        <v>0.97666666666667001</v>
      </c>
      <c r="R1809">
        <v>7.0200000000000002E-3</v>
      </c>
    </row>
    <row r="1810" spans="1:18" ht="13.8" outlineLevel="2" x14ac:dyDescent="0.25">
      <c r="A1810">
        <v>55073</v>
      </c>
      <c r="B1810" t="s">
        <v>1594</v>
      </c>
      <c r="C1810" t="s">
        <v>2148</v>
      </c>
      <c r="D1810" s="14" t="s">
        <v>2145</v>
      </c>
      <c r="E1810" s="12" t="s">
        <v>28</v>
      </c>
      <c r="F1810" s="13" t="s">
        <v>29</v>
      </c>
      <c r="G1810">
        <v>3</v>
      </c>
      <c r="H1810" t="s">
        <v>30</v>
      </c>
      <c r="I1810">
        <v>3</v>
      </c>
      <c r="J1810" s="15"/>
      <c r="K1810" s="16">
        <f>6137.7 - (6137.7 * $E$1)</f>
        <v>6137.7</v>
      </c>
      <c r="L1810" s="16">
        <f>5030.9 - (5030.9 * $E$1)</f>
        <v>5030.8999999999996</v>
      </c>
      <c r="M1810" s="1">
        <v>6137.7</v>
      </c>
      <c r="N1810" s="1">
        <v>5030.8999999999996</v>
      </c>
      <c r="O1810" s="1">
        <v>5217.04</v>
      </c>
      <c r="P1810" s="1">
        <v>4276.2700000000004</v>
      </c>
      <c r="Q1810">
        <v>1.06</v>
      </c>
      <c r="R1810">
        <v>7.0200000000000002E-3</v>
      </c>
    </row>
    <row r="1811" spans="1:18" ht="13.8" outlineLevel="2" x14ac:dyDescent="0.25">
      <c r="A1811">
        <v>67018</v>
      </c>
      <c r="B1811" t="s">
        <v>1594</v>
      </c>
      <c r="C1811" t="s">
        <v>2149</v>
      </c>
      <c r="D1811" s="14" t="s">
        <v>2145</v>
      </c>
      <c r="E1811" s="12" t="s">
        <v>28</v>
      </c>
      <c r="F1811" s="13" t="s">
        <v>29</v>
      </c>
      <c r="G1811">
        <v>3</v>
      </c>
      <c r="H1811" t="s">
        <v>30</v>
      </c>
      <c r="I1811">
        <v>3</v>
      </c>
      <c r="J1811" s="15"/>
      <c r="K1811" s="16">
        <f>6284.2 - (6284.2 * $E$1)</f>
        <v>6284.2</v>
      </c>
      <c r="L1811" s="16">
        <f>5150.98 - (5150.98 * $E$1)</f>
        <v>5150.9799999999996</v>
      </c>
      <c r="M1811" s="1">
        <v>6284.2</v>
      </c>
      <c r="N1811" s="1">
        <v>5150.9799999999996</v>
      </c>
      <c r="O1811" s="1">
        <v>5341.57</v>
      </c>
      <c r="P1811" s="1">
        <v>4378.33</v>
      </c>
      <c r="Q1811">
        <v>1.40333333333333</v>
      </c>
      <c r="R1811">
        <v>1.1461666666667E-2</v>
      </c>
    </row>
    <row r="1812" spans="1:18" ht="13.8" outlineLevel="2" x14ac:dyDescent="0.25">
      <c r="A1812">
        <v>82798</v>
      </c>
      <c r="B1812" t="s">
        <v>1594</v>
      </c>
      <c r="C1812" t="s">
        <v>2150</v>
      </c>
      <c r="D1812" s="14" t="s">
        <v>2145</v>
      </c>
      <c r="E1812" s="12" t="s">
        <v>28</v>
      </c>
      <c r="F1812" s="13" t="s">
        <v>29</v>
      </c>
      <c r="G1812">
        <v>3</v>
      </c>
      <c r="H1812" t="s">
        <v>30</v>
      </c>
      <c r="I1812">
        <v>3</v>
      </c>
      <c r="J1812" s="15"/>
      <c r="K1812" s="16">
        <f>6909.74 - (6909.74 * $E$1)</f>
        <v>6909.74</v>
      </c>
      <c r="L1812" s="16">
        <f>5663.72 - (5663.72 * $E$1)</f>
        <v>5663.72</v>
      </c>
      <c r="M1812" s="1">
        <v>6909.74</v>
      </c>
      <c r="N1812" s="1">
        <v>5663.72</v>
      </c>
      <c r="O1812" s="1">
        <v>5873.28</v>
      </c>
      <c r="P1812" s="1">
        <v>4814.16</v>
      </c>
      <c r="Q1812">
        <v>1.5333333333333301</v>
      </c>
      <c r="R1812">
        <v>1.1461666666667E-2</v>
      </c>
    </row>
    <row r="1813" spans="1:18" ht="13.8" outlineLevel="2" x14ac:dyDescent="0.25">
      <c r="A1813">
        <v>69552</v>
      </c>
      <c r="B1813" t="s">
        <v>1594</v>
      </c>
      <c r="C1813" t="s">
        <v>2151</v>
      </c>
      <c r="D1813" s="14" t="s">
        <v>2145</v>
      </c>
      <c r="E1813" s="12" t="s">
        <v>28</v>
      </c>
      <c r="F1813" s="13" t="s">
        <v>29</v>
      </c>
      <c r="G1813">
        <v>3</v>
      </c>
      <c r="H1813" t="s">
        <v>30</v>
      </c>
      <c r="I1813">
        <v>3</v>
      </c>
      <c r="J1813" s="15"/>
      <c r="K1813" s="16">
        <f>4744.46 - (4744.46 * $E$1)</f>
        <v>4744.46</v>
      </c>
      <c r="L1813" s="16">
        <f>3888.9 - (3888.9 * $E$1)</f>
        <v>3888.9</v>
      </c>
      <c r="M1813" s="1">
        <v>4744.46</v>
      </c>
      <c r="N1813" s="1">
        <v>3888.9</v>
      </c>
      <c r="O1813" s="1">
        <v>4032.79</v>
      </c>
      <c r="P1813" s="1">
        <v>3305.57</v>
      </c>
      <c r="Q1813">
        <v>0.73333333333332995</v>
      </c>
      <c r="R1813">
        <v>7.0200000000000002E-3</v>
      </c>
    </row>
    <row r="1814" spans="1:18" ht="13.8" outlineLevel="2" x14ac:dyDescent="0.25">
      <c r="A1814">
        <v>57816</v>
      </c>
      <c r="B1814" t="s">
        <v>1594</v>
      </c>
      <c r="C1814" t="s">
        <v>2152</v>
      </c>
      <c r="D1814" s="14" t="s">
        <v>2145</v>
      </c>
      <c r="E1814" s="12" t="s">
        <v>28</v>
      </c>
      <c r="F1814" s="13" t="s">
        <v>29</v>
      </c>
      <c r="G1814">
        <v>3</v>
      </c>
      <c r="H1814" t="s">
        <v>30</v>
      </c>
      <c r="I1814">
        <v>3</v>
      </c>
      <c r="J1814" s="15"/>
      <c r="K1814" s="16">
        <f>5896.48 - (5896.48 * $E$1)</f>
        <v>5896.48</v>
      </c>
      <c r="L1814" s="16">
        <f>4833.18 - (4833.18 * $E$1)</f>
        <v>4833.18</v>
      </c>
      <c r="M1814" s="1">
        <v>5896.48</v>
      </c>
      <c r="N1814" s="1">
        <v>4833.18</v>
      </c>
      <c r="O1814" s="1">
        <v>5012.01</v>
      </c>
      <c r="P1814" s="1">
        <v>4108.2</v>
      </c>
      <c r="Q1814">
        <v>0.94333333333333003</v>
      </c>
      <c r="R1814">
        <v>7.0200000000000002E-3</v>
      </c>
    </row>
    <row r="1815" spans="1:18" ht="13.8" outlineLevel="2" x14ac:dyDescent="0.25">
      <c r="A1815">
        <v>57817</v>
      </c>
      <c r="B1815" t="s">
        <v>1594</v>
      </c>
      <c r="C1815" t="s">
        <v>2153</v>
      </c>
      <c r="D1815" s="14" t="s">
        <v>2145</v>
      </c>
      <c r="E1815" s="12" t="s">
        <v>28</v>
      </c>
      <c r="F1815" s="13" t="s">
        <v>29</v>
      </c>
      <c r="G1815">
        <v>3</v>
      </c>
      <c r="H1815" t="s">
        <v>30</v>
      </c>
      <c r="I1815">
        <v>3</v>
      </c>
      <c r="J1815" s="15"/>
      <c r="K1815" s="16">
        <f>6689.25 - (6689.25 * $E$1)</f>
        <v>6689.25</v>
      </c>
      <c r="L1815" s="16">
        <f>5482.99 - (5482.99 * $E$1)</f>
        <v>5482.99</v>
      </c>
      <c r="M1815" s="1">
        <v>6689.25</v>
      </c>
      <c r="N1815" s="1">
        <v>5482.99</v>
      </c>
      <c r="O1815" s="1">
        <v>5685.86</v>
      </c>
      <c r="P1815" s="1">
        <v>4660.54</v>
      </c>
      <c r="Q1815">
        <v>1</v>
      </c>
      <c r="R1815">
        <v>7.8216666666667007E-3</v>
      </c>
    </row>
    <row r="1816" spans="1:18" ht="13.8" outlineLevel="2" x14ac:dyDescent="0.25">
      <c r="A1816">
        <v>57818</v>
      </c>
      <c r="B1816" t="s">
        <v>1594</v>
      </c>
      <c r="C1816" t="s">
        <v>2154</v>
      </c>
      <c r="D1816" s="14" t="s">
        <v>2145</v>
      </c>
      <c r="E1816" s="12" t="s">
        <v>28</v>
      </c>
      <c r="F1816" s="13" t="s">
        <v>29</v>
      </c>
      <c r="G1816">
        <v>3</v>
      </c>
      <c r="H1816" t="s">
        <v>30</v>
      </c>
      <c r="I1816">
        <v>3</v>
      </c>
      <c r="J1816" s="15"/>
      <c r="K1816" s="16">
        <f>8424.45 - (8424.45 * $E$1)</f>
        <v>8424.4500000000007</v>
      </c>
      <c r="L1816" s="16">
        <f>6905.29 - (6905.29 * $E$1)</f>
        <v>6905.29</v>
      </c>
      <c r="M1816" s="1">
        <v>8424.4500000000007</v>
      </c>
      <c r="N1816" s="1">
        <v>6905.29</v>
      </c>
      <c r="O1816" s="1">
        <v>7160.79</v>
      </c>
      <c r="P1816" s="1">
        <v>5869.5</v>
      </c>
      <c r="Q1816">
        <v>1.33</v>
      </c>
      <c r="R1816">
        <v>7.0200000000000002E-3</v>
      </c>
    </row>
    <row r="1817" spans="1:18" ht="13.8" outlineLevel="2" x14ac:dyDescent="0.25">
      <c r="A1817">
        <v>67019</v>
      </c>
      <c r="B1817" t="s">
        <v>1594</v>
      </c>
      <c r="C1817" t="s">
        <v>2155</v>
      </c>
      <c r="D1817" s="14" t="s">
        <v>2145</v>
      </c>
      <c r="E1817" s="12" t="s">
        <v>28</v>
      </c>
      <c r="F1817" s="13" t="s">
        <v>29</v>
      </c>
      <c r="G1817">
        <v>3</v>
      </c>
      <c r="H1817" t="s">
        <v>30</v>
      </c>
      <c r="I1817">
        <v>3</v>
      </c>
      <c r="J1817" s="15"/>
      <c r="K1817" s="16">
        <f>19060.73 - (19060.73 * $E$1)</f>
        <v>19060.73</v>
      </c>
      <c r="L1817" s="16">
        <f>15623.55 - (15623.55 * $E$1)</f>
        <v>15623.55</v>
      </c>
      <c r="M1817" s="1">
        <v>19060.73</v>
      </c>
      <c r="N1817" s="1">
        <v>15623.55</v>
      </c>
      <c r="O1817" s="1">
        <v>16201.62</v>
      </c>
      <c r="P1817" s="1">
        <v>13280.02</v>
      </c>
      <c r="Q1817">
        <v>1.9966666666666699</v>
      </c>
      <c r="R1817">
        <v>1.1461666666667E-2</v>
      </c>
    </row>
    <row r="1818" spans="1:18" ht="13.8" outlineLevel="2" x14ac:dyDescent="0.25">
      <c r="A1818">
        <v>70272</v>
      </c>
      <c r="B1818" t="s">
        <v>1594</v>
      </c>
      <c r="C1818" t="s">
        <v>2156</v>
      </c>
      <c r="D1818" s="14" t="s">
        <v>2145</v>
      </c>
      <c r="E1818" s="12" t="s">
        <v>28</v>
      </c>
      <c r="F1818" s="13" t="s">
        <v>29</v>
      </c>
      <c r="G1818">
        <v>3</v>
      </c>
      <c r="H1818" t="s">
        <v>30</v>
      </c>
      <c r="I1818">
        <v>3</v>
      </c>
      <c r="J1818" s="15"/>
      <c r="K1818" s="16">
        <f>20161.21 - (20161.21 * $E$1)</f>
        <v>20161.21</v>
      </c>
      <c r="L1818" s="16">
        <f>16525.58 - (16525.58 * $E$1)</f>
        <v>16525.580000000002</v>
      </c>
      <c r="M1818" s="1">
        <v>20161.21</v>
      </c>
      <c r="N1818" s="1">
        <v>16525.580000000002</v>
      </c>
      <c r="O1818" s="1">
        <v>17137.03</v>
      </c>
      <c r="P1818" s="1">
        <v>14046.74</v>
      </c>
      <c r="Q1818">
        <v>2.1933333333333298</v>
      </c>
      <c r="R1818">
        <v>1.1461666666667E-2</v>
      </c>
    </row>
    <row r="1819" spans="1:18" ht="13.8" outlineLevel="2" x14ac:dyDescent="0.25">
      <c r="A1819">
        <v>66290</v>
      </c>
      <c r="B1819" t="s">
        <v>1594</v>
      </c>
      <c r="C1819" t="s">
        <v>2157</v>
      </c>
      <c r="D1819" s="14" t="s">
        <v>2158</v>
      </c>
      <c r="E1819" s="12" t="s">
        <v>28</v>
      </c>
      <c r="F1819" s="13" t="s">
        <v>29</v>
      </c>
      <c r="G1819">
        <v>1</v>
      </c>
      <c r="H1819" t="s">
        <v>30</v>
      </c>
      <c r="I1819">
        <v>1</v>
      </c>
      <c r="J1819" s="15"/>
      <c r="K1819" s="16">
        <f>13043.53 - (13043.53 * $E$1)</f>
        <v>13043.53</v>
      </c>
      <c r="L1819" s="16">
        <f>10691.42 - (10691.42 * $E$1)</f>
        <v>10691.42</v>
      </c>
      <c r="M1819" s="1">
        <v>13043.53</v>
      </c>
      <c r="N1819" s="1">
        <v>10691.42</v>
      </c>
      <c r="O1819" s="1">
        <v>11087</v>
      </c>
      <c r="P1819" s="1">
        <v>9087.7099999999991</v>
      </c>
      <c r="Q1819">
        <v>2.65</v>
      </c>
      <c r="R1819">
        <v>2.928E-2</v>
      </c>
    </row>
    <row r="1820" spans="1:18" ht="13.8" outlineLevel="2" x14ac:dyDescent="0.25">
      <c r="A1820">
        <v>66292</v>
      </c>
      <c r="B1820" t="s">
        <v>1594</v>
      </c>
      <c r="C1820" t="s">
        <v>2159</v>
      </c>
      <c r="D1820" s="14" t="s">
        <v>2158</v>
      </c>
      <c r="E1820" s="12" t="s">
        <v>28</v>
      </c>
      <c r="F1820" s="13" t="s">
        <v>29</v>
      </c>
      <c r="G1820">
        <v>1</v>
      </c>
      <c r="H1820" t="s">
        <v>30</v>
      </c>
      <c r="I1820">
        <v>1</v>
      </c>
      <c r="J1820" s="15"/>
      <c r="K1820" s="16">
        <f>16270.69 - (16270.69 * $E$1)</f>
        <v>16270.69</v>
      </c>
      <c r="L1820" s="16">
        <f>13336.63 - (13336.63 * $E$1)</f>
        <v>13336.63</v>
      </c>
      <c r="M1820" s="1">
        <v>16270.69</v>
      </c>
      <c r="N1820" s="1">
        <v>13336.63</v>
      </c>
      <c r="O1820" s="1">
        <v>13830.09</v>
      </c>
      <c r="P1820" s="1">
        <v>11336.14</v>
      </c>
      <c r="Q1820">
        <v>2.7</v>
      </c>
      <c r="R1820">
        <v>3.3456E-2</v>
      </c>
    </row>
    <row r="1821" spans="1:18" ht="13.8" outlineLevel="2" x14ac:dyDescent="0.25">
      <c r="A1821">
        <v>66294</v>
      </c>
      <c r="B1821" t="s">
        <v>1594</v>
      </c>
      <c r="C1821" t="s">
        <v>2160</v>
      </c>
      <c r="D1821" s="14" t="s">
        <v>2158</v>
      </c>
      <c r="E1821" s="12" t="s">
        <v>28</v>
      </c>
      <c r="F1821" s="13" t="s">
        <v>29</v>
      </c>
      <c r="G1821">
        <v>1</v>
      </c>
      <c r="H1821" t="s">
        <v>30</v>
      </c>
      <c r="I1821">
        <v>1</v>
      </c>
      <c r="J1821" s="15"/>
      <c r="K1821" s="16">
        <f>17390.94 - (17390.94 * $E$1)</f>
        <v>17390.939999999999</v>
      </c>
      <c r="L1821" s="16">
        <f>14254.87 - (14254.87 * $E$1)</f>
        <v>14254.87</v>
      </c>
      <c r="M1821" s="1">
        <v>17390.939999999999</v>
      </c>
      <c r="N1821" s="1">
        <v>14254.87</v>
      </c>
      <c r="O1821" s="1">
        <v>14782.3</v>
      </c>
      <c r="P1821" s="1">
        <v>12116.64</v>
      </c>
      <c r="Q1821">
        <v>3</v>
      </c>
      <c r="R1821">
        <v>3.3456E-2</v>
      </c>
    </row>
    <row r="1822" spans="1:18" ht="13.8" outlineLevel="2" x14ac:dyDescent="0.25">
      <c r="A1822">
        <v>66291</v>
      </c>
      <c r="B1822" t="s">
        <v>1594</v>
      </c>
      <c r="C1822" t="s">
        <v>2161</v>
      </c>
      <c r="D1822" s="14" t="s">
        <v>2158</v>
      </c>
      <c r="E1822" s="12" t="s">
        <v>28</v>
      </c>
      <c r="F1822" s="13" t="s">
        <v>29</v>
      </c>
      <c r="G1822">
        <v>1</v>
      </c>
      <c r="H1822" t="s">
        <v>30</v>
      </c>
      <c r="I1822">
        <v>1</v>
      </c>
      <c r="J1822" s="15"/>
      <c r="K1822" s="16">
        <f>16832.82 - (16832.82 * $E$1)</f>
        <v>16832.82</v>
      </c>
      <c r="L1822" s="16">
        <f>13797.39 - (13797.39 * $E$1)</f>
        <v>13797.39</v>
      </c>
      <c r="M1822" s="1">
        <v>16832.82</v>
      </c>
      <c r="N1822" s="1">
        <v>13797.39</v>
      </c>
      <c r="O1822" s="1">
        <v>14307.89</v>
      </c>
      <c r="P1822" s="1">
        <v>11727.78</v>
      </c>
      <c r="Q1822">
        <v>2.78</v>
      </c>
      <c r="R1822">
        <v>2.928E-2</v>
      </c>
    </row>
    <row r="1823" spans="1:18" ht="13.8" outlineLevel="2" x14ac:dyDescent="0.25">
      <c r="A1823">
        <v>66293</v>
      </c>
      <c r="B1823" t="s">
        <v>1594</v>
      </c>
      <c r="C1823" t="s">
        <v>2162</v>
      </c>
      <c r="D1823" s="14" t="s">
        <v>2158</v>
      </c>
      <c r="E1823" s="12" t="s">
        <v>28</v>
      </c>
      <c r="F1823" s="13" t="s">
        <v>29</v>
      </c>
      <c r="G1823">
        <v>1</v>
      </c>
      <c r="H1823" t="s">
        <v>30</v>
      </c>
      <c r="I1823">
        <v>1</v>
      </c>
      <c r="J1823" s="15"/>
      <c r="K1823" s="16">
        <f>20764.4 - (20764.4 * $E$1)</f>
        <v>20764.400000000001</v>
      </c>
      <c r="L1823" s="16">
        <f>17020 - (17020 * $E$1)</f>
        <v>17020</v>
      </c>
      <c r="M1823" s="1">
        <v>20764.400000000001</v>
      </c>
      <c r="N1823" s="1">
        <v>17020</v>
      </c>
      <c r="O1823" s="1">
        <v>17649.740000000002</v>
      </c>
      <c r="P1823" s="1">
        <v>14467</v>
      </c>
      <c r="Q1823">
        <v>3.85</v>
      </c>
      <c r="R1823">
        <v>2.928E-2</v>
      </c>
    </row>
    <row r="1824" spans="1:18" ht="13.8" outlineLevel="2" x14ac:dyDescent="0.25">
      <c r="A1824">
        <v>66295</v>
      </c>
      <c r="B1824" t="s">
        <v>1594</v>
      </c>
      <c r="C1824" t="s">
        <v>2163</v>
      </c>
      <c r="D1824" s="14" t="s">
        <v>2158</v>
      </c>
      <c r="E1824" s="12" t="s">
        <v>28</v>
      </c>
      <c r="F1824" s="13" t="s">
        <v>29</v>
      </c>
      <c r="G1824">
        <v>1</v>
      </c>
      <c r="H1824" t="s">
        <v>30</v>
      </c>
      <c r="I1824">
        <v>1</v>
      </c>
      <c r="J1824" s="15"/>
      <c r="K1824" s="16">
        <f>24465.84 - (24465.84 * $E$1)</f>
        <v>24465.84</v>
      </c>
      <c r="L1824" s="16">
        <f>20053.97 - (20053.97 * $E$1)</f>
        <v>20053.97</v>
      </c>
      <c r="M1824" s="1">
        <v>24465.84</v>
      </c>
      <c r="N1824" s="1">
        <v>20053.97</v>
      </c>
      <c r="O1824" s="1">
        <v>20795.97</v>
      </c>
      <c r="P1824" s="1">
        <v>17045.87</v>
      </c>
      <c r="Q1824">
        <v>3.6</v>
      </c>
      <c r="R1824">
        <v>3.3456E-2</v>
      </c>
    </row>
    <row r="1825" spans="1:18" ht="13.8" outlineLevel="2" x14ac:dyDescent="0.25">
      <c r="A1825">
        <v>92351</v>
      </c>
      <c r="B1825" t="s">
        <v>1594</v>
      </c>
      <c r="C1825" t="s">
        <v>2164</v>
      </c>
      <c r="D1825" s="14" t="s">
        <v>2158</v>
      </c>
      <c r="E1825" s="12" t="s">
        <v>28</v>
      </c>
      <c r="F1825" s="13" t="s">
        <v>29</v>
      </c>
      <c r="G1825">
        <v>1</v>
      </c>
      <c r="H1825" t="s">
        <v>30</v>
      </c>
      <c r="I1825">
        <v>1</v>
      </c>
      <c r="J1825" s="15"/>
      <c r="K1825" s="16">
        <f>19901.35 - (19901.35 * $E$1)</f>
        <v>19901.349999999999</v>
      </c>
      <c r="L1825" s="16">
        <f>16312.58 - (16312.58 * $E$1)</f>
        <v>16312.58</v>
      </c>
      <c r="M1825" s="1">
        <v>19901.349999999999</v>
      </c>
      <c r="N1825" s="1">
        <v>16312.58</v>
      </c>
      <c r="O1825" s="1">
        <v>16916.150000000001</v>
      </c>
      <c r="P1825" s="1">
        <v>13865.69</v>
      </c>
      <c r="Q1825">
        <v>4</v>
      </c>
      <c r="R1825">
        <v>2.928E-2</v>
      </c>
    </row>
    <row r="1826" spans="1:18" ht="13.8" outlineLevel="2" x14ac:dyDescent="0.25">
      <c r="A1826">
        <v>92352</v>
      </c>
      <c r="B1826" t="s">
        <v>1594</v>
      </c>
      <c r="C1826" t="s">
        <v>2165</v>
      </c>
      <c r="D1826" s="14" t="s">
        <v>2158</v>
      </c>
      <c r="E1826" s="12" t="s">
        <v>28</v>
      </c>
      <c r="F1826" s="13" t="s">
        <v>29</v>
      </c>
      <c r="G1826">
        <v>1</v>
      </c>
      <c r="H1826" t="s">
        <v>30</v>
      </c>
      <c r="I1826">
        <v>1</v>
      </c>
      <c r="J1826" s="15"/>
      <c r="K1826" s="16">
        <f>32293.89 - (32293.89 * $E$1)</f>
        <v>32293.89</v>
      </c>
      <c r="L1826" s="16">
        <f>26470.4 - (26470.4 * $E$1)</f>
        <v>26470.400000000001</v>
      </c>
      <c r="M1826" s="1">
        <v>32293.89</v>
      </c>
      <c r="N1826" s="1">
        <v>26470.400000000001</v>
      </c>
      <c r="O1826" s="1">
        <v>27449.8</v>
      </c>
      <c r="P1826" s="1">
        <v>22499.84</v>
      </c>
      <c r="Q1826">
        <v>5.3</v>
      </c>
      <c r="R1826">
        <v>2.928E-2</v>
      </c>
    </row>
    <row r="1827" spans="1:18" ht="13.8" outlineLevel="2" x14ac:dyDescent="0.25">
      <c r="A1827">
        <v>88131</v>
      </c>
      <c r="B1827" t="s">
        <v>1594</v>
      </c>
      <c r="C1827" t="s">
        <v>2166</v>
      </c>
      <c r="D1827" s="14" t="s">
        <v>2167</v>
      </c>
      <c r="E1827" s="12" t="s">
        <v>28</v>
      </c>
      <c r="F1827" s="13" t="s">
        <v>29</v>
      </c>
      <c r="G1827">
        <v>1</v>
      </c>
      <c r="H1827" t="s">
        <v>30</v>
      </c>
      <c r="I1827">
        <v>1</v>
      </c>
      <c r="J1827" s="15"/>
      <c r="K1827" s="16">
        <f>16216.09 - (16216.09 * $E$1)</f>
        <v>16216.09</v>
      </c>
      <c r="L1827" s="16">
        <f>13291.88 - (13291.88 * $E$1)</f>
        <v>13291.88</v>
      </c>
      <c r="M1827" s="1">
        <v>16216.09</v>
      </c>
      <c r="N1827" s="1">
        <v>13291.88</v>
      </c>
      <c r="O1827" s="1">
        <v>13783.68</v>
      </c>
      <c r="P1827" s="1">
        <v>11298.1</v>
      </c>
      <c r="Q1827">
        <v>2.2000000000000002</v>
      </c>
      <c r="R1827">
        <v>2.928E-2</v>
      </c>
    </row>
    <row r="1828" spans="1:18" ht="13.8" outlineLevel="2" x14ac:dyDescent="0.25">
      <c r="A1828">
        <v>88132</v>
      </c>
      <c r="B1828" t="s">
        <v>1594</v>
      </c>
      <c r="C1828" t="s">
        <v>2168</v>
      </c>
      <c r="D1828" s="14" t="s">
        <v>2167</v>
      </c>
      <c r="E1828" s="12" t="s">
        <v>28</v>
      </c>
      <c r="F1828" s="13" t="s">
        <v>29</v>
      </c>
      <c r="G1828">
        <v>1</v>
      </c>
      <c r="H1828" t="s">
        <v>30</v>
      </c>
      <c r="I1828">
        <v>1</v>
      </c>
      <c r="J1828" s="15"/>
      <c r="K1828" s="16">
        <f>18099.8 - (18099.8 * $E$1)</f>
        <v>18099.8</v>
      </c>
      <c r="L1828" s="16">
        <f>14835.9 - (14835.9 * $E$1)</f>
        <v>14835.9</v>
      </c>
      <c r="M1828" s="1">
        <v>18099.8</v>
      </c>
      <c r="N1828" s="1">
        <v>14835.9</v>
      </c>
      <c r="O1828" s="1">
        <v>15384.83</v>
      </c>
      <c r="P1828" s="1">
        <v>12610.52</v>
      </c>
      <c r="Q1828">
        <v>2.4</v>
      </c>
      <c r="R1828">
        <v>2.928E-2</v>
      </c>
    </row>
    <row r="1829" spans="1:18" ht="13.8" outlineLevel="2" x14ac:dyDescent="0.25">
      <c r="A1829">
        <v>88133</v>
      </c>
      <c r="B1829" t="s">
        <v>1594</v>
      </c>
      <c r="C1829" t="s">
        <v>2169</v>
      </c>
      <c r="D1829" s="14" t="s">
        <v>2167</v>
      </c>
      <c r="E1829" s="12" t="s">
        <v>28</v>
      </c>
      <c r="F1829" s="13" t="s">
        <v>29</v>
      </c>
      <c r="G1829">
        <v>1</v>
      </c>
      <c r="H1829" t="s">
        <v>30</v>
      </c>
      <c r="I1829">
        <v>1</v>
      </c>
      <c r="J1829" s="15"/>
      <c r="K1829" s="16">
        <f>20228.2 - (20228.2 * $E$1)</f>
        <v>20228.2</v>
      </c>
      <c r="L1829" s="16">
        <f>16580.49 - (16580.49 * $E$1)</f>
        <v>16580.490000000002</v>
      </c>
      <c r="M1829" s="1">
        <v>20228.2</v>
      </c>
      <c r="N1829" s="1">
        <v>16580.490000000002</v>
      </c>
      <c r="O1829" s="1">
        <v>17193.97</v>
      </c>
      <c r="P1829" s="1">
        <v>14093.42</v>
      </c>
      <c r="Q1829">
        <v>3.3</v>
      </c>
      <c r="R1829">
        <v>2.928E-2</v>
      </c>
    </row>
    <row r="1830" spans="1:18" ht="13.8" outlineLevel="2" x14ac:dyDescent="0.25">
      <c r="A1830">
        <v>88134</v>
      </c>
      <c r="B1830" t="s">
        <v>1594</v>
      </c>
      <c r="C1830" t="s">
        <v>2170</v>
      </c>
      <c r="D1830" s="14" t="s">
        <v>2167</v>
      </c>
      <c r="E1830" s="12" t="s">
        <v>28</v>
      </c>
      <c r="F1830" s="13" t="s">
        <v>29</v>
      </c>
      <c r="G1830">
        <v>1</v>
      </c>
      <c r="H1830" t="s">
        <v>30</v>
      </c>
      <c r="I1830">
        <v>1</v>
      </c>
      <c r="J1830" s="15"/>
      <c r="K1830" s="16">
        <f>22570 - (22570 * $E$1)</f>
        <v>22570</v>
      </c>
      <c r="L1830" s="16">
        <f>18500 - (18500 * $E$1)</f>
        <v>18500</v>
      </c>
      <c r="M1830" s="1">
        <v>22570</v>
      </c>
      <c r="N1830" s="1">
        <v>18500</v>
      </c>
      <c r="O1830" s="1">
        <v>19184.5</v>
      </c>
      <c r="P1830" s="1">
        <v>15725</v>
      </c>
      <c r="Q1830">
        <v>3.7</v>
      </c>
      <c r="R1830">
        <v>2.928E-2</v>
      </c>
    </row>
    <row r="1831" spans="1:18" ht="13.8" outlineLevel="2" x14ac:dyDescent="0.25">
      <c r="A1831">
        <v>88135</v>
      </c>
      <c r="B1831" t="s">
        <v>1594</v>
      </c>
      <c r="C1831" t="s">
        <v>2171</v>
      </c>
      <c r="D1831" s="14" t="s">
        <v>2167</v>
      </c>
      <c r="E1831" s="12" t="s">
        <v>28</v>
      </c>
      <c r="F1831" s="13" t="s">
        <v>29</v>
      </c>
      <c r="G1831">
        <v>1</v>
      </c>
      <c r="H1831" t="s">
        <v>30</v>
      </c>
      <c r="I1831">
        <v>1</v>
      </c>
      <c r="J1831" s="15"/>
      <c r="K1831" s="16">
        <f>21620.93 - (21620.93 * $E$1)</f>
        <v>21620.93</v>
      </c>
      <c r="L1831" s="16">
        <f>17722.07 - (17722.07 * $E$1)</f>
        <v>17722.07</v>
      </c>
      <c r="M1831" s="1">
        <v>21620.93</v>
      </c>
      <c r="N1831" s="1">
        <v>17722.07</v>
      </c>
      <c r="O1831" s="1">
        <v>18377.79</v>
      </c>
      <c r="P1831" s="1">
        <v>15063.76</v>
      </c>
      <c r="Q1831">
        <v>3.2</v>
      </c>
      <c r="R1831">
        <v>2.928E-2</v>
      </c>
    </row>
    <row r="1832" spans="1:18" ht="13.8" outlineLevel="2" x14ac:dyDescent="0.25">
      <c r="A1832">
        <v>88136</v>
      </c>
      <c r="B1832" t="s">
        <v>1594</v>
      </c>
      <c r="C1832" t="s">
        <v>2172</v>
      </c>
      <c r="D1832" s="14" t="s">
        <v>2167</v>
      </c>
      <c r="E1832" s="12" t="s">
        <v>28</v>
      </c>
      <c r="F1832" s="13" t="s">
        <v>29</v>
      </c>
      <c r="G1832">
        <v>1</v>
      </c>
      <c r="H1832" t="s">
        <v>30</v>
      </c>
      <c r="I1832">
        <v>1</v>
      </c>
      <c r="J1832" s="15"/>
      <c r="K1832" s="16">
        <f>25440.67 - (25440.67 * $E$1)</f>
        <v>25440.67</v>
      </c>
      <c r="L1832" s="16">
        <f>20853.01 - (20853.01 * $E$1)</f>
        <v>20853.009999999998</v>
      </c>
      <c r="M1832" s="1">
        <v>25440.67</v>
      </c>
      <c r="N1832" s="1">
        <v>20853.009999999998</v>
      </c>
      <c r="O1832" s="1">
        <v>21624.57</v>
      </c>
      <c r="P1832" s="1">
        <v>17725.060000000001</v>
      </c>
      <c r="Q1832">
        <v>4.0999999999999996</v>
      </c>
      <c r="R1832">
        <v>2.928E-2</v>
      </c>
    </row>
    <row r="1833" spans="1:18" ht="13.8" outlineLevel="2" x14ac:dyDescent="0.25">
      <c r="A1833">
        <v>88137</v>
      </c>
      <c r="B1833" t="s">
        <v>1594</v>
      </c>
      <c r="C1833" t="s">
        <v>2173</v>
      </c>
      <c r="D1833" s="14" t="s">
        <v>2167</v>
      </c>
      <c r="E1833" s="12" t="s">
        <v>28</v>
      </c>
      <c r="F1833" s="13" t="s">
        <v>29</v>
      </c>
      <c r="G1833">
        <v>1</v>
      </c>
      <c r="H1833" t="s">
        <v>30</v>
      </c>
      <c r="I1833">
        <v>1</v>
      </c>
      <c r="J1833" s="15"/>
      <c r="K1833" s="16">
        <f>22964.68 - (22964.68 * $E$1)</f>
        <v>22964.68</v>
      </c>
      <c r="L1833" s="16">
        <f>18823.51 - (18823.51 * $E$1)</f>
        <v>18823.509999999998</v>
      </c>
      <c r="M1833" s="1">
        <v>22964.68</v>
      </c>
      <c r="N1833" s="1">
        <v>18823.509999999998</v>
      </c>
      <c r="O1833" s="1">
        <v>19519.98</v>
      </c>
      <c r="P1833" s="1">
        <v>15999.98</v>
      </c>
      <c r="Q1833">
        <v>4</v>
      </c>
      <c r="R1833">
        <v>2.928E-2</v>
      </c>
    </row>
    <row r="1834" spans="1:18" ht="13.8" outlineLevel="2" x14ac:dyDescent="0.25">
      <c r="A1834">
        <v>88138</v>
      </c>
      <c r="B1834" t="s">
        <v>1594</v>
      </c>
      <c r="C1834" t="s">
        <v>2174</v>
      </c>
      <c r="D1834" s="14" t="s">
        <v>2167</v>
      </c>
      <c r="E1834" s="12" t="s">
        <v>28</v>
      </c>
      <c r="F1834" s="13" t="s">
        <v>29</v>
      </c>
      <c r="G1834">
        <v>1</v>
      </c>
      <c r="H1834" t="s">
        <v>30</v>
      </c>
      <c r="I1834">
        <v>1</v>
      </c>
      <c r="J1834" s="15"/>
      <c r="K1834" s="16">
        <f>31345.56 - (31345.56 * $E$1)</f>
        <v>31345.56</v>
      </c>
      <c r="L1834" s="16">
        <f>25693.08 - (25693.08 * $E$1)</f>
        <v>25693.08</v>
      </c>
      <c r="M1834" s="1">
        <v>31345.56</v>
      </c>
      <c r="N1834" s="1">
        <v>25693.08</v>
      </c>
      <c r="O1834" s="1">
        <v>26643.72</v>
      </c>
      <c r="P1834" s="1">
        <v>21839.119999999999</v>
      </c>
      <c r="Q1834">
        <v>5.3</v>
      </c>
      <c r="R1834">
        <v>2.928E-2</v>
      </c>
    </row>
    <row r="1835" spans="1:18" ht="13.8" outlineLevel="2" x14ac:dyDescent="0.25">
      <c r="A1835">
        <v>88764</v>
      </c>
      <c r="B1835" t="s">
        <v>1594</v>
      </c>
      <c r="C1835" t="s">
        <v>2175</v>
      </c>
      <c r="D1835" s="14" t="s">
        <v>2176</v>
      </c>
      <c r="E1835" s="12" t="s">
        <v>28</v>
      </c>
      <c r="F1835" s="13" t="s">
        <v>29</v>
      </c>
      <c r="G1835">
        <v>1</v>
      </c>
      <c r="H1835" t="s">
        <v>30</v>
      </c>
      <c r="I1835">
        <v>1</v>
      </c>
      <c r="J1835" s="15"/>
      <c r="K1835" s="16">
        <f>12243.65 - (12243.65 * $E$1)</f>
        <v>12243.65</v>
      </c>
      <c r="L1835" s="16">
        <f>10035.78 - (10035.78 * $E$1)</f>
        <v>10035.780000000001</v>
      </c>
      <c r="M1835" s="1">
        <v>12243.65</v>
      </c>
      <c r="N1835" s="1">
        <v>10035.780000000001</v>
      </c>
      <c r="O1835" s="1">
        <v>10407.1</v>
      </c>
      <c r="P1835" s="1">
        <v>8530.41</v>
      </c>
      <c r="Q1835">
        <v>4.5999999999999996</v>
      </c>
      <c r="R1835">
        <v>2.928E-2</v>
      </c>
    </row>
    <row r="1836" spans="1:18" ht="13.8" outlineLevel="2" x14ac:dyDescent="0.25">
      <c r="A1836">
        <v>88765</v>
      </c>
      <c r="B1836" t="s">
        <v>1594</v>
      </c>
      <c r="C1836" t="s">
        <v>2177</v>
      </c>
      <c r="D1836" s="14" t="s">
        <v>2176</v>
      </c>
      <c r="E1836" s="12" t="s">
        <v>28</v>
      </c>
      <c r="F1836" s="13" t="s">
        <v>29</v>
      </c>
      <c r="G1836">
        <v>1</v>
      </c>
      <c r="H1836" t="s">
        <v>30</v>
      </c>
      <c r="I1836">
        <v>1</v>
      </c>
      <c r="J1836" s="15"/>
      <c r="K1836" s="16">
        <f>11797.03 - (11797.03 * $E$1)</f>
        <v>11797.03</v>
      </c>
      <c r="L1836" s="16">
        <f>9669.7 - (9669.7 * $E$1)</f>
        <v>9669.7000000000007</v>
      </c>
      <c r="M1836" s="1">
        <v>11797.03</v>
      </c>
      <c r="N1836" s="1">
        <v>9669.7000000000007</v>
      </c>
      <c r="O1836" s="1">
        <v>10027.48</v>
      </c>
      <c r="P1836" s="1">
        <v>8219.25</v>
      </c>
      <c r="Q1836">
        <v>4.7</v>
      </c>
      <c r="R1836">
        <v>2.928E-2</v>
      </c>
    </row>
    <row r="1837" spans="1:18" ht="13.8" outlineLevel="2" x14ac:dyDescent="0.25">
      <c r="A1837">
        <v>88766</v>
      </c>
      <c r="B1837" t="s">
        <v>1594</v>
      </c>
      <c r="C1837" t="s">
        <v>2178</v>
      </c>
      <c r="D1837" s="14" t="s">
        <v>2176</v>
      </c>
      <c r="E1837" s="12" t="s">
        <v>28</v>
      </c>
      <c r="F1837" s="13" t="s">
        <v>29</v>
      </c>
      <c r="G1837">
        <v>1</v>
      </c>
      <c r="H1837" t="s">
        <v>30</v>
      </c>
      <c r="I1837">
        <v>1</v>
      </c>
      <c r="J1837" s="15"/>
      <c r="K1837" s="16">
        <f>13173.57 - (13173.57 * $E$1)</f>
        <v>13173.57</v>
      </c>
      <c r="L1837" s="16">
        <f>10798.01 - (10798.01 * $E$1)</f>
        <v>10798.01</v>
      </c>
      <c r="M1837" s="1">
        <v>13173.57</v>
      </c>
      <c r="N1837" s="1">
        <v>10798.01</v>
      </c>
      <c r="O1837" s="1">
        <v>11197.54</v>
      </c>
      <c r="P1837" s="1">
        <v>9178.31</v>
      </c>
      <c r="Q1837">
        <v>5</v>
      </c>
      <c r="R1837">
        <v>2.928E-2</v>
      </c>
    </row>
    <row r="1838" spans="1:18" ht="13.8" outlineLevel="2" x14ac:dyDescent="0.25">
      <c r="A1838">
        <v>88767</v>
      </c>
      <c r="B1838" t="s">
        <v>1594</v>
      </c>
      <c r="C1838" t="s">
        <v>2179</v>
      </c>
      <c r="D1838" s="14" t="s">
        <v>2176</v>
      </c>
      <c r="E1838" s="12" t="s">
        <v>28</v>
      </c>
      <c r="F1838" s="13" t="s">
        <v>29</v>
      </c>
      <c r="G1838">
        <v>1</v>
      </c>
      <c r="H1838" t="s">
        <v>30</v>
      </c>
      <c r="I1838">
        <v>1</v>
      </c>
      <c r="J1838" s="15"/>
      <c r="K1838" s="16">
        <f>14575.61 - (14575.61 * $E$1)</f>
        <v>14575.61</v>
      </c>
      <c r="L1838" s="16">
        <f>11947.22 - (11947.22 * $E$1)</f>
        <v>11947.22</v>
      </c>
      <c r="M1838" s="1">
        <v>14575.61</v>
      </c>
      <c r="N1838" s="1">
        <v>11947.22</v>
      </c>
      <c r="O1838" s="1">
        <v>12389.27</v>
      </c>
      <c r="P1838" s="1">
        <v>10155.14</v>
      </c>
      <c r="Q1838">
        <v>5.3</v>
      </c>
      <c r="R1838">
        <v>2.928E-2</v>
      </c>
    </row>
    <row r="1839" spans="1:18" ht="13.8" outlineLevel="2" x14ac:dyDescent="0.25">
      <c r="A1839">
        <v>88768</v>
      </c>
      <c r="B1839" t="s">
        <v>1594</v>
      </c>
      <c r="C1839" t="s">
        <v>2180</v>
      </c>
      <c r="D1839" s="14" t="s">
        <v>2176</v>
      </c>
      <c r="E1839" s="12" t="s">
        <v>28</v>
      </c>
      <c r="F1839" s="13" t="s">
        <v>29</v>
      </c>
      <c r="G1839">
        <v>1</v>
      </c>
      <c r="H1839" t="s">
        <v>30</v>
      </c>
      <c r="I1839">
        <v>1</v>
      </c>
      <c r="J1839" s="15"/>
      <c r="K1839" s="16">
        <f>15100.81 - (15100.81 * $E$1)</f>
        <v>15100.81</v>
      </c>
      <c r="L1839" s="16">
        <f>12377.71 - (12377.71 * $E$1)</f>
        <v>12377.71</v>
      </c>
      <c r="M1839" s="1">
        <v>15100.81</v>
      </c>
      <c r="N1839" s="1">
        <v>12377.71</v>
      </c>
      <c r="O1839" s="1">
        <v>12835.69</v>
      </c>
      <c r="P1839" s="1">
        <v>10521.05</v>
      </c>
      <c r="Q1839">
        <v>5.4</v>
      </c>
      <c r="R1839">
        <v>2.928E-2</v>
      </c>
    </row>
    <row r="1840" spans="1:18" ht="13.8" outlineLevel="2" x14ac:dyDescent="0.25">
      <c r="A1840">
        <v>88769</v>
      </c>
      <c r="B1840" t="s">
        <v>1594</v>
      </c>
      <c r="C1840" t="s">
        <v>2181</v>
      </c>
      <c r="D1840" s="14" t="s">
        <v>2176</v>
      </c>
      <c r="E1840" s="12" t="s">
        <v>28</v>
      </c>
      <c r="F1840" s="13" t="s">
        <v>29</v>
      </c>
      <c r="G1840">
        <v>1</v>
      </c>
      <c r="H1840" t="s">
        <v>30</v>
      </c>
      <c r="I1840">
        <v>1</v>
      </c>
      <c r="J1840" s="15"/>
      <c r="K1840" s="16">
        <f>17366.47 - (17366.47 * $E$1)</f>
        <v>17366.47</v>
      </c>
      <c r="L1840" s="16">
        <f>14234.81 - (14234.81 * $E$1)</f>
        <v>14234.81</v>
      </c>
      <c r="M1840" s="1">
        <v>17366.47</v>
      </c>
      <c r="N1840" s="1">
        <v>14234.81</v>
      </c>
      <c r="O1840" s="1">
        <v>14761.5</v>
      </c>
      <c r="P1840" s="1">
        <v>12099.59</v>
      </c>
      <c r="Q1840">
        <v>6.3</v>
      </c>
      <c r="R1840">
        <v>2.928E-2</v>
      </c>
    </row>
    <row r="1841" spans="1:18" ht="13.8" outlineLevel="2" x14ac:dyDescent="0.25">
      <c r="A1841">
        <v>52646</v>
      </c>
      <c r="B1841" t="s">
        <v>1594</v>
      </c>
      <c r="C1841" t="s">
        <v>2182</v>
      </c>
      <c r="D1841" s="14" t="s">
        <v>2183</v>
      </c>
      <c r="E1841" s="12" t="s">
        <v>28</v>
      </c>
      <c r="F1841" s="13" t="s">
        <v>29</v>
      </c>
      <c r="G1841">
        <v>1</v>
      </c>
      <c r="H1841" t="s">
        <v>30</v>
      </c>
      <c r="I1841">
        <v>1</v>
      </c>
      <c r="J1841" s="15"/>
      <c r="K1841" s="16">
        <f>11671.52 - (11671.52 * $E$1)</f>
        <v>11671.52</v>
      </c>
      <c r="L1841" s="16">
        <f>9566.82 - (9566.82 * $E$1)</f>
        <v>9566.82</v>
      </c>
      <c r="M1841" s="1">
        <v>11671.52</v>
      </c>
      <c r="N1841" s="1">
        <v>9566.82</v>
      </c>
      <c r="O1841" s="1">
        <v>9920.7900000000009</v>
      </c>
      <c r="P1841" s="1">
        <v>8131.8</v>
      </c>
      <c r="Q1841">
        <v>4.4000000000000004</v>
      </c>
      <c r="R1841">
        <v>2.928E-2</v>
      </c>
    </row>
    <row r="1842" spans="1:18" ht="13.8" outlineLevel="2" x14ac:dyDescent="0.25">
      <c r="A1842">
        <v>52648</v>
      </c>
      <c r="B1842" t="s">
        <v>1594</v>
      </c>
      <c r="C1842" t="s">
        <v>2184</v>
      </c>
      <c r="D1842" s="14" t="s">
        <v>2183</v>
      </c>
      <c r="E1842" s="12" t="s">
        <v>28</v>
      </c>
      <c r="F1842" s="13" t="s">
        <v>29</v>
      </c>
      <c r="G1842">
        <v>1</v>
      </c>
      <c r="H1842" t="s">
        <v>30</v>
      </c>
      <c r="I1842">
        <v>1</v>
      </c>
      <c r="J1842" s="15"/>
      <c r="K1842" s="16">
        <f>12666.89 - (12666.89 * $E$1)</f>
        <v>12666.89</v>
      </c>
      <c r="L1842" s="16">
        <f>10382.7 - (10382.7 * $E$1)</f>
        <v>10382.700000000001</v>
      </c>
      <c r="M1842" s="1">
        <v>12666.89</v>
      </c>
      <c r="N1842" s="1">
        <v>10382.700000000001</v>
      </c>
      <c r="O1842" s="1">
        <v>10766.86</v>
      </c>
      <c r="P1842" s="1">
        <v>8825.2999999999993</v>
      </c>
      <c r="Q1842">
        <v>4.9000000000000004</v>
      </c>
      <c r="R1842">
        <v>3.3487000000000003E-2</v>
      </c>
    </row>
    <row r="1843" spans="1:18" ht="13.8" outlineLevel="2" x14ac:dyDescent="0.25">
      <c r="A1843">
        <v>52649</v>
      </c>
      <c r="B1843" t="s">
        <v>1594</v>
      </c>
      <c r="C1843" t="s">
        <v>2185</v>
      </c>
      <c r="D1843" s="14" t="s">
        <v>2183</v>
      </c>
      <c r="E1843" s="12" t="s">
        <v>28</v>
      </c>
      <c r="F1843" s="13" t="s">
        <v>29</v>
      </c>
      <c r="G1843">
        <v>1</v>
      </c>
      <c r="H1843" t="s">
        <v>30</v>
      </c>
      <c r="I1843">
        <v>1</v>
      </c>
      <c r="J1843" s="15"/>
      <c r="K1843" s="16">
        <f>14381.73 - (14381.73 * $E$1)</f>
        <v>14381.73</v>
      </c>
      <c r="L1843" s="16">
        <f>11788.3 - (11788.3 * $E$1)</f>
        <v>11788.3</v>
      </c>
      <c r="M1843" s="1">
        <v>14381.73</v>
      </c>
      <c r="N1843" s="1">
        <v>11788.3</v>
      </c>
      <c r="O1843" s="1">
        <v>12224.47</v>
      </c>
      <c r="P1843" s="1">
        <v>10020.06</v>
      </c>
      <c r="Q1843">
        <v>5.9</v>
      </c>
      <c r="R1843">
        <v>2.928E-2</v>
      </c>
    </row>
    <row r="1844" spans="1:18" ht="13.8" outlineLevel="2" x14ac:dyDescent="0.25">
      <c r="A1844">
        <v>52832</v>
      </c>
      <c r="B1844" t="s">
        <v>1594</v>
      </c>
      <c r="C1844" t="s">
        <v>2186</v>
      </c>
      <c r="D1844" s="14" t="s">
        <v>2183</v>
      </c>
      <c r="E1844" s="12" t="s">
        <v>28</v>
      </c>
      <c r="F1844" s="13" t="s">
        <v>29</v>
      </c>
      <c r="G1844">
        <v>1</v>
      </c>
      <c r="H1844" t="s">
        <v>30</v>
      </c>
      <c r="I1844">
        <v>1</v>
      </c>
      <c r="J1844" s="15"/>
      <c r="K1844" s="16">
        <f>11207.18 - (11207.18 * $E$1)</f>
        <v>11207.18</v>
      </c>
      <c r="L1844" s="16">
        <f>9186.21 - (9186.21 * $E$1)</f>
        <v>9186.2099999999991</v>
      </c>
      <c r="M1844" s="1">
        <v>11207.18</v>
      </c>
      <c r="N1844" s="1">
        <v>9186.2099999999991</v>
      </c>
      <c r="O1844" s="1">
        <v>9526.1</v>
      </c>
      <c r="P1844" s="1">
        <v>7808.28</v>
      </c>
      <c r="Q1844">
        <v>4.2</v>
      </c>
      <c r="R1844">
        <v>3.3183999999999998E-2</v>
      </c>
    </row>
    <row r="1845" spans="1:18" ht="13.8" outlineLevel="2" x14ac:dyDescent="0.25">
      <c r="A1845">
        <v>52834</v>
      </c>
      <c r="B1845" t="s">
        <v>1594</v>
      </c>
      <c r="C1845" t="s">
        <v>2187</v>
      </c>
      <c r="D1845" s="14" t="s">
        <v>2183</v>
      </c>
      <c r="E1845" s="12" t="s">
        <v>28</v>
      </c>
      <c r="F1845" s="13" t="s">
        <v>29</v>
      </c>
      <c r="G1845">
        <v>1</v>
      </c>
      <c r="H1845" t="s">
        <v>30</v>
      </c>
      <c r="I1845">
        <v>1</v>
      </c>
      <c r="J1845" s="15"/>
      <c r="K1845" s="16">
        <f>14015.01 - (14015.01 * $E$1)</f>
        <v>14015.01</v>
      </c>
      <c r="L1845" s="16">
        <f>11487.71 - (11487.71 * $E$1)</f>
        <v>11487.71</v>
      </c>
      <c r="M1845" s="1">
        <v>14015.01</v>
      </c>
      <c r="N1845" s="1">
        <v>11487.71</v>
      </c>
      <c r="O1845" s="1">
        <v>11912.76</v>
      </c>
      <c r="P1845" s="1">
        <v>9764.5499999999993</v>
      </c>
      <c r="Q1845">
        <v>4.9000000000000004</v>
      </c>
      <c r="R1845">
        <v>3.3183999999999998E-2</v>
      </c>
    </row>
    <row r="1846" spans="1:18" ht="13.8" outlineLevel="2" x14ac:dyDescent="0.25">
      <c r="A1846">
        <v>52833</v>
      </c>
      <c r="B1846" t="s">
        <v>1594</v>
      </c>
      <c r="C1846" t="s">
        <v>2188</v>
      </c>
      <c r="D1846" s="14" t="s">
        <v>2183</v>
      </c>
      <c r="E1846" s="12" t="s">
        <v>28</v>
      </c>
      <c r="F1846" s="13" t="s">
        <v>29</v>
      </c>
      <c r="G1846">
        <v>1</v>
      </c>
      <c r="H1846" t="s">
        <v>30</v>
      </c>
      <c r="I1846">
        <v>1</v>
      </c>
      <c r="J1846" s="15"/>
      <c r="K1846" s="16">
        <f>16539.49 - (16539.49 * $E$1)</f>
        <v>16539.490000000002</v>
      </c>
      <c r="L1846" s="16">
        <f>13556.96 - (13556.96 * $E$1)</f>
        <v>13556.96</v>
      </c>
      <c r="M1846" s="1">
        <v>16539.490000000002</v>
      </c>
      <c r="N1846" s="1">
        <v>13556.96</v>
      </c>
      <c r="O1846" s="1">
        <v>14058.57</v>
      </c>
      <c r="P1846" s="1">
        <v>11523.42</v>
      </c>
      <c r="Q1846">
        <v>6.4</v>
      </c>
      <c r="R1846">
        <v>2.928E-2</v>
      </c>
    </row>
    <row r="1847" spans="1:18" ht="13.8" outlineLevel="2" x14ac:dyDescent="0.25">
      <c r="A1847">
        <v>77493</v>
      </c>
      <c r="B1847" t="s">
        <v>2189</v>
      </c>
      <c r="C1847" t="s">
        <v>2190</v>
      </c>
      <c r="D1847" s="14" t="s">
        <v>2191</v>
      </c>
      <c r="E1847" s="12" t="s">
        <v>28</v>
      </c>
      <c r="F1847" s="13" t="s">
        <v>29</v>
      </c>
      <c r="G1847">
        <v>1</v>
      </c>
      <c r="H1847" t="s">
        <v>30</v>
      </c>
      <c r="I1847">
        <v>1</v>
      </c>
      <c r="J1847" s="15"/>
      <c r="K1847" s="16">
        <f>23185.8 - (23185.8 * $E$1)</f>
        <v>23185.8</v>
      </c>
      <c r="L1847" s="16">
        <f>19004.75 - (19004.75 * $E$1)</f>
        <v>19004.75</v>
      </c>
      <c r="M1847" s="1">
        <v>23185.8</v>
      </c>
      <c r="N1847" s="1">
        <v>19004.75</v>
      </c>
      <c r="O1847" s="1">
        <v>19707.93</v>
      </c>
      <c r="P1847" s="1">
        <v>16154.04</v>
      </c>
      <c r="Q1847">
        <v>6.1</v>
      </c>
      <c r="R1847">
        <v>2.928E-2</v>
      </c>
    </row>
    <row r="1848" spans="1:18" ht="13.8" outlineLevel="2" x14ac:dyDescent="0.25">
      <c r="A1848">
        <v>77494</v>
      </c>
      <c r="B1848" t="s">
        <v>2189</v>
      </c>
      <c r="C1848" t="s">
        <v>2192</v>
      </c>
      <c r="D1848" s="14" t="s">
        <v>2191</v>
      </c>
      <c r="E1848" s="12" t="s">
        <v>28</v>
      </c>
      <c r="F1848" s="13" t="s">
        <v>29</v>
      </c>
      <c r="G1848">
        <v>1</v>
      </c>
      <c r="H1848" t="s">
        <v>30</v>
      </c>
      <c r="I1848">
        <v>1</v>
      </c>
      <c r="J1848" s="15"/>
      <c r="K1848" s="16">
        <f>24677.54 - (24677.54 * $E$1)</f>
        <v>24677.54</v>
      </c>
      <c r="L1848" s="16">
        <f>20227.49 - (20227.49 * $E$1)</f>
        <v>20227.490000000002</v>
      </c>
      <c r="M1848" s="1">
        <v>24677.54</v>
      </c>
      <c r="N1848" s="1">
        <v>20227.490000000002</v>
      </c>
      <c r="O1848" s="1">
        <v>20975.91</v>
      </c>
      <c r="P1848" s="1">
        <v>17193.37</v>
      </c>
      <c r="Q1848">
        <v>6.5</v>
      </c>
      <c r="R1848">
        <v>2.928E-2</v>
      </c>
    </row>
    <row r="1849" spans="1:18" ht="13.8" outlineLevel="2" x14ac:dyDescent="0.25">
      <c r="A1849">
        <v>77495</v>
      </c>
      <c r="B1849" t="s">
        <v>2189</v>
      </c>
      <c r="C1849" t="s">
        <v>2193</v>
      </c>
      <c r="D1849" s="14" t="s">
        <v>2191</v>
      </c>
      <c r="E1849" s="12" t="s">
        <v>28</v>
      </c>
      <c r="F1849" s="13" t="s">
        <v>29</v>
      </c>
      <c r="G1849">
        <v>1</v>
      </c>
      <c r="H1849" t="s">
        <v>30</v>
      </c>
      <c r="I1849">
        <v>1</v>
      </c>
      <c r="J1849" s="15"/>
      <c r="K1849" s="16">
        <f>28833.25 - (28833.25 * $E$1)</f>
        <v>28833.25</v>
      </c>
      <c r="L1849" s="16">
        <f>23633.81 - (23633.81 * $E$1)</f>
        <v>23633.81</v>
      </c>
      <c r="M1849" s="1">
        <v>28833.25</v>
      </c>
      <c r="N1849" s="1">
        <v>23633.81</v>
      </c>
      <c r="O1849" s="1">
        <v>24508.26</v>
      </c>
      <c r="P1849" s="1">
        <v>20088.740000000002</v>
      </c>
      <c r="Q1849">
        <v>8.4</v>
      </c>
      <c r="R1849">
        <v>2.928E-2</v>
      </c>
    </row>
    <row r="1850" spans="1:18" ht="13.8" outlineLevel="2" x14ac:dyDescent="0.25">
      <c r="A1850">
        <v>73705</v>
      </c>
      <c r="B1850" t="s">
        <v>2027</v>
      </c>
      <c r="C1850" t="s">
        <v>2194</v>
      </c>
      <c r="D1850" s="14" t="s">
        <v>2195</v>
      </c>
      <c r="E1850" s="12" t="s">
        <v>28</v>
      </c>
      <c r="F1850" s="13" t="s">
        <v>29</v>
      </c>
      <c r="G1850">
        <v>1</v>
      </c>
      <c r="H1850" t="s">
        <v>30</v>
      </c>
      <c r="I1850">
        <v>1</v>
      </c>
      <c r="J1850" s="15"/>
      <c r="K1850" s="16">
        <f>26485.77 - (26485.77 * $E$1)</f>
        <v>26485.77</v>
      </c>
      <c r="L1850" s="16">
        <f>21709.65 - (21709.65 * $E$1)</f>
        <v>21709.65</v>
      </c>
      <c r="M1850" s="1">
        <v>26485.77</v>
      </c>
      <c r="N1850" s="1">
        <v>21709.65</v>
      </c>
      <c r="O1850" s="1">
        <v>22512.91</v>
      </c>
      <c r="P1850" s="1">
        <v>18453.2</v>
      </c>
      <c r="Q1850">
        <v>5.3</v>
      </c>
      <c r="R1850">
        <v>2.928E-2</v>
      </c>
    </row>
    <row r="1851" spans="1:18" ht="13.8" outlineLevel="2" x14ac:dyDescent="0.25">
      <c r="A1851">
        <v>73706</v>
      </c>
      <c r="B1851" t="s">
        <v>2027</v>
      </c>
      <c r="C1851" t="s">
        <v>2196</v>
      </c>
      <c r="D1851" s="14" t="s">
        <v>2195</v>
      </c>
      <c r="E1851" s="12" t="s">
        <v>28</v>
      </c>
      <c r="F1851" s="13" t="s">
        <v>29</v>
      </c>
      <c r="G1851">
        <v>1</v>
      </c>
      <c r="H1851" t="s">
        <v>30</v>
      </c>
      <c r="I1851">
        <v>1</v>
      </c>
      <c r="J1851" s="15"/>
      <c r="K1851" s="16">
        <f>35295.08 - (35295.08 * $E$1)</f>
        <v>35295.08</v>
      </c>
      <c r="L1851" s="16">
        <f>28930.39 - (28930.39 * $E$1)</f>
        <v>28930.39</v>
      </c>
      <c r="M1851" s="1">
        <v>35295.08</v>
      </c>
      <c r="N1851" s="1">
        <v>28930.39</v>
      </c>
      <c r="O1851" s="1">
        <v>30000.81</v>
      </c>
      <c r="P1851" s="1">
        <v>24590.83</v>
      </c>
      <c r="Q1851">
        <v>7</v>
      </c>
      <c r="R1851">
        <v>2.928E-2</v>
      </c>
    </row>
    <row r="1852" spans="1:18" ht="13.8" outlineLevel="2" x14ac:dyDescent="0.25">
      <c r="A1852">
        <v>74017</v>
      </c>
      <c r="B1852" t="s">
        <v>2027</v>
      </c>
      <c r="C1852" t="s">
        <v>2197</v>
      </c>
      <c r="D1852" s="14" t="s">
        <v>2198</v>
      </c>
      <c r="E1852" s="12" t="s">
        <v>28</v>
      </c>
      <c r="F1852" s="13" t="s">
        <v>29</v>
      </c>
      <c r="G1852">
        <v>1</v>
      </c>
      <c r="H1852" t="s">
        <v>30</v>
      </c>
      <c r="I1852">
        <v>1</v>
      </c>
      <c r="J1852" s="15"/>
      <c r="K1852" s="16">
        <f>20762.83 - (20762.83 * $E$1)</f>
        <v>20762.830000000002</v>
      </c>
      <c r="L1852" s="16">
        <f>17018.71 - (17018.71 * $E$1)</f>
        <v>17018.71</v>
      </c>
      <c r="M1852" s="1">
        <v>20762.830000000002</v>
      </c>
      <c r="N1852" s="1">
        <v>17018.71</v>
      </c>
      <c r="O1852" s="1">
        <v>17648.400000000001</v>
      </c>
      <c r="P1852" s="1">
        <v>14465.9</v>
      </c>
      <c r="Q1852">
        <v>4.17</v>
      </c>
      <c r="R1852">
        <v>2.928E-2</v>
      </c>
    </row>
    <row r="1853" spans="1:18" ht="13.8" outlineLevel="2" x14ac:dyDescent="0.25">
      <c r="A1853">
        <v>74018</v>
      </c>
      <c r="B1853" t="s">
        <v>2027</v>
      </c>
      <c r="C1853" t="s">
        <v>2199</v>
      </c>
      <c r="D1853" s="14" t="s">
        <v>2198</v>
      </c>
      <c r="E1853" s="12" t="s">
        <v>28</v>
      </c>
      <c r="F1853" s="13" t="s">
        <v>29</v>
      </c>
      <c r="G1853">
        <v>1</v>
      </c>
      <c r="H1853" t="s">
        <v>30</v>
      </c>
      <c r="I1853">
        <v>1</v>
      </c>
      <c r="J1853" s="15"/>
      <c r="K1853" s="16">
        <f>21983.01 - (21983.01 * $E$1)</f>
        <v>21983.01</v>
      </c>
      <c r="L1853" s="16">
        <f>18018.86 - (18018.86 * $E$1)</f>
        <v>18018.86</v>
      </c>
      <c r="M1853" s="1">
        <v>21983.01</v>
      </c>
      <c r="N1853" s="1">
        <v>18018.86</v>
      </c>
      <c r="O1853" s="1">
        <v>18685.560000000001</v>
      </c>
      <c r="P1853" s="1">
        <v>15316.03</v>
      </c>
      <c r="Q1853">
        <v>4.6399999999999997</v>
      </c>
      <c r="R1853">
        <v>2.928E-2</v>
      </c>
    </row>
    <row r="1854" spans="1:18" ht="13.8" outlineLevel="2" x14ac:dyDescent="0.25">
      <c r="A1854">
        <v>74019</v>
      </c>
      <c r="B1854" t="s">
        <v>2027</v>
      </c>
      <c r="C1854" t="s">
        <v>2200</v>
      </c>
      <c r="D1854" s="14" t="s">
        <v>2198</v>
      </c>
      <c r="E1854" s="12" t="s">
        <v>28</v>
      </c>
      <c r="F1854" s="13" t="s">
        <v>29</v>
      </c>
      <c r="G1854">
        <v>1</v>
      </c>
      <c r="H1854" t="s">
        <v>30</v>
      </c>
      <c r="I1854">
        <v>1</v>
      </c>
      <c r="J1854" s="15"/>
      <c r="K1854" s="16">
        <f>29295.27 - (29295.27 * $E$1)</f>
        <v>29295.27</v>
      </c>
      <c r="L1854" s="16">
        <f>24012.52 - (24012.52 * $E$1)</f>
        <v>24012.52</v>
      </c>
      <c r="M1854" s="1">
        <v>29295.27</v>
      </c>
      <c r="N1854" s="1">
        <v>24012.52</v>
      </c>
      <c r="O1854" s="1">
        <v>24900.98</v>
      </c>
      <c r="P1854" s="1">
        <v>20410.64</v>
      </c>
      <c r="Q1854">
        <v>6.25</v>
      </c>
      <c r="R1854">
        <v>2.928E-2</v>
      </c>
    </row>
    <row r="1855" spans="1:18" ht="16.5" customHeight="1" outlineLevel="1" x14ac:dyDescent="0.35">
      <c r="A1855" s="9"/>
      <c r="B1855" s="10" t="s">
        <v>2201</v>
      </c>
      <c r="C1855" s="10"/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1"/>
    </row>
    <row r="1856" spans="1:18" ht="13.8" outlineLevel="2" x14ac:dyDescent="0.25">
      <c r="A1856">
        <v>63984</v>
      </c>
      <c r="B1856" t="s">
        <v>1524</v>
      </c>
      <c r="C1856" t="s">
        <v>2202</v>
      </c>
      <c r="D1856" s="14" t="s">
        <v>2203</v>
      </c>
      <c r="E1856" s="12" t="s">
        <v>28</v>
      </c>
      <c r="F1856" s="13" t="s">
        <v>29</v>
      </c>
      <c r="G1856">
        <v>1</v>
      </c>
      <c r="H1856" t="s">
        <v>30</v>
      </c>
      <c r="I1856">
        <v>1</v>
      </c>
      <c r="J1856" s="15"/>
      <c r="K1856" s="16">
        <f>4394.04 - (4394.04 * $E$1)</f>
        <v>4394.04</v>
      </c>
      <c r="L1856" s="16">
        <f>3601.67 - (3601.67 * $E$1)</f>
        <v>3601.67</v>
      </c>
      <c r="M1856" s="1">
        <v>4394.04</v>
      </c>
      <c r="N1856" s="1">
        <v>3601.67</v>
      </c>
      <c r="O1856" s="1">
        <v>3734.93</v>
      </c>
      <c r="P1856" s="1">
        <v>3061.42</v>
      </c>
      <c r="Q1856">
        <v>0.6</v>
      </c>
      <c r="R1856">
        <v>6.4799999999999996E-3</v>
      </c>
    </row>
    <row r="1857" spans="1:18" ht="13.8" outlineLevel="2" x14ac:dyDescent="0.25">
      <c r="A1857">
        <v>63985</v>
      </c>
      <c r="B1857" t="s">
        <v>1524</v>
      </c>
      <c r="C1857" t="s">
        <v>2204</v>
      </c>
      <c r="D1857" s="14" t="s">
        <v>2203</v>
      </c>
      <c r="E1857" s="12" t="s">
        <v>28</v>
      </c>
      <c r="F1857" s="13" t="s">
        <v>29</v>
      </c>
      <c r="G1857">
        <v>1</v>
      </c>
      <c r="H1857" t="s">
        <v>30</v>
      </c>
      <c r="I1857">
        <v>1</v>
      </c>
      <c r="J1857" s="15"/>
      <c r="K1857" s="16">
        <f>5796.23 - (5796.23 * $E$1)</f>
        <v>5796.23</v>
      </c>
      <c r="L1857" s="16">
        <f>4751.01 - (4751.01 * $E$1)</f>
        <v>4751.01</v>
      </c>
      <c r="M1857" s="1">
        <v>5796.23</v>
      </c>
      <c r="N1857" s="1">
        <v>4751.01</v>
      </c>
      <c r="O1857" s="1">
        <v>4926.8</v>
      </c>
      <c r="P1857" s="1">
        <v>4038.36</v>
      </c>
      <c r="Q1857">
        <v>1.1000000000000001</v>
      </c>
      <c r="R1857">
        <v>6.4799999999999996E-3</v>
      </c>
    </row>
    <row r="1858" spans="1:18" ht="13.8" outlineLevel="2" x14ac:dyDescent="0.25">
      <c r="A1858">
        <v>63986</v>
      </c>
      <c r="B1858" t="s">
        <v>1524</v>
      </c>
      <c r="C1858" t="s">
        <v>2205</v>
      </c>
      <c r="D1858" s="14" t="s">
        <v>2203</v>
      </c>
      <c r="E1858" s="12" t="s">
        <v>28</v>
      </c>
      <c r="F1858" s="13" t="s">
        <v>29</v>
      </c>
      <c r="G1858">
        <v>1</v>
      </c>
      <c r="H1858" t="s">
        <v>30</v>
      </c>
      <c r="I1858">
        <v>1</v>
      </c>
      <c r="J1858" s="15"/>
      <c r="K1858" s="16">
        <f>7240.92 - (7240.92 * $E$1)</f>
        <v>7240.92</v>
      </c>
      <c r="L1858" s="16">
        <f>5935.18 - (5935.18 * $E$1)</f>
        <v>5935.18</v>
      </c>
      <c r="M1858" s="1">
        <v>7240.92</v>
      </c>
      <c r="N1858" s="1">
        <v>5935.18</v>
      </c>
      <c r="O1858" s="1">
        <v>6154.78</v>
      </c>
      <c r="P1858" s="1">
        <v>5044.8999999999996</v>
      </c>
      <c r="Q1858">
        <v>1.3</v>
      </c>
      <c r="R1858">
        <v>6.4799999999999996E-3</v>
      </c>
    </row>
    <row r="1859" spans="1:18" ht="13.8" outlineLevel="2" x14ac:dyDescent="0.25">
      <c r="A1859">
        <v>90349</v>
      </c>
      <c r="B1859" t="s">
        <v>1524</v>
      </c>
      <c r="C1859" t="s">
        <v>2206</v>
      </c>
      <c r="D1859" s="14" t="s">
        <v>2203</v>
      </c>
      <c r="E1859" s="12" t="s">
        <v>28</v>
      </c>
      <c r="F1859" s="13" t="s">
        <v>29</v>
      </c>
      <c r="G1859">
        <v>1</v>
      </c>
      <c r="H1859" t="s">
        <v>30</v>
      </c>
      <c r="I1859">
        <v>1</v>
      </c>
      <c r="J1859" s="15"/>
      <c r="K1859" s="16">
        <f>10054.97 - (10054.97 * $E$1)</f>
        <v>10054.969999999999</v>
      </c>
      <c r="L1859" s="16">
        <f>8241.78 - (8241.78 * $E$1)</f>
        <v>8241.7800000000007</v>
      </c>
      <c r="M1859" s="1">
        <v>10054.969999999999</v>
      </c>
      <c r="N1859" s="1">
        <v>8241.7800000000007</v>
      </c>
      <c r="O1859" s="1">
        <v>8546.73</v>
      </c>
      <c r="P1859" s="1">
        <v>7005.51</v>
      </c>
      <c r="Q1859">
        <v>1.3</v>
      </c>
      <c r="R1859">
        <v>6.4799999999999996E-3</v>
      </c>
    </row>
    <row r="1860" spans="1:18" ht="13.8" outlineLevel="2" x14ac:dyDescent="0.25">
      <c r="A1860">
        <v>63987</v>
      </c>
      <c r="B1860" t="s">
        <v>1524</v>
      </c>
      <c r="C1860" t="s">
        <v>2207</v>
      </c>
      <c r="D1860" s="14" t="s">
        <v>2208</v>
      </c>
      <c r="E1860" s="12" t="s">
        <v>28</v>
      </c>
      <c r="F1860" s="13" t="s">
        <v>29</v>
      </c>
      <c r="G1860">
        <v>1</v>
      </c>
      <c r="H1860" t="s">
        <v>30</v>
      </c>
      <c r="I1860">
        <v>1</v>
      </c>
      <c r="J1860" s="15"/>
      <c r="K1860" s="16">
        <f>5091.52 - (5091.52 * $E$1)</f>
        <v>5091.5200000000004</v>
      </c>
      <c r="L1860" s="16">
        <f>4173.38 - (4173.38 * $E$1)</f>
        <v>4173.38</v>
      </c>
      <c r="M1860" s="1">
        <v>5091.5200000000004</v>
      </c>
      <c r="N1860" s="1">
        <v>4173.38</v>
      </c>
      <c r="O1860" s="1">
        <v>4327.8</v>
      </c>
      <c r="P1860" s="1">
        <v>3547.37</v>
      </c>
      <c r="Q1860">
        <v>0.9</v>
      </c>
      <c r="R1860">
        <v>1.704E-2</v>
      </c>
    </row>
    <row r="1861" spans="1:18" ht="13.8" outlineLevel="2" x14ac:dyDescent="0.25">
      <c r="A1861">
        <v>63988</v>
      </c>
      <c r="B1861" t="s">
        <v>1524</v>
      </c>
      <c r="C1861" t="s">
        <v>2209</v>
      </c>
      <c r="D1861" s="14" t="s">
        <v>2208</v>
      </c>
      <c r="E1861" s="12" t="s">
        <v>28</v>
      </c>
      <c r="F1861" s="13" t="s">
        <v>29</v>
      </c>
      <c r="G1861">
        <v>1</v>
      </c>
      <c r="H1861" t="s">
        <v>30</v>
      </c>
      <c r="I1861">
        <v>1</v>
      </c>
      <c r="J1861" s="15"/>
      <c r="K1861" s="16">
        <f>6425.36 - (6425.36 * $E$1)</f>
        <v>6425.36</v>
      </c>
      <c r="L1861" s="16">
        <f>5266.69 - (5266.69 * $E$1)</f>
        <v>5266.69</v>
      </c>
      <c r="M1861" s="1">
        <v>6425.36</v>
      </c>
      <c r="N1861" s="1">
        <v>5266.69</v>
      </c>
      <c r="O1861" s="1">
        <v>5461.56</v>
      </c>
      <c r="P1861" s="1">
        <v>4476.6899999999996</v>
      </c>
      <c r="Q1861">
        <v>1.2</v>
      </c>
      <c r="R1861">
        <v>1.704E-2</v>
      </c>
    </row>
    <row r="1862" spans="1:18" ht="13.8" outlineLevel="2" x14ac:dyDescent="0.25">
      <c r="A1862">
        <v>63989</v>
      </c>
      <c r="B1862" t="s">
        <v>1524</v>
      </c>
      <c r="C1862" t="s">
        <v>2210</v>
      </c>
      <c r="D1862" s="14" t="s">
        <v>2208</v>
      </c>
      <c r="E1862" s="12" t="s">
        <v>28</v>
      </c>
      <c r="F1862" s="13" t="s">
        <v>29</v>
      </c>
      <c r="G1862">
        <v>1</v>
      </c>
      <c r="H1862" t="s">
        <v>30</v>
      </c>
      <c r="I1862">
        <v>1</v>
      </c>
      <c r="J1862" s="15"/>
      <c r="K1862" s="16">
        <f>7954.78 - (7954.78 * $E$1)</f>
        <v>7954.78</v>
      </c>
      <c r="L1862" s="16">
        <f>6520.31 - (6520.31 * $E$1)</f>
        <v>6520.31</v>
      </c>
      <c r="M1862" s="1">
        <v>7954.78</v>
      </c>
      <c r="N1862" s="1">
        <v>6520.31</v>
      </c>
      <c r="O1862" s="1">
        <v>6761.56</v>
      </c>
      <c r="P1862" s="1">
        <v>5542.26</v>
      </c>
      <c r="Q1862">
        <v>1.7</v>
      </c>
      <c r="R1862">
        <v>1.704E-2</v>
      </c>
    </row>
    <row r="1863" spans="1:18" ht="13.8" outlineLevel="2" x14ac:dyDescent="0.25">
      <c r="A1863">
        <v>90350</v>
      </c>
      <c r="B1863" t="s">
        <v>1524</v>
      </c>
      <c r="C1863" t="s">
        <v>2211</v>
      </c>
      <c r="D1863" s="14" t="s">
        <v>2208</v>
      </c>
      <c r="E1863" s="12" t="s">
        <v>28</v>
      </c>
      <c r="F1863" s="13" t="s">
        <v>29</v>
      </c>
      <c r="G1863">
        <v>1</v>
      </c>
      <c r="H1863" t="s">
        <v>30</v>
      </c>
      <c r="I1863">
        <v>1</v>
      </c>
      <c r="J1863" s="15"/>
      <c r="K1863" s="16">
        <f>10658.16 - (10658.16 * $E$1)</f>
        <v>10658.16</v>
      </c>
      <c r="L1863" s="16">
        <f>8736.2 - (8736.2 * $E$1)</f>
        <v>8736.2000000000007</v>
      </c>
      <c r="M1863" s="1">
        <v>10658.16</v>
      </c>
      <c r="N1863" s="1">
        <v>8736.2000000000007</v>
      </c>
      <c r="O1863" s="1">
        <v>9059.44</v>
      </c>
      <c r="P1863" s="1">
        <v>7425.77</v>
      </c>
      <c r="Q1863">
        <v>1.4</v>
      </c>
      <c r="R1863">
        <v>1.704E-2</v>
      </c>
    </row>
    <row r="1864" spans="1:18" ht="13.8" outlineLevel="2" x14ac:dyDescent="0.25">
      <c r="A1864">
        <v>63991</v>
      </c>
      <c r="B1864" t="s">
        <v>1594</v>
      </c>
      <c r="C1864" t="s">
        <v>2212</v>
      </c>
      <c r="D1864" s="14" t="s">
        <v>2213</v>
      </c>
      <c r="E1864" s="12" t="s">
        <v>28</v>
      </c>
      <c r="F1864" s="13" t="s">
        <v>29</v>
      </c>
      <c r="G1864">
        <v>1</v>
      </c>
      <c r="H1864" t="s">
        <v>30</v>
      </c>
      <c r="I1864">
        <v>1</v>
      </c>
      <c r="J1864" s="15"/>
      <c r="K1864" s="16">
        <f>13285.43 - (13285.43 * $E$1)</f>
        <v>13285.43</v>
      </c>
      <c r="L1864" s="16">
        <f>10889.7 - (10889.7 * $E$1)</f>
        <v>10889.7</v>
      </c>
      <c r="M1864" s="1">
        <v>13285.43</v>
      </c>
      <c r="N1864" s="1">
        <v>10889.7</v>
      </c>
      <c r="O1864" s="1">
        <v>11292.62</v>
      </c>
      <c r="P1864" s="1">
        <v>9256.25</v>
      </c>
      <c r="Q1864">
        <v>2.5</v>
      </c>
      <c r="R1864">
        <v>1.8928E-2</v>
      </c>
    </row>
    <row r="1865" spans="1:18" ht="13.8" outlineLevel="2" x14ac:dyDescent="0.25">
      <c r="A1865">
        <v>63992</v>
      </c>
      <c r="B1865" t="s">
        <v>1594</v>
      </c>
      <c r="C1865" t="s">
        <v>2214</v>
      </c>
      <c r="D1865" s="14" t="s">
        <v>2213</v>
      </c>
      <c r="E1865" s="12" t="s">
        <v>28</v>
      </c>
      <c r="F1865" s="13" t="s">
        <v>29</v>
      </c>
      <c r="G1865">
        <v>1</v>
      </c>
      <c r="H1865" t="s">
        <v>30</v>
      </c>
      <c r="I1865">
        <v>1</v>
      </c>
      <c r="J1865" s="15"/>
      <c r="K1865" s="16">
        <f>14882.26 - (14882.26 * $E$1)</f>
        <v>14882.26</v>
      </c>
      <c r="L1865" s="16">
        <f>12198.57 - (12198.57 * $E$1)</f>
        <v>12198.57</v>
      </c>
      <c r="M1865" s="1">
        <v>14882.26</v>
      </c>
      <c r="N1865" s="1">
        <v>12198.57</v>
      </c>
      <c r="O1865" s="1">
        <v>12649.92</v>
      </c>
      <c r="P1865" s="1">
        <v>10368.780000000001</v>
      </c>
      <c r="Q1865">
        <v>3</v>
      </c>
      <c r="R1865">
        <v>1.8928E-2</v>
      </c>
    </row>
    <row r="1866" spans="1:18" ht="13.8" outlineLevel="2" x14ac:dyDescent="0.25">
      <c r="A1866">
        <v>63993</v>
      </c>
      <c r="B1866" t="s">
        <v>1594</v>
      </c>
      <c r="C1866" t="s">
        <v>2215</v>
      </c>
      <c r="D1866" s="14" t="s">
        <v>2213</v>
      </c>
      <c r="E1866" s="12" t="s">
        <v>28</v>
      </c>
      <c r="F1866" s="13" t="s">
        <v>29</v>
      </c>
      <c r="G1866">
        <v>1</v>
      </c>
      <c r="H1866" t="s">
        <v>30</v>
      </c>
      <c r="I1866">
        <v>1</v>
      </c>
      <c r="J1866" s="15"/>
      <c r="K1866" s="16">
        <f>19208.91 - (19208.91 * $E$1)</f>
        <v>19208.91</v>
      </c>
      <c r="L1866" s="16">
        <f>15745.01 - (15745.01 * $E$1)</f>
        <v>15745.01</v>
      </c>
      <c r="M1866" s="1">
        <v>19208.91</v>
      </c>
      <c r="N1866" s="1">
        <v>15745.01</v>
      </c>
      <c r="O1866" s="1">
        <v>16327.58</v>
      </c>
      <c r="P1866" s="1">
        <v>13383.26</v>
      </c>
      <c r="Q1866">
        <v>4.2</v>
      </c>
      <c r="R1866">
        <v>1.8928E-2</v>
      </c>
    </row>
    <row r="1867" spans="1:18" ht="13.8" outlineLevel="2" x14ac:dyDescent="0.25">
      <c r="A1867">
        <v>90351</v>
      </c>
      <c r="B1867" t="s">
        <v>1594</v>
      </c>
      <c r="C1867" t="s">
        <v>2216</v>
      </c>
      <c r="D1867" s="14" t="s">
        <v>2213</v>
      </c>
      <c r="E1867" s="12" t="s">
        <v>28</v>
      </c>
      <c r="F1867" s="13" t="s">
        <v>29</v>
      </c>
      <c r="G1867">
        <v>1</v>
      </c>
      <c r="H1867" t="s">
        <v>30</v>
      </c>
      <c r="I1867">
        <v>1</v>
      </c>
      <c r="J1867" s="15"/>
      <c r="K1867" s="16">
        <f>27499.8 - (27499.8 * $E$1)</f>
        <v>27499.8</v>
      </c>
      <c r="L1867" s="16">
        <f>22540.82 - (22540.82 * $E$1)</f>
        <v>22540.82</v>
      </c>
      <c r="M1867" s="1">
        <v>27499.8</v>
      </c>
      <c r="N1867" s="1">
        <v>22540.82</v>
      </c>
      <c r="O1867" s="1">
        <v>23374.83</v>
      </c>
      <c r="P1867" s="1">
        <v>19159.7</v>
      </c>
      <c r="Q1867">
        <v>3.5</v>
      </c>
      <c r="R1867">
        <v>1.8928E-2</v>
      </c>
    </row>
    <row r="1868" spans="1:18" ht="13.8" outlineLevel="2" x14ac:dyDescent="0.25">
      <c r="A1868">
        <v>67161</v>
      </c>
      <c r="B1868" t="s">
        <v>1524</v>
      </c>
      <c r="C1868" t="s">
        <v>2217</v>
      </c>
      <c r="D1868" s="14" t="s">
        <v>2218</v>
      </c>
      <c r="E1868" s="12" t="s">
        <v>28</v>
      </c>
      <c r="F1868" s="13" t="s">
        <v>29</v>
      </c>
      <c r="G1868">
        <v>1</v>
      </c>
      <c r="H1868" t="s">
        <v>30</v>
      </c>
      <c r="I1868">
        <v>1</v>
      </c>
      <c r="J1868" s="15"/>
      <c r="K1868" s="16">
        <f>9418.39 - (9418.39 * $E$1)</f>
        <v>9418.39</v>
      </c>
      <c r="L1868" s="16">
        <f>7719.99 - (7719.99 * $E$1)</f>
        <v>7719.99</v>
      </c>
      <c r="M1868" s="1">
        <v>9418.39</v>
      </c>
      <c r="N1868" s="1">
        <v>7719.99</v>
      </c>
      <c r="O1868" s="1">
        <v>8005.63</v>
      </c>
      <c r="P1868" s="1">
        <v>6561.99</v>
      </c>
      <c r="Q1868">
        <v>1.87</v>
      </c>
      <c r="R1868">
        <v>1.704E-2</v>
      </c>
    </row>
    <row r="1869" spans="1:18" ht="13.8" outlineLevel="2" x14ac:dyDescent="0.25">
      <c r="A1869">
        <v>67162</v>
      </c>
      <c r="B1869" t="s">
        <v>1524</v>
      </c>
      <c r="C1869" t="s">
        <v>2219</v>
      </c>
      <c r="D1869" s="14" t="s">
        <v>2218</v>
      </c>
      <c r="E1869" s="12" t="s">
        <v>28</v>
      </c>
      <c r="F1869" s="13" t="s">
        <v>29</v>
      </c>
      <c r="G1869">
        <v>1</v>
      </c>
      <c r="H1869" t="s">
        <v>30</v>
      </c>
      <c r="I1869">
        <v>1</v>
      </c>
      <c r="J1869" s="15"/>
      <c r="K1869" s="16">
        <f>10561.04 - (10561.04 * $E$1)</f>
        <v>10561.04</v>
      </c>
      <c r="L1869" s="16">
        <f>8656.59 - (8656.59 * $E$1)</f>
        <v>8656.59</v>
      </c>
      <c r="M1869" s="1">
        <v>10561.04</v>
      </c>
      <c r="N1869" s="1">
        <v>8656.59</v>
      </c>
      <c r="O1869" s="1">
        <v>8976.8799999999992</v>
      </c>
      <c r="P1869" s="1">
        <v>7358.1</v>
      </c>
      <c r="Q1869">
        <v>1.96</v>
      </c>
      <c r="R1869">
        <v>1.704E-2</v>
      </c>
    </row>
    <row r="1870" spans="1:18" ht="13.8" outlineLevel="2" x14ac:dyDescent="0.25">
      <c r="A1870">
        <v>67164</v>
      </c>
      <c r="B1870" t="s">
        <v>1524</v>
      </c>
      <c r="C1870" t="s">
        <v>2220</v>
      </c>
      <c r="D1870" s="14" t="s">
        <v>2218</v>
      </c>
      <c r="E1870" s="12" t="s">
        <v>28</v>
      </c>
      <c r="F1870" s="13" t="s">
        <v>29</v>
      </c>
      <c r="G1870">
        <v>1</v>
      </c>
      <c r="H1870" t="s">
        <v>30</v>
      </c>
      <c r="I1870">
        <v>1</v>
      </c>
      <c r="J1870" s="15"/>
      <c r="K1870" s="16">
        <f>12445.05 - (12445.05 * $E$1)</f>
        <v>12445.05</v>
      </c>
      <c r="L1870" s="16">
        <f>10200.86 - (10200.86 * $E$1)</f>
        <v>10200.86</v>
      </c>
      <c r="M1870" s="1">
        <v>12445.05</v>
      </c>
      <c r="N1870" s="1">
        <v>10200.86</v>
      </c>
      <c r="O1870" s="1">
        <v>10578.29</v>
      </c>
      <c r="P1870" s="1">
        <v>8670.73</v>
      </c>
      <c r="Q1870">
        <v>2.34</v>
      </c>
      <c r="R1870">
        <v>1.704E-2</v>
      </c>
    </row>
    <row r="1871" spans="1:18" ht="13.8" outlineLevel="2" x14ac:dyDescent="0.25">
      <c r="A1871">
        <v>67165</v>
      </c>
      <c r="B1871" t="s">
        <v>1524</v>
      </c>
      <c r="C1871" t="s">
        <v>2221</v>
      </c>
      <c r="D1871" s="14" t="s">
        <v>2222</v>
      </c>
      <c r="E1871" s="12" t="s">
        <v>28</v>
      </c>
      <c r="F1871" s="13" t="s">
        <v>29</v>
      </c>
      <c r="G1871">
        <v>1</v>
      </c>
      <c r="H1871" t="s">
        <v>30</v>
      </c>
      <c r="I1871">
        <v>1</v>
      </c>
      <c r="J1871" s="15"/>
      <c r="K1871" s="16">
        <f>12235.64 - (12235.64 * $E$1)</f>
        <v>12235.64</v>
      </c>
      <c r="L1871" s="16">
        <f>10029.21 - (10029.21 * $E$1)</f>
        <v>10029.209999999999</v>
      </c>
      <c r="M1871" s="1">
        <v>12235.64</v>
      </c>
      <c r="N1871" s="1">
        <v>10029.209999999999</v>
      </c>
      <c r="O1871" s="1">
        <v>10400.290000000001</v>
      </c>
      <c r="P1871" s="1">
        <v>8524.83</v>
      </c>
      <c r="Q1871">
        <v>2.2200000000000002</v>
      </c>
      <c r="R1871">
        <v>1.704E-2</v>
      </c>
    </row>
    <row r="1872" spans="1:18" ht="13.8" outlineLevel="2" x14ac:dyDescent="0.25">
      <c r="A1872">
        <v>67166</v>
      </c>
      <c r="B1872" t="s">
        <v>1524</v>
      </c>
      <c r="C1872" t="s">
        <v>2223</v>
      </c>
      <c r="D1872" s="14" t="s">
        <v>2222</v>
      </c>
      <c r="E1872" s="12" t="s">
        <v>28</v>
      </c>
      <c r="F1872" s="13" t="s">
        <v>29</v>
      </c>
      <c r="G1872">
        <v>1</v>
      </c>
      <c r="H1872" t="s">
        <v>30</v>
      </c>
      <c r="I1872">
        <v>1</v>
      </c>
      <c r="J1872" s="15"/>
      <c r="K1872" s="16">
        <f>13214.05 - (13214.05 * $E$1)</f>
        <v>13214.05</v>
      </c>
      <c r="L1872" s="16">
        <f>10831.19 - (10831.19 * $E$1)</f>
        <v>10831.19</v>
      </c>
      <c r="M1872" s="1">
        <v>13214.05</v>
      </c>
      <c r="N1872" s="1">
        <v>10831.19</v>
      </c>
      <c r="O1872" s="1">
        <v>11231.94</v>
      </c>
      <c r="P1872" s="1">
        <v>9206.51</v>
      </c>
      <c r="Q1872">
        <v>2.34</v>
      </c>
      <c r="R1872">
        <v>1.704E-2</v>
      </c>
    </row>
    <row r="1873" spans="1:18" ht="13.8" outlineLevel="2" x14ac:dyDescent="0.25">
      <c r="A1873">
        <v>67167</v>
      </c>
      <c r="B1873" t="s">
        <v>1524</v>
      </c>
      <c r="C1873" t="s">
        <v>2224</v>
      </c>
      <c r="D1873" s="14" t="s">
        <v>2222</v>
      </c>
      <c r="E1873" s="12" t="s">
        <v>28</v>
      </c>
      <c r="F1873" s="13" t="s">
        <v>29</v>
      </c>
      <c r="G1873">
        <v>1</v>
      </c>
      <c r="H1873" t="s">
        <v>30</v>
      </c>
      <c r="I1873">
        <v>1</v>
      </c>
      <c r="J1873" s="15"/>
      <c r="K1873" s="16">
        <f>14900.18 - (14900.18 * $E$1)</f>
        <v>14900.18</v>
      </c>
      <c r="L1873" s="16">
        <f>12213.26 - (12213.26 * $E$1)</f>
        <v>12213.26</v>
      </c>
      <c r="M1873" s="1">
        <v>14900.18</v>
      </c>
      <c r="N1873" s="1">
        <v>12213.26</v>
      </c>
      <c r="O1873" s="1">
        <v>12665.15</v>
      </c>
      <c r="P1873" s="1">
        <v>10381.27</v>
      </c>
      <c r="Q1873">
        <v>2.76</v>
      </c>
      <c r="R1873">
        <v>1.704E-2</v>
      </c>
    </row>
    <row r="1874" spans="1:18" ht="13.8" outlineLevel="2" x14ac:dyDescent="0.25">
      <c r="A1874">
        <v>101413</v>
      </c>
      <c r="B1874" t="s">
        <v>1594</v>
      </c>
      <c r="C1874" t="s">
        <v>2225</v>
      </c>
      <c r="D1874" s="14" t="s">
        <v>2226</v>
      </c>
      <c r="E1874" s="12" t="s">
        <v>28</v>
      </c>
      <c r="F1874" s="13" t="s">
        <v>29</v>
      </c>
      <c r="G1874">
        <v>1</v>
      </c>
      <c r="H1874" t="s">
        <v>30</v>
      </c>
      <c r="I1874">
        <v>1</v>
      </c>
      <c r="J1874" s="15"/>
      <c r="K1874" s="16">
        <f>21685.62 - (21685.62 * $E$1)</f>
        <v>21685.62</v>
      </c>
      <c r="L1874" s="16">
        <f>17775.1 - (17775.1 * $E$1)</f>
        <v>17775.099999999999</v>
      </c>
      <c r="M1874" s="1">
        <v>21685.62</v>
      </c>
      <c r="N1874" s="1">
        <v>17775.099999999999</v>
      </c>
      <c r="O1874" s="1">
        <v>18432.78</v>
      </c>
      <c r="P1874" s="1">
        <v>15108.84</v>
      </c>
      <c r="Q1874">
        <v>3.1</v>
      </c>
      <c r="R1874">
        <v>1.8928E-2</v>
      </c>
    </row>
    <row r="1875" spans="1:18" ht="13.8" outlineLevel="2" x14ac:dyDescent="0.25">
      <c r="A1875">
        <v>101414</v>
      </c>
      <c r="B1875" t="s">
        <v>1594</v>
      </c>
      <c r="C1875" t="s">
        <v>2227</v>
      </c>
      <c r="D1875" s="14" t="s">
        <v>2226</v>
      </c>
      <c r="E1875" s="12" t="s">
        <v>28</v>
      </c>
      <c r="F1875" s="13" t="s">
        <v>29</v>
      </c>
      <c r="G1875">
        <v>1</v>
      </c>
      <c r="H1875" t="s">
        <v>30</v>
      </c>
      <c r="I1875">
        <v>1</v>
      </c>
      <c r="J1875" s="15"/>
      <c r="K1875" s="16">
        <f>23131.32 - (23131.32 * $E$1)</f>
        <v>23131.32</v>
      </c>
      <c r="L1875" s="16">
        <f>18960.1 - (18960.1 * $E$1)</f>
        <v>18960.099999999999</v>
      </c>
      <c r="M1875" s="1">
        <v>23131.32</v>
      </c>
      <c r="N1875" s="1">
        <v>18960.099999999999</v>
      </c>
      <c r="O1875" s="1">
        <v>19661.62</v>
      </c>
      <c r="P1875" s="1">
        <v>16116.09</v>
      </c>
      <c r="Q1875">
        <v>3.4</v>
      </c>
      <c r="R1875">
        <v>1.8928E-2</v>
      </c>
    </row>
    <row r="1876" spans="1:18" ht="13.8" outlineLevel="2" x14ac:dyDescent="0.25">
      <c r="A1876">
        <v>101415</v>
      </c>
      <c r="B1876" t="s">
        <v>1594</v>
      </c>
      <c r="C1876" t="s">
        <v>2228</v>
      </c>
      <c r="D1876" s="14" t="s">
        <v>2226</v>
      </c>
      <c r="E1876" s="12" t="s">
        <v>28</v>
      </c>
      <c r="F1876" s="13" t="s">
        <v>29</v>
      </c>
      <c r="G1876">
        <v>1</v>
      </c>
      <c r="H1876" t="s">
        <v>30</v>
      </c>
      <c r="I1876">
        <v>1</v>
      </c>
      <c r="J1876" s="15"/>
      <c r="K1876" s="16">
        <f>25307.05 - (25307.05 * $E$1)</f>
        <v>25307.05</v>
      </c>
      <c r="L1876" s="16">
        <f>20743.48 - (20743.48 * $E$1)</f>
        <v>20743.48</v>
      </c>
      <c r="M1876" s="1">
        <v>25307.05</v>
      </c>
      <c r="N1876" s="1">
        <v>20743.48</v>
      </c>
      <c r="O1876" s="1">
        <v>21510.99</v>
      </c>
      <c r="P1876" s="1">
        <v>17631.96</v>
      </c>
      <c r="Q1876">
        <v>3.6</v>
      </c>
      <c r="R1876">
        <v>1.8928E-2</v>
      </c>
    </row>
    <row r="1877" spans="1:18" ht="13.8" outlineLevel="2" x14ac:dyDescent="0.25">
      <c r="A1877">
        <v>110677</v>
      </c>
      <c r="B1877" t="s">
        <v>1524</v>
      </c>
      <c r="C1877" t="s">
        <v>2229</v>
      </c>
      <c r="D1877" s="14" t="s">
        <v>2230</v>
      </c>
      <c r="E1877" s="12" t="s">
        <v>28</v>
      </c>
      <c r="F1877" s="18" t="s">
        <v>1467</v>
      </c>
      <c r="H1877" t="s">
        <v>30</v>
      </c>
      <c r="I1877">
        <v>1</v>
      </c>
      <c r="J1877" s="15"/>
      <c r="K1877" s="16">
        <f>39000 - (39000 * $E$1)</f>
        <v>39000</v>
      </c>
      <c r="L1877" s="16">
        <f>31967.21 - (31967.21 * $E$1)</f>
        <v>31967.21</v>
      </c>
      <c r="M1877" s="1">
        <v>39000</v>
      </c>
      <c r="N1877" s="1">
        <v>31967.21</v>
      </c>
      <c r="O1877" s="1">
        <v>33150</v>
      </c>
      <c r="P1877" s="1">
        <v>27172.13</v>
      </c>
    </row>
    <row r="1878" spans="1:18" ht="13.8" outlineLevel="2" x14ac:dyDescent="0.25">
      <c r="A1878">
        <v>110678</v>
      </c>
      <c r="B1878" t="s">
        <v>1524</v>
      </c>
      <c r="C1878" t="s">
        <v>2231</v>
      </c>
      <c r="D1878" s="14" t="s">
        <v>2230</v>
      </c>
      <c r="E1878" s="12" t="s">
        <v>28</v>
      </c>
      <c r="F1878" s="18" t="s">
        <v>1467</v>
      </c>
      <c r="H1878" t="s">
        <v>30</v>
      </c>
      <c r="I1878">
        <v>1</v>
      </c>
      <c r="J1878" s="15"/>
      <c r="K1878" s="16">
        <f>44500 - (44500 * $E$1)</f>
        <v>44500</v>
      </c>
      <c r="L1878" s="16">
        <f>36475.41 - (36475.41 * $E$1)</f>
        <v>36475.410000000003</v>
      </c>
      <c r="M1878" s="1">
        <v>44500</v>
      </c>
      <c r="N1878" s="1">
        <v>36475.410000000003</v>
      </c>
      <c r="O1878" s="1">
        <v>37825</v>
      </c>
      <c r="P1878" s="1">
        <v>31004.1</v>
      </c>
    </row>
    <row r="1879" spans="1:18" ht="13.8" outlineLevel="2" x14ac:dyDescent="0.25">
      <c r="A1879">
        <v>110679</v>
      </c>
      <c r="B1879" t="s">
        <v>1524</v>
      </c>
      <c r="C1879" t="s">
        <v>2232</v>
      </c>
      <c r="D1879" s="14" t="s">
        <v>2230</v>
      </c>
      <c r="E1879" s="12" t="s">
        <v>28</v>
      </c>
      <c r="F1879" s="18" t="s">
        <v>1467</v>
      </c>
      <c r="H1879" t="s">
        <v>30</v>
      </c>
      <c r="I1879">
        <v>1</v>
      </c>
      <c r="J1879" s="15"/>
      <c r="K1879" s="16">
        <f>49200 - (49200 * $E$1)</f>
        <v>49200</v>
      </c>
      <c r="L1879" s="16">
        <f>40327.87 - (40327.87 * $E$1)</f>
        <v>40327.870000000003</v>
      </c>
      <c r="M1879" s="1">
        <v>49200</v>
      </c>
      <c r="N1879" s="1">
        <v>40327.870000000003</v>
      </c>
      <c r="O1879" s="1">
        <v>41820</v>
      </c>
      <c r="P1879" s="1">
        <v>34278.69</v>
      </c>
    </row>
    <row r="1880" spans="1:18" ht="13.8" outlineLevel="2" x14ac:dyDescent="0.25">
      <c r="A1880">
        <v>110680</v>
      </c>
      <c r="B1880" t="s">
        <v>1524</v>
      </c>
      <c r="C1880" t="s">
        <v>2233</v>
      </c>
      <c r="D1880" s="14" t="s">
        <v>2234</v>
      </c>
      <c r="E1880" s="12" t="s">
        <v>28</v>
      </c>
      <c r="F1880" s="18" t="s">
        <v>1467</v>
      </c>
      <c r="H1880" t="s">
        <v>30</v>
      </c>
      <c r="I1880">
        <v>1</v>
      </c>
      <c r="J1880" s="15"/>
      <c r="K1880" s="16">
        <f>43599.99 - (43599.99 * $E$1)</f>
        <v>43599.99</v>
      </c>
      <c r="L1880" s="16">
        <f>35737.7 - (35737.7 * $E$1)</f>
        <v>35737.699999999997</v>
      </c>
      <c r="M1880" s="1">
        <v>43599.99</v>
      </c>
      <c r="N1880" s="1">
        <v>35737.699999999997</v>
      </c>
      <c r="O1880" s="1">
        <v>37059.99</v>
      </c>
      <c r="P1880" s="1">
        <v>30377.05</v>
      </c>
    </row>
    <row r="1881" spans="1:18" ht="13.8" outlineLevel="2" x14ac:dyDescent="0.25">
      <c r="A1881">
        <v>110681</v>
      </c>
      <c r="B1881" t="s">
        <v>1524</v>
      </c>
      <c r="C1881" t="s">
        <v>2235</v>
      </c>
      <c r="D1881" s="14" t="s">
        <v>2234</v>
      </c>
      <c r="E1881" s="12" t="s">
        <v>28</v>
      </c>
      <c r="F1881" s="18" t="s">
        <v>1467</v>
      </c>
      <c r="H1881" t="s">
        <v>30</v>
      </c>
      <c r="I1881">
        <v>1</v>
      </c>
      <c r="J1881" s="15"/>
      <c r="K1881" s="16">
        <f>48999.99 - (48999.99 * $E$1)</f>
        <v>48999.99</v>
      </c>
      <c r="L1881" s="16">
        <f>40163.93 - (40163.93 * $E$1)</f>
        <v>40163.93</v>
      </c>
      <c r="M1881" s="1">
        <v>48999.99</v>
      </c>
      <c r="N1881" s="1">
        <v>40163.93</v>
      </c>
      <c r="O1881" s="1">
        <v>41650</v>
      </c>
      <c r="P1881" s="1">
        <v>34139.339999999997</v>
      </c>
    </row>
    <row r="1882" spans="1:18" ht="13.8" outlineLevel="2" x14ac:dyDescent="0.25">
      <c r="A1882">
        <v>110682</v>
      </c>
      <c r="B1882" t="s">
        <v>1524</v>
      </c>
      <c r="C1882" t="s">
        <v>2236</v>
      </c>
      <c r="D1882" s="14" t="s">
        <v>2234</v>
      </c>
      <c r="E1882" s="12" t="s">
        <v>28</v>
      </c>
      <c r="F1882" s="18" t="s">
        <v>1467</v>
      </c>
      <c r="H1882" t="s">
        <v>30</v>
      </c>
      <c r="I1882">
        <v>1</v>
      </c>
      <c r="J1882" s="15"/>
      <c r="K1882" s="16">
        <f>53700 - (53700 * $E$1)</f>
        <v>53700</v>
      </c>
      <c r="L1882" s="16">
        <f>44016.39 - (44016.39 * $E$1)</f>
        <v>44016.39</v>
      </c>
      <c r="M1882" s="1">
        <v>53700</v>
      </c>
      <c r="N1882" s="1">
        <v>44016.39</v>
      </c>
      <c r="O1882" s="1">
        <v>45645</v>
      </c>
      <c r="P1882" s="1">
        <v>37413.93</v>
      </c>
    </row>
    <row r="1883" spans="1:18" ht="13.8" outlineLevel="2" x14ac:dyDescent="0.25">
      <c r="A1883">
        <v>110683</v>
      </c>
      <c r="B1883" t="s">
        <v>1594</v>
      </c>
      <c r="C1883" t="s">
        <v>2237</v>
      </c>
      <c r="D1883" s="14" t="s">
        <v>2238</v>
      </c>
      <c r="E1883" s="12" t="s">
        <v>28</v>
      </c>
      <c r="F1883" s="18" t="s">
        <v>1467</v>
      </c>
      <c r="H1883" t="s">
        <v>30</v>
      </c>
      <c r="I1883">
        <v>1</v>
      </c>
      <c r="J1883" s="15"/>
      <c r="K1883" s="16">
        <f>73500 - (73500 * $E$1)</f>
        <v>73500</v>
      </c>
      <c r="L1883" s="16">
        <f>60245.9 - (60245.9 * $E$1)</f>
        <v>60245.9</v>
      </c>
      <c r="M1883" s="1">
        <v>73500</v>
      </c>
      <c r="N1883" s="1">
        <v>60245.9</v>
      </c>
      <c r="O1883" s="1">
        <v>62475</v>
      </c>
      <c r="P1883" s="1">
        <v>51209.02</v>
      </c>
    </row>
    <row r="1884" spans="1:18" ht="13.8" outlineLevel="2" x14ac:dyDescent="0.25">
      <c r="A1884">
        <v>110684</v>
      </c>
      <c r="B1884" t="s">
        <v>1594</v>
      </c>
      <c r="C1884" t="s">
        <v>2239</v>
      </c>
      <c r="D1884" s="14" t="s">
        <v>2238</v>
      </c>
      <c r="E1884" s="12" t="s">
        <v>28</v>
      </c>
      <c r="F1884" s="18" t="s">
        <v>1467</v>
      </c>
      <c r="H1884" t="s">
        <v>30</v>
      </c>
      <c r="I1884">
        <v>1</v>
      </c>
      <c r="J1884" s="15"/>
      <c r="K1884" s="16">
        <f>79300 - (79300 * $E$1)</f>
        <v>79300</v>
      </c>
      <c r="L1884" s="16">
        <f>65000 - (65000 * $E$1)</f>
        <v>65000</v>
      </c>
      <c r="M1884" s="1">
        <v>79300</v>
      </c>
      <c r="N1884" s="1">
        <v>65000</v>
      </c>
      <c r="O1884" s="1">
        <v>67405</v>
      </c>
      <c r="P1884" s="1">
        <v>55250</v>
      </c>
    </row>
    <row r="1885" spans="1:18" ht="13.8" outlineLevel="2" x14ac:dyDescent="0.25">
      <c r="A1885">
        <v>110685</v>
      </c>
      <c r="B1885" t="s">
        <v>1594</v>
      </c>
      <c r="C1885" t="s">
        <v>2240</v>
      </c>
      <c r="D1885" s="14" t="s">
        <v>2238</v>
      </c>
      <c r="E1885" s="12" t="s">
        <v>28</v>
      </c>
      <c r="F1885" s="18" t="s">
        <v>1467</v>
      </c>
      <c r="H1885" t="s">
        <v>30</v>
      </c>
      <c r="I1885">
        <v>1</v>
      </c>
      <c r="J1885" s="15"/>
      <c r="K1885" s="16">
        <f>97500 - (97500 * $E$1)</f>
        <v>97500</v>
      </c>
      <c r="L1885" s="16">
        <f>79918.03 - (79918.03 * $E$1)</f>
        <v>79918.03</v>
      </c>
      <c r="M1885" s="1">
        <v>97500</v>
      </c>
      <c r="N1885" s="1">
        <v>79918.03</v>
      </c>
      <c r="O1885" s="1">
        <v>82875</v>
      </c>
      <c r="P1885" s="1">
        <v>67930.33</v>
      </c>
    </row>
    <row r="1886" spans="1:18" ht="16.5" customHeight="1" outlineLevel="1" x14ac:dyDescent="0.35">
      <c r="A1886" s="9"/>
      <c r="B1886" s="10" t="s">
        <v>2241</v>
      </c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1"/>
    </row>
    <row r="1887" spans="1:18" ht="13.8" outlineLevel="2" x14ac:dyDescent="0.25">
      <c r="A1887">
        <v>89400</v>
      </c>
      <c r="B1887" t="s">
        <v>1524</v>
      </c>
      <c r="C1887" t="s">
        <v>2242</v>
      </c>
      <c r="D1887" s="14" t="s">
        <v>2243</v>
      </c>
      <c r="E1887" s="12" t="s">
        <v>28</v>
      </c>
      <c r="F1887" s="13" t="s">
        <v>29</v>
      </c>
      <c r="G1887">
        <v>1</v>
      </c>
      <c r="H1887" t="s">
        <v>30</v>
      </c>
      <c r="I1887">
        <v>1</v>
      </c>
      <c r="J1887" s="15"/>
      <c r="K1887" s="16">
        <f>1312.99 - (1312.99 * $E$1)</f>
        <v>1312.99</v>
      </c>
      <c r="L1887" s="16">
        <f>1076.22 - (1076.22 * $E$1)</f>
        <v>1076.22</v>
      </c>
      <c r="M1887" s="1">
        <v>1312.99</v>
      </c>
      <c r="N1887" s="1">
        <v>1076.22</v>
      </c>
      <c r="O1887" s="1">
        <v>1116.04</v>
      </c>
      <c r="P1887" s="1">
        <v>914.79</v>
      </c>
      <c r="Q1887">
        <v>0.22</v>
      </c>
      <c r="R1887">
        <v>1.232E-3</v>
      </c>
    </row>
    <row r="1888" spans="1:18" ht="13.8" outlineLevel="2" x14ac:dyDescent="0.25">
      <c r="A1888">
        <v>89479</v>
      </c>
      <c r="B1888" t="s">
        <v>1524</v>
      </c>
      <c r="C1888" t="s">
        <v>2244</v>
      </c>
      <c r="D1888" s="14" t="s">
        <v>2245</v>
      </c>
      <c r="E1888" s="12" t="s">
        <v>28</v>
      </c>
      <c r="F1888" s="13" t="s">
        <v>29</v>
      </c>
      <c r="G1888">
        <v>1</v>
      </c>
      <c r="H1888" t="s">
        <v>30</v>
      </c>
      <c r="I1888">
        <v>1</v>
      </c>
      <c r="J1888" s="15"/>
      <c r="K1888" s="16">
        <f>1495.6 - (1495.6 * $E$1)</f>
        <v>1495.6</v>
      </c>
      <c r="L1888" s="16">
        <f>1225.9 - (1225.9 * $E$1)</f>
        <v>1225.9000000000001</v>
      </c>
      <c r="M1888" s="1">
        <v>1495.6</v>
      </c>
      <c r="N1888" s="1">
        <v>1225.9000000000001</v>
      </c>
      <c r="O1888" s="1">
        <v>1271.26</v>
      </c>
      <c r="P1888" s="1">
        <v>1042.02</v>
      </c>
      <c r="Q1888">
        <v>0.24</v>
      </c>
      <c r="R1888">
        <v>1.756E-3</v>
      </c>
    </row>
    <row r="1889" spans="1:18" ht="33.75" customHeight="1" x14ac:dyDescent="0.35">
      <c r="A1889" s="9"/>
      <c r="B1889" s="10" t="s">
        <v>2246</v>
      </c>
      <c r="C1889" s="10"/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1"/>
    </row>
    <row r="1890" spans="1:18" ht="13.8" outlineLevel="1" x14ac:dyDescent="0.25">
      <c r="A1890">
        <v>89715</v>
      </c>
      <c r="B1890" t="s">
        <v>2247</v>
      </c>
      <c r="C1890" t="s">
        <v>2248</v>
      </c>
      <c r="D1890" s="14" t="s">
        <v>2249</v>
      </c>
      <c r="E1890" s="12" t="s">
        <v>28</v>
      </c>
      <c r="F1890" s="13" t="s">
        <v>29</v>
      </c>
      <c r="G1890">
        <v>1</v>
      </c>
      <c r="H1890" t="s">
        <v>30</v>
      </c>
      <c r="I1890">
        <v>1</v>
      </c>
      <c r="J1890" s="15"/>
      <c r="K1890" s="16">
        <f>33125.27 - (33125.27 * $E$1)</f>
        <v>33125.269999999997</v>
      </c>
      <c r="L1890" s="16">
        <f>27151.86 - (27151.86 * $E$1)</f>
        <v>27151.86</v>
      </c>
      <c r="M1890" s="1">
        <v>33125.269999999997</v>
      </c>
      <c r="N1890" s="1">
        <v>27151.86</v>
      </c>
      <c r="O1890" s="1">
        <v>28156.48</v>
      </c>
      <c r="P1890" s="1">
        <v>23079.08</v>
      </c>
      <c r="Q1890">
        <v>5.6</v>
      </c>
      <c r="R1890">
        <v>1.8353999999999999E-2</v>
      </c>
    </row>
    <row r="1891" spans="1:18" ht="13.8" outlineLevel="1" x14ac:dyDescent="0.25">
      <c r="A1891">
        <v>89716</v>
      </c>
      <c r="B1891" t="s">
        <v>2247</v>
      </c>
      <c r="C1891" t="s">
        <v>2250</v>
      </c>
      <c r="D1891" s="14" t="s">
        <v>2249</v>
      </c>
      <c r="E1891" s="12" t="s">
        <v>28</v>
      </c>
      <c r="F1891" s="13" t="s">
        <v>29</v>
      </c>
      <c r="G1891">
        <v>1</v>
      </c>
      <c r="H1891" t="s">
        <v>30</v>
      </c>
      <c r="I1891">
        <v>1</v>
      </c>
      <c r="J1891" s="15"/>
      <c r="K1891" s="16">
        <f>33125.27 - (33125.27 * $E$1)</f>
        <v>33125.269999999997</v>
      </c>
      <c r="L1891" s="16">
        <f>27151.86 - (27151.86 * $E$1)</f>
        <v>27151.86</v>
      </c>
      <c r="M1891" s="1">
        <v>33125.269999999997</v>
      </c>
      <c r="N1891" s="1">
        <v>27151.86</v>
      </c>
      <c r="O1891" s="1">
        <v>28156.48</v>
      </c>
      <c r="P1891" s="1">
        <v>23079.08</v>
      </c>
      <c r="Q1891">
        <v>5.7</v>
      </c>
      <c r="R1891">
        <v>1.8353999999999999E-2</v>
      </c>
    </row>
    <row r="1892" spans="1:18" ht="13.8" outlineLevel="1" x14ac:dyDescent="0.25">
      <c r="A1892">
        <v>89718</v>
      </c>
      <c r="B1892" t="s">
        <v>2247</v>
      </c>
      <c r="C1892" t="s">
        <v>2251</v>
      </c>
      <c r="D1892" s="14" t="s">
        <v>2249</v>
      </c>
      <c r="E1892" s="12" t="s">
        <v>28</v>
      </c>
      <c r="F1892" s="13" t="s">
        <v>29</v>
      </c>
      <c r="G1892">
        <v>1</v>
      </c>
      <c r="H1892" t="s">
        <v>30</v>
      </c>
      <c r="I1892">
        <v>1</v>
      </c>
      <c r="J1892" s="15"/>
      <c r="K1892" s="16">
        <f>34399.33 - (34399.33 * $E$1)</f>
        <v>34399.33</v>
      </c>
      <c r="L1892" s="16">
        <f>28196.17 - (28196.17 * $E$1)</f>
        <v>28196.17</v>
      </c>
      <c r="M1892" s="1">
        <v>34399.33</v>
      </c>
      <c r="N1892" s="1">
        <v>28196.17</v>
      </c>
      <c r="O1892" s="1">
        <v>29239.43</v>
      </c>
      <c r="P1892" s="1">
        <v>23966.74</v>
      </c>
      <c r="Q1892">
        <v>5.6</v>
      </c>
      <c r="R1892">
        <v>1.8353999999999999E-2</v>
      </c>
    </row>
    <row r="1893" spans="1:18" ht="13.8" outlineLevel="1" x14ac:dyDescent="0.25">
      <c r="A1893">
        <v>89717</v>
      </c>
      <c r="B1893" t="s">
        <v>2247</v>
      </c>
      <c r="C1893" t="s">
        <v>2252</v>
      </c>
      <c r="D1893" s="14" t="s">
        <v>2253</v>
      </c>
      <c r="E1893" s="12" t="s">
        <v>28</v>
      </c>
      <c r="F1893" s="13" t="s">
        <v>29</v>
      </c>
      <c r="G1893">
        <v>1</v>
      </c>
      <c r="H1893" t="s">
        <v>30</v>
      </c>
      <c r="I1893">
        <v>1</v>
      </c>
      <c r="J1893" s="15"/>
      <c r="K1893" s="16">
        <f>57332.2 - (57332.2 * $E$1)</f>
        <v>57332.2</v>
      </c>
      <c r="L1893" s="16">
        <f>46993.61 - (46993.61 * $E$1)</f>
        <v>46993.61</v>
      </c>
      <c r="M1893" s="1">
        <v>57332.2</v>
      </c>
      <c r="N1893" s="1">
        <v>46993.61</v>
      </c>
      <c r="O1893" s="1">
        <v>48732.37</v>
      </c>
      <c r="P1893" s="1">
        <v>39944.57</v>
      </c>
      <c r="Q1893">
        <v>5.8</v>
      </c>
      <c r="R1893">
        <v>1.8353999999999999E-2</v>
      </c>
    </row>
    <row r="1894" spans="1:18" ht="13.8" outlineLevel="1" x14ac:dyDescent="0.25">
      <c r="A1894">
        <v>89719</v>
      </c>
      <c r="B1894" t="s">
        <v>2247</v>
      </c>
      <c r="C1894" t="s">
        <v>2254</v>
      </c>
      <c r="D1894" s="14" t="s">
        <v>2253</v>
      </c>
      <c r="E1894" s="12" t="s">
        <v>28</v>
      </c>
      <c r="F1894" s="13" t="s">
        <v>29</v>
      </c>
      <c r="G1894">
        <v>1</v>
      </c>
      <c r="H1894" t="s">
        <v>30</v>
      </c>
      <c r="I1894">
        <v>1</v>
      </c>
      <c r="J1894" s="15"/>
      <c r="K1894" s="16">
        <f>57969.23 - (57969.23 * $E$1)</f>
        <v>57969.23</v>
      </c>
      <c r="L1894" s="16">
        <f>47515.76 - (47515.76 * $E$1)</f>
        <v>47515.76</v>
      </c>
      <c r="M1894" s="1">
        <v>57969.23</v>
      </c>
      <c r="N1894" s="1">
        <v>47515.76</v>
      </c>
      <c r="O1894" s="1">
        <v>49273.84</v>
      </c>
      <c r="P1894" s="1">
        <v>40388.400000000001</v>
      </c>
      <c r="Q1894">
        <v>5.6</v>
      </c>
      <c r="R1894">
        <v>1.8353999999999999E-2</v>
      </c>
    </row>
    <row r="1895" spans="1:18" ht="13.8" outlineLevel="1" x14ac:dyDescent="0.25">
      <c r="A1895">
        <v>89720</v>
      </c>
      <c r="B1895" t="s">
        <v>2247</v>
      </c>
      <c r="C1895" t="s">
        <v>2255</v>
      </c>
      <c r="D1895" s="14" t="s">
        <v>2253</v>
      </c>
      <c r="E1895" s="12" t="s">
        <v>28</v>
      </c>
      <c r="F1895" s="13" t="s">
        <v>29</v>
      </c>
      <c r="G1895">
        <v>1</v>
      </c>
      <c r="H1895" t="s">
        <v>30</v>
      </c>
      <c r="I1895">
        <v>1</v>
      </c>
      <c r="J1895" s="15"/>
      <c r="K1895" s="16">
        <f>58606.25 - (58606.25 * $E$1)</f>
        <v>58606.25</v>
      </c>
      <c r="L1895" s="16">
        <f>48037.91 - (48037.91 * $E$1)</f>
        <v>48037.91</v>
      </c>
      <c r="M1895" s="1">
        <v>58606.25</v>
      </c>
      <c r="N1895" s="1">
        <v>48037.91</v>
      </c>
      <c r="O1895" s="1">
        <v>49815.31</v>
      </c>
      <c r="P1895" s="1">
        <v>40832.22</v>
      </c>
      <c r="Q1895">
        <v>5.9</v>
      </c>
      <c r="R1895">
        <v>1.8353999999999999E-2</v>
      </c>
    </row>
    <row r="1896" spans="1:18" ht="13.8" outlineLevel="1" x14ac:dyDescent="0.25">
      <c r="A1896">
        <v>92307</v>
      </c>
      <c r="B1896" t="s">
        <v>2256</v>
      </c>
      <c r="C1896" t="s">
        <v>2257</v>
      </c>
      <c r="D1896" s="14" t="s">
        <v>2258</v>
      </c>
      <c r="E1896" s="12" t="s">
        <v>28</v>
      </c>
      <c r="F1896" s="13" t="s">
        <v>29</v>
      </c>
      <c r="G1896">
        <v>1</v>
      </c>
      <c r="H1896" t="s">
        <v>30</v>
      </c>
      <c r="I1896">
        <v>1</v>
      </c>
      <c r="J1896" s="15"/>
      <c r="K1896" s="16">
        <f>20761.84 - (20761.84 * $E$1)</f>
        <v>20761.84</v>
      </c>
      <c r="L1896" s="16">
        <f>17017.9 - (17017.9 * $E$1)</f>
        <v>17017.900000000001</v>
      </c>
      <c r="M1896" s="1">
        <v>20761.84</v>
      </c>
      <c r="N1896" s="1">
        <v>17017.900000000001</v>
      </c>
      <c r="O1896" s="1">
        <v>17647.560000000001</v>
      </c>
      <c r="P1896" s="1">
        <v>14465.22</v>
      </c>
      <c r="Q1896">
        <v>1.804</v>
      </c>
      <c r="R1896">
        <v>8.2459999999999999E-3</v>
      </c>
    </row>
    <row r="1897" spans="1:18" ht="13.8" outlineLevel="1" x14ac:dyDescent="0.25">
      <c r="A1897">
        <v>78540</v>
      </c>
      <c r="B1897" t="s">
        <v>2256</v>
      </c>
      <c r="C1897" t="s">
        <v>2259</v>
      </c>
      <c r="D1897" s="14" t="s">
        <v>2260</v>
      </c>
      <c r="E1897" s="12" t="s">
        <v>28</v>
      </c>
      <c r="F1897" s="13" t="s">
        <v>29</v>
      </c>
      <c r="G1897">
        <v>1</v>
      </c>
      <c r="H1897" t="s">
        <v>30</v>
      </c>
      <c r="I1897">
        <v>1</v>
      </c>
      <c r="J1897" s="15"/>
      <c r="K1897" s="16">
        <f>25979.27 - (25979.27 * $E$1)</f>
        <v>25979.27</v>
      </c>
      <c r="L1897" s="16">
        <f>21294.48 - (21294.48 * $E$1)</f>
        <v>21294.48</v>
      </c>
      <c r="M1897" s="1">
        <v>25979.27</v>
      </c>
      <c r="N1897" s="1">
        <v>21294.48</v>
      </c>
      <c r="O1897" s="1">
        <v>22082.38</v>
      </c>
      <c r="P1897" s="1">
        <v>18100.310000000001</v>
      </c>
      <c r="Q1897">
        <v>3.734</v>
      </c>
      <c r="R1897">
        <v>8.7379999999999992E-3</v>
      </c>
    </row>
    <row r="1898" spans="1:18" ht="13.8" outlineLevel="1" x14ac:dyDescent="0.25">
      <c r="A1898">
        <v>78541</v>
      </c>
      <c r="B1898" t="s">
        <v>2256</v>
      </c>
      <c r="C1898" t="s">
        <v>2261</v>
      </c>
      <c r="D1898" s="14" t="s">
        <v>2260</v>
      </c>
      <c r="E1898" s="12" t="s">
        <v>28</v>
      </c>
      <c r="F1898" s="13" t="s">
        <v>29</v>
      </c>
      <c r="G1898">
        <v>1</v>
      </c>
      <c r="H1898" t="s">
        <v>30</v>
      </c>
      <c r="I1898">
        <v>1</v>
      </c>
      <c r="J1898" s="15"/>
      <c r="K1898" s="16">
        <f>25979.27 - (25979.27 * $E$1)</f>
        <v>25979.27</v>
      </c>
      <c r="L1898" s="16">
        <f>21294.48 - (21294.48 * $E$1)</f>
        <v>21294.48</v>
      </c>
      <c r="M1898" s="1">
        <v>25979.27</v>
      </c>
      <c r="N1898" s="1">
        <v>21294.48</v>
      </c>
      <c r="O1898" s="1">
        <v>22082.38</v>
      </c>
      <c r="P1898" s="1">
        <v>18100.310000000001</v>
      </c>
      <c r="Q1898">
        <v>3.8839999999999999</v>
      </c>
      <c r="R1898">
        <v>8.8970000000000004E-3</v>
      </c>
    </row>
    <row r="1899" spans="1:18" ht="13.8" outlineLevel="1" x14ac:dyDescent="0.25">
      <c r="A1899">
        <v>81504</v>
      </c>
      <c r="B1899" t="s">
        <v>2262</v>
      </c>
      <c r="C1899" t="s">
        <v>2263</v>
      </c>
      <c r="D1899" s="14" t="s">
        <v>2264</v>
      </c>
      <c r="E1899" s="12" t="s">
        <v>28</v>
      </c>
      <c r="F1899" s="13" t="s">
        <v>29</v>
      </c>
      <c r="G1899">
        <v>10</v>
      </c>
      <c r="H1899" t="s">
        <v>30</v>
      </c>
      <c r="I1899">
        <v>10</v>
      </c>
      <c r="J1899" s="15"/>
      <c r="K1899" s="16">
        <f>654.18 - (654.18 * $E$1)</f>
        <v>654.17999999999995</v>
      </c>
      <c r="L1899" s="16">
        <f>536.21 - (536.21 * $E$1)</f>
        <v>536.21</v>
      </c>
      <c r="M1899" s="1">
        <v>654.17999999999995</v>
      </c>
      <c r="N1899" s="1">
        <v>536.21</v>
      </c>
      <c r="O1899" s="1">
        <v>556.04999999999995</v>
      </c>
      <c r="P1899" s="1">
        <v>455.78</v>
      </c>
      <c r="Q1899">
        <v>1.4E-2</v>
      </c>
      <c r="R1899">
        <v>1.25E-4</v>
      </c>
    </row>
    <row r="1900" spans="1:18" ht="13.8" outlineLevel="1" x14ac:dyDescent="0.25">
      <c r="A1900">
        <v>81505</v>
      </c>
      <c r="B1900" t="s">
        <v>2262</v>
      </c>
      <c r="C1900" t="s">
        <v>2265</v>
      </c>
      <c r="D1900" s="14" t="s">
        <v>2264</v>
      </c>
      <c r="E1900" s="12" t="s">
        <v>28</v>
      </c>
      <c r="F1900" s="13" t="s">
        <v>29</v>
      </c>
      <c r="G1900">
        <v>10</v>
      </c>
      <c r="H1900" t="s">
        <v>30</v>
      </c>
      <c r="I1900">
        <v>10</v>
      </c>
      <c r="J1900" s="15"/>
      <c r="K1900" s="16">
        <f>711.04 - (711.04 * $E$1)</f>
        <v>711.04</v>
      </c>
      <c r="L1900" s="16">
        <f>582.82 - (582.82 * $E$1)</f>
        <v>582.82000000000005</v>
      </c>
      <c r="M1900" s="1">
        <v>711.04</v>
      </c>
      <c r="N1900" s="1">
        <v>582.82000000000005</v>
      </c>
      <c r="O1900" s="1">
        <v>604.38</v>
      </c>
      <c r="P1900" s="1">
        <v>495.4</v>
      </c>
      <c r="Q1900">
        <v>2.3E-2</v>
      </c>
      <c r="R1900">
        <v>1.5750000000000001E-4</v>
      </c>
    </row>
    <row r="1901" spans="1:18" ht="13.8" outlineLevel="1" x14ac:dyDescent="0.25">
      <c r="A1901">
        <v>81508</v>
      </c>
      <c r="B1901" t="s">
        <v>2262</v>
      </c>
      <c r="C1901" t="s">
        <v>2266</v>
      </c>
      <c r="D1901" s="14" t="s">
        <v>2264</v>
      </c>
      <c r="E1901" s="12" t="s">
        <v>28</v>
      </c>
      <c r="F1901" s="13" t="s">
        <v>29</v>
      </c>
      <c r="G1901">
        <v>10</v>
      </c>
      <c r="H1901" t="s">
        <v>30</v>
      </c>
      <c r="I1901">
        <v>10</v>
      </c>
      <c r="J1901" s="15"/>
      <c r="K1901" s="16">
        <f>872.36 - (872.36 * $E$1)</f>
        <v>872.36</v>
      </c>
      <c r="L1901" s="16">
        <f>715.05 - (715.05 * $E$1)</f>
        <v>715.05</v>
      </c>
      <c r="M1901" s="1">
        <v>872.36</v>
      </c>
      <c r="N1901" s="1">
        <v>715.05</v>
      </c>
      <c r="O1901" s="1">
        <v>741.51</v>
      </c>
      <c r="P1901" s="1">
        <v>607.79</v>
      </c>
      <c r="Q1901">
        <v>1.7999999999999999E-2</v>
      </c>
      <c r="R1901">
        <v>1.3999999999999999E-4</v>
      </c>
    </row>
    <row r="1902" spans="1:18" ht="13.8" outlineLevel="1" x14ac:dyDescent="0.25">
      <c r="A1902">
        <v>70085</v>
      </c>
      <c r="B1902" t="s">
        <v>2262</v>
      </c>
      <c r="C1902" t="s">
        <v>2267</v>
      </c>
      <c r="D1902" s="14" t="s">
        <v>2268</v>
      </c>
      <c r="E1902" s="12" t="s">
        <v>28</v>
      </c>
      <c r="F1902" s="13" t="s">
        <v>29</v>
      </c>
      <c r="G1902">
        <v>10</v>
      </c>
      <c r="H1902" t="s">
        <v>30</v>
      </c>
      <c r="I1902">
        <v>10</v>
      </c>
      <c r="J1902" s="15"/>
      <c r="K1902" s="16">
        <f>649.87 - (649.87 * $E$1)</f>
        <v>649.87</v>
      </c>
      <c r="L1902" s="16">
        <f>532.68 - (532.68 * $E$1)</f>
        <v>532.67999999999995</v>
      </c>
      <c r="M1902" s="1">
        <v>649.87</v>
      </c>
      <c r="N1902" s="1">
        <v>532.67999999999995</v>
      </c>
      <c r="O1902" s="1">
        <v>552.39</v>
      </c>
      <c r="P1902" s="1">
        <v>452.78</v>
      </c>
      <c r="Q1902">
        <v>7.0000000000000007E-2</v>
      </c>
      <c r="R1902">
        <v>6.4479999999999995E-4</v>
      </c>
    </row>
    <row r="1903" spans="1:18" ht="13.8" outlineLevel="1" x14ac:dyDescent="0.25">
      <c r="A1903">
        <v>70086</v>
      </c>
      <c r="B1903" t="s">
        <v>2262</v>
      </c>
      <c r="C1903" t="s">
        <v>2269</v>
      </c>
      <c r="D1903" s="14" t="s">
        <v>2268</v>
      </c>
      <c r="E1903" s="12" t="s">
        <v>28</v>
      </c>
      <c r="F1903" s="13" t="s">
        <v>29</v>
      </c>
      <c r="G1903">
        <v>10</v>
      </c>
      <c r="H1903" t="s">
        <v>30</v>
      </c>
      <c r="I1903">
        <v>10</v>
      </c>
      <c r="J1903" s="15"/>
      <c r="K1903" s="16">
        <f>838.04 - (838.04 * $E$1)</f>
        <v>838.04</v>
      </c>
      <c r="L1903" s="16">
        <f>686.92 - (686.92 * $E$1)</f>
        <v>686.92</v>
      </c>
      <c r="M1903" s="1">
        <v>838.04</v>
      </c>
      <c r="N1903" s="1">
        <v>686.92</v>
      </c>
      <c r="O1903" s="1">
        <v>712.34</v>
      </c>
      <c r="P1903" s="1">
        <v>583.88</v>
      </c>
      <c r="Q1903">
        <v>0.09</v>
      </c>
      <c r="R1903">
        <v>9.856000000000001E-4</v>
      </c>
    </row>
    <row r="1904" spans="1:18" ht="13.8" outlineLevel="1" x14ac:dyDescent="0.25">
      <c r="A1904">
        <v>70087</v>
      </c>
      <c r="B1904" t="s">
        <v>2262</v>
      </c>
      <c r="C1904" t="s">
        <v>2270</v>
      </c>
      <c r="D1904" s="14" t="s">
        <v>2268</v>
      </c>
      <c r="E1904" s="12" t="s">
        <v>28</v>
      </c>
      <c r="F1904" s="13" t="s">
        <v>29</v>
      </c>
      <c r="G1904">
        <v>10</v>
      </c>
      <c r="H1904" t="s">
        <v>30</v>
      </c>
      <c r="I1904">
        <v>10</v>
      </c>
      <c r="J1904" s="15"/>
      <c r="K1904" s="16">
        <f>947.96 - (947.96 * $E$1)</f>
        <v>947.96</v>
      </c>
      <c r="L1904" s="16">
        <f>777.02 - (777.02 * $E$1)</f>
        <v>777.02</v>
      </c>
      <c r="M1904" s="1">
        <v>947.96</v>
      </c>
      <c r="N1904" s="1">
        <v>777.02</v>
      </c>
      <c r="O1904" s="1">
        <v>805.77</v>
      </c>
      <c r="P1904" s="1">
        <v>660.47</v>
      </c>
      <c r="Q1904">
        <v>0.21</v>
      </c>
      <c r="R1904">
        <v>7.4399999999999998E-4</v>
      </c>
    </row>
    <row r="1905" spans="1:18" ht="13.8" outlineLevel="1" x14ac:dyDescent="0.25">
      <c r="A1905">
        <v>83596</v>
      </c>
      <c r="B1905" t="s">
        <v>2262</v>
      </c>
      <c r="C1905" t="s">
        <v>2271</v>
      </c>
      <c r="D1905" s="14" t="s">
        <v>2268</v>
      </c>
      <c r="E1905" s="12" t="s">
        <v>28</v>
      </c>
      <c r="F1905" s="13" t="s">
        <v>29</v>
      </c>
      <c r="G1905">
        <v>4</v>
      </c>
      <c r="H1905" t="s">
        <v>30</v>
      </c>
      <c r="I1905">
        <v>4</v>
      </c>
      <c r="J1905" s="15"/>
      <c r="K1905" s="16">
        <f>1099.6 - (1099.6 * $E$1)</f>
        <v>1099.5999999999999</v>
      </c>
      <c r="L1905" s="16">
        <f>901.31 - (901.31 * $E$1)</f>
        <v>901.31</v>
      </c>
      <c r="M1905" s="1">
        <v>1099.5999999999999</v>
      </c>
      <c r="N1905" s="1">
        <v>901.31</v>
      </c>
      <c r="O1905" s="1">
        <v>934.66</v>
      </c>
      <c r="P1905" s="1">
        <v>766.11</v>
      </c>
      <c r="Q1905">
        <v>0.2</v>
      </c>
      <c r="R1905">
        <v>2.15E-3</v>
      </c>
    </row>
    <row r="1906" spans="1:18" ht="13.8" outlineLevel="1" x14ac:dyDescent="0.25">
      <c r="A1906">
        <v>70101</v>
      </c>
      <c r="B1906" t="s">
        <v>2262</v>
      </c>
      <c r="C1906" t="s">
        <v>2272</v>
      </c>
      <c r="D1906" s="14" t="s">
        <v>2268</v>
      </c>
      <c r="E1906" s="12" t="s">
        <v>28</v>
      </c>
      <c r="F1906" s="13" t="s">
        <v>29</v>
      </c>
      <c r="G1906">
        <v>10</v>
      </c>
      <c r="H1906" t="s">
        <v>30</v>
      </c>
      <c r="I1906">
        <v>10</v>
      </c>
      <c r="J1906" s="15"/>
      <c r="K1906" s="16">
        <f>430.82 - (430.82 * $E$1)</f>
        <v>430.82</v>
      </c>
      <c r="L1906" s="16">
        <f>353.13 - (353.13 * $E$1)</f>
        <v>353.13</v>
      </c>
      <c r="M1906" s="1">
        <v>430.82</v>
      </c>
      <c r="N1906" s="1">
        <v>353.13</v>
      </c>
      <c r="O1906" s="1">
        <v>366.2</v>
      </c>
      <c r="P1906" s="1">
        <v>300.16000000000003</v>
      </c>
      <c r="Q1906">
        <v>5.1999999999999998E-2</v>
      </c>
      <c r="R1906">
        <v>4.6799999999999999E-4</v>
      </c>
    </row>
    <row r="1907" spans="1:18" ht="13.8" outlineLevel="1" x14ac:dyDescent="0.25">
      <c r="A1907">
        <v>70102</v>
      </c>
      <c r="B1907" t="s">
        <v>2262</v>
      </c>
      <c r="C1907" t="s">
        <v>2273</v>
      </c>
      <c r="D1907" s="14" t="s">
        <v>2268</v>
      </c>
      <c r="E1907" s="12" t="s">
        <v>28</v>
      </c>
      <c r="F1907" s="13" t="s">
        <v>29</v>
      </c>
      <c r="G1907">
        <v>10</v>
      </c>
      <c r="H1907" t="s">
        <v>30</v>
      </c>
      <c r="I1907">
        <v>10</v>
      </c>
      <c r="J1907" s="15"/>
      <c r="K1907" s="16">
        <f>557.25 - (557.25 * $E$1)</f>
        <v>557.25</v>
      </c>
      <c r="L1907" s="16">
        <f>456.76 - (456.76 * $E$1)</f>
        <v>456.76</v>
      </c>
      <c r="M1907" s="1">
        <v>557.25</v>
      </c>
      <c r="N1907" s="1">
        <v>456.76</v>
      </c>
      <c r="O1907" s="1">
        <v>473.66</v>
      </c>
      <c r="P1907" s="1">
        <v>388.25</v>
      </c>
      <c r="Q1907">
        <v>9.7000000000000003E-2</v>
      </c>
      <c r="R1907">
        <v>6.2399999999999999E-4</v>
      </c>
    </row>
    <row r="1908" spans="1:18" ht="13.8" outlineLevel="1" x14ac:dyDescent="0.25">
      <c r="A1908">
        <v>70103</v>
      </c>
      <c r="B1908" t="s">
        <v>2262</v>
      </c>
      <c r="C1908" t="s">
        <v>2274</v>
      </c>
      <c r="D1908" s="14" t="s">
        <v>2268</v>
      </c>
      <c r="E1908" s="12" t="s">
        <v>28</v>
      </c>
      <c r="F1908" s="13" t="s">
        <v>29</v>
      </c>
      <c r="G1908">
        <v>10</v>
      </c>
      <c r="H1908" t="s">
        <v>30</v>
      </c>
      <c r="I1908">
        <v>10</v>
      </c>
      <c r="J1908" s="15"/>
      <c r="K1908" s="16">
        <f>811.68 - (811.68 * $E$1)</f>
        <v>811.68</v>
      </c>
      <c r="L1908" s="16">
        <f>665.31 - (665.31 * $E$1)</f>
        <v>665.31</v>
      </c>
      <c r="M1908" s="1">
        <v>811.68</v>
      </c>
      <c r="N1908" s="1">
        <v>665.31</v>
      </c>
      <c r="O1908" s="1">
        <v>689.93</v>
      </c>
      <c r="P1908" s="1">
        <v>565.51</v>
      </c>
      <c r="Q1908">
        <v>0.16</v>
      </c>
      <c r="R1908">
        <v>8.3699999999999996E-4</v>
      </c>
    </row>
    <row r="1909" spans="1:18" ht="13.8" outlineLevel="1" x14ac:dyDescent="0.25">
      <c r="A1909">
        <v>82239</v>
      </c>
      <c r="B1909" t="s">
        <v>2262</v>
      </c>
      <c r="C1909" t="s">
        <v>2275</v>
      </c>
      <c r="D1909" s="14" t="s">
        <v>2268</v>
      </c>
      <c r="E1909" s="12" t="s">
        <v>28</v>
      </c>
      <c r="F1909" s="13" t="s">
        <v>29</v>
      </c>
      <c r="G1909">
        <v>4</v>
      </c>
      <c r="H1909" t="s">
        <v>30</v>
      </c>
      <c r="I1909">
        <v>4</v>
      </c>
      <c r="J1909" s="15"/>
      <c r="K1909" s="16">
        <f>957.59 - (957.59 * $E$1)</f>
        <v>957.59</v>
      </c>
      <c r="L1909" s="16">
        <f>784.91 - (784.91 * $E$1)</f>
        <v>784.91</v>
      </c>
      <c r="M1909" s="1">
        <v>957.59</v>
      </c>
      <c r="N1909" s="1">
        <v>784.91</v>
      </c>
      <c r="O1909" s="1">
        <v>813.95</v>
      </c>
      <c r="P1909" s="1">
        <v>667.17</v>
      </c>
      <c r="Q1909">
        <v>0.16</v>
      </c>
      <c r="R1909">
        <v>4.2624999999999998E-4</v>
      </c>
    </row>
    <row r="1910" spans="1:18" ht="13.8" outlineLevel="1" x14ac:dyDescent="0.25">
      <c r="A1910">
        <v>70104</v>
      </c>
      <c r="B1910" t="s">
        <v>2262</v>
      </c>
      <c r="C1910" t="s">
        <v>2276</v>
      </c>
      <c r="D1910" s="14" t="s">
        <v>2268</v>
      </c>
      <c r="E1910" s="12" t="s">
        <v>28</v>
      </c>
      <c r="F1910" s="13" t="s">
        <v>29</v>
      </c>
      <c r="G1910">
        <v>10</v>
      </c>
      <c r="H1910" t="s">
        <v>30</v>
      </c>
      <c r="I1910">
        <v>10</v>
      </c>
      <c r="J1910" s="15"/>
      <c r="K1910" s="16">
        <f>522.51 - (522.51 * $E$1)</f>
        <v>522.51</v>
      </c>
      <c r="L1910" s="16">
        <f>428.29 - (428.29 * $E$1)</f>
        <v>428.29</v>
      </c>
      <c r="M1910" s="1">
        <v>522.51</v>
      </c>
      <c r="N1910" s="1">
        <v>428.29</v>
      </c>
      <c r="O1910" s="1">
        <v>444.14</v>
      </c>
      <c r="P1910" s="1">
        <v>364.05</v>
      </c>
      <c r="Q1910">
        <v>6.4000000000000001E-2</v>
      </c>
      <c r="R1910">
        <v>5.5800000000000001E-4</v>
      </c>
    </row>
    <row r="1911" spans="1:18" ht="13.8" outlineLevel="1" x14ac:dyDescent="0.25">
      <c r="A1911">
        <v>70094</v>
      </c>
      <c r="B1911" t="s">
        <v>2262</v>
      </c>
      <c r="C1911" t="s">
        <v>2277</v>
      </c>
      <c r="D1911" s="14" t="s">
        <v>2268</v>
      </c>
      <c r="E1911" s="12" t="s">
        <v>28</v>
      </c>
      <c r="F1911" s="13" t="s">
        <v>29</v>
      </c>
      <c r="G1911">
        <v>10</v>
      </c>
      <c r="H1911" t="s">
        <v>30</v>
      </c>
      <c r="I1911">
        <v>10</v>
      </c>
      <c r="J1911" s="15"/>
      <c r="K1911" s="16">
        <f>695.18 - (695.18 * $E$1)</f>
        <v>695.18</v>
      </c>
      <c r="L1911" s="16">
        <f>569.82 - (569.82 * $E$1)</f>
        <v>569.82000000000005</v>
      </c>
      <c r="M1911" s="1">
        <v>695.18</v>
      </c>
      <c r="N1911" s="1">
        <v>569.82000000000005</v>
      </c>
      <c r="O1911" s="1">
        <v>590.9</v>
      </c>
      <c r="P1911" s="1">
        <v>484.35</v>
      </c>
      <c r="Q1911">
        <v>0.1</v>
      </c>
      <c r="R1911">
        <v>4.1849999999999998E-4</v>
      </c>
    </row>
    <row r="1912" spans="1:18" ht="13.8" outlineLevel="1" x14ac:dyDescent="0.25">
      <c r="A1912">
        <v>70095</v>
      </c>
      <c r="B1912" t="s">
        <v>2262</v>
      </c>
      <c r="C1912" t="s">
        <v>2278</v>
      </c>
      <c r="D1912" s="14" t="s">
        <v>2268</v>
      </c>
      <c r="E1912" s="12" t="s">
        <v>28</v>
      </c>
      <c r="F1912" s="13" t="s">
        <v>29</v>
      </c>
      <c r="G1912">
        <v>10</v>
      </c>
      <c r="H1912" t="s">
        <v>30</v>
      </c>
      <c r="I1912">
        <v>10</v>
      </c>
      <c r="J1912" s="15"/>
      <c r="K1912" s="16">
        <f>911.45 - (911.45 * $E$1)</f>
        <v>911.45</v>
      </c>
      <c r="L1912" s="16">
        <f>747.09 - (747.09 * $E$1)</f>
        <v>747.09</v>
      </c>
      <c r="M1912" s="1">
        <v>911.45</v>
      </c>
      <c r="N1912" s="1">
        <v>747.09</v>
      </c>
      <c r="O1912" s="1">
        <v>774.73</v>
      </c>
      <c r="P1912" s="1">
        <v>635.03</v>
      </c>
      <c r="Q1912">
        <v>0.17</v>
      </c>
      <c r="R1912">
        <v>1.24E-3</v>
      </c>
    </row>
    <row r="1913" spans="1:18" ht="13.8" outlineLevel="1" x14ac:dyDescent="0.25">
      <c r="A1913">
        <v>84669</v>
      </c>
      <c r="B1913" t="s">
        <v>2262</v>
      </c>
      <c r="C1913" t="s">
        <v>2279</v>
      </c>
      <c r="D1913" s="14" t="s">
        <v>2280</v>
      </c>
      <c r="E1913" s="12" t="s">
        <v>28</v>
      </c>
      <c r="F1913" s="13" t="s">
        <v>29</v>
      </c>
      <c r="G1913">
        <v>10</v>
      </c>
      <c r="H1913" t="s">
        <v>30</v>
      </c>
      <c r="I1913">
        <v>10</v>
      </c>
      <c r="J1913" s="15"/>
      <c r="K1913" s="16">
        <f>535.56 - (535.56 * $E$1)</f>
        <v>535.55999999999995</v>
      </c>
      <c r="L1913" s="16">
        <f>438.98 - (438.98 * $E$1)</f>
        <v>438.98</v>
      </c>
      <c r="M1913" s="1">
        <v>535.55999999999995</v>
      </c>
      <c r="N1913" s="1">
        <v>438.98</v>
      </c>
      <c r="O1913" s="1">
        <v>455.22</v>
      </c>
      <c r="P1913" s="1">
        <v>373.13</v>
      </c>
      <c r="Q1913">
        <v>1.0999999999999999E-2</v>
      </c>
      <c r="R1913">
        <v>1.08E-4</v>
      </c>
    </row>
    <row r="1914" spans="1:18" ht="13.8" outlineLevel="1" x14ac:dyDescent="0.25">
      <c r="A1914">
        <v>84670</v>
      </c>
      <c r="B1914" t="s">
        <v>2262</v>
      </c>
      <c r="C1914" t="s">
        <v>2281</v>
      </c>
      <c r="D1914" s="14" t="s">
        <v>2280</v>
      </c>
      <c r="E1914" s="12" t="s">
        <v>28</v>
      </c>
      <c r="F1914" s="13" t="s">
        <v>29</v>
      </c>
      <c r="G1914">
        <v>10</v>
      </c>
      <c r="H1914" t="s">
        <v>30</v>
      </c>
      <c r="I1914">
        <v>10</v>
      </c>
      <c r="J1914" s="15"/>
      <c r="K1914" s="16">
        <f>555.48 - (555.48 * $E$1)</f>
        <v>555.48</v>
      </c>
      <c r="L1914" s="16">
        <f>455.31 - (455.31 * $E$1)</f>
        <v>455.31</v>
      </c>
      <c r="M1914" s="1">
        <v>555.48</v>
      </c>
      <c r="N1914" s="1">
        <v>455.31</v>
      </c>
      <c r="O1914" s="1">
        <v>472.16</v>
      </c>
      <c r="P1914" s="1">
        <v>387.01</v>
      </c>
      <c r="Q1914">
        <v>1.2E-2</v>
      </c>
      <c r="R1914">
        <v>1.7699999999999999E-4</v>
      </c>
    </row>
    <row r="1915" spans="1:18" ht="13.8" outlineLevel="1" x14ac:dyDescent="0.25">
      <c r="A1915">
        <v>84671</v>
      </c>
      <c r="B1915" t="s">
        <v>2262</v>
      </c>
      <c r="C1915" t="s">
        <v>2282</v>
      </c>
      <c r="D1915" s="14" t="s">
        <v>2280</v>
      </c>
      <c r="E1915" s="12" t="s">
        <v>28</v>
      </c>
      <c r="F1915" s="13" t="s">
        <v>29</v>
      </c>
      <c r="G1915">
        <v>10</v>
      </c>
      <c r="H1915" t="s">
        <v>30</v>
      </c>
      <c r="I1915">
        <v>10</v>
      </c>
      <c r="J1915" s="15"/>
      <c r="K1915" s="16">
        <f>576.69 - (576.69 * $E$1)</f>
        <v>576.69000000000005</v>
      </c>
      <c r="L1915" s="16">
        <f>472.7 - (472.7 * $E$1)</f>
        <v>472.7</v>
      </c>
      <c r="M1915" s="1">
        <v>576.69000000000005</v>
      </c>
      <c r="N1915" s="1">
        <v>472.7</v>
      </c>
      <c r="O1915" s="1">
        <v>490.19</v>
      </c>
      <c r="P1915" s="1">
        <v>401.8</v>
      </c>
      <c r="Q1915">
        <v>2.3E-2</v>
      </c>
      <c r="R1915">
        <v>1.2999999999999999E-4</v>
      </c>
    </row>
    <row r="1916" spans="1:18" ht="13.8" outlineLevel="1" x14ac:dyDescent="0.25">
      <c r="A1916">
        <v>84673</v>
      </c>
      <c r="B1916" t="s">
        <v>2262</v>
      </c>
      <c r="C1916" t="s">
        <v>2283</v>
      </c>
      <c r="D1916" s="14" t="s">
        <v>2280</v>
      </c>
      <c r="E1916" s="12" t="s">
        <v>28</v>
      </c>
      <c r="F1916" s="13" t="s">
        <v>29</v>
      </c>
      <c r="G1916">
        <v>10</v>
      </c>
      <c r="H1916" t="s">
        <v>30</v>
      </c>
      <c r="I1916">
        <v>10</v>
      </c>
      <c r="J1916" s="15"/>
      <c r="K1916" s="16">
        <f>742.16 - (742.16 * $E$1)</f>
        <v>742.16</v>
      </c>
      <c r="L1916" s="16">
        <f>608.33 - (608.33 * $E$1)</f>
        <v>608.33000000000004</v>
      </c>
      <c r="M1916" s="1">
        <v>742.16</v>
      </c>
      <c r="N1916" s="1">
        <v>608.33000000000004</v>
      </c>
      <c r="O1916" s="1">
        <v>630.84</v>
      </c>
      <c r="P1916" s="1">
        <v>517.08000000000004</v>
      </c>
      <c r="Q1916">
        <v>0.02</v>
      </c>
      <c r="R1916">
        <v>1.372E-4</v>
      </c>
    </row>
    <row r="1917" spans="1:18" ht="13.8" outlineLevel="1" x14ac:dyDescent="0.25">
      <c r="A1917">
        <v>66868</v>
      </c>
      <c r="B1917" t="s">
        <v>2262</v>
      </c>
      <c r="C1917" t="s">
        <v>2284</v>
      </c>
      <c r="D1917" s="14" t="s">
        <v>2285</v>
      </c>
      <c r="E1917" s="12" t="s">
        <v>28</v>
      </c>
      <c r="F1917" s="13" t="s">
        <v>29</v>
      </c>
      <c r="G1917">
        <v>10</v>
      </c>
      <c r="H1917" t="s">
        <v>30</v>
      </c>
      <c r="I1917">
        <v>10</v>
      </c>
      <c r="J1917" s="15"/>
      <c r="K1917" s="16">
        <f>281.58 - (281.58 * $E$1)</f>
        <v>281.58</v>
      </c>
      <c r="L1917" s="16">
        <f>230.8 - (230.8 * $E$1)</f>
        <v>230.8</v>
      </c>
      <c r="M1917" s="1">
        <v>281.58</v>
      </c>
      <c r="N1917" s="1">
        <v>230.8</v>
      </c>
      <c r="O1917" s="1">
        <v>239.34</v>
      </c>
      <c r="P1917" s="1">
        <v>196.18</v>
      </c>
      <c r="Q1917">
        <v>1.0999999999999999E-2</v>
      </c>
      <c r="R1917">
        <v>1.92E-4</v>
      </c>
    </row>
    <row r="1918" spans="1:18" ht="13.8" outlineLevel="1" x14ac:dyDescent="0.25">
      <c r="A1918">
        <v>66872</v>
      </c>
      <c r="B1918" t="s">
        <v>2262</v>
      </c>
      <c r="C1918" t="s">
        <v>2286</v>
      </c>
      <c r="D1918" s="14" t="s">
        <v>2285</v>
      </c>
      <c r="E1918" s="12" t="s">
        <v>28</v>
      </c>
      <c r="F1918" s="13" t="s">
        <v>29</v>
      </c>
      <c r="G1918">
        <v>10</v>
      </c>
      <c r="H1918" t="s">
        <v>30</v>
      </c>
      <c r="I1918">
        <v>10</v>
      </c>
      <c r="J1918" s="15"/>
      <c r="K1918" s="16">
        <f>516.52 - (516.52 * $E$1)</f>
        <v>516.52</v>
      </c>
      <c r="L1918" s="16">
        <f>423.38 - (423.38 * $E$1)</f>
        <v>423.38</v>
      </c>
      <c r="M1918" s="1">
        <v>516.52</v>
      </c>
      <c r="N1918" s="1">
        <v>423.38</v>
      </c>
      <c r="O1918" s="1">
        <v>439.05</v>
      </c>
      <c r="P1918" s="1">
        <v>359.87</v>
      </c>
      <c r="Q1918">
        <v>3.6999999999999998E-2</v>
      </c>
      <c r="R1918">
        <v>5.1999999999999995E-4</v>
      </c>
    </row>
    <row r="1919" spans="1:18" ht="13.8" outlineLevel="1" x14ac:dyDescent="0.25">
      <c r="A1919">
        <v>66873</v>
      </c>
      <c r="B1919" t="s">
        <v>2262</v>
      </c>
      <c r="C1919" t="s">
        <v>2287</v>
      </c>
      <c r="D1919" s="14" t="s">
        <v>2285</v>
      </c>
      <c r="E1919" s="12" t="s">
        <v>28</v>
      </c>
      <c r="F1919" s="13" t="s">
        <v>29</v>
      </c>
      <c r="G1919">
        <v>10</v>
      </c>
      <c r="H1919" t="s">
        <v>30</v>
      </c>
      <c r="I1919">
        <v>10</v>
      </c>
      <c r="J1919" s="15"/>
      <c r="K1919" s="16">
        <f>1090.85 - (1090.85 * $E$1)</f>
        <v>1090.8499999999999</v>
      </c>
      <c r="L1919" s="16">
        <f>894.14 - (894.14 * $E$1)</f>
        <v>894.14</v>
      </c>
      <c r="M1919" s="1">
        <v>1090.8499999999999</v>
      </c>
      <c r="N1919" s="1">
        <v>894.14</v>
      </c>
      <c r="O1919" s="1">
        <v>927.22</v>
      </c>
      <c r="P1919" s="1">
        <v>760.02</v>
      </c>
      <c r="Q1919">
        <v>0.11</v>
      </c>
      <c r="R1919">
        <v>1.0399999999999999E-3</v>
      </c>
    </row>
    <row r="1920" spans="1:18" ht="13.8" outlineLevel="1" x14ac:dyDescent="0.25">
      <c r="A1920">
        <v>67277</v>
      </c>
      <c r="B1920" t="s">
        <v>2262</v>
      </c>
      <c r="C1920" t="s">
        <v>2288</v>
      </c>
      <c r="D1920" s="14" t="s">
        <v>2285</v>
      </c>
      <c r="E1920" s="12" t="s">
        <v>28</v>
      </c>
      <c r="F1920" s="13" t="s">
        <v>29</v>
      </c>
      <c r="G1920">
        <v>10</v>
      </c>
      <c r="H1920" t="s">
        <v>30</v>
      </c>
      <c r="I1920">
        <v>10</v>
      </c>
      <c r="J1920" s="15"/>
      <c r="K1920" s="16">
        <f>405.92 - (405.92 * $E$1)</f>
        <v>405.92</v>
      </c>
      <c r="L1920" s="16">
        <f>332.72 - (332.72 * $E$1)</f>
        <v>332.72</v>
      </c>
      <c r="M1920" s="1">
        <v>405.92</v>
      </c>
      <c r="N1920" s="1">
        <v>332.72</v>
      </c>
      <c r="O1920" s="1">
        <v>345.03</v>
      </c>
      <c r="P1920" s="1">
        <v>282.81</v>
      </c>
      <c r="Q1920">
        <v>7.0000000000000007E-2</v>
      </c>
      <c r="R1920">
        <v>6.4479999999999995E-4</v>
      </c>
    </row>
    <row r="1921" spans="1:18" ht="13.8" outlineLevel="1" x14ac:dyDescent="0.25">
      <c r="A1921">
        <v>67278</v>
      </c>
      <c r="B1921" t="s">
        <v>2262</v>
      </c>
      <c r="C1921" t="s">
        <v>2289</v>
      </c>
      <c r="D1921" s="14" t="s">
        <v>2285</v>
      </c>
      <c r="E1921" s="12" t="s">
        <v>28</v>
      </c>
      <c r="F1921" s="13" t="s">
        <v>29</v>
      </c>
      <c r="G1921">
        <v>10</v>
      </c>
      <c r="H1921" t="s">
        <v>30</v>
      </c>
      <c r="I1921">
        <v>10</v>
      </c>
      <c r="J1921" s="15"/>
      <c r="K1921" s="16">
        <f>477.11 - (477.11 * $E$1)</f>
        <v>477.11</v>
      </c>
      <c r="L1921" s="16">
        <f>391.07 - (391.07 * $E$1)</f>
        <v>391.07</v>
      </c>
      <c r="M1921" s="1">
        <v>477.11</v>
      </c>
      <c r="N1921" s="1">
        <v>391.07</v>
      </c>
      <c r="O1921" s="1">
        <v>405.54</v>
      </c>
      <c r="P1921" s="1">
        <v>332.41</v>
      </c>
      <c r="Q1921">
        <v>0.09</v>
      </c>
      <c r="R1921">
        <v>9.856000000000001E-4</v>
      </c>
    </row>
    <row r="1922" spans="1:18" ht="13.8" outlineLevel="1" x14ac:dyDescent="0.25">
      <c r="A1922">
        <v>67279</v>
      </c>
      <c r="B1922" t="s">
        <v>2262</v>
      </c>
      <c r="C1922" t="s">
        <v>2290</v>
      </c>
      <c r="D1922" s="14" t="s">
        <v>2285</v>
      </c>
      <c r="E1922" s="12" t="s">
        <v>28</v>
      </c>
      <c r="F1922" s="13" t="s">
        <v>29</v>
      </c>
      <c r="G1922">
        <v>10</v>
      </c>
      <c r="H1922" t="s">
        <v>30</v>
      </c>
      <c r="I1922">
        <v>10</v>
      </c>
      <c r="J1922" s="15"/>
      <c r="K1922" s="16">
        <f>529.04 - (529.04 * $E$1)</f>
        <v>529.04</v>
      </c>
      <c r="L1922" s="16">
        <f>433.64 - (433.64 * $E$1)</f>
        <v>433.64</v>
      </c>
      <c r="M1922" s="1">
        <v>529.04</v>
      </c>
      <c r="N1922" s="1">
        <v>433.64</v>
      </c>
      <c r="O1922" s="1">
        <v>449.68</v>
      </c>
      <c r="P1922" s="1">
        <v>368.59</v>
      </c>
      <c r="Q1922">
        <v>0.21</v>
      </c>
      <c r="R1922">
        <v>1.24E-3</v>
      </c>
    </row>
    <row r="1923" spans="1:18" ht="13.8" outlineLevel="1" x14ac:dyDescent="0.25">
      <c r="A1923">
        <v>83586</v>
      </c>
      <c r="B1923" t="s">
        <v>2262</v>
      </c>
      <c r="C1923" t="s">
        <v>2291</v>
      </c>
      <c r="D1923" s="14" t="s">
        <v>2285</v>
      </c>
      <c r="E1923" s="12" t="s">
        <v>28</v>
      </c>
      <c r="F1923" s="13" t="s">
        <v>29</v>
      </c>
      <c r="G1923">
        <v>4</v>
      </c>
      <c r="H1923" t="s">
        <v>30</v>
      </c>
      <c r="I1923">
        <v>4</v>
      </c>
      <c r="J1923" s="15"/>
      <c r="K1923" s="16">
        <f>637.6 - (637.6 * $E$1)</f>
        <v>637.6</v>
      </c>
      <c r="L1923" s="16">
        <f>522.62 - (522.62 * $E$1)</f>
        <v>522.62</v>
      </c>
      <c r="M1923" s="1">
        <v>637.6</v>
      </c>
      <c r="N1923" s="1">
        <v>522.62</v>
      </c>
      <c r="O1923" s="1">
        <v>541.96</v>
      </c>
      <c r="P1923" s="1">
        <v>444.23</v>
      </c>
      <c r="Q1923">
        <v>0.2</v>
      </c>
      <c r="R1923">
        <v>5.4250000000000001E-4</v>
      </c>
    </row>
    <row r="1924" spans="1:18" ht="13.8" outlineLevel="1" x14ac:dyDescent="0.25">
      <c r="A1924">
        <v>60265</v>
      </c>
      <c r="B1924" t="s">
        <v>2262</v>
      </c>
      <c r="C1924" t="s">
        <v>2292</v>
      </c>
      <c r="D1924" s="14" t="s">
        <v>2285</v>
      </c>
      <c r="E1924" s="12" t="s">
        <v>28</v>
      </c>
      <c r="F1924" s="13" t="s">
        <v>29</v>
      </c>
      <c r="G1924">
        <v>10</v>
      </c>
      <c r="H1924" t="s">
        <v>30</v>
      </c>
      <c r="I1924">
        <v>10</v>
      </c>
      <c r="J1924" s="15"/>
      <c r="K1924" s="16">
        <f>312.84 - (312.84 * $E$1)</f>
        <v>312.83999999999997</v>
      </c>
      <c r="L1924" s="16">
        <f>256.43 - (256.43 * $E$1)</f>
        <v>256.43</v>
      </c>
      <c r="M1924" s="1">
        <v>312.83999999999997</v>
      </c>
      <c r="N1924" s="1">
        <v>256.43</v>
      </c>
      <c r="O1924" s="1">
        <v>265.92</v>
      </c>
      <c r="P1924" s="1">
        <v>217.97</v>
      </c>
      <c r="Q1924">
        <v>5.1999999999999998E-2</v>
      </c>
      <c r="R1924">
        <v>7.7999999999999999E-4</v>
      </c>
    </row>
    <row r="1925" spans="1:18" ht="13.8" outlineLevel="1" x14ac:dyDescent="0.25">
      <c r="A1925">
        <v>60266</v>
      </c>
      <c r="B1925" t="s">
        <v>2262</v>
      </c>
      <c r="C1925" t="s">
        <v>2293</v>
      </c>
      <c r="D1925" s="14" t="s">
        <v>2285</v>
      </c>
      <c r="E1925" s="12" t="s">
        <v>28</v>
      </c>
      <c r="F1925" s="13" t="s">
        <v>29</v>
      </c>
      <c r="G1925">
        <v>10</v>
      </c>
      <c r="H1925" t="s">
        <v>30</v>
      </c>
      <c r="I1925">
        <v>10</v>
      </c>
      <c r="J1925" s="15"/>
      <c r="K1925" s="16">
        <f>383.37 - (383.37 * $E$1)</f>
        <v>383.37</v>
      </c>
      <c r="L1925" s="16">
        <f>314.24 - (314.24 * $E$1)</f>
        <v>314.24</v>
      </c>
      <c r="M1925" s="1">
        <v>383.37</v>
      </c>
      <c r="N1925" s="1">
        <v>314.24</v>
      </c>
      <c r="O1925" s="1">
        <v>325.87</v>
      </c>
      <c r="P1925" s="1">
        <v>267.10000000000002</v>
      </c>
      <c r="Q1925">
        <v>9.5000000000000001E-2</v>
      </c>
      <c r="R1925">
        <v>1.0399999999999999E-3</v>
      </c>
    </row>
    <row r="1926" spans="1:18" ht="13.8" outlineLevel="1" x14ac:dyDescent="0.25">
      <c r="A1926">
        <v>60267</v>
      </c>
      <c r="B1926" t="s">
        <v>2262</v>
      </c>
      <c r="C1926" t="s">
        <v>2294</v>
      </c>
      <c r="D1926" s="14" t="s">
        <v>2285</v>
      </c>
      <c r="E1926" s="12" t="s">
        <v>28</v>
      </c>
      <c r="F1926" s="13" t="s">
        <v>29</v>
      </c>
      <c r="G1926">
        <v>10</v>
      </c>
      <c r="H1926" t="s">
        <v>30</v>
      </c>
      <c r="I1926">
        <v>10</v>
      </c>
      <c r="J1926" s="15"/>
      <c r="K1926" s="16">
        <f>534.81 - (534.81 * $E$1)</f>
        <v>534.80999999999995</v>
      </c>
      <c r="L1926" s="16">
        <f>438.37 - (438.37 * $E$1)</f>
        <v>438.37</v>
      </c>
      <c r="M1926" s="1">
        <v>534.80999999999995</v>
      </c>
      <c r="N1926" s="1">
        <v>438.37</v>
      </c>
      <c r="O1926" s="1">
        <v>454.59</v>
      </c>
      <c r="P1926" s="1">
        <v>372.61</v>
      </c>
      <c r="Q1926">
        <v>0.15</v>
      </c>
      <c r="R1926">
        <v>1.395E-3</v>
      </c>
    </row>
    <row r="1927" spans="1:18" ht="13.8" outlineLevel="1" x14ac:dyDescent="0.25">
      <c r="A1927">
        <v>82238</v>
      </c>
      <c r="B1927" t="s">
        <v>2262</v>
      </c>
      <c r="C1927" t="s">
        <v>2295</v>
      </c>
      <c r="D1927" s="14" t="s">
        <v>2285</v>
      </c>
      <c r="E1927" s="12" t="s">
        <v>28</v>
      </c>
      <c r="F1927" s="13" t="s">
        <v>29</v>
      </c>
      <c r="G1927">
        <v>4</v>
      </c>
      <c r="H1927" t="s">
        <v>30</v>
      </c>
      <c r="I1927">
        <v>4</v>
      </c>
      <c r="J1927" s="15"/>
      <c r="K1927" s="16">
        <f>595.19 - (595.19 * $E$1)</f>
        <v>595.19000000000005</v>
      </c>
      <c r="L1927" s="16">
        <f>487.86 - (487.86 * $E$1)</f>
        <v>487.86</v>
      </c>
      <c r="M1927" s="1">
        <v>595.19000000000005</v>
      </c>
      <c r="N1927" s="1">
        <v>487.86</v>
      </c>
      <c r="O1927" s="1">
        <v>505.91</v>
      </c>
      <c r="P1927" s="1">
        <v>414.68</v>
      </c>
      <c r="Q1927">
        <v>0.16</v>
      </c>
      <c r="R1927">
        <v>4.2624999999999998E-4</v>
      </c>
    </row>
    <row r="1928" spans="1:18" ht="13.8" outlineLevel="1" x14ac:dyDescent="0.25">
      <c r="A1928">
        <v>61193</v>
      </c>
      <c r="B1928" t="s">
        <v>2262</v>
      </c>
      <c r="C1928" t="s">
        <v>2296</v>
      </c>
      <c r="D1928" s="14" t="s">
        <v>2285</v>
      </c>
      <c r="E1928" s="12" t="s">
        <v>28</v>
      </c>
      <c r="F1928" s="13" t="s">
        <v>29</v>
      </c>
      <c r="G1928">
        <v>10</v>
      </c>
      <c r="H1928" t="s">
        <v>30</v>
      </c>
      <c r="I1928">
        <v>10</v>
      </c>
      <c r="J1928" s="15"/>
      <c r="K1928" s="16">
        <f>402.37 - (402.37 * $E$1)</f>
        <v>402.37</v>
      </c>
      <c r="L1928" s="16">
        <f>329.81 - (329.81 * $E$1)</f>
        <v>329.81</v>
      </c>
      <c r="M1928" s="1">
        <v>402.37</v>
      </c>
      <c r="N1928" s="1">
        <v>329.81</v>
      </c>
      <c r="O1928" s="1">
        <v>342.01</v>
      </c>
      <c r="P1928" s="1">
        <v>280.33999999999997</v>
      </c>
      <c r="Q1928">
        <v>5.8999999999999997E-2</v>
      </c>
      <c r="R1928">
        <v>5.5800000000000001E-4</v>
      </c>
    </row>
    <row r="1929" spans="1:18" ht="13.8" outlineLevel="1" x14ac:dyDescent="0.25">
      <c r="A1929">
        <v>60270</v>
      </c>
      <c r="B1929" t="s">
        <v>2262</v>
      </c>
      <c r="C1929" t="s">
        <v>2297</v>
      </c>
      <c r="D1929" s="14" t="s">
        <v>2285</v>
      </c>
      <c r="E1929" s="12" t="s">
        <v>28</v>
      </c>
      <c r="F1929" s="13" t="s">
        <v>29</v>
      </c>
      <c r="G1929">
        <v>10</v>
      </c>
      <c r="H1929" t="s">
        <v>30</v>
      </c>
      <c r="I1929">
        <v>10</v>
      </c>
      <c r="J1929" s="15"/>
      <c r="K1929" s="16">
        <f>532.84 - (532.84 * $E$1)</f>
        <v>532.84</v>
      </c>
      <c r="L1929" s="16">
        <f>436.75 - (436.75 * $E$1)</f>
        <v>436.75</v>
      </c>
      <c r="M1929" s="1">
        <v>532.84</v>
      </c>
      <c r="N1929" s="1">
        <v>436.75</v>
      </c>
      <c r="O1929" s="1">
        <v>452.91</v>
      </c>
      <c r="P1929" s="1">
        <v>371.24</v>
      </c>
      <c r="Q1929">
        <v>0.1</v>
      </c>
      <c r="R1929">
        <v>6.9749999999999999E-4</v>
      </c>
    </row>
    <row r="1930" spans="1:18" ht="13.8" outlineLevel="1" x14ac:dyDescent="0.25">
      <c r="A1930">
        <v>60271</v>
      </c>
      <c r="B1930" t="s">
        <v>2262</v>
      </c>
      <c r="C1930" t="s">
        <v>2298</v>
      </c>
      <c r="D1930" s="14" t="s">
        <v>2285</v>
      </c>
      <c r="E1930" s="12" t="s">
        <v>28</v>
      </c>
      <c r="F1930" s="13" t="s">
        <v>29</v>
      </c>
      <c r="G1930">
        <v>10</v>
      </c>
      <c r="H1930" t="s">
        <v>30</v>
      </c>
      <c r="I1930">
        <v>10</v>
      </c>
      <c r="J1930" s="15"/>
      <c r="K1930" s="16">
        <f>687.34 - (687.34 * $E$1)</f>
        <v>687.34</v>
      </c>
      <c r="L1930" s="16">
        <f>563.39 - (563.39 * $E$1)</f>
        <v>563.39</v>
      </c>
      <c r="M1930" s="1">
        <v>687.34</v>
      </c>
      <c r="N1930" s="1">
        <v>563.39</v>
      </c>
      <c r="O1930" s="1">
        <v>584.24</v>
      </c>
      <c r="P1930" s="1">
        <v>478.88</v>
      </c>
      <c r="Q1930">
        <v>0.17</v>
      </c>
      <c r="R1930">
        <v>1.5499999999999999E-3</v>
      </c>
    </row>
    <row r="1931" spans="1:18" ht="13.8" outlineLevel="1" x14ac:dyDescent="0.25">
      <c r="A1931">
        <v>60261</v>
      </c>
      <c r="B1931" t="s">
        <v>2262</v>
      </c>
      <c r="C1931" t="s">
        <v>2299</v>
      </c>
      <c r="D1931" s="14" t="s">
        <v>2300</v>
      </c>
      <c r="E1931" s="12" t="s">
        <v>28</v>
      </c>
      <c r="F1931" s="13" t="s">
        <v>29</v>
      </c>
      <c r="G1931">
        <v>10</v>
      </c>
      <c r="H1931" t="s">
        <v>30</v>
      </c>
      <c r="I1931">
        <v>10</v>
      </c>
      <c r="J1931" s="15"/>
      <c r="K1931" s="16">
        <f>452.1 - (452.1 * $E$1)</f>
        <v>452.1</v>
      </c>
      <c r="L1931" s="16">
        <f>370.57 - (370.57 * $E$1)</f>
        <v>370.57</v>
      </c>
      <c r="M1931" s="1">
        <v>452.1</v>
      </c>
      <c r="N1931" s="1">
        <v>370.57</v>
      </c>
      <c r="O1931" s="1">
        <v>384.28</v>
      </c>
      <c r="P1931" s="1">
        <v>314.98</v>
      </c>
      <c r="Q1931">
        <v>7.0000000000000007E-2</v>
      </c>
      <c r="R1931">
        <v>6.4479999999999995E-4</v>
      </c>
    </row>
    <row r="1932" spans="1:18" ht="13.8" outlineLevel="1" x14ac:dyDescent="0.25">
      <c r="A1932">
        <v>60262</v>
      </c>
      <c r="B1932" t="s">
        <v>2262</v>
      </c>
      <c r="C1932" t="s">
        <v>2301</v>
      </c>
      <c r="D1932" s="14" t="s">
        <v>2300</v>
      </c>
      <c r="E1932" s="12" t="s">
        <v>28</v>
      </c>
      <c r="F1932" s="13" t="s">
        <v>29</v>
      </c>
      <c r="G1932">
        <v>10</v>
      </c>
      <c r="H1932" t="s">
        <v>30</v>
      </c>
      <c r="I1932">
        <v>10</v>
      </c>
      <c r="J1932" s="15"/>
      <c r="K1932" s="16">
        <f>555.98 - (555.98 * $E$1)</f>
        <v>555.98</v>
      </c>
      <c r="L1932" s="16">
        <f>455.72 - (455.72 * $E$1)</f>
        <v>455.72</v>
      </c>
      <c r="M1932" s="1">
        <v>555.98</v>
      </c>
      <c r="N1932" s="1">
        <v>455.72</v>
      </c>
      <c r="O1932" s="1">
        <v>472.58</v>
      </c>
      <c r="P1932" s="1">
        <v>387.36</v>
      </c>
      <c r="Q1932">
        <v>0.09</v>
      </c>
      <c r="R1932">
        <v>9.856000000000001E-4</v>
      </c>
    </row>
    <row r="1933" spans="1:18" ht="13.8" outlineLevel="1" x14ac:dyDescent="0.25">
      <c r="A1933">
        <v>60263</v>
      </c>
      <c r="B1933" t="s">
        <v>2262</v>
      </c>
      <c r="C1933" t="s">
        <v>2302</v>
      </c>
      <c r="D1933" s="14" t="s">
        <v>2300</v>
      </c>
      <c r="E1933" s="12" t="s">
        <v>28</v>
      </c>
      <c r="F1933" s="13" t="s">
        <v>29</v>
      </c>
      <c r="G1933">
        <v>10</v>
      </c>
      <c r="H1933" t="s">
        <v>30</v>
      </c>
      <c r="I1933">
        <v>10</v>
      </c>
      <c r="J1933" s="15"/>
      <c r="K1933" s="16">
        <f>631.01 - (631.01 * $E$1)</f>
        <v>631.01</v>
      </c>
      <c r="L1933" s="16">
        <f>517.22 - (517.22 * $E$1)</f>
        <v>517.22</v>
      </c>
      <c r="M1933" s="1">
        <v>631.01</v>
      </c>
      <c r="N1933" s="1">
        <v>517.22</v>
      </c>
      <c r="O1933" s="1">
        <v>536.36</v>
      </c>
      <c r="P1933" s="1">
        <v>439.64</v>
      </c>
      <c r="Q1933">
        <v>0.19400000000000001</v>
      </c>
      <c r="R1933">
        <v>1.2852E-3</v>
      </c>
    </row>
    <row r="1934" spans="1:18" ht="13.8" outlineLevel="1" x14ac:dyDescent="0.25">
      <c r="A1934">
        <v>83595</v>
      </c>
      <c r="B1934" t="s">
        <v>2262</v>
      </c>
      <c r="C1934" t="s">
        <v>2303</v>
      </c>
      <c r="D1934" s="14" t="s">
        <v>2300</v>
      </c>
      <c r="E1934" s="12" t="s">
        <v>28</v>
      </c>
      <c r="F1934" s="13" t="s">
        <v>29</v>
      </c>
      <c r="G1934">
        <v>4</v>
      </c>
      <c r="H1934" t="s">
        <v>30</v>
      </c>
      <c r="I1934">
        <v>4</v>
      </c>
      <c r="J1934" s="15"/>
      <c r="K1934" s="16">
        <f>721.46 - (721.46 * $E$1)</f>
        <v>721.46</v>
      </c>
      <c r="L1934" s="16">
        <f>591.36 - (591.36 * $E$1)</f>
        <v>591.36</v>
      </c>
      <c r="M1934" s="1">
        <v>721.46</v>
      </c>
      <c r="N1934" s="1">
        <v>591.36</v>
      </c>
      <c r="O1934" s="1">
        <v>613.24</v>
      </c>
      <c r="P1934" s="1">
        <v>502.66</v>
      </c>
      <c r="Q1934">
        <v>0.2</v>
      </c>
      <c r="R1934">
        <v>5.4250000000000001E-4</v>
      </c>
    </row>
    <row r="1935" spans="1:18" ht="13.8" outlineLevel="1" x14ac:dyDescent="0.25">
      <c r="A1935">
        <v>65184</v>
      </c>
      <c r="B1935" t="s">
        <v>2304</v>
      </c>
      <c r="C1935" t="s">
        <v>2305</v>
      </c>
      <c r="D1935" s="14" t="s">
        <v>2306</v>
      </c>
      <c r="E1935" s="12" t="s">
        <v>28</v>
      </c>
      <c r="F1935" s="13" t="s">
        <v>29</v>
      </c>
      <c r="G1935">
        <v>50</v>
      </c>
      <c r="H1935" t="s">
        <v>30</v>
      </c>
      <c r="I1935">
        <v>50</v>
      </c>
      <c r="J1935" s="15"/>
      <c r="K1935" s="16">
        <f>19.83 - (19.83 * $E$1)</f>
        <v>19.829999999999998</v>
      </c>
      <c r="L1935" s="16">
        <f>16.25 - (16.25 * $E$1)</f>
        <v>16.25</v>
      </c>
      <c r="M1935" s="1">
        <v>19.829999999999998</v>
      </c>
      <c r="N1935" s="1">
        <v>16.25</v>
      </c>
      <c r="O1935" s="1">
        <v>16.850000000000001</v>
      </c>
      <c r="P1935" s="1">
        <v>13.81</v>
      </c>
      <c r="Q1935">
        <v>1.1999999999999999E-3</v>
      </c>
      <c r="R1935">
        <v>1.26E-6</v>
      </c>
    </row>
    <row r="1936" spans="1:18" ht="13.8" outlineLevel="1" x14ac:dyDescent="0.25">
      <c r="A1936">
        <v>57943</v>
      </c>
      <c r="B1936" t="s">
        <v>2304</v>
      </c>
      <c r="C1936" t="s">
        <v>2307</v>
      </c>
      <c r="D1936" s="14" t="s">
        <v>2306</v>
      </c>
      <c r="E1936" s="12" t="s">
        <v>28</v>
      </c>
      <c r="F1936" s="13" t="s">
        <v>29</v>
      </c>
      <c r="G1936">
        <v>50</v>
      </c>
      <c r="H1936" t="s">
        <v>30</v>
      </c>
      <c r="I1936">
        <v>50</v>
      </c>
      <c r="J1936" s="15"/>
      <c r="K1936" s="16">
        <f>32.71 - (32.71 * $E$1)</f>
        <v>32.71</v>
      </c>
      <c r="L1936" s="16">
        <f>26.81 - (26.81 * $E$1)</f>
        <v>26.81</v>
      </c>
      <c r="M1936" s="1">
        <v>32.71</v>
      </c>
      <c r="N1936" s="1">
        <v>26.81</v>
      </c>
      <c r="O1936" s="1">
        <v>27.8</v>
      </c>
      <c r="P1936" s="1">
        <v>22.79</v>
      </c>
      <c r="Q1936">
        <v>4.1999999999999997E-3</v>
      </c>
      <c r="R1936">
        <v>4.9599999999999999E-6</v>
      </c>
    </row>
    <row r="1937" spans="1:18" ht="13.8" outlineLevel="1" x14ac:dyDescent="0.25">
      <c r="A1937">
        <v>57944</v>
      </c>
      <c r="B1937" t="s">
        <v>2304</v>
      </c>
      <c r="C1937" t="s">
        <v>2308</v>
      </c>
      <c r="D1937" s="14" t="s">
        <v>2306</v>
      </c>
      <c r="E1937" s="12" t="s">
        <v>28</v>
      </c>
      <c r="F1937" s="13" t="s">
        <v>29</v>
      </c>
      <c r="G1937">
        <v>50</v>
      </c>
      <c r="H1937" t="s">
        <v>30</v>
      </c>
      <c r="I1937">
        <v>50</v>
      </c>
      <c r="J1937" s="15"/>
      <c r="K1937" s="16">
        <f>41.1 - (41.1 * $E$1)</f>
        <v>41.1</v>
      </c>
      <c r="L1937" s="16">
        <f>33.69 - (33.69 * $E$1)</f>
        <v>33.69</v>
      </c>
      <c r="M1937" s="1">
        <v>41.1</v>
      </c>
      <c r="N1937" s="1">
        <v>33.69</v>
      </c>
      <c r="O1937" s="1">
        <v>34.94</v>
      </c>
      <c r="P1937" s="1">
        <v>28.64</v>
      </c>
      <c r="Q1937">
        <v>7.4000000000000003E-3</v>
      </c>
      <c r="R1937">
        <v>5.4600000000000002E-6</v>
      </c>
    </row>
    <row r="1938" spans="1:18" ht="13.8" outlineLevel="1" x14ac:dyDescent="0.25">
      <c r="A1938">
        <v>57945</v>
      </c>
      <c r="B1938" t="s">
        <v>2304</v>
      </c>
      <c r="C1938" t="s">
        <v>2309</v>
      </c>
      <c r="D1938" s="14" t="s">
        <v>2306</v>
      </c>
      <c r="E1938" s="12" t="s">
        <v>28</v>
      </c>
      <c r="F1938" s="13" t="s">
        <v>29</v>
      </c>
      <c r="G1938">
        <v>50</v>
      </c>
      <c r="H1938" t="s">
        <v>30</v>
      </c>
      <c r="I1938">
        <v>50</v>
      </c>
      <c r="J1938" s="15"/>
      <c r="K1938" s="16">
        <f>54.63 - (54.63 * $E$1)</f>
        <v>54.63</v>
      </c>
      <c r="L1938" s="16">
        <f>44.78 - (44.78 * $E$1)</f>
        <v>44.78</v>
      </c>
      <c r="M1938" s="1">
        <v>54.63</v>
      </c>
      <c r="N1938" s="1">
        <v>44.78</v>
      </c>
      <c r="O1938" s="1">
        <v>46.44</v>
      </c>
      <c r="P1938" s="1">
        <v>38.06</v>
      </c>
      <c r="Q1938">
        <v>1.4800000000000001E-2</v>
      </c>
      <c r="R1938">
        <v>1.4260000000000001E-5</v>
      </c>
    </row>
    <row r="1939" spans="1:18" ht="13.8" outlineLevel="1" x14ac:dyDescent="0.25">
      <c r="A1939">
        <v>57946</v>
      </c>
      <c r="B1939" t="s">
        <v>2304</v>
      </c>
      <c r="C1939" t="s">
        <v>2310</v>
      </c>
      <c r="D1939" s="14" t="s">
        <v>2306</v>
      </c>
      <c r="E1939" s="12" t="s">
        <v>28</v>
      </c>
      <c r="F1939" s="13" t="s">
        <v>29</v>
      </c>
      <c r="G1939">
        <v>50</v>
      </c>
      <c r="H1939" t="s">
        <v>30</v>
      </c>
      <c r="I1939">
        <v>50</v>
      </c>
      <c r="J1939" s="15"/>
      <c r="K1939" s="16">
        <f>78.01 - (78.01 * $E$1)</f>
        <v>78.010000000000005</v>
      </c>
      <c r="L1939" s="16">
        <f>63.94 - (63.94 * $E$1)</f>
        <v>63.94</v>
      </c>
      <c r="M1939" s="1">
        <v>78.010000000000005</v>
      </c>
      <c r="N1939" s="1">
        <v>63.94</v>
      </c>
      <c r="O1939" s="1">
        <v>66.31</v>
      </c>
      <c r="P1939" s="1">
        <v>54.35</v>
      </c>
      <c r="Q1939">
        <v>2.5999999999999999E-2</v>
      </c>
      <c r="R1939">
        <v>2.3459999999999999E-5</v>
      </c>
    </row>
    <row r="1940" spans="1:18" ht="13.8" outlineLevel="1" x14ac:dyDescent="0.25">
      <c r="A1940">
        <v>57947</v>
      </c>
      <c r="B1940" t="s">
        <v>2304</v>
      </c>
      <c r="C1940" t="s">
        <v>2311</v>
      </c>
      <c r="D1940" s="14" t="s">
        <v>2306</v>
      </c>
      <c r="E1940" s="12" t="s">
        <v>28</v>
      </c>
      <c r="F1940" s="13" t="s">
        <v>29</v>
      </c>
      <c r="G1940">
        <v>50</v>
      </c>
      <c r="H1940" t="s">
        <v>30</v>
      </c>
      <c r="I1940">
        <v>50</v>
      </c>
      <c r="J1940" s="15"/>
      <c r="K1940" s="16">
        <f>135.71 - (135.71 * $E$1)</f>
        <v>135.71</v>
      </c>
      <c r="L1940" s="16">
        <f>111.24 - (111.24 * $E$1)</f>
        <v>111.24</v>
      </c>
      <c r="M1940" s="1">
        <v>135.71</v>
      </c>
      <c r="N1940" s="1">
        <v>111.24</v>
      </c>
      <c r="O1940" s="1">
        <v>115.36</v>
      </c>
      <c r="P1940" s="1">
        <v>94.55</v>
      </c>
      <c r="Q1940">
        <v>4.5999999999999999E-2</v>
      </c>
      <c r="R1940">
        <v>4.4799999999999998E-5</v>
      </c>
    </row>
    <row r="1941" spans="1:18" ht="13.8" outlineLevel="1" x14ac:dyDescent="0.25">
      <c r="A1941">
        <v>89429</v>
      </c>
      <c r="B1941" t="s">
        <v>2312</v>
      </c>
      <c r="C1941" t="s">
        <v>2313</v>
      </c>
      <c r="D1941" s="14" t="s">
        <v>2314</v>
      </c>
      <c r="E1941" s="12" t="s">
        <v>28</v>
      </c>
      <c r="F1941" s="13" t="s">
        <v>29</v>
      </c>
      <c r="G1941">
        <v>1</v>
      </c>
      <c r="H1941" t="s">
        <v>30</v>
      </c>
      <c r="I1941">
        <v>1</v>
      </c>
      <c r="J1941" s="15"/>
      <c r="K1941" s="16">
        <f>2167.18 - (2167.18 * $E$1)</f>
        <v>2167.1799999999998</v>
      </c>
      <c r="L1941" s="16">
        <f>1776.38 - (1776.38 * $E$1)</f>
        <v>1776.38</v>
      </c>
      <c r="M1941" s="1">
        <v>2167.1799999999998</v>
      </c>
      <c r="N1941" s="1">
        <v>1776.38</v>
      </c>
      <c r="O1941" s="1">
        <v>1842.11</v>
      </c>
      <c r="P1941" s="1">
        <v>1509.92</v>
      </c>
      <c r="Q1941">
        <v>0.6</v>
      </c>
      <c r="R1941">
        <v>1.92E-3</v>
      </c>
    </row>
    <row r="1942" spans="1:18" ht="13.8" outlineLevel="1" x14ac:dyDescent="0.25">
      <c r="A1942">
        <v>74809</v>
      </c>
      <c r="B1942" t="s">
        <v>2312</v>
      </c>
      <c r="C1942" t="s">
        <v>2315</v>
      </c>
      <c r="D1942" s="14" t="s">
        <v>2314</v>
      </c>
      <c r="E1942" s="12" t="s">
        <v>28</v>
      </c>
      <c r="F1942" s="13" t="s">
        <v>29</v>
      </c>
      <c r="G1942">
        <v>1</v>
      </c>
      <c r="H1942" t="s">
        <v>30</v>
      </c>
      <c r="I1942">
        <v>1</v>
      </c>
      <c r="J1942" s="15"/>
      <c r="K1942" s="16">
        <f>2375.8 - (2375.8 * $E$1)</f>
        <v>2375.8000000000002</v>
      </c>
      <c r="L1942" s="16">
        <f>1947.38 - (1947.38 * $E$1)</f>
        <v>1947.38</v>
      </c>
      <c r="M1942" s="1">
        <v>2375.8000000000002</v>
      </c>
      <c r="N1942" s="1">
        <v>1947.38</v>
      </c>
      <c r="O1942" s="1">
        <v>2019.43</v>
      </c>
      <c r="P1942" s="1">
        <v>1655.27</v>
      </c>
      <c r="Q1942">
        <v>0.6</v>
      </c>
      <c r="R1942">
        <v>2.2799999999999999E-3</v>
      </c>
    </row>
    <row r="1943" spans="1:18" ht="13.8" outlineLevel="1" x14ac:dyDescent="0.25">
      <c r="A1943">
        <v>74810</v>
      </c>
      <c r="B1943" t="s">
        <v>2312</v>
      </c>
      <c r="C1943" t="s">
        <v>2316</v>
      </c>
      <c r="D1943" s="14" t="s">
        <v>2314</v>
      </c>
      <c r="E1943" s="12" t="s">
        <v>28</v>
      </c>
      <c r="F1943" s="13" t="s">
        <v>29</v>
      </c>
      <c r="G1943">
        <v>1</v>
      </c>
      <c r="H1943" t="s">
        <v>30</v>
      </c>
      <c r="I1943">
        <v>1</v>
      </c>
      <c r="J1943" s="15"/>
      <c r="K1943" s="16">
        <f>2819.74 - (2819.74 * $E$1)</f>
        <v>2819.74</v>
      </c>
      <c r="L1943" s="16">
        <f>2311.26 - (2311.26 * $E$1)</f>
        <v>2311.2600000000002</v>
      </c>
      <c r="M1943" s="1">
        <v>2819.74</v>
      </c>
      <c r="N1943" s="1">
        <v>2311.2600000000002</v>
      </c>
      <c r="O1943" s="1">
        <v>2396.7800000000002</v>
      </c>
      <c r="P1943" s="1">
        <v>1964.57</v>
      </c>
      <c r="Q1943">
        <v>0.56999999999999995</v>
      </c>
      <c r="R1943">
        <v>2.3999999999999998E-3</v>
      </c>
    </row>
    <row r="1944" spans="1:18" ht="13.8" outlineLevel="1" x14ac:dyDescent="0.25">
      <c r="A1944">
        <v>74811</v>
      </c>
      <c r="B1944" t="s">
        <v>2312</v>
      </c>
      <c r="C1944" t="s">
        <v>2317</v>
      </c>
      <c r="D1944" s="14" t="s">
        <v>2314</v>
      </c>
      <c r="E1944" s="12" t="s">
        <v>28</v>
      </c>
      <c r="F1944" s="13" t="s">
        <v>29</v>
      </c>
      <c r="G1944">
        <v>1</v>
      </c>
      <c r="H1944" t="s">
        <v>30</v>
      </c>
      <c r="I1944">
        <v>1</v>
      </c>
      <c r="J1944" s="15"/>
      <c r="K1944" s="16">
        <f>3226.47 - (3226.47 * $E$1)</f>
        <v>3226.47</v>
      </c>
      <c r="L1944" s="16">
        <f>2644.65 - (2644.65 * $E$1)</f>
        <v>2644.65</v>
      </c>
      <c r="M1944" s="1">
        <v>3226.47</v>
      </c>
      <c r="N1944" s="1">
        <v>2644.65</v>
      </c>
      <c r="O1944" s="1">
        <v>2742.5</v>
      </c>
      <c r="P1944" s="1">
        <v>2247.9499999999998</v>
      </c>
      <c r="Q1944">
        <v>0.7</v>
      </c>
      <c r="R1944">
        <v>3.63E-3</v>
      </c>
    </row>
    <row r="1945" spans="1:18" ht="13.8" outlineLevel="1" x14ac:dyDescent="0.25">
      <c r="A1945">
        <v>74813</v>
      </c>
      <c r="B1945" t="s">
        <v>2312</v>
      </c>
      <c r="C1945" t="s">
        <v>2318</v>
      </c>
      <c r="D1945" s="14" t="s">
        <v>2314</v>
      </c>
      <c r="E1945" s="12" t="s">
        <v>28</v>
      </c>
      <c r="F1945" s="13" t="s">
        <v>29</v>
      </c>
      <c r="G1945">
        <v>1</v>
      </c>
      <c r="H1945" t="s">
        <v>30</v>
      </c>
      <c r="I1945">
        <v>1</v>
      </c>
      <c r="J1945" s="15"/>
      <c r="K1945" s="16">
        <f>4019.34 - (4019.34 * $E$1)</f>
        <v>4019.34</v>
      </c>
      <c r="L1945" s="16">
        <f>3294.54 - (3294.54 * $E$1)</f>
        <v>3294.54</v>
      </c>
      <c r="M1945" s="1">
        <v>4019.34</v>
      </c>
      <c r="N1945" s="1">
        <v>3294.54</v>
      </c>
      <c r="O1945" s="1">
        <v>3416.44</v>
      </c>
      <c r="P1945" s="1">
        <v>2800.36</v>
      </c>
      <c r="Q1945">
        <v>0.83</v>
      </c>
      <c r="R1945">
        <v>4.5599999999999998E-3</v>
      </c>
    </row>
    <row r="1946" spans="1:18" ht="13.8" outlineLevel="1" x14ac:dyDescent="0.25">
      <c r="A1946">
        <v>74815</v>
      </c>
      <c r="B1946" t="s">
        <v>2312</v>
      </c>
      <c r="C1946" t="s">
        <v>2319</v>
      </c>
      <c r="D1946" s="14" t="s">
        <v>2314</v>
      </c>
      <c r="E1946" s="12" t="s">
        <v>28</v>
      </c>
      <c r="F1946" s="13" t="s">
        <v>29</v>
      </c>
      <c r="G1946">
        <v>1</v>
      </c>
      <c r="H1946" t="s">
        <v>30</v>
      </c>
      <c r="I1946">
        <v>1</v>
      </c>
      <c r="J1946" s="15"/>
      <c r="K1946" s="16">
        <f>4466.31 - (4466.31 * $E$1)</f>
        <v>4466.3100000000004</v>
      </c>
      <c r="L1946" s="16">
        <f>3660.91 - (3660.91 * $E$1)</f>
        <v>3660.91</v>
      </c>
      <c r="M1946" s="1">
        <v>4466.3100000000004</v>
      </c>
      <c r="N1946" s="1">
        <v>3660.91</v>
      </c>
      <c r="O1946" s="1">
        <v>3796.36</v>
      </c>
      <c r="P1946" s="1">
        <v>3111.77</v>
      </c>
      <c r="Q1946">
        <v>1</v>
      </c>
      <c r="R1946">
        <v>5.64E-3</v>
      </c>
    </row>
    <row r="1947" spans="1:18" ht="13.8" outlineLevel="1" x14ac:dyDescent="0.25">
      <c r="A1947">
        <v>74818</v>
      </c>
      <c r="B1947" t="s">
        <v>2312</v>
      </c>
      <c r="C1947" t="s">
        <v>2320</v>
      </c>
      <c r="D1947" s="14" t="s">
        <v>2314</v>
      </c>
      <c r="E1947" s="12" t="s">
        <v>28</v>
      </c>
      <c r="F1947" s="13" t="s">
        <v>29</v>
      </c>
      <c r="G1947">
        <v>1</v>
      </c>
      <c r="H1947" t="s">
        <v>30</v>
      </c>
      <c r="I1947">
        <v>1</v>
      </c>
      <c r="J1947" s="15"/>
      <c r="K1947" s="16">
        <f>5293.82 - (5293.82 * $E$1)</f>
        <v>5293.82</v>
      </c>
      <c r="L1947" s="16">
        <f>4339.2 - (4339.2 * $E$1)</f>
        <v>4339.2</v>
      </c>
      <c r="M1947" s="1">
        <v>5293.82</v>
      </c>
      <c r="N1947" s="1">
        <v>4339.2</v>
      </c>
      <c r="O1947" s="1">
        <v>4499.75</v>
      </c>
      <c r="P1947" s="1">
        <v>3688.32</v>
      </c>
      <c r="Q1947">
        <v>0.92</v>
      </c>
      <c r="R1947">
        <v>4.3200000000000001E-3</v>
      </c>
    </row>
    <row r="1948" spans="1:18" ht="13.8" outlineLevel="1" x14ac:dyDescent="0.25">
      <c r="A1948">
        <v>74819</v>
      </c>
      <c r="B1948" t="s">
        <v>2312</v>
      </c>
      <c r="C1948" t="s">
        <v>2321</v>
      </c>
      <c r="D1948" s="14" t="s">
        <v>2314</v>
      </c>
      <c r="E1948" s="12" t="s">
        <v>28</v>
      </c>
      <c r="F1948" s="13" t="s">
        <v>29</v>
      </c>
      <c r="G1948">
        <v>1</v>
      </c>
      <c r="H1948" t="s">
        <v>30</v>
      </c>
      <c r="I1948">
        <v>1</v>
      </c>
      <c r="J1948" s="15"/>
      <c r="K1948" s="16">
        <f>6189.19 - (6189.19 * $E$1)</f>
        <v>6189.19</v>
      </c>
      <c r="L1948" s="16">
        <f>5073.11 - (5073.11 * $E$1)</f>
        <v>5073.1099999999997</v>
      </c>
      <c r="M1948" s="1">
        <v>6189.19</v>
      </c>
      <c r="N1948" s="1">
        <v>5073.1099999999997</v>
      </c>
      <c r="O1948" s="1">
        <v>5260.82</v>
      </c>
      <c r="P1948" s="1">
        <v>4312.1400000000003</v>
      </c>
      <c r="Q1948">
        <v>1.1399999999999999</v>
      </c>
      <c r="R1948">
        <v>5.8799999999999998E-3</v>
      </c>
    </row>
    <row r="1949" spans="1:18" ht="13.8" outlineLevel="1" x14ac:dyDescent="0.25">
      <c r="A1949">
        <v>89431</v>
      </c>
      <c r="B1949" t="s">
        <v>2312</v>
      </c>
      <c r="C1949" t="s">
        <v>2322</v>
      </c>
      <c r="D1949" s="14" t="s">
        <v>2314</v>
      </c>
      <c r="E1949" s="12" t="s">
        <v>28</v>
      </c>
      <c r="F1949" s="13" t="s">
        <v>29</v>
      </c>
      <c r="G1949">
        <v>1</v>
      </c>
      <c r="H1949" t="s">
        <v>30</v>
      </c>
      <c r="I1949">
        <v>1</v>
      </c>
      <c r="J1949" s="15"/>
      <c r="K1949" s="16">
        <f>6999.43 - (6999.43 * $E$1)</f>
        <v>6999.43</v>
      </c>
      <c r="L1949" s="16">
        <f>5737.24 - (5737.24 * $E$1)</f>
        <v>5737.24</v>
      </c>
      <c r="M1949" s="1">
        <v>6999.43</v>
      </c>
      <c r="N1949" s="1">
        <v>5737.24</v>
      </c>
      <c r="O1949" s="1">
        <v>5949.52</v>
      </c>
      <c r="P1949" s="1">
        <v>4876.6499999999996</v>
      </c>
      <c r="Q1949">
        <v>1.7</v>
      </c>
      <c r="R1949">
        <v>1.008E-2</v>
      </c>
    </row>
    <row r="1950" spans="1:18" ht="13.8" outlineLevel="1" x14ac:dyDescent="0.25">
      <c r="A1950">
        <v>89430</v>
      </c>
      <c r="B1950" t="s">
        <v>2312</v>
      </c>
      <c r="C1950" t="s">
        <v>2323</v>
      </c>
      <c r="D1950" s="14" t="s">
        <v>2314</v>
      </c>
      <c r="E1950" s="12" t="s">
        <v>28</v>
      </c>
      <c r="F1950" s="13" t="s">
        <v>29</v>
      </c>
      <c r="G1950">
        <v>1</v>
      </c>
      <c r="H1950" t="s">
        <v>30</v>
      </c>
      <c r="I1950">
        <v>1</v>
      </c>
      <c r="J1950" s="15"/>
      <c r="K1950" s="16">
        <f>1274.62 - (1274.62 * $E$1)</f>
        <v>1274.6199999999999</v>
      </c>
      <c r="L1950" s="16">
        <f>1044.77 - (1044.77 * $E$1)</f>
        <v>1044.77</v>
      </c>
      <c r="M1950" s="1">
        <v>1274.6199999999999</v>
      </c>
      <c r="N1950" s="1">
        <v>1044.77</v>
      </c>
      <c r="O1950" s="1">
        <v>1083.43</v>
      </c>
      <c r="P1950" s="1">
        <v>888.05</v>
      </c>
      <c r="Q1950">
        <v>0.2</v>
      </c>
      <c r="R1950">
        <v>1.395E-3</v>
      </c>
    </row>
    <row r="1951" spans="1:18" ht="13.8" outlineLevel="1" x14ac:dyDescent="0.25">
      <c r="A1951">
        <v>81137</v>
      </c>
      <c r="B1951" t="s">
        <v>2312</v>
      </c>
      <c r="C1951" t="s">
        <v>2324</v>
      </c>
      <c r="D1951" s="14" t="s">
        <v>2314</v>
      </c>
      <c r="E1951" s="12" t="s">
        <v>28</v>
      </c>
      <c r="F1951" s="13" t="s">
        <v>29</v>
      </c>
      <c r="G1951">
        <v>1</v>
      </c>
      <c r="H1951" t="s">
        <v>30</v>
      </c>
      <c r="I1951">
        <v>1</v>
      </c>
      <c r="J1951" s="15"/>
      <c r="K1951" s="16">
        <f>1408.01 - (1408.01 * $E$1)</f>
        <v>1408.01</v>
      </c>
      <c r="L1951" s="16">
        <f>1154.11 - (1154.11 * $E$1)</f>
        <v>1154.1099999999999</v>
      </c>
      <c r="M1951" s="1">
        <v>1408.01</v>
      </c>
      <c r="N1951" s="1">
        <v>1154.1099999999999</v>
      </c>
      <c r="O1951" s="1">
        <v>1196.81</v>
      </c>
      <c r="P1951" s="1">
        <v>980.99</v>
      </c>
      <c r="Q1951">
        <v>0.27</v>
      </c>
      <c r="R1951">
        <v>2.16E-3</v>
      </c>
    </row>
    <row r="1952" spans="1:18" ht="13.8" outlineLevel="1" x14ac:dyDescent="0.25">
      <c r="A1952">
        <v>81138</v>
      </c>
      <c r="B1952" t="s">
        <v>2312</v>
      </c>
      <c r="C1952" t="s">
        <v>2325</v>
      </c>
      <c r="D1952" s="14" t="s">
        <v>2314</v>
      </c>
      <c r="E1952" s="12" t="s">
        <v>28</v>
      </c>
      <c r="F1952" s="13" t="s">
        <v>29</v>
      </c>
      <c r="G1952">
        <v>1</v>
      </c>
      <c r="H1952" t="s">
        <v>30</v>
      </c>
      <c r="I1952">
        <v>1</v>
      </c>
      <c r="J1952" s="15"/>
      <c r="K1952" s="16">
        <f>1577.77 - (1577.77 * $E$1)</f>
        <v>1577.77</v>
      </c>
      <c r="L1952" s="16">
        <f>1293.25 - (1293.25 * $E$1)</f>
        <v>1293.25</v>
      </c>
      <c r="M1952" s="1">
        <v>1577.77</v>
      </c>
      <c r="N1952" s="1">
        <v>1293.25</v>
      </c>
      <c r="O1952" s="1">
        <v>1341.1</v>
      </c>
      <c r="P1952" s="1">
        <v>1099.26</v>
      </c>
      <c r="Q1952">
        <v>0.33</v>
      </c>
      <c r="R1952">
        <v>1.32E-3</v>
      </c>
    </row>
    <row r="1953" spans="1:18" ht="13.8" outlineLevel="1" x14ac:dyDescent="0.25">
      <c r="A1953">
        <v>81139</v>
      </c>
      <c r="B1953" t="s">
        <v>2312</v>
      </c>
      <c r="C1953" t="s">
        <v>2326</v>
      </c>
      <c r="D1953" s="14" t="s">
        <v>2314</v>
      </c>
      <c r="E1953" s="12" t="s">
        <v>28</v>
      </c>
      <c r="F1953" s="13" t="s">
        <v>29</v>
      </c>
      <c r="G1953">
        <v>1</v>
      </c>
      <c r="H1953" t="s">
        <v>30</v>
      </c>
      <c r="I1953">
        <v>1</v>
      </c>
      <c r="J1953" s="15"/>
      <c r="K1953" s="16">
        <f>1804.23 - (1804.23 * $E$1)</f>
        <v>1804.23</v>
      </c>
      <c r="L1953" s="16">
        <f>1478.88 - (1478.88 * $E$1)</f>
        <v>1478.88</v>
      </c>
      <c r="M1953" s="1">
        <v>1804.23</v>
      </c>
      <c r="N1953" s="1">
        <v>1478.88</v>
      </c>
      <c r="O1953" s="1">
        <v>1533.6</v>
      </c>
      <c r="P1953" s="1">
        <v>1257.05</v>
      </c>
      <c r="Q1953">
        <v>0.36</v>
      </c>
      <c r="R1953">
        <v>1.8E-3</v>
      </c>
    </row>
    <row r="1954" spans="1:18" ht="13.8" outlineLevel="1" x14ac:dyDescent="0.25">
      <c r="A1954">
        <v>81140</v>
      </c>
      <c r="B1954" t="s">
        <v>2312</v>
      </c>
      <c r="C1954" t="s">
        <v>2327</v>
      </c>
      <c r="D1954" s="14" t="s">
        <v>2314</v>
      </c>
      <c r="E1954" s="12" t="s">
        <v>28</v>
      </c>
      <c r="F1954" s="13" t="s">
        <v>29</v>
      </c>
      <c r="G1954">
        <v>1</v>
      </c>
      <c r="H1954" t="s">
        <v>30</v>
      </c>
      <c r="I1954">
        <v>1</v>
      </c>
      <c r="J1954" s="15"/>
      <c r="K1954" s="16">
        <f>2182.42 - (2182.42 * $E$1)</f>
        <v>2182.42</v>
      </c>
      <c r="L1954" s="16">
        <f>1788.87 - (1788.87 * $E$1)</f>
        <v>1788.87</v>
      </c>
      <c r="M1954" s="1">
        <v>2182.42</v>
      </c>
      <c r="N1954" s="1">
        <v>1788.87</v>
      </c>
      <c r="O1954" s="1">
        <v>1855.06</v>
      </c>
      <c r="P1954" s="1">
        <v>1520.54</v>
      </c>
      <c r="Q1954">
        <v>0.43</v>
      </c>
      <c r="R1954">
        <v>2.3999999999999998E-3</v>
      </c>
    </row>
    <row r="1955" spans="1:18" ht="13.8" outlineLevel="1" x14ac:dyDescent="0.25">
      <c r="A1955">
        <v>81141</v>
      </c>
      <c r="B1955" t="s">
        <v>2312</v>
      </c>
      <c r="C1955" t="s">
        <v>2328</v>
      </c>
      <c r="D1955" s="14" t="s">
        <v>2314</v>
      </c>
      <c r="E1955" s="12" t="s">
        <v>28</v>
      </c>
      <c r="F1955" s="13" t="s">
        <v>29</v>
      </c>
      <c r="G1955">
        <v>1</v>
      </c>
      <c r="H1955" t="s">
        <v>30</v>
      </c>
      <c r="I1955">
        <v>1</v>
      </c>
      <c r="J1955" s="15"/>
      <c r="K1955" s="16">
        <f>2647.22 - (2647.22 * $E$1)</f>
        <v>2647.22</v>
      </c>
      <c r="L1955" s="16">
        <f>2169.85 - (2169.85 * $E$1)</f>
        <v>2169.85</v>
      </c>
      <c r="M1955" s="1">
        <v>2647.22</v>
      </c>
      <c r="N1955" s="1">
        <v>2169.85</v>
      </c>
      <c r="O1955" s="1">
        <v>2250.13</v>
      </c>
      <c r="P1955" s="1">
        <v>1844.37</v>
      </c>
      <c r="Q1955">
        <v>0.49</v>
      </c>
      <c r="R1955">
        <v>2.7599999999999999E-3</v>
      </c>
    </row>
    <row r="1956" spans="1:18" ht="13.8" outlineLevel="1" x14ac:dyDescent="0.25">
      <c r="A1956">
        <v>81142</v>
      </c>
      <c r="B1956" t="s">
        <v>2312</v>
      </c>
      <c r="C1956" t="s">
        <v>2329</v>
      </c>
      <c r="D1956" s="14" t="s">
        <v>2314</v>
      </c>
      <c r="E1956" s="12" t="s">
        <v>28</v>
      </c>
      <c r="F1956" s="13" t="s">
        <v>29</v>
      </c>
      <c r="G1956">
        <v>1</v>
      </c>
      <c r="H1956" t="s">
        <v>30</v>
      </c>
      <c r="I1956">
        <v>1</v>
      </c>
      <c r="J1956" s="15"/>
      <c r="K1956" s="16">
        <f>2846.27 - (2846.27 * $E$1)</f>
        <v>2846.27</v>
      </c>
      <c r="L1956" s="16">
        <f>2333.01 - (2333.01 * $E$1)</f>
        <v>2333.0100000000002</v>
      </c>
      <c r="M1956" s="1">
        <v>2846.27</v>
      </c>
      <c r="N1956" s="1">
        <v>2333.0100000000002</v>
      </c>
      <c r="O1956" s="1">
        <v>2419.33</v>
      </c>
      <c r="P1956" s="1">
        <v>1983.06</v>
      </c>
      <c r="Q1956">
        <v>0.56000000000000005</v>
      </c>
      <c r="R1956">
        <v>2.9399999999999999E-3</v>
      </c>
    </row>
    <row r="1957" spans="1:18" ht="13.8" outlineLevel="1" x14ac:dyDescent="0.25">
      <c r="A1957">
        <v>81143</v>
      </c>
      <c r="B1957" t="s">
        <v>2312</v>
      </c>
      <c r="C1957" t="s">
        <v>2330</v>
      </c>
      <c r="D1957" s="14" t="s">
        <v>2314</v>
      </c>
      <c r="E1957" s="12" t="s">
        <v>28</v>
      </c>
      <c r="F1957" s="13" t="s">
        <v>29</v>
      </c>
      <c r="G1957">
        <v>1</v>
      </c>
      <c r="H1957" t="s">
        <v>30</v>
      </c>
      <c r="I1957">
        <v>1</v>
      </c>
      <c r="J1957" s="15"/>
      <c r="K1957" s="16">
        <f>3327.65 - (3327.65 * $E$1)</f>
        <v>3327.65</v>
      </c>
      <c r="L1957" s="16">
        <f>2727.58 - (2727.58 * $E$1)</f>
        <v>2727.58</v>
      </c>
      <c r="M1957" s="1">
        <v>3327.65</v>
      </c>
      <c r="N1957" s="1">
        <v>2727.58</v>
      </c>
      <c r="O1957" s="1">
        <v>2828.5</v>
      </c>
      <c r="P1957" s="1">
        <v>2318.44</v>
      </c>
      <c r="Q1957">
        <v>0.56999999999999995</v>
      </c>
      <c r="R1957">
        <v>2.5200000000000001E-3</v>
      </c>
    </row>
    <row r="1958" spans="1:18" ht="13.8" outlineLevel="1" x14ac:dyDescent="0.25">
      <c r="A1958">
        <v>89432</v>
      </c>
      <c r="B1958" t="s">
        <v>2312</v>
      </c>
      <c r="C1958" t="s">
        <v>2331</v>
      </c>
      <c r="D1958" s="14" t="s">
        <v>2314</v>
      </c>
      <c r="E1958" s="12" t="s">
        <v>28</v>
      </c>
      <c r="F1958" s="13" t="s">
        <v>29</v>
      </c>
      <c r="G1958">
        <v>1</v>
      </c>
      <c r="H1958" t="s">
        <v>30</v>
      </c>
      <c r="I1958">
        <v>1</v>
      </c>
      <c r="J1958" s="15"/>
      <c r="K1958" s="16">
        <f>3823.87 - (3823.87 * $E$1)</f>
        <v>3823.87</v>
      </c>
      <c r="L1958" s="16">
        <f>3134.32 - (3134.32 * $E$1)</f>
        <v>3134.32</v>
      </c>
      <c r="M1958" s="1">
        <v>3823.87</v>
      </c>
      <c r="N1958" s="1">
        <v>3134.32</v>
      </c>
      <c r="O1958" s="1">
        <v>3250.29</v>
      </c>
      <c r="P1958" s="1">
        <v>2664.17</v>
      </c>
      <c r="Q1958">
        <v>0.7</v>
      </c>
      <c r="R1958">
        <v>4.0299999999999997E-3</v>
      </c>
    </row>
    <row r="1959" spans="1:18" ht="13.8" outlineLevel="1" x14ac:dyDescent="0.25">
      <c r="A1959">
        <v>89433</v>
      </c>
      <c r="B1959" t="s">
        <v>2312</v>
      </c>
      <c r="C1959" t="s">
        <v>2332</v>
      </c>
      <c r="D1959" s="14" t="s">
        <v>2333</v>
      </c>
      <c r="E1959" s="12" t="s">
        <v>28</v>
      </c>
      <c r="F1959" s="13" t="s">
        <v>29</v>
      </c>
      <c r="G1959">
        <v>1</v>
      </c>
      <c r="H1959" t="s">
        <v>30</v>
      </c>
      <c r="I1959">
        <v>1</v>
      </c>
      <c r="J1959" s="15"/>
      <c r="K1959" s="16">
        <f>3904.06 - (3904.06 * $E$1)</f>
        <v>3904.06</v>
      </c>
      <c r="L1959" s="16">
        <f>3200.05 - (3200.05 * $E$1)</f>
        <v>3200.05</v>
      </c>
      <c r="M1959" s="1">
        <v>3904.06</v>
      </c>
      <c r="N1959" s="1">
        <v>3200.05</v>
      </c>
      <c r="O1959" s="1">
        <v>3318.45</v>
      </c>
      <c r="P1959" s="1">
        <v>2720.04</v>
      </c>
      <c r="Q1959">
        <v>0.86</v>
      </c>
      <c r="R1959">
        <v>2.2799999999999999E-3</v>
      </c>
    </row>
    <row r="1960" spans="1:18" ht="13.8" outlineLevel="1" x14ac:dyDescent="0.25">
      <c r="A1960">
        <v>81111</v>
      </c>
      <c r="B1960" t="s">
        <v>2312</v>
      </c>
      <c r="C1960" t="s">
        <v>2334</v>
      </c>
      <c r="D1960" s="14" t="s">
        <v>2333</v>
      </c>
      <c r="E1960" s="12" t="s">
        <v>28</v>
      </c>
      <c r="F1960" s="13" t="s">
        <v>29</v>
      </c>
      <c r="G1960">
        <v>1</v>
      </c>
      <c r="H1960" t="s">
        <v>30</v>
      </c>
      <c r="I1960">
        <v>1</v>
      </c>
      <c r="J1960" s="15"/>
      <c r="K1960" s="16">
        <f>5263.15 - (5263.15 * $E$1)</f>
        <v>5263.15</v>
      </c>
      <c r="L1960" s="16">
        <f>4314.06 - (4314.06 * $E$1)</f>
        <v>4314.0600000000004</v>
      </c>
      <c r="M1960" s="1">
        <v>5263.15</v>
      </c>
      <c r="N1960" s="1">
        <v>4314.0600000000004</v>
      </c>
      <c r="O1960" s="1">
        <v>4473.68</v>
      </c>
      <c r="P1960" s="1">
        <v>3666.95</v>
      </c>
      <c r="Q1960">
        <v>0.8</v>
      </c>
      <c r="R1960">
        <v>3.3600000000000001E-3</v>
      </c>
    </row>
    <row r="1961" spans="1:18" ht="13.8" outlineLevel="1" x14ac:dyDescent="0.25">
      <c r="A1961">
        <v>81112</v>
      </c>
      <c r="B1961" t="s">
        <v>2312</v>
      </c>
      <c r="C1961" t="s">
        <v>2335</v>
      </c>
      <c r="D1961" s="14" t="s">
        <v>2333</v>
      </c>
      <c r="E1961" s="12" t="s">
        <v>28</v>
      </c>
      <c r="F1961" s="13" t="s">
        <v>29</v>
      </c>
      <c r="G1961">
        <v>1</v>
      </c>
      <c r="H1961" t="s">
        <v>30</v>
      </c>
      <c r="I1961">
        <v>1</v>
      </c>
      <c r="J1961" s="15"/>
      <c r="K1961" s="16">
        <f>6899.83 - (6899.83 * $E$1)</f>
        <v>6899.83</v>
      </c>
      <c r="L1961" s="16">
        <f>5655.6 - (5655.6 * $E$1)</f>
        <v>5655.6</v>
      </c>
      <c r="M1961" s="1">
        <v>6899.83</v>
      </c>
      <c r="N1961" s="1">
        <v>5655.6</v>
      </c>
      <c r="O1961" s="1">
        <v>5864.86</v>
      </c>
      <c r="P1961" s="1">
        <v>4807.26</v>
      </c>
      <c r="Q1961">
        <v>1</v>
      </c>
      <c r="R1961">
        <v>4.4400000000000004E-3</v>
      </c>
    </row>
    <row r="1962" spans="1:18" ht="13.8" outlineLevel="1" x14ac:dyDescent="0.25">
      <c r="A1962">
        <v>81113</v>
      </c>
      <c r="B1962" t="s">
        <v>2312</v>
      </c>
      <c r="C1962" t="s">
        <v>2336</v>
      </c>
      <c r="D1962" s="14" t="s">
        <v>2333</v>
      </c>
      <c r="E1962" s="12" t="s">
        <v>28</v>
      </c>
      <c r="F1962" s="13" t="s">
        <v>29</v>
      </c>
      <c r="G1962">
        <v>1</v>
      </c>
      <c r="H1962" t="s">
        <v>30</v>
      </c>
      <c r="I1962">
        <v>1</v>
      </c>
      <c r="J1962" s="15"/>
      <c r="K1962" s="16">
        <f>8881.53 - (8881.53 * $E$1)</f>
        <v>8881.5300000000007</v>
      </c>
      <c r="L1962" s="16">
        <f>7279.94 - (7279.94 * $E$1)</f>
        <v>7279.94</v>
      </c>
      <c r="M1962" s="1">
        <v>8881.5300000000007</v>
      </c>
      <c r="N1962" s="1">
        <v>7279.94</v>
      </c>
      <c r="O1962" s="1">
        <v>7549.3</v>
      </c>
      <c r="P1962" s="1">
        <v>6187.95</v>
      </c>
      <c r="Q1962">
        <v>1.2</v>
      </c>
      <c r="R1962">
        <v>5.7600000000000004E-3</v>
      </c>
    </row>
    <row r="1963" spans="1:18" ht="13.8" outlineLevel="1" x14ac:dyDescent="0.25">
      <c r="A1963">
        <v>81114</v>
      </c>
      <c r="B1963" t="s">
        <v>2312</v>
      </c>
      <c r="C1963" t="s">
        <v>2337</v>
      </c>
      <c r="D1963" s="14" t="s">
        <v>2333</v>
      </c>
      <c r="E1963" s="12" t="s">
        <v>28</v>
      </c>
      <c r="F1963" s="13" t="s">
        <v>29</v>
      </c>
      <c r="G1963">
        <v>1</v>
      </c>
      <c r="H1963" t="s">
        <v>30</v>
      </c>
      <c r="I1963">
        <v>1</v>
      </c>
      <c r="J1963" s="15"/>
      <c r="K1963" s="16">
        <f>11882.47 - (11882.47 * $E$1)</f>
        <v>11882.47</v>
      </c>
      <c r="L1963" s="16">
        <f>9739.73 - (9739.73 * $E$1)</f>
        <v>9739.73</v>
      </c>
      <c r="M1963" s="1">
        <v>11882.47</v>
      </c>
      <c r="N1963" s="1">
        <v>9739.73</v>
      </c>
      <c r="O1963" s="1">
        <v>10100.1</v>
      </c>
      <c r="P1963" s="1">
        <v>8278.77</v>
      </c>
      <c r="Q1963">
        <v>1.6</v>
      </c>
      <c r="R1963">
        <v>8.0400000000000003E-3</v>
      </c>
    </row>
    <row r="1964" spans="1:18" ht="13.8" outlineLevel="1" x14ac:dyDescent="0.25">
      <c r="A1964">
        <v>89434</v>
      </c>
      <c r="B1964" t="s">
        <v>2312</v>
      </c>
      <c r="C1964" t="s">
        <v>2338</v>
      </c>
      <c r="D1964" s="14" t="s">
        <v>2333</v>
      </c>
      <c r="E1964" s="12" t="s">
        <v>28</v>
      </c>
      <c r="F1964" s="13" t="s">
        <v>29</v>
      </c>
      <c r="G1964">
        <v>1</v>
      </c>
      <c r="H1964" t="s">
        <v>30</v>
      </c>
      <c r="I1964">
        <v>1</v>
      </c>
      <c r="J1964" s="15"/>
      <c r="K1964" s="16">
        <f>1979.41 - (1979.41 * $E$1)</f>
        <v>1979.41</v>
      </c>
      <c r="L1964" s="16">
        <f>1622.47 - (1622.47 * $E$1)</f>
        <v>1622.47</v>
      </c>
      <c r="M1964" s="1">
        <v>1979.41</v>
      </c>
      <c r="N1964" s="1">
        <v>1622.47</v>
      </c>
      <c r="O1964" s="1">
        <v>1682.5</v>
      </c>
      <c r="P1964" s="1">
        <v>1379.1</v>
      </c>
      <c r="Q1964">
        <v>0.3</v>
      </c>
      <c r="R1964">
        <v>2.6510000000000001E-3</v>
      </c>
    </row>
    <row r="1965" spans="1:18" ht="13.8" outlineLevel="1" x14ac:dyDescent="0.25">
      <c r="A1965">
        <v>81144</v>
      </c>
      <c r="B1965" t="s">
        <v>2312</v>
      </c>
      <c r="C1965" t="s">
        <v>2339</v>
      </c>
      <c r="D1965" s="14" t="s">
        <v>2333</v>
      </c>
      <c r="E1965" s="12" t="s">
        <v>28</v>
      </c>
      <c r="F1965" s="13" t="s">
        <v>29</v>
      </c>
      <c r="G1965">
        <v>1</v>
      </c>
      <c r="H1965" t="s">
        <v>30</v>
      </c>
      <c r="I1965">
        <v>1</v>
      </c>
      <c r="J1965" s="15"/>
      <c r="K1965" s="16">
        <f>2635.64 - (2635.64 * $E$1)</f>
        <v>2635.64</v>
      </c>
      <c r="L1965" s="16">
        <f>2160.36 - (2160.36 * $E$1)</f>
        <v>2160.36</v>
      </c>
      <c r="M1965" s="1">
        <v>2635.64</v>
      </c>
      <c r="N1965" s="1">
        <v>2160.36</v>
      </c>
      <c r="O1965" s="1">
        <v>2240.29</v>
      </c>
      <c r="P1965" s="1">
        <v>1836.31</v>
      </c>
      <c r="Q1965">
        <v>0.43</v>
      </c>
      <c r="R1965">
        <v>3.48E-3</v>
      </c>
    </row>
    <row r="1966" spans="1:18" ht="13.8" outlineLevel="1" x14ac:dyDescent="0.25">
      <c r="A1966">
        <v>81145</v>
      </c>
      <c r="B1966" t="s">
        <v>2312</v>
      </c>
      <c r="C1966" t="s">
        <v>2340</v>
      </c>
      <c r="D1966" s="14" t="s">
        <v>2333</v>
      </c>
      <c r="E1966" s="12" t="s">
        <v>28</v>
      </c>
      <c r="F1966" s="13" t="s">
        <v>29</v>
      </c>
      <c r="G1966">
        <v>1</v>
      </c>
      <c r="H1966" t="s">
        <v>30</v>
      </c>
      <c r="I1966">
        <v>1</v>
      </c>
      <c r="J1966" s="15"/>
      <c r="K1966" s="16">
        <f>3509.59 - (3509.59 * $E$1)</f>
        <v>3509.59</v>
      </c>
      <c r="L1966" s="16">
        <f>2876.71 - (2876.71 * $E$1)</f>
        <v>2876.71</v>
      </c>
      <c r="M1966" s="1">
        <v>3509.59</v>
      </c>
      <c r="N1966" s="1">
        <v>2876.71</v>
      </c>
      <c r="O1966" s="1">
        <v>2983.15</v>
      </c>
      <c r="P1966" s="1">
        <v>2445.1999999999998</v>
      </c>
      <c r="Q1966">
        <v>0.65</v>
      </c>
      <c r="R1966">
        <v>2.2200000000000002E-3</v>
      </c>
    </row>
    <row r="1967" spans="1:18" ht="13.8" outlineLevel="1" x14ac:dyDescent="0.25">
      <c r="A1967">
        <v>81146</v>
      </c>
      <c r="B1967" t="s">
        <v>2312</v>
      </c>
      <c r="C1967" t="s">
        <v>2341</v>
      </c>
      <c r="D1967" s="14" t="s">
        <v>2333</v>
      </c>
      <c r="E1967" s="12" t="s">
        <v>28</v>
      </c>
      <c r="F1967" s="13" t="s">
        <v>29</v>
      </c>
      <c r="G1967">
        <v>1</v>
      </c>
      <c r="H1967" t="s">
        <v>30</v>
      </c>
      <c r="I1967">
        <v>1</v>
      </c>
      <c r="J1967" s="15"/>
      <c r="K1967" s="16">
        <f>4577.53 - (4577.53 * $E$1)</f>
        <v>4577.53</v>
      </c>
      <c r="L1967" s="16">
        <f>3752.07 - (3752.07 * $E$1)</f>
        <v>3752.07</v>
      </c>
      <c r="M1967" s="1">
        <v>4577.53</v>
      </c>
      <c r="N1967" s="1">
        <v>3752.07</v>
      </c>
      <c r="O1967" s="1">
        <v>3890.9</v>
      </c>
      <c r="P1967" s="1">
        <v>3189.26</v>
      </c>
      <c r="Q1967">
        <v>0.71</v>
      </c>
      <c r="R1967">
        <v>2.8800000000000002E-3</v>
      </c>
    </row>
    <row r="1968" spans="1:18" ht="13.8" outlineLevel="1" x14ac:dyDescent="0.25">
      <c r="A1968">
        <v>81147</v>
      </c>
      <c r="B1968" t="s">
        <v>2312</v>
      </c>
      <c r="C1968" t="s">
        <v>2342</v>
      </c>
      <c r="D1968" s="14" t="s">
        <v>2333</v>
      </c>
      <c r="E1968" s="12" t="s">
        <v>28</v>
      </c>
      <c r="F1968" s="13" t="s">
        <v>29</v>
      </c>
      <c r="G1968">
        <v>1</v>
      </c>
      <c r="H1968" t="s">
        <v>30</v>
      </c>
      <c r="I1968">
        <v>1</v>
      </c>
      <c r="J1968" s="15"/>
      <c r="K1968" s="16">
        <f>5909.18 - (5909.18 * $E$1)</f>
        <v>5909.18</v>
      </c>
      <c r="L1968" s="16">
        <f>4843.59 - (4843.59 * $E$1)</f>
        <v>4843.59</v>
      </c>
      <c r="M1968" s="1">
        <v>5909.18</v>
      </c>
      <c r="N1968" s="1">
        <v>4843.59</v>
      </c>
      <c r="O1968" s="1">
        <v>5022.8</v>
      </c>
      <c r="P1968" s="1">
        <v>4117.05</v>
      </c>
      <c r="Q1968">
        <v>0.87</v>
      </c>
      <c r="R1968">
        <v>4.0200000000000001E-3</v>
      </c>
    </row>
    <row r="1969" spans="1:18" ht="13.8" outlineLevel="1" x14ac:dyDescent="0.25">
      <c r="A1969">
        <v>84293</v>
      </c>
      <c r="B1969" t="s">
        <v>2343</v>
      </c>
      <c r="C1969" t="s">
        <v>2344</v>
      </c>
      <c r="D1969" s="14" t="s">
        <v>2345</v>
      </c>
      <c r="E1969" s="12" t="s">
        <v>28</v>
      </c>
      <c r="F1969" s="13" t="s">
        <v>29</v>
      </c>
      <c r="G1969">
        <v>10</v>
      </c>
      <c r="H1969" t="s">
        <v>30</v>
      </c>
      <c r="I1969">
        <v>10</v>
      </c>
      <c r="J1969" s="15"/>
      <c r="K1969" s="16">
        <f>530.05 - (530.05 * $E$1)</f>
        <v>530.04999999999995</v>
      </c>
      <c r="L1969" s="16">
        <f>434.47 - (434.47 * $E$1)</f>
        <v>434.47</v>
      </c>
      <c r="M1969" s="1">
        <v>530.04999999999995</v>
      </c>
      <c r="N1969" s="1">
        <v>434.47</v>
      </c>
      <c r="O1969" s="1">
        <v>450.55</v>
      </c>
      <c r="P1969" s="1">
        <v>369.3</v>
      </c>
      <c r="Q1969">
        <v>4.2000000000000003E-2</v>
      </c>
      <c r="R1969">
        <v>3.0800000000000003E-5</v>
      </c>
    </row>
    <row r="1970" spans="1:18" ht="13.8" outlineLevel="1" x14ac:dyDescent="0.25">
      <c r="A1970">
        <v>84294</v>
      </c>
      <c r="B1970" t="s">
        <v>2343</v>
      </c>
      <c r="C1970" t="s">
        <v>2346</v>
      </c>
      <c r="D1970" s="14" t="s">
        <v>2345</v>
      </c>
      <c r="E1970" s="12" t="s">
        <v>28</v>
      </c>
      <c r="F1970" s="13" t="s">
        <v>29</v>
      </c>
      <c r="G1970">
        <v>10</v>
      </c>
      <c r="H1970" t="s">
        <v>30</v>
      </c>
      <c r="I1970">
        <v>10</v>
      </c>
      <c r="J1970" s="15"/>
      <c r="K1970" s="16">
        <f>657.9 - (657.9 * $E$1)</f>
        <v>657.9</v>
      </c>
      <c r="L1970" s="16">
        <f>539.26 - (539.26 * $E$1)</f>
        <v>539.26</v>
      </c>
      <c r="M1970" s="1">
        <v>657.9</v>
      </c>
      <c r="N1970" s="1">
        <v>539.26</v>
      </c>
      <c r="O1970" s="1">
        <v>559.21</v>
      </c>
      <c r="P1970" s="1">
        <v>458.37</v>
      </c>
      <c r="Q1970">
        <v>0.06</v>
      </c>
      <c r="R1970">
        <v>4.3999999999999999E-5</v>
      </c>
    </row>
    <row r="1971" spans="1:18" ht="13.8" outlineLevel="1" x14ac:dyDescent="0.25">
      <c r="A1971">
        <v>84295</v>
      </c>
      <c r="B1971" t="s">
        <v>2343</v>
      </c>
      <c r="C1971" t="s">
        <v>2347</v>
      </c>
      <c r="D1971" s="14" t="s">
        <v>2345</v>
      </c>
      <c r="E1971" s="12" t="s">
        <v>28</v>
      </c>
      <c r="F1971" s="13" t="s">
        <v>29</v>
      </c>
      <c r="G1971">
        <v>10</v>
      </c>
      <c r="H1971" t="s">
        <v>30</v>
      </c>
      <c r="I1971">
        <v>10</v>
      </c>
      <c r="J1971" s="15"/>
      <c r="K1971" s="16">
        <f>863.46 - (863.46 * $E$1)</f>
        <v>863.46</v>
      </c>
      <c r="L1971" s="16">
        <f>707.75 - (707.75 * $E$1)</f>
        <v>707.75</v>
      </c>
      <c r="M1971" s="1">
        <v>863.46</v>
      </c>
      <c r="N1971" s="1">
        <v>707.75</v>
      </c>
      <c r="O1971" s="1">
        <v>733.94</v>
      </c>
      <c r="P1971" s="1">
        <v>601.59</v>
      </c>
      <c r="Q1971">
        <v>9.4E-2</v>
      </c>
      <c r="R1971">
        <v>8.0000000000000007E-5</v>
      </c>
    </row>
    <row r="1972" spans="1:18" ht="13.8" outlineLevel="1" x14ac:dyDescent="0.25">
      <c r="A1972">
        <v>61573</v>
      </c>
      <c r="B1972" t="s">
        <v>2343</v>
      </c>
      <c r="C1972" t="s">
        <v>2348</v>
      </c>
      <c r="D1972" s="14" t="s">
        <v>2345</v>
      </c>
      <c r="E1972" s="12" t="s">
        <v>28</v>
      </c>
      <c r="F1972" s="13" t="s">
        <v>29</v>
      </c>
      <c r="G1972">
        <v>10</v>
      </c>
      <c r="H1972" t="s">
        <v>30</v>
      </c>
      <c r="I1972">
        <v>10</v>
      </c>
      <c r="J1972" s="15"/>
      <c r="K1972" s="16">
        <f>604.25 - (604.25 * $E$1)</f>
        <v>604.25</v>
      </c>
      <c r="L1972" s="16">
        <f>495.29 - (495.29 * $E$1)</f>
        <v>495.29</v>
      </c>
      <c r="M1972" s="1">
        <v>604.25</v>
      </c>
      <c r="N1972" s="1">
        <v>495.29</v>
      </c>
      <c r="O1972" s="1">
        <v>513.62</v>
      </c>
      <c r="P1972" s="1">
        <v>421</v>
      </c>
      <c r="Q1972">
        <v>0.05</v>
      </c>
      <c r="R1972">
        <v>5.0399999999999999E-5</v>
      </c>
    </row>
    <row r="1973" spans="1:18" ht="13.8" outlineLevel="1" x14ac:dyDescent="0.25">
      <c r="A1973">
        <v>60211</v>
      </c>
      <c r="B1973" t="s">
        <v>2343</v>
      </c>
      <c r="C1973" t="s">
        <v>2349</v>
      </c>
      <c r="D1973" s="14" t="s">
        <v>2345</v>
      </c>
      <c r="E1973" s="12" t="s">
        <v>28</v>
      </c>
      <c r="F1973" s="13" t="s">
        <v>29</v>
      </c>
      <c r="G1973">
        <v>10</v>
      </c>
      <c r="H1973" t="s">
        <v>30</v>
      </c>
      <c r="I1973">
        <v>10</v>
      </c>
      <c r="J1973" s="15"/>
      <c r="K1973" s="16">
        <f>770.13 - (770.13 * $E$1)</f>
        <v>770.13</v>
      </c>
      <c r="L1973" s="16">
        <f>631.25 - (631.25 * $E$1)</f>
        <v>631.25</v>
      </c>
      <c r="M1973" s="1">
        <v>770.13</v>
      </c>
      <c r="N1973" s="1">
        <v>631.25</v>
      </c>
      <c r="O1973" s="1">
        <v>654.61</v>
      </c>
      <c r="P1973" s="1">
        <v>536.55999999999995</v>
      </c>
      <c r="Q1973">
        <v>7.4999999999999997E-2</v>
      </c>
      <c r="R1973">
        <v>8.1000000000000004E-5</v>
      </c>
    </row>
    <row r="1974" spans="1:18" ht="13.8" outlineLevel="1" x14ac:dyDescent="0.25">
      <c r="A1974">
        <v>81220</v>
      </c>
      <c r="B1974" t="s">
        <v>2343</v>
      </c>
      <c r="C1974" t="s">
        <v>2350</v>
      </c>
      <c r="D1974" s="14" t="s">
        <v>2345</v>
      </c>
      <c r="E1974" s="12" t="s">
        <v>28</v>
      </c>
      <c r="F1974" s="13" t="s">
        <v>29</v>
      </c>
      <c r="G1974">
        <v>10</v>
      </c>
      <c r="H1974" t="s">
        <v>30</v>
      </c>
      <c r="I1974">
        <v>10</v>
      </c>
      <c r="J1974" s="15"/>
      <c r="K1974" s="16">
        <f>888.61 - (888.61 * $E$1)</f>
        <v>888.61</v>
      </c>
      <c r="L1974" s="16">
        <f>728.37 - (728.37 * $E$1)</f>
        <v>728.37</v>
      </c>
      <c r="M1974" s="1">
        <v>888.61</v>
      </c>
      <c r="N1974" s="1">
        <v>728.37</v>
      </c>
      <c r="O1974" s="1">
        <v>755.32</v>
      </c>
      <c r="P1974" s="1">
        <v>619.11</v>
      </c>
      <c r="Q1974">
        <v>8.7999999999999995E-2</v>
      </c>
      <c r="R1974">
        <v>6.3E-5</v>
      </c>
    </row>
    <row r="1975" spans="1:18" ht="13.8" outlineLevel="1" x14ac:dyDescent="0.25">
      <c r="A1975">
        <v>81221</v>
      </c>
      <c r="B1975" t="s">
        <v>2343</v>
      </c>
      <c r="C1975" t="s">
        <v>2351</v>
      </c>
      <c r="D1975" s="14" t="s">
        <v>2345</v>
      </c>
      <c r="E1975" s="12" t="s">
        <v>28</v>
      </c>
      <c r="F1975" s="13" t="s">
        <v>29</v>
      </c>
      <c r="G1975">
        <v>10</v>
      </c>
      <c r="H1975" t="s">
        <v>30</v>
      </c>
      <c r="I1975">
        <v>10</v>
      </c>
      <c r="J1975" s="15"/>
      <c r="K1975" s="16">
        <f>1141.72 - (1141.72 * $E$1)</f>
        <v>1141.72</v>
      </c>
      <c r="L1975" s="16">
        <f>935.84 - (935.84 * $E$1)</f>
        <v>935.84</v>
      </c>
      <c r="M1975" s="1">
        <v>1141.72</v>
      </c>
      <c r="N1975" s="1">
        <v>935.84</v>
      </c>
      <c r="O1975" s="1">
        <v>970.47</v>
      </c>
      <c r="P1975" s="1">
        <v>795.46</v>
      </c>
      <c r="Q1975">
        <v>0.115</v>
      </c>
      <c r="R1975">
        <v>6.3E-5</v>
      </c>
    </row>
    <row r="1976" spans="1:18" ht="13.8" outlineLevel="1" x14ac:dyDescent="0.25">
      <c r="A1976">
        <v>60212</v>
      </c>
      <c r="B1976" t="s">
        <v>2343</v>
      </c>
      <c r="C1976" t="s">
        <v>2352</v>
      </c>
      <c r="D1976" s="14" t="s">
        <v>2345</v>
      </c>
      <c r="E1976" s="12" t="s">
        <v>28</v>
      </c>
      <c r="F1976" s="13" t="s">
        <v>29</v>
      </c>
      <c r="G1976">
        <v>10</v>
      </c>
      <c r="H1976" t="s">
        <v>30</v>
      </c>
      <c r="I1976">
        <v>10</v>
      </c>
      <c r="J1976" s="15"/>
      <c r="K1976" s="16">
        <f>1024.46 - (1024.46 * $E$1)</f>
        <v>1024.46</v>
      </c>
      <c r="L1976" s="16">
        <f>839.72 - (839.72 * $E$1)</f>
        <v>839.72</v>
      </c>
      <c r="M1976" s="1">
        <v>1024.46</v>
      </c>
      <c r="N1976" s="1">
        <v>839.72</v>
      </c>
      <c r="O1976" s="1">
        <v>870.79</v>
      </c>
      <c r="P1976" s="1">
        <v>713.76</v>
      </c>
      <c r="Q1976">
        <v>0.124</v>
      </c>
      <c r="R1976">
        <v>4.6799999999999999E-5</v>
      </c>
    </row>
    <row r="1977" spans="1:18" ht="13.8" outlineLevel="1" x14ac:dyDescent="0.25">
      <c r="A1977">
        <v>81222</v>
      </c>
      <c r="B1977" t="s">
        <v>2343</v>
      </c>
      <c r="C1977" t="s">
        <v>2353</v>
      </c>
      <c r="D1977" s="14" t="s">
        <v>2345</v>
      </c>
      <c r="E1977" s="12" t="s">
        <v>28</v>
      </c>
      <c r="F1977" s="13" t="s">
        <v>29</v>
      </c>
      <c r="G1977">
        <v>10</v>
      </c>
      <c r="H1977" t="s">
        <v>30</v>
      </c>
      <c r="I1977">
        <v>10</v>
      </c>
      <c r="J1977" s="15"/>
      <c r="K1977" s="16">
        <f>1196.38 - (1196.38 * $E$1)</f>
        <v>1196.3800000000001</v>
      </c>
      <c r="L1977" s="16">
        <f>980.64 - (980.64 * $E$1)</f>
        <v>980.64</v>
      </c>
      <c r="M1977" s="1">
        <v>1196.3800000000001</v>
      </c>
      <c r="N1977" s="1">
        <v>980.64</v>
      </c>
      <c r="O1977" s="1">
        <v>1016.92</v>
      </c>
      <c r="P1977" s="1">
        <v>833.54</v>
      </c>
      <c r="Q1977">
        <v>0.15</v>
      </c>
      <c r="R1977">
        <v>9.4500000000000007E-5</v>
      </c>
    </row>
    <row r="1978" spans="1:18" ht="13.8" outlineLevel="1" x14ac:dyDescent="0.25">
      <c r="A1978">
        <v>81224</v>
      </c>
      <c r="B1978" t="s">
        <v>2343</v>
      </c>
      <c r="C1978" t="s">
        <v>2354</v>
      </c>
      <c r="D1978" s="14" t="s">
        <v>2345</v>
      </c>
      <c r="E1978" s="12" t="s">
        <v>28</v>
      </c>
      <c r="F1978" s="13" t="s">
        <v>29</v>
      </c>
      <c r="G1978">
        <v>10</v>
      </c>
      <c r="H1978" t="s">
        <v>30</v>
      </c>
      <c r="I1978">
        <v>10</v>
      </c>
      <c r="J1978" s="15"/>
      <c r="K1978" s="16">
        <f>1524.76 - (1524.76 * $E$1)</f>
        <v>1524.76</v>
      </c>
      <c r="L1978" s="16">
        <f>1249.8 - (1249.8 * $E$1)</f>
        <v>1249.8</v>
      </c>
      <c r="M1978" s="1">
        <v>1524.76</v>
      </c>
      <c r="N1978" s="1">
        <v>1249.8</v>
      </c>
      <c r="O1978" s="1">
        <v>1296.04</v>
      </c>
      <c r="P1978" s="1">
        <v>1062.33</v>
      </c>
      <c r="Q1978">
        <v>0.19600000000000001</v>
      </c>
      <c r="R1978">
        <v>1.26E-4</v>
      </c>
    </row>
    <row r="1979" spans="1:18" ht="13.8" outlineLevel="1" x14ac:dyDescent="0.25">
      <c r="A1979">
        <v>64091</v>
      </c>
      <c r="B1979" t="s">
        <v>2343</v>
      </c>
      <c r="C1979" t="s">
        <v>2355</v>
      </c>
      <c r="D1979" s="14" t="s">
        <v>2345</v>
      </c>
      <c r="E1979" s="12" t="s">
        <v>28</v>
      </c>
      <c r="F1979" s="13" t="s">
        <v>29</v>
      </c>
      <c r="G1979">
        <v>10</v>
      </c>
      <c r="H1979" t="s">
        <v>30</v>
      </c>
      <c r="I1979">
        <v>10</v>
      </c>
      <c r="J1979" s="15"/>
      <c r="K1979" s="16">
        <f>934.93 - (934.93 * $E$1)</f>
        <v>934.93</v>
      </c>
      <c r="L1979" s="16">
        <f>766.34 - (766.34 * $E$1)</f>
        <v>766.34</v>
      </c>
      <c r="M1979" s="1">
        <v>934.93</v>
      </c>
      <c r="N1979" s="1">
        <v>766.34</v>
      </c>
      <c r="O1979" s="1">
        <v>794.69</v>
      </c>
      <c r="P1979" s="1">
        <v>651.39</v>
      </c>
      <c r="Q1979">
        <v>9.4E-2</v>
      </c>
      <c r="R1979">
        <v>3.7499999999999997E-5</v>
      </c>
    </row>
    <row r="1980" spans="1:18" ht="13.8" outlineLevel="1" x14ac:dyDescent="0.25">
      <c r="A1980">
        <v>58024</v>
      </c>
      <c r="B1980" t="s">
        <v>2343</v>
      </c>
      <c r="C1980" t="s">
        <v>2356</v>
      </c>
      <c r="D1980" s="14" t="s">
        <v>2345</v>
      </c>
      <c r="E1980" s="12" t="s">
        <v>28</v>
      </c>
      <c r="F1980" s="13" t="s">
        <v>29</v>
      </c>
      <c r="G1980">
        <v>10</v>
      </c>
      <c r="H1980" t="s">
        <v>30</v>
      </c>
      <c r="I1980">
        <v>10</v>
      </c>
      <c r="J1980" s="15"/>
      <c r="K1980" s="16">
        <f>1230.82 - (1230.82 * $E$1)</f>
        <v>1230.82</v>
      </c>
      <c r="L1980" s="16">
        <f>1008.87 - (1008.87 * $E$1)</f>
        <v>1008.87</v>
      </c>
      <c r="M1980" s="1">
        <v>1230.82</v>
      </c>
      <c r="N1980" s="1">
        <v>1008.87</v>
      </c>
      <c r="O1980" s="1">
        <v>1046.2</v>
      </c>
      <c r="P1980" s="1">
        <v>857.54</v>
      </c>
      <c r="Q1980">
        <v>0.14899999999999999</v>
      </c>
      <c r="R1980">
        <v>3.7499999999999997E-5</v>
      </c>
    </row>
    <row r="1981" spans="1:18" ht="13.8" outlineLevel="1" x14ac:dyDescent="0.25">
      <c r="A1981">
        <v>58025</v>
      </c>
      <c r="B1981" t="s">
        <v>2343</v>
      </c>
      <c r="C1981" t="s">
        <v>2357</v>
      </c>
      <c r="D1981" s="14" t="s">
        <v>2345</v>
      </c>
      <c r="E1981" s="12" t="s">
        <v>28</v>
      </c>
      <c r="F1981" s="13" t="s">
        <v>29</v>
      </c>
      <c r="G1981">
        <v>10</v>
      </c>
      <c r="H1981" t="s">
        <v>30</v>
      </c>
      <c r="I1981">
        <v>10</v>
      </c>
      <c r="J1981" s="15"/>
      <c r="K1981" s="16">
        <f>1705.83 - (1705.83 * $E$1)</f>
        <v>1705.83</v>
      </c>
      <c r="L1981" s="16">
        <f>1398.22 - (1398.22 * $E$1)</f>
        <v>1398.22</v>
      </c>
      <c r="M1981" s="1">
        <v>1705.83</v>
      </c>
      <c r="N1981" s="1">
        <v>1398.22</v>
      </c>
      <c r="O1981" s="1">
        <v>1449.95</v>
      </c>
      <c r="P1981" s="1">
        <v>1188.49</v>
      </c>
      <c r="Q1981">
        <v>0.26500000000000001</v>
      </c>
      <c r="R1981">
        <v>4.0000000000000003E-5</v>
      </c>
    </row>
    <row r="1982" spans="1:18" ht="13.8" outlineLevel="1" x14ac:dyDescent="0.25">
      <c r="A1982">
        <v>81513</v>
      </c>
      <c r="B1982" t="s">
        <v>2343</v>
      </c>
      <c r="C1982" t="s">
        <v>2358</v>
      </c>
      <c r="D1982" s="14" t="s">
        <v>2345</v>
      </c>
      <c r="E1982" s="12" t="s">
        <v>28</v>
      </c>
      <c r="F1982" s="13" t="s">
        <v>29</v>
      </c>
      <c r="G1982">
        <v>1</v>
      </c>
      <c r="H1982" t="s">
        <v>30</v>
      </c>
      <c r="I1982">
        <v>1</v>
      </c>
      <c r="J1982" s="15"/>
      <c r="K1982" s="16">
        <f>8504.79 - (8504.79 * $E$1)</f>
        <v>8504.7900000000009</v>
      </c>
      <c r="L1982" s="16">
        <f>6971.14 - (6971.14 * $E$1)</f>
        <v>6971.14</v>
      </c>
      <c r="M1982" s="1">
        <v>8504.7900000000009</v>
      </c>
      <c r="N1982" s="1">
        <v>6971.14</v>
      </c>
      <c r="O1982" s="1">
        <v>7229.07</v>
      </c>
      <c r="P1982" s="1">
        <v>5925.47</v>
      </c>
      <c r="Q1982">
        <v>1</v>
      </c>
      <c r="R1982">
        <v>6.29E-4</v>
      </c>
    </row>
    <row r="1983" spans="1:18" ht="13.8" outlineLevel="1" x14ac:dyDescent="0.25">
      <c r="A1983">
        <v>81514</v>
      </c>
      <c r="B1983" t="s">
        <v>2343</v>
      </c>
      <c r="C1983" t="s">
        <v>2359</v>
      </c>
      <c r="D1983" s="14" t="s">
        <v>2345</v>
      </c>
      <c r="E1983" s="12" t="s">
        <v>28</v>
      </c>
      <c r="F1983" s="13" t="s">
        <v>29</v>
      </c>
      <c r="G1983">
        <v>1</v>
      </c>
      <c r="H1983" t="s">
        <v>30</v>
      </c>
      <c r="I1983">
        <v>1</v>
      </c>
      <c r="J1983" s="15"/>
      <c r="K1983" s="16">
        <f>11479.59 - (11479.59 * $E$1)</f>
        <v>11479.59</v>
      </c>
      <c r="L1983" s="16">
        <f>9409.5 - (9409.5 * $E$1)</f>
        <v>9409.5</v>
      </c>
      <c r="M1983" s="1">
        <v>11479.59</v>
      </c>
      <c r="N1983" s="1">
        <v>9409.5</v>
      </c>
      <c r="O1983" s="1">
        <v>9757.65</v>
      </c>
      <c r="P1983" s="1">
        <v>7998.08</v>
      </c>
      <c r="Q1983">
        <v>1.5</v>
      </c>
      <c r="R1983">
        <v>8.2299999999999995E-4</v>
      </c>
    </row>
    <row r="1984" spans="1:18" ht="13.8" outlineLevel="1" x14ac:dyDescent="0.25">
      <c r="A1984">
        <v>81515</v>
      </c>
      <c r="B1984" t="s">
        <v>2343</v>
      </c>
      <c r="C1984" t="s">
        <v>2360</v>
      </c>
      <c r="D1984" s="14" t="s">
        <v>2345</v>
      </c>
      <c r="E1984" s="12" t="s">
        <v>28</v>
      </c>
      <c r="F1984" s="13" t="s">
        <v>29</v>
      </c>
      <c r="G1984">
        <v>1</v>
      </c>
      <c r="H1984" t="s">
        <v>30</v>
      </c>
      <c r="I1984">
        <v>1</v>
      </c>
      <c r="J1984" s="15"/>
      <c r="K1984" s="16">
        <f>16241.81 - (16241.81 * $E$1)</f>
        <v>16241.81</v>
      </c>
      <c r="L1984" s="16">
        <f>13312.96 - (13312.96 * $E$1)</f>
        <v>13312.96</v>
      </c>
      <c r="M1984" s="1">
        <v>16241.81</v>
      </c>
      <c r="N1984" s="1">
        <v>13312.96</v>
      </c>
      <c r="O1984" s="1">
        <v>13805.54</v>
      </c>
      <c r="P1984" s="1">
        <v>11316.02</v>
      </c>
      <c r="Q1984">
        <v>1.9</v>
      </c>
      <c r="R1984">
        <v>1E-3</v>
      </c>
    </row>
    <row r="1985" spans="1:18" ht="13.8" outlineLevel="1" x14ac:dyDescent="0.25">
      <c r="A1985">
        <v>84907</v>
      </c>
      <c r="B1985" t="s">
        <v>2361</v>
      </c>
      <c r="C1985" t="s">
        <v>2362</v>
      </c>
      <c r="D1985" s="14" t="s">
        <v>2363</v>
      </c>
      <c r="E1985" s="12" t="s">
        <v>28</v>
      </c>
      <c r="F1985" s="13" t="s">
        <v>29</v>
      </c>
      <c r="G1985">
        <v>1</v>
      </c>
      <c r="H1985" t="s">
        <v>2364</v>
      </c>
      <c r="I1985">
        <v>1</v>
      </c>
      <c r="J1985" s="15"/>
      <c r="K1985" s="16">
        <f>561.42 - (561.42 * $E$1)</f>
        <v>561.41999999999996</v>
      </c>
      <c r="L1985" s="16">
        <f>460.18 - (460.18 * $E$1)</f>
        <v>460.18</v>
      </c>
      <c r="M1985" s="1">
        <v>561.41999999999996</v>
      </c>
      <c r="N1985" s="1">
        <v>460.18</v>
      </c>
      <c r="O1985" s="1">
        <v>477.21</v>
      </c>
      <c r="P1985" s="1">
        <v>391.15</v>
      </c>
      <c r="Q1985">
        <v>0.12</v>
      </c>
      <c r="R1985">
        <v>3.97E-4</v>
      </c>
    </row>
    <row r="1986" spans="1:18" ht="13.8" outlineLevel="1" x14ac:dyDescent="0.25">
      <c r="A1986">
        <v>84908</v>
      </c>
      <c r="B1986" t="s">
        <v>2361</v>
      </c>
      <c r="C1986" t="s">
        <v>2365</v>
      </c>
      <c r="D1986" s="14" t="s">
        <v>2363</v>
      </c>
      <c r="E1986" s="12" t="s">
        <v>28</v>
      </c>
      <c r="F1986" s="13" t="s">
        <v>29</v>
      </c>
      <c r="G1986">
        <v>1</v>
      </c>
      <c r="H1986" t="s">
        <v>2364</v>
      </c>
      <c r="I1986">
        <v>1</v>
      </c>
      <c r="J1986" s="15"/>
      <c r="K1986" s="16">
        <f>561.42 - (561.42 * $E$1)</f>
        <v>561.41999999999996</v>
      </c>
      <c r="L1986" s="16">
        <f>460.18 - (460.18 * $E$1)</f>
        <v>460.18</v>
      </c>
      <c r="M1986" s="1">
        <v>561.41999999999996</v>
      </c>
      <c r="N1986" s="1">
        <v>460.18</v>
      </c>
      <c r="O1986" s="1">
        <v>477.21</v>
      </c>
      <c r="P1986" s="1">
        <v>391.15</v>
      </c>
      <c r="Q1986">
        <v>0.12</v>
      </c>
      <c r="R1986">
        <v>3.97E-4</v>
      </c>
    </row>
    <row r="1987" spans="1:18" ht="13.8" outlineLevel="1" x14ac:dyDescent="0.25">
      <c r="A1987">
        <v>84909</v>
      </c>
      <c r="B1987" t="s">
        <v>2361</v>
      </c>
      <c r="C1987" t="s">
        <v>2366</v>
      </c>
      <c r="D1987" s="14" t="s">
        <v>2363</v>
      </c>
      <c r="E1987" s="12" t="s">
        <v>28</v>
      </c>
      <c r="F1987" s="13" t="s">
        <v>29</v>
      </c>
      <c r="G1987">
        <v>1</v>
      </c>
      <c r="H1987" t="s">
        <v>2364</v>
      </c>
      <c r="I1987">
        <v>1</v>
      </c>
      <c r="J1987" s="15"/>
      <c r="K1987" s="16">
        <f>1123.01 - (1123.01 * $E$1)</f>
        <v>1123.01</v>
      </c>
      <c r="L1987" s="16">
        <f>920.5 - (920.5 * $E$1)</f>
        <v>920.5</v>
      </c>
      <c r="M1987" s="1">
        <v>1123.01</v>
      </c>
      <c r="N1987" s="1">
        <v>920.5</v>
      </c>
      <c r="O1987" s="1">
        <v>954.56</v>
      </c>
      <c r="P1987" s="1">
        <v>782.43</v>
      </c>
      <c r="Q1987">
        <v>0.25</v>
      </c>
      <c r="R1987">
        <v>3.97E-4</v>
      </c>
    </row>
    <row r="1988" spans="1:18" ht="13.8" outlineLevel="1" x14ac:dyDescent="0.25">
      <c r="A1988">
        <v>84910</v>
      </c>
      <c r="B1988" t="s">
        <v>2361</v>
      </c>
      <c r="C1988" t="s">
        <v>2367</v>
      </c>
      <c r="D1988" s="14" t="s">
        <v>2363</v>
      </c>
      <c r="E1988" s="12" t="s">
        <v>28</v>
      </c>
      <c r="F1988" s="13" t="s">
        <v>29</v>
      </c>
      <c r="G1988">
        <v>1</v>
      </c>
      <c r="H1988" t="s">
        <v>2364</v>
      </c>
      <c r="I1988">
        <v>1</v>
      </c>
      <c r="J1988" s="15"/>
      <c r="K1988" s="16">
        <f>1123.01 - (1123.01 * $E$1)</f>
        <v>1123.01</v>
      </c>
      <c r="L1988" s="16">
        <f>920.5 - (920.5 * $E$1)</f>
        <v>920.5</v>
      </c>
      <c r="M1988" s="1">
        <v>1123.01</v>
      </c>
      <c r="N1988" s="1">
        <v>920.5</v>
      </c>
      <c r="O1988" s="1">
        <v>954.56</v>
      </c>
      <c r="P1988" s="1">
        <v>782.43</v>
      </c>
      <c r="Q1988">
        <v>0.25</v>
      </c>
      <c r="R1988">
        <v>3.97E-4</v>
      </c>
    </row>
    <row r="1989" spans="1:18" ht="13.8" outlineLevel="1" x14ac:dyDescent="0.25">
      <c r="A1989">
        <v>84911</v>
      </c>
      <c r="B1989" t="s">
        <v>2361</v>
      </c>
      <c r="C1989" t="s">
        <v>2368</v>
      </c>
      <c r="D1989" s="14" t="s">
        <v>2363</v>
      </c>
      <c r="E1989" s="12" t="s">
        <v>28</v>
      </c>
      <c r="F1989" s="13" t="s">
        <v>29</v>
      </c>
      <c r="G1989">
        <v>1</v>
      </c>
      <c r="H1989" t="s">
        <v>2364</v>
      </c>
      <c r="I1989">
        <v>1</v>
      </c>
      <c r="J1989" s="15"/>
      <c r="K1989" s="16">
        <f>1355.51 - (1355.51 * $E$1)</f>
        <v>1355.51</v>
      </c>
      <c r="L1989" s="16">
        <f>1111.07 - (1111.07 * $E$1)</f>
        <v>1111.07</v>
      </c>
      <c r="M1989" s="1">
        <v>1355.51</v>
      </c>
      <c r="N1989" s="1">
        <v>1111.07</v>
      </c>
      <c r="O1989" s="1">
        <v>1152.18</v>
      </c>
      <c r="P1989" s="1">
        <v>944.41</v>
      </c>
      <c r="Q1989">
        <v>0.28999999999999998</v>
      </c>
      <c r="R1989">
        <v>3.97E-4</v>
      </c>
    </row>
    <row r="1990" spans="1:18" ht="13.8" outlineLevel="1" x14ac:dyDescent="0.25">
      <c r="A1990">
        <v>84912</v>
      </c>
      <c r="B1990" t="s">
        <v>2361</v>
      </c>
      <c r="C1990" t="s">
        <v>2369</v>
      </c>
      <c r="D1990" s="14" t="s">
        <v>2363</v>
      </c>
      <c r="E1990" s="12" t="s">
        <v>28</v>
      </c>
      <c r="F1990" s="13" t="s">
        <v>29</v>
      </c>
      <c r="G1990">
        <v>1</v>
      </c>
      <c r="H1990" t="s">
        <v>2364</v>
      </c>
      <c r="I1990">
        <v>1</v>
      </c>
      <c r="J1990" s="15"/>
      <c r="K1990" s="16">
        <f>1355.51 - (1355.51 * $E$1)</f>
        <v>1355.51</v>
      </c>
      <c r="L1990" s="16">
        <f>1111.07 - (1111.07 * $E$1)</f>
        <v>1111.07</v>
      </c>
      <c r="M1990" s="1">
        <v>1355.51</v>
      </c>
      <c r="N1990" s="1">
        <v>1111.07</v>
      </c>
      <c r="O1990" s="1">
        <v>1152.18</v>
      </c>
      <c r="P1990" s="1">
        <v>944.41</v>
      </c>
      <c r="Q1990">
        <v>0.28999999999999998</v>
      </c>
      <c r="R1990">
        <v>3.97E-4</v>
      </c>
    </row>
    <row r="1991" spans="1:18" ht="13.8" outlineLevel="1" x14ac:dyDescent="0.25">
      <c r="A1991">
        <v>65450</v>
      </c>
      <c r="B1991" t="s">
        <v>2370</v>
      </c>
      <c r="C1991" t="s">
        <v>2371</v>
      </c>
      <c r="D1991" s="14" t="s">
        <v>2372</v>
      </c>
      <c r="E1991" s="12" t="s">
        <v>28</v>
      </c>
      <c r="F1991" s="13" t="s">
        <v>29</v>
      </c>
      <c r="G1991">
        <v>10</v>
      </c>
      <c r="H1991" t="s">
        <v>30</v>
      </c>
      <c r="I1991">
        <v>10</v>
      </c>
      <c r="J1991" s="15"/>
      <c r="K1991" s="16">
        <f>339.82 - (339.82 * $E$1)</f>
        <v>339.82</v>
      </c>
      <c r="L1991" s="16">
        <f>278.54 - (278.54 * $E$1)</f>
        <v>278.54000000000002</v>
      </c>
      <c r="M1991" s="1">
        <v>339.82</v>
      </c>
      <c r="N1991" s="1">
        <v>278.54000000000002</v>
      </c>
      <c r="O1991" s="1">
        <v>288.85000000000002</v>
      </c>
      <c r="P1991" s="1">
        <v>236.76</v>
      </c>
      <c r="Q1991">
        <v>1.5100000000000001E-2</v>
      </c>
      <c r="R1991">
        <v>2.72E-5</v>
      </c>
    </row>
    <row r="1992" spans="1:18" ht="13.8" outlineLevel="1" x14ac:dyDescent="0.25">
      <c r="A1992">
        <v>65451</v>
      </c>
      <c r="B1992" t="s">
        <v>2370</v>
      </c>
      <c r="C1992" t="s">
        <v>2373</v>
      </c>
      <c r="D1992" s="14" t="s">
        <v>2372</v>
      </c>
      <c r="E1992" s="12" t="s">
        <v>28</v>
      </c>
      <c r="F1992" s="13" t="s">
        <v>29</v>
      </c>
      <c r="G1992">
        <v>10</v>
      </c>
      <c r="H1992" t="s">
        <v>30</v>
      </c>
      <c r="I1992">
        <v>10</v>
      </c>
      <c r="J1992" s="15"/>
      <c r="K1992" s="16">
        <f>594.3 - (594.3 * $E$1)</f>
        <v>594.29999999999995</v>
      </c>
      <c r="L1992" s="16">
        <f>487.13 - (487.13 * $E$1)</f>
        <v>487.13</v>
      </c>
      <c r="M1992" s="1">
        <v>594.29999999999995</v>
      </c>
      <c r="N1992" s="1">
        <v>487.13</v>
      </c>
      <c r="O1992" s="1">
        <v>505.15</v>
      </c>
      <c r="P1992" s="1">
        <v>414.06</v>
      </c>
      <c r="Q1992">
        <v>0.03</v>
      </c>
      <c r="R1992">
        <v>6.1199999999999997E-5</v>
      </c>
    </row>
    <row r="1993" spans="1:18" ht="13.8" outlineLevel="1" x14ac:dyDescent="0.25">
      <c r="A1993">
        <v>65452</v>
      </c>
      <c r="B1993" t="s">
        <v>2370</v>
      </c>
      <c r="C1993" t="s">
        <v>2374</v>
      </c>
      <c r="D1993" s="14" t="s">
        <v>2372</v>
      </c>
      <c r="E1993" s="12" t="s">
        <v>28</v>
      </c>
      <c r="F1993" s="13" t="s">
        <v>29</v>
      </c>
      <c r="G1993">
        <v>5</v>
      </c>
      <c r="H1993" t="s">
        <v>30</v>
      </c>
      <c r="I1993">
        <v>5</v>
      </c>
      <c r="J1993" s="15"/>
      <c r="K1993" s="16">
        <f>934.12 - (934.12 * $E$1)</f>
        <v>934.12</v>
      </c>
      <c r="L1993" s="16">
        <f>765.67 - (765.67 * $E$1)</f>
        <v>765.67</v>
      </c>
      <c r="M1993" s="1">
        <v>934.12</v>
      </c>
      <c r="N1993" s="1">
        <v>765.67</v>
      </c>
      <c r="O1993" s="1">
        <v>794</v>
      </c>
      <c r="P1993" s="1">
        <v>650.82000000000005</v>
      </c>
      <c r="Q1993">
        <v>5.2400000000000002E-2</v>
      </c>
      <c r="R1993">
        <v>1.17E-4</v>
      </c>
    </row>
    <row r="1994" spans="1:18" ht="13.8" outlineLevel="1" x14ac:dyDescent="0.25">
      <c r="A1994">
        <v>66134</v>
      </c>
      <c r="B1994" t="s">
        <v>2375</v>
      </c>
      <c r="C1994" t="s">
        <v>2376</v>
      </c>
      <c r="D1994" s="14" t="s">
        <v>2377</v>
      </c>
      <c r="E1994" s="12" t="s">
        <v>28</v>
      </c>
      <c r="F1994" s="13" t="s">
        <v>29</v>
      </c>
      <c r="G1994">
        <v>5</v>
      </c>
      <c r="H1994" t="s">
        <v>30</v>
      </c>
      <c r="I1994">
        <v>5</v>
      </c>
      <c r="J1994" s="15"/>
      <c r="K1994" s="16">
        <f>764.55 - (764.55 * $E$1)</f>
        <v>764.55</v>
      </c>
      <c r="L1994" s="16">
        <f>626.68 - (626.68 * $E$1)</f>
        <v>626.67999999999995</v>
      </c>
      <c r="M1994" s="1">
        <v>764.55</v>
      </c>
      <c r="N1994" s="1">
        <v>626.67999999999995</v>
      </c>
      <c r="O1994" s="1">
        <v>649.87</v>
      </c>
      <c r="P1994" s="1">
        <v>532.67999999999995</v>
      </c>
      <c r="Q1994">
        <v>2.5999999999999999E-2</v>
      </c>
      <c r="R1994">
        <v>3.3799999999999998E-4</v>
      </c>
    </row>
    <row r="1995" spans="1:18" ht="13.8" outlineLevel="1" x14ac:dyDescent="0.25">
      <c r="A1995">
        <v>66135</v>
      </c>
      <c r="B1995" t="s">
        <v>2375</v>
      </c>
      <c r="C1995" t="s">
        <v>2378</v>
      </c>
      <c r="D1995" s="14" t="s">
        <v>2377</v>
      </c>
      <c r="E1995" s="12" t="s">
        <v>28</v>
      </c>
      <c r="F1995" s="13" t="s">
        <v>29</v>
      </c>
      <c r="G1995">
        <v>5</v>
      </c>
      <c r="H1995" t="s">
        <v>30</v>
      </c>
      <c r="I1995">
        <v>5</v>
      </c>
      <c r="J1995" s="15"/>
      <c r="K1995" s="16">
        <f>1306.56 - (1306.56 * $E$1)</f>
        <v>1306.56</v>
      </c>
      <c r="L1995" s="16">
        <f>1070.95 - (1070.95 * $E$1)</f>
        <v>1070.95</v>
      </c>
      <c r="M1995" s="1">
        <v>1306.56</v>
      </c>
      <c r="N1995" s="1">
        <v>1070.95</v>
      </c>
      <c r="O1995" s="1">
        <v>1110.58</v>
      </c>
      <c r="P1995" s="1">
        <v>910.31</v>
      </c>
      <c r="Q1995">
        <v>0.1</v>
      </c>
      <c r="R1995">
        <v>1.6900000000000001E-3</v>
      </c>
    </row>
    <row r="1996" spans="1:18" ht="13.8" outlineLevel="1" x14ac:dyDescent="0.25">
      <c r="A1996">
        <v>66136</v>
      </c>
      <c r="B1996" t="s">
        <v>2375</v>
      </c>
      <c r="C1996" t="s">
        <v>2379</v>
      </c>
      <c r="D1996" s="14" t="s">
        <v>2377</v>
      </c>
      <c r="E1996" s="12" t="s">
        <v>28</v>
      </c>
      <c r="F1996" s="13" t="s">
        <v>29</v>
      </c>
      <c r="G1996">
        <v>5</v>
      </c>
      <c r="H1996" t="s">
        <v>30</v>
      </c>
      <c r="I1996">
        <v>5</v>
      </c>
      <c r="J1996" s="15"/>
      <c r="K1996" s="16">
        <f>2176.48 - (2176.48 * $E$1)</f>
        <v>2176.48</v>
      </c>
      <c r="L1996" s="16">
        <f>1784 - (1784 * $E$1)</f>
        <v>1784</v>
      </c>
      <c r="M1996" s="1">
        <v>2176.48</v>
      </c>
      <c r="N1996" s="1">
        <v>1784</v>
      </c>
      <c r="O1996" s="1">
        <v>1850.01</v>
      </c>
      <c r="P1996" s="1">
        <v>1516.4</v>
      </c>
      <c r="Q1996">
        <v>0.16</v>
      </c>
      <c r="R1996">
        <v>4.4799999999999996E-3</v>
      </c>
    </row>
    <row r="1997" spans="1:18" ht="13.8" outlineLevel="1" x14ac:dyDescent="0.25">
      <c r="A1997">
        <v>84296</v>
      </c>
      <c r="B1997" t="s">
        <v>2380</v>
      </c>
      <c r="C1997" t="s">
        <v>2381</v>
      </c>
      <c r="D1997" s="14" t="s">
        <v>2382</v>
      </c>
      <c r="E1997" s="12" t="s">
        <v>28</v>
      </c>
      <c r="F1997" s="13" t="s">
        <v>29</v>
      </c>
      <c r="G1997">
        <v>1</v>
      </c>
      <c r="H1997" t="s">
        <v>1129</v>
      </c>
      <c r="I1997">
        <v>1</v>
      </c>
      <c r="J1997" s="15"/>
      <c r="K1997" s="16">
        <f>668.97 - (668.97 * $E$1)</f>
        <v>668.97</v>
      </c>
      <c r="L1997" s="16">
        <f>548.34 - (548.34 * $E$1)</f>
        <v>548.34</v>
      </c>
      <c r="M1997" s="1">
        <v>668.97</v>
      </c>
      <c r="N1997" s="1">
        <v>548.34</v>
      </c>
      <c r="O1997" s="1">
        <v>568.63</v>
      </c>
      <c r="P1997" s="1">
        <v>466.09</v>
      </c>
      <c r="Q1997">
        <v>0.05</v>
      </c>
      <c r="R1997">
        <v>1.16E-4</v>
      </c>
    </row>
    <row r="1998" spans="1:18" ht="13.8" outlineLevel="1" x14ac:dyDescent="0.25">
      <c r="A1998">
        <v>84297</v>
      </c>
      <c r="B1998" t="s">
        <v>2380</v>
      </c>
      <c r="C1998" t="s">
        <v>2383</v>
      </c>
      <c r="D1998" s="14" t="s">
        <v>2382</v>
      </c>
      <c r="E1998" s="12" t="s">
        <v>28</v>
      </c>
      <c r="F1998" s="13" t="s">
        <v>29</v>
      </c>
      <c r="G1998">
        <v>1</v>
      </c>
      <c r="H1998" t="s">
        <v>1129</v>
      </c>
      <c r="I1998">
        <v>1</v>
      </c>
      <c r="J1998" s="15"/>
      <c r="K1998" s="16">
        <f>926.27 - (926.27 * $E$1)</f>
        <v>926.27</v>
      </c>
      <c r="L1998" s="16">
        <f>759.24 - (759.24 * $E$1)</f>
        <v>759.24</v>
      </c>
      <c r="M1998" s="1">
        <v>926.27</v>
      </c>
      <c r="N1998" s="1">
        <v>759.24</v>
      </c>
      <c r="O1998" s="1">
        <v>787.33</v>
      </c>
      <c r="P1998" s="1">
        <v>645.35</v>
      </c>
      <c r="Q1998">
        <v>7.0000000000000007E-2</v>
      </c>
      <c r="R1998">
        <v>1.54E-4</v>
      </c>
    </row>
    <row r="1999" spans="1:18" ht="13.8" outlineLevel="1" x14ac:dyDescent="0.25">
      <c r="A1999">
        <v>84298</v>
      </c>
      <c r="B1999" t="s">
        <v>2380</v>
      </c>
      <c r="C1999" t="s">
        <v>2384</v>
      </c>
      <c r="D1999" s="14" t="s">
        <v>2382</v>
      </c>
      <c r="E1999" s="12" t="s">
        <v>28</v>
      </c>
      <c r="F1999" s="13" t="s">
        <v>29</v>
      </c>
      <c r="G1999">
        <v>1</v>
      </c>
      <c r="H1999" t="s">
        <v>1129</v>
      </c>
      <c r="I1999">
        <v>1</v>
      </c>
      <c r="J1999" s="15"/>
      <c r="K1999" s="16">
        <f>1039.48 - (1039.48 * $E$1)</f>
        <v>1039.48</v>
      </c>
      <c r="L1999" s="16">
        <f>852.03 - (852.03 * $E$1)</f>
        <v>852.03</v>
      </c>
      <c r="M1999" s="1">
        <v>1039.48</v>
      </c>
      <c r="N1999" s="1">
        <v>852.03</v>
      </c>
      <c r="O1999" s="1">
        <v>883.56</v>
      </c>
      <c r="P1999" s="1">
        <v>724.23</v>
      </c>
      <c r="Q1999">
        <v>0.08</v>
      </c>
      <c r="R1999">
        <v>1.54E-4</v>
      </c>
    </row>
    <row r="2000" spans="1:18" ht="13.8" outlineLevel="1" x14ac:dyDescent="0.25">
      <c r="A2000">
        <v>84299</v>
      </c>
      <c r="B2000" t="s">
        <v>2380</v>
      </c>
      <c r="C2000" t="s">
        <v>2385</v>
      </c>
      <c r="D2000" s="14" t="s">
        <v>2382</v>
      </c>
      <c r="E2000" s="12" t="s">
        <v>28</v>
      </c>
      <c r="F2000" s="13" t="s">
        <v>29</v>
      </c>
      <c r="G2000">
        <v>1</v>
      </c>
      <c r="H2000" t="s">
        <v>1129</v>
      </c>
      <c r="I2000">
        <v>1</v>
      </c>
      <c r="J2000" s="15"/>
      <c r="K2000" s="16">
        <f>1077.22 - (1077.22 * $E$1)</f>
        <v>1077.22</v>
      </c>
      <c r="L2000" s="16">
        <f>882.97 - (882.97 * $E$1)</f>
        <v>882.97</v>
      </c>
      <c r="M2000" s="1">
        <v>1077.22</v>
      </c>
      <c r="N2000" s="1">
        <v>882.97</v>
      </c>
      <c r="O2000" s="1">
        <v>915.64</v>
      </c>
      <c r="P2000" s="1">
        <v>750.52</v>
      </c>
      <c r="Q2000">
        <v>0.11</v>
      </c>
      <c r="R2000">
        <v>2.2000000000000001E-4</v>
      </c>
    </row>
    <row r="2001" spans="1:18" ht="13.8" outlineLevel="1" x14ac:dyDescent="0.25">
      <c r="A2001">
        <v>84301</v>
      </c>
      <c r="B2001" t="s">
        <v>2380</v>
      </c>
      <c r="C2001" t="s">
        <v>2386</v>
      </c>
      <c r="D2001" s="14" t="s">
        <v>2387</v>
      </c>
      <c r="E2001" s="12" t="s">
        <v>28</v>
      </c>
      <c r="F2001" s="13" t="s">
        <v>29</v>
      </c>
      <c r="G2001">
        <v>1</v>
      </c>
      <c r="H2001" t="s">
        <v>1129</v>
      </c>
      <c r="I2001">
        <v>1</v>
      </c>
      <c r="J2001" s="15"/>
      <c r="K2001" s="16">
        <f>651.82 - (651.82 * $E$1)</f>
        <v>651.82000000000005</v>
      </c>
      <c r="L2001" s="16">
        <f>534.28 - (534.28 * $E$1)</f>
        <v>534.28</v>
      </c>
      <c r="M2001" s="1">
        <v>651.82000000000005</v>
      </c>
      <c r="N2001" s="1">
        <v>534.28</v>
      </c>
      <c r="O2001" s="1">
        <v>554.04999999999995</v>
      </c>
      <c r="P2001" s="1">
        <v>454.14</v>
      </c>
      <c r="Q2001">
        <v>0.06</v>
      </c>
      <c r="R2001">
        <v>1.4300000000000001E-4</v>
      </c>
    </row>
    <row r="2002" spans="1:18" ht="13.8" outlineLevel="1" x14ac:dyDescent="0.25">
      <c r="A2002">
        <v>84302</v>
      </c>
      <c r="B2002" t="s">
        <v>2380</v>
      </c>
      <c r="C2002" t="s">
        <v>2388</v>
      </c>
      <c r="D2002" s="14" t="s">
        <v>2387</v>
      </c>
      <c r="E2002" s="12" t="s">
        <v>28</v>
      </c>
      <c r="F2002" s="13" t="s">
        <v>29</v>
      </c>
      <c r="G2002">
        <v>1</v>
      </c>
      <c r="H2002" t="s">
        <v>1129</v>
      </c>
      <c r="I2002">
        <v>1</v>
      </c>
      <c r="J2002" s="15"/>
      <c r="K2002" s="16">
        <f>1361.96 - (1361.96 * $E$1)</f>
        <v>1361.96</v>
      </c>
      <c r="L2002" s="16">
        <f>1116.36 - (1116.36 * $E$1)</f>
        <v>1116.3599999999999</v>
      </c>
      <c r="M2002" s="1">
        <v>1361.96</v>
      </c>
      <c r="N2002" s="1">
        <v>1116.3599999999999</v>
      </c>
      <c r="O2002" s="1">
        <v>1157.67</v>
      </c>
      <c r="P2002" s="1">
        <v>948.91</v>
      </c>
      <c r="Q2002">
        <v>0.17</v>
      </c>
      <c r="R2002">
        <v>2.8600000000000001E-4</v>
      </c>
    </row>
    <row r="2003" spans="1:18" ht="13.8" outlineLevel="1" x14ac:dyDescent="0.25">
      <c r="A2003">
        <v>84305</v>
      </c>
      <c r="B2003" t="s">
        <v>2380</v>
      </c>
      <c r="C2003" t="s">
        <v>2389</v>
      </c>
      <c r="D2003" s="14" t="s">
        <v>2387</v>
      </c>
      <c r="E2003" s="12" t="s">
        <v>28</v>
      </c>
      <c r="F2003" s="13" t="s">
        <v>29</v>
      </c>
      <c r="G2003">
        <v>1</v>
      </c>
      <c r="H2003" t="s">
        <v>1129</v>
      </c>
      <c r="I2003">
        <v>1</v>
      </c>
      <c r="J2003" s="15"/>
      <c r="K2003" s="16">
        <f>1416.85 - (1416.85 * $E$1)</f>
        <v>1416.85</v>
      </c>
      <c r="L2003" s="16">
        <f>1161.35 - (1161.35 * $E$1)</f>
        <v>1161.3499999999999</v>
      </c>
      <c r="M2003" s="1">
        <v>1416.85</v>
      </c>
      <c r="N2003" s="1">
        <v>1161.3499999999999</v>
      </c>
      <c r="O2003" s="1">
        <v>1204.32</v>
      </c>
      <c r="P2003" s="1">
        <v>987.15</v>
      </c>
      <c r="Q2003">
        <v>0.13</v>
      </c>
      <c r="R2003">
        <v>3.6000000000000002E-4</v>
      </c>
    </row>
    <row r="2004" spans="1:18" ht="13.8" outlineLevel="1" x14ac:dyDescent="0.25">
      <c r="A2004">
        <v>84303</v>
      </c>
      <c r="B2004" t="s">
        <v>2380</v>
      </c>
      <c r="C2004" t="s">
        <v>2390</v>
      </c>
      <c r="D2004" s="14" t="s">
        <v>2387</v>
      </c>
      <c r="E2004" s="12" t="s">
        <v>28</v>
      </c>
      <c r="F2004" s="13" t="s">
        <v>29</v>
      </c>
      <c r="G2004">
        <v>1</v>
      </c>
      <c r="H2004" t="s">
        <v>1129</v>
      </c>
      <c r="I2004">
        <v>1</v>
      </c>
      <c r="J2004" s="15"/>
      <c r="K2004" s="16">
        <f>1802.35 - (1802.35 * $E$1)</f>
        <v>1802.35</v>
      </c>
      <c r="L2004" s="16">
        <f>1477.34 - (1477.34 * $E$1)</f>
        <v>1477.34</v>
      </c>
      <c r="M2004" s="1">
        <v>1802.35</v>
      </c>
      <c r="N2004" s="1">
        <v>1477.34</v>
      </c>
      <c r="O2004" s="1">
        <v>1532</v>
      </c>
      <c r="P2004" s="1">
        <v>1255.74</v>
      </c>
      <c r="Q2004">
        <v>0.27</v>
      </c>
      <c r="R2004">
        <v>8.4000000000000003E-4</v>
      </c>
    </row>
    <row r="2005" spans="1:18" ht="13.8" outlineLevel="1" x14ac:dyDescent="0.25">
      <c r="A2005">
        <v>66770</v>
      </c>
      <c r="B2005" t="s">
        <v>2380</v>
      </c>
      <c r="C2005" t="s">
        <v>2391</v>
      </c>
      <c r="D2005" s="14" t="s">
        <v>2392</v>
      </c>
      <c r="E2005" s="12" t="s">
        <v>28</v>
      </c>
      <c r="F2005" s="13" t="s">
        <v>29</v>
      </c>
      <c r="G2005">
        <v>1</v>
      </c>
      <c r="H2005" t="s">
        <v>30</v>
      </c>
      <c r="I2005">
        <v>1</v>
      </c>
      <c r="J2005" s="15"/>
      <c r="K2005" s="16">
        <f>410.71 - (410.71 * $E$1)</f>
        <v>410.71</v>
      </c>
      <c r="L2005" s="16">
        <f>336.65 - (336.65 * $E$1)</f>
        <v>336.65</v>
      </c>
      <c r="M2005" s="1">
        <v>410.71</v>
      </c>
      <c r="N2005" s="1">
        <v>336.65</v>
      </c>
      <c r="O2005" s="1">
        <v>349.11</v>
      </c>
      <c r="P2005" s="1">
        <v>286.14999999999998</v>
      </c>
      <c r="Q2005">
        <v>5.1999999999999998E-2</v>
      </c>
      <c r="R2005">
        <v>1.0640000000000001E-3</v>
      </c>
    </row>
    <row r="2006" spans="1:18" ht="13.8" outlineLevel="1" x14ac:dyDescent="0.25">
      <c r="A2006">
        <v>66771</v>
      </c>
      <c r="B2006" t="s">
        <v>2380</v>
      </c>
      <c r="C2006" t="s">
        <v>2393</v>
      </c>
      <c r="D2006" s="14" t="s">
        <v>2392</v>
      </c>
      <c r="E2006" s="12" t="s">
        <v>28</v>
      </c>
      <c r="F2006" s="13" t="s">
        <v>29</v>
      </c>
      <c r="G2006">
        <v>1</v>
      </c>
      <c r="H2006" t="s">
        <v>30</v>
      </c>
      <c r="I2006">
        <v>1</v>
      </c>
      <c r="J2006" s="15"/>
      <c r="K2006" s="16">
        <f>478.15 - (478.15 * $E$1)</f>
        <v>478.15</v>
      </c>
      <c r="L2006" s="16">
        <f>391.93 - (391.93 * $E$1)</f>
        <v>391.93</v>
      </c>
      <c r="M2006" s="1">
        <v>478.15</v>
      </c>
      <c r="N2006" s="1">
        <v>391.93</v>
      </c>
      <c r="O2006" s="1">
        <v>406.43</v>
      </c>
      <c r="P2006" s="1">
        <v>333.14</v>
      </c>
      <c r="Q2006">
        <v>7.2999999999999995E-2</v>
      </c>
      <c r="R2006">
        <v>1.0640000000000001E-3</v>
      </c>
    </row>
    <row r="2007" spans="1:18" ht="13.8" outlineLevel="1" x14ac:dyDescent="0.25">
      <c r="A2007">
        <v>66772</v>
      </c>
      <c r="B2007" t="s">
        <v>2380</v>
      </c>
      <c r="C2007" t="s">
        <v>2394</v>
      </c>
      <c r="D2007" s="14" t="s">
        <v>2392</v>
      </c>
      <c r="E2007" s="12" t="s">
        <v>28</v>
      </c>
      <c r="F2007" s="13" t="s">
        <v>29</v>
      </c>
      <c r="G2007">
        <v>1</v>
      </c>
      <c r="H2007" t="s">
        <v>30</v>
      </c>
      <c r="I2007">
        <v>1</v>
      </c>
      <c r="J2007" s="15"/>
      <c r="K2007" s="16">
        <f>568.15 - (568.15 * $E$1)</f>
        <v>568.15</v>
      </c>
      <c r="L2007" s="16">
        <f>465.7 - (465.7 * $E$1)</f>
        <v>465.7</v>
      </c>
      <c r="M2007" s="1">
        <v>568.15</v>
      </c>
      <c r="N2007" s="1">
        <v>465.7</v>
      </c>
      <c r="O2007" s="1">
        <v>482.93</v>
      </c>
      <c r="P2007" s="1">
        <v>395.85</v>
      </c>
      <c r="Q2007">
        <v>9.1999999999999998E-2</v>
      </c>
      <c r="R2007">
        <v>1.0640000000000001E-3</v>
      </c>
    </row>
    <row r="2008" spans="1:18" ht="13.8" outlineLevel="1" x14ac:dyDescent="0.25">
      <c r="A2008">
        <v>66773</v>
      </c>
      <c r="B2008" t="s">
        <v>2380</v>
      </c>
      <c r="C2008" t="s">
        <v>2395</v>
      </c>
      <c r="D2008" s="14" t="s">
        <v>2392</v>
      </c>
      <c r="E2008" s="12" t="s">
        <v>28</v>
      </c>
      <c r="F2008" s="13" t="s">
        <v>29</v>
      </c>
      <c r="G2008">
        <v>1</v>
      </c>
      <c r="H2008" t="s">
        <v>30</v>
      </c>
      <c r="I2008">
        <v>1</v>
      </c>
      <c r="J2008" s="15"/>
      <c r="K2008" s="16">
        <f>805.6 - (805.6 * $E$1)</f>
        <v>805.6</v>
      </c>
      <c r="L2008" s="16">
        <f>660.33 - (660.33 * $E$1)</f>
        <v>660.33</v>
      </c>
      <c r="M2008" s="1">
        <v>805.6</v>
      </c>
      <c r="N2008" s="1">
        <v>660.33</v>
      </c>
      <c r="O2008" s="1">
        <v>684.76</v>
      </c>
      <c r="P2008" s="1">
        <v>561.28</v>
      </c>
      <c r="Q2008">
        <v>0.14000000000000001</v>
      </c>
      <c r="R2008">
        <v>1.0640000000000001E-3</v>
      </c>
    </row>
    <row r="2009" spans="1:18" ht="13.8" outlineLevel="1" x14ac:dyDescent="0.25">
      <c r="A2009">
        <v>66774</v>
      </c>
      <c r="B2009" t="s">
        <v>2380</v>
      </c>
      <c r="C2009" t="s">
        <v>2396</v>
      </c>
      <c r="D2009" s="14" t="s">
        <v>2392</v>
      </c>
      <c r="E2009" s="12" t="s">
        <v>28</v>
      </c>
      <c r="F2009" s="13" t="s">
        <v>29</v>
      </c>
      <c r="G2009">
        <v>1</v>
      </c>
      <c r="H2009" t="s">
        <v>30</v>
      </c>
      <c r="I2009">
        <v>1</v>
      </c>
      <c r="J2009" s="15"/>
      <c r="K2009" s="16">
        <f>1607.5 - (1607.5 * $E$1)</f>
        <v>1607.5</v>
      </c>
      <c r="L2009" s="16">
        <f>1317.62 - (1317.62 * $E$1)</f>
        <v>1317.62</v>
      </c>
      <c r="M2009" s="1">
        <v>1607.5</v>
      </c>
      <c r="N2009" s="1">
        <v>1317.62</v>
      </c>
      <c r="O2009" s="1">
        <v>1366.37</v>
      </c>
      <c r="P2009" s="1">
        <v>1119.98</v>
      </c>
      <c r="Q2009">
        <v>0.214</v>
      </c>
      <c r="R2009">
        <v>1.0640000000000001E-3</v>
      </c>
    </row>
    <row r="2010" spans="1:18" ht="13.8" outlineLevel="1" x14ac:dyDescent="0.25">
      <c r="A2010">
        <v>66777</v>
      </c>
      <c r="B2010" t="s">
        <v>2380</v>
      </c>
      <c r="C2010" t="s">
        <v>2397</v>
      </c>
      <c r="D2010" s="14" t="s">
        <v>2392</v>
      </c>
      <c r="E2010" s="12" t="s">
        <v>28</v>
      </c>
      <c r="F2010" s="13" t="s">
        <v>29</v>
      </c>
      <c r="G2010">
        <v>1</v>
      </c>
      <c r="H2010" t="s">
        <v>30</v>
      </c>
      <c r="I2010">
        <v>1</v>
      </c>
      <c r="J2010" s="15"/>
      <c r="K2010" s="16">
        <f>2158.45 - (2158.45 * $E$1)</f>
        <v>2158.4499999999998</v>
      </c>
      <c r="L2010" s="16">
        <f>1769.22 - (1769.22 * $E$1)</f>
        <v>1769.22</v>
      </c>
      <c r="M2010" s="1">
        <v>2158.4499999999998</v>
      </c>
      <c r="N2010" s="1">
        <v>1769.22</v>
      </c>
      <c r="O2010" s="1">
        <v>1834.68</v>
      </c>
      <c r="P2010" s="1">
        <v>1503.84</v>
      </c>
      <c r="Q2010">
        <v>0.28699999999999998</v>
      </c>
      <c r="R2010">
        <v>1.0640000000000001E-3</v>
      </c>
    </row>
    <row r="2011" spans="1:18" ht="13.8" outlineLevel="1" x14ac:dyDescent="0.25">
      <c r="A2011">
        <v>92171</v>
      </c>
      <c r="B2011" t="s">
        <v>2380</v>
      </c>
      <c r="C2011" t="s">
        <v>2398</v>
      </c>
      <c r="D2011" s="14" t="s">
        <v>2392</v>
      </c>
      <c r="E2011" s="12" t="s">
        <v>28</v>
      </c>
      <c r="F2011" s="13" t="s">
        <v>29</v>
      </c>
      <c r="G2011">
        <v>1</v>
      </c>
      <c r="H2011" t="s">
        <v>30</v>
      </c>
      <c r="I2011">
        <v>1</v>
      </c>
      <c r="J2011" s="15"/>
      <c r="K2011" s="16">
        <f>329.29 - (329.29 * $E$1)</f>
        <v>329.29</v>
      </c>
      <c r="L2011" s="16">
        <f>269.91 - (269.91 * $E$1)</f>
        <v>269.91000000000003</v>
      </c>
      <c r="M2011" s="1">
        <v>329.29</v>
      </c>
      <c r="N2011" s="1">
        <v>269.91000000000003</v>
      </c>
      <c r="O2011" s="1">
        <v>279.89999999999998</v>
      </c>
      <c r="P2011" s="1">
        <v>229.42</v>
      </c>
      <c r="Q2011">
        <v>0.04</v>
      </c>
      <c r="R2011">
        <v>4.1599999999999997E-4</v>
      </c>
    </row>
    <row r="2012" spans="1:18" ht="13.8" outlineLevel="1" x14ac:dyDescent="0.25">
      <c r="A2012">
        <v>92172</v>
      </c>
      <c r="B2012" t="s">
        <v>2380</v>
      </c>
      <c r="C2012" t="s">
        <v>2399</v>
      </c>
      <c r="D2012" s="14" t="s">
        <v>2392</v>
      </c>
      <c r="E2012" s="12" t="s">
        <v>28</v>
      </c>
      <c r="F2012" s="13" t="s">
        <v>29</v>
      </c>
      <c r="G2012">
        <v>1</v>
      </c>
      <c r="H2012" t="s">
        <v>30</v>
      </c>
      <c r="I2012">
        <v>1</v>
      </c>
      <c r="J2012" s="15"/>
      <c r="K2012" s="16">
        <f>1284.23 - (1284.23 * $E$1)</f>
        <v>1284.23</v>
      </c>
      <c r="L2012" s="16">
        <f>1052.65 - (1052.65 * $E$1)</f>
        <v>1052.6500000000001</v>
      </c>
      <c r="M2012" s="1">
        <v>1284.23</v>
      </c>
      <c r="N2012" s="1">
        <v>1052.6500000000001</v>
      </c>
      <c r="O2012" s="1">
        <v>1091.5999999999999</v>
      </c>
      <c r="P2012" s="1">
        <v>894.75</v>
      </c>
      <c r="Q2012">
        <v>0.17</v>
      </c>
      <c r="R2012">
        <v>5.3799999999999996E-4</v>
      </c>
    </row>
    <row r="2013" spans="1:18" ht="13.8" outlineLevel="1" x14ac:dyDescent="0.25">
      <c r="A2013">
        <v>67002</v>
      </c>
      <c r="B2013" t="s">
        <v>2380</v>
      </c>
      <c r="C2013" t="s">
        <v>2400</v>
      </c>
      <c r="D2013" s="14" t="s">
        <v>2401</v>
      </c>
      <c r="E2013" s="12" t="s">
        <v>28</v>
      </c>
      <c r="F2013" s="13" t="s">
        <v>29</v>
      </c>
      <c r="G2013">
        <v>1</v>
      </c>
      <c r="H2013" t="s">
        <v>30</v>
      </c>
      <c r="I2013">
        <v>1</v>
      </c>
      <c r="J2013" s="15"/>
      <c r="K2013" s="16">
        <f>2534.29 - (2534.29 * $E$1)</f>
        <v>2534.29</v>
      </c>
      <c r="L2013" s="16">
        <f>2077.29 - (2077.29 * $E$1)</f>
        <v>2077.29</v>
      </c>
      <c r="M2013" s="1">
        <v>2534.29</v>
      </c>
      <c r="N2013" s="1">
        <v>2077.29</v>
      </c>
      <c r="O2013" s="1">
        <v>2154.15</v>
      </c>
      <c r="P2013" s="1">
        <v>1765.7</v>
      </c>
      <c r="Q2013">
        <v>0.14799999999999999</v>
      </c>
      <c r="R2013">
        <v>1.3129999999999999E-3</v>
      </c>
    </row>
    <row r="2014" spans="1:18" ht="13.8" outlineLevel="1" x14ac:dyDescent="0.25">
      <c r="A2014">
        <v>67003</v>
      </c>
      <c r="B2014" t="s">
        <v>2380</v>
      </c>
      <c r="C2014" t="s">
        <v>2402</v>
      </c>
      <c r="D2014" s="14" t="s">
        <v>2401</v>
      </c>
      <c r="E2014" s="12" t="s">
        <v>28</v>
      </c>
      <c r="F2014" s="13" t="s">
        <v>29</v>
      </c>
      <c r="G2014">
        <v>1</v>
      </c>
      <c r="H2014" t="s">
        <v>30</v>
      </c>
      <c r="I2014">
        <v>1</v>
      </c>
      <c r="J2014" s="15"/>
      <c r="K2014" s="16">
        <f>3355.93 - (3355.93 * $E$1)</f>
        <v>3355.93</v>
      </c>
      <c r="L2014" s="16">
        <f>2750.76 - (2750.76 * $E$1)</f>
        <v>2750.76</v>
      </c>
      <c r="M2014" s="1">
        <v>3355.93</v>
      </c>
      <c r="N2014" s="1">
        <v>2750.76</v>
      </c>
      <c r="O2014" s="1">
        <v>2852.54</v>
      </c>
      <c r="P2014" s="1">
        <v>2338.15</v>
      </c>
      <c r="Q2014">
        <v>0.22600000000000001</v>
      </c>
      <c r="R2014">
        <v>1.3129999999999999E-3</v>
      </c>
    </row>
    <row r="2015" spans="1:18" ht="13.8" outlineLevel="1" x14ac:dyDescent="0.25">
      <c r="A2015">
        <v>67004</v>
      </c>
      <c r="B2015" t="s">
        <v>2380</v>
      </c>
      <c r="C2015" t="s">
        <v>2403</v>
      </c>
      <c r="D2015" s="14" t="s">
        <v>2401</v>
      </c>
      <c r="E2015" s="12" t="s">
        <v>28</v>
      </c>
      <c r="F2015" s="13" t="s">
        <v>29</v>
      </c>
      <c r="G2015">
        <v>1</v>
      </c>
      <c r="H2015" t="s">
        <v>30</v>
      </c>
      <c r="I2015">
        <v>1</v>
      </c>
      <c r="J2015" s="15"/>
      <c r="K2015" s="16">
        <f>1590.53 - (1590.53 * $E$1)</f>
        <v>1590.53</v>
      </c>
      <c r="L2015" s="16">
        <f>1303.71 - (1303.71 * $E$1)</f>
        <v>1303.71</v>
      </c>
      <c r="M2015" s="1">
        <v>1590.53</v>
      </c>
      <c r="N2015" s="1">
        <v>1303.71</v>
      </c>
      <c r="O2015" s="1">
        <v>1351.95</v>
      </c>
      <c r="P2015" s="1">
        <v>1108.1500000000001</v>
      </c>
      <c r="Q2015">
        <v>0.104</v>
      </c>
      <c r="R2015">
        <v>1.3129999999999999E-3</v>
      </c>
    </row>
    <row r="2016" spans="1:18" ht="13.8" outlineLevel="1" x14ac:dyDescent="0.25">
      <c r="A2016">
        <v>67005</v>
      </c>
      <c r="B2016" t="s">
        <v>2380</v>
      </c>
      <c r="C2016" t="s">
        <v>2404</v>
      </c>
      <c r="D2016" s="14" t="s">
        <v>2401</v>
      </c>
      <c r="E2016" s="12" t="s">
        <v>28</v>
      </c>
      <c r="F2016" s="13" t="s">
        <v>29</v>
      </c>
      <c r="G2016">
        <v>1</v>
      </c>
      <c r="H2016" t="s">
        <v>30</v>
      </c>
      <c r="I2016">
        <v>1</v>
      </c>
      <c r="J2016" s="15"/>
      <c r="K2016" s="16">
        <f>1715.43 - (1715.43 * $E$1)</f>
        <v>1715.43</v>
      </c>
      <c r="L2016" s="16">
        <f>1406.09 - (1406.09 * $E$1)</f>
        <v>1406.09</v>
      </c>
      <c r="M2016" s="1">
        <v>1715.43</v>
      </c>
      <c r="N2016" s="1">
        <v>1406.09</v>
      </c>
      <c r="O2016" s="1">
        <v>1458.12</v>
      </c>
      <c r="P2016" s="1">
        <v>1195.18</v>
      </c>
      <c r="Q2016">
        <v>0.122</v>
      </c>
      <c r="R2016">
        <v>1.3129999999999999E-3</v>
      </c>
    </row>
    <row r="2017" spans="1:18" ht="13.8" outlineLevel="1" x14ac:dyDescent="0.25">
      <c r="A2017">
        <v>67007</v>
      </c>
      <c r="B2017" t="s">
        <v>2405</v>
      </c>
      <c r="C2017" t="s">
        <v>2406</v>
      </c>
      <c r="D2017" s="14" t="s">
        <v>2407</v>
      </c>
      <c r="E2017" s="12" t="s">
        <v>28</v>
      </c>
      <c r="F2017" s="13" t="s">
        <v>29</v>
      </c>
      <c r="G2017">
        <v>1</v>
      </c>
      <c r="H2017" t="s">
        <v>30</v>
      </c>
      <c r="I2017">
        <v>1</v>
      </c>
      <c r="J2017" s="15"/>
      <c r="K2017" s="16">
        <f>1009.84 - (1009.84 * $E$1)</f>
        <v>1009.84</v>
      </c>
      <c r="L2017" s="16">
        <f>827.74 - (827.74 * $E$1)</f>
        <v>827.74</v>
      </c>
      <c r="M2017" s="1">
        <v>1009.84</v>
      </c>
      <c r="N2017" s="1">
        <v>827.74</v>
      </c>
      <c r="O2017" s="1">
        <v>858.37</v>
      </c>
      <c r="P2017" s="1">
        <v>703.58</v>
      </c>
      <c r="Q2017">
        <v>0.17</v>
      </c>
      <c r="R2017">
        <v>4.3680000000000004E-3</v>
      </c>
    </row>
    <row r="2018" spans="1:18" ht="13.8" outlineLevel="1" x14ac:dyDescent="0.25">
      <c r="A2018">
        <v>67008</v>
      </c>
      <c r="B2018" t="s">
        <v>2405</v>
      </c>
      <c r="C2018" t="s">
        <v>2408</v>
      </c>
      <c r="D2018" s="14" t="s">
        <v>2407</v>
      </c>
      <c r="E2018" s="12" t="s">
        <v>28</v>
      </c>
      <c r="F2018" s="13" t="s">
        <v>29</v>
      </c>
      <c r="G2018">
        <v>1</v>
      </c>
      <c r="H2018" t="s">
        <v>30</v>
      </c>
      <c r="I2018">
        <v>1</v>
      </c>
      <c r="J2018" s="15"/>
      <c r="K2018" s="16">
        <f>1160.24 - (1160.24 * $E$1)</f>
        <v>1160.24</v>
      </c>
      <c r="L2018" s="16">
        <f>951.02 - (951.02 * $E$1)</f>
        <v>951.02</v>
      </c>
      <c r="M2018" s="1">
        <v>1160.24</v>
      </c>
      <c r="N2018" s="1">
        <v>951.02</v>
      </c>
      <c r="O2018" s="1">
        <v>986.21</v>
      </c>
      <c r="P2018" s="1">
        <v>808.37</v>
      </c>
      <c r="Q2018">
        <v>0.26</v>
      </c>
      <c r="R2018">
        <v>4.3680000000000004E-3</v>
      </c>
    </row>
    <row r="2019" spans="1:18" ht="13.8" outlineLevel="1" x14ac:dyDescent="0.25">
      <c r="A2019">
        <v>67009</v>
      </c>
      <c r="B2019" t="s">
        <v>2405</v>
      </c>
      <c r="C2019" t="s">
        <v>2409</v>
      </c>
      <c r="D2019" s="14" t="s">
        <v>2407</v>
      </c>
      <c r="E2019" s="12" t="s">
        <v>28</v>
      </c>
      <c r="F2019" s="13" t="s">
        <v>29</v>
      </c>
      <c r="G2019">
        <v>1</v>
      </c>
      <c r="H2019" t="s">
        <v>30</v>
      </c>
      <c r="I2019">
        <v>1</v>
      </c>
      <c r="J2019" s="15"/>
      <c r="K2019" s="16">
        <f>1561.06 - (1561.06 * $E$1)</f>
        <v>1561.06</v>
      </c>
      <c r="L2019" s="16">
        <f>1279.56 - (1279.56 * $E$1)</f>
        <v>1279.56</v>
      </c>
      <c r="M2019" s="1">
        <v>1561.06</v>
      </c>
      <c r="N2019" s="1">
        <v>1279.56</v>
      </c>
      <c r="O2019" s="1">
        <v>1326.9</v>
      </c>
      <c r="P2019" s="1">
        <v>1087.6300000000001</v>
      </c>
      <c r="Q2019">
        <v>0.39</v>
      </c>
      <c r="R2019">
        <v>4.3680000000000004E-3</v>
      </c>
    </row>
    <row r="2020" spans="1:18" ht="13.8" outlineLevel="1" x14ac:dyDescent="0.25">
      <c r="A2020">
        <v>67010</v>
      </c>
      <c r="B2020" t="s">
        <v>2405</v>
      </c>
      <c r="C2020" t="s">
        <v>2410</v>
      </c>
      <c r="D2020" s="14" t="s">
        <v>2407</v>
      </c>
      <c r="E2020" s="12" t="s">
        <v>28</v>
      </c>
      <c r="F2020" s="13" t="s">
        <v>29</v>
      </c>
      <c r="G2020">
        <v>1</v>
      </c>
      <c r="H2020" t="s">
        <v>30</v>
      </c>
      <c r="I2020">
        <v>1</v>
      </c>
      <c r="J2020" s="15"/>
      <c r="K2020" s="16">
        <f>2514.76 - (2514.76 * $E$1)</f>
        <v>2514.7600000000002</v>
      </c>
      <c r="L2020" s="16">
        <f>2061.28 - (2061.28 * $E$1)</f>
        <v>2061.2800000000002</v>
      </c>
      <c r="M2020" s="1">
        <v>2514.7600000000002</v>
      </c>
      <c r="N2020" s="1">
        <v>2061.2800000000002</v>
      </c>
      <c r="O2020" s="1">
        <v>2137.5500000000002</v>
      </c>
      <c r="P2020" s="1">
        <v>1752.09</v>
      </c>
      <c r="Q2020">
        <v>0.57999999999999996</v>
      </c>
      <c r="R2020">
        <v>7.28E-3</v>
      </c>
    </row>
    <row r="2021" spans="1:18" ht="13.8" outlineLevel="1" x14ac:dyDescent="0.25">
      <c r="A2021">
        <v>67743</v>
      </c>
      <c r="B2021" t="s">
        <v>2411</v>
      </c>
      <c r="C2021" t="s">
        <v>2412</v>
      </c>
      <c r="D2021" s="14" t="s">
        <v>2413</v>
      </c>
      <c r="E2021" s="12" t="s">
        <v>28</v>
      </c>
      <c r="F2021" s="13" t="s">
        <v>29</v>
      </c>
      <c r="G2021">
        <v>1</v>
      </c>
      <c r="H2021" t="s">
        <v>30</v>
      </c>
      <c r="I2021">
        <v>1</v>
      </c>
      <c r="J2021" s="15"/>
      <c r="K2021" s="16">
        <f>1278.76 - (1278.76 * $E$1)</f>
        <v>1278.76</v>
      </c>
      <c r="L2021" s="16">
        <f>1048.16 - (1048.16 * $E$1)</f>
        <v>1048.1600000000001</v>
      </c>
      <c r="M2021" s="1">
        <v>1278.76</v>
      </c>
      <c r="N2021" s="1">
        <v>1048.1600000000001</v>
      </c>
      <c r="O2021" s="1">
        <v>1086.94</v>
      </c>
      <c r="P2021" s="1">
        <v>890.94</v>
      </c>
      <c r="Q2021">
        <v>0.13</v>
      </c>
      <c r="R2021">
        <v>1.82E-3</v>
      </c>
    </row>
    <row r="2022" spans="1:18" ht="13.8" outlineLevel="1" x14ac:dyDescent="0.25">
      <c r="A2022">
        <v>78258</v>
      </c>
      <c r="B2022" t="s">
        <v>2411</v>
      </c>
      <c r="C2022" t="s">
        <v>2414</v>
      </c>
      <c r="D2022" s="14" t="s">
        <v>2413</v>
      </c>
      <c r="E2022" s="12" t="s">
        <v>28</v>
      </c>
      <c r="F2022" s="13" t="s">
        <v>29</v>
      </c>
      <c r="G2022">
        <v>1</v>
      </c>
      <c r="H2022" t="s">
        <v>30</v>
      </c>
      <c r="I2022">
        <v>1</v>
      </c>
      <c r="J2022" s="15"/>
      <c r="K2022" s="16">
        <f>1578.07 - (1578.07 * $E$1)</f>
        <v>1578.07</v>
      </c>
      <c r="L2022" s="16">
        <f>1293.5 - (1293.5 * $E$1)</f>
        <v>1293.5</v>
      </c>
      <c r="M2022" s="1">
        <v>1578.07</v>
      </c>
      <c r="N2022" s="1">
        <v>1293.5</v>
      </c>
      <c r="O2022" s="1">
        <v>1341.36</v>
      </c>
      <c r="P2022" s="1">
        <v>1099.48</v>
      </c>
      <c r="Q2022">
        <v>0.23</v>
      </c>
      <c r="R2022">
        <v>3.64E-3</v>
      </c>
    </row>
    <row r="2023" spans="1:18" ht="13.8" outlineLevel="1" x14ac:dyDescent="0.25">
      <c r="A2023">
        <v>69463</v>
      </c>
      <c r="B2023" t="s">
        <v>2415</v>
      </c>
      <c r="C2023" t="s">
        <v>2416</v>
      </c>
      <c r="D2023" s="14" t="s">
        <v>2416</v>
      </c>
      <c r="E2023" s="12" t="s">
        <v>28</v>
      </c>
      <c r="F2023" s="13" t="s">
        <v>29</v>
      </c>
      <c r="G2023">
        <v>1</v>
      </c>
      <c r="H2023" t="s">
        <v>30</v>
      </c>
      <c r="I2023">
        <v>1</v>
      </c>
      <c r="J2023" s="15"/>
      <c r="K2023" s="16">
        <f>1394.92 - (1394.92 * $E$1)</f>
        <v>1394.92</v>
      </c>
      <c r="L2023" s="16">
        <f>1143.38 - (1143.38 * $E$1)</f>
        <v>1143.3800000000001</v>
      </c>
      <c r="M2023" s="1">
        <v>1394.92</v>
      </c>
      <c r="N2023" s="1">
        <v>1143.3800000000001</v>
      </c>
      <c r="O2023" s="1">
        <v>1185.69</v>
      </c>
      <c r="P2023" s="1">
        <v>971.87</v>
      </c>
      <c r="Q2023">
        <v>0.19</v>
      </c>
      <c r="R2023">
        <v>5.6249999999999998E-3</v>
      </c>
    </row>
    <row r="2024" spans="1:18" ht="33.75" customHeight="1" x14ac:dyDescent="0.35">
      <c r="A2024" s="9"/>
      <c r="B2024" s="10" t="s">
        <v>2417</v>
      </c>
      <c r="C2024" s="10"/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1"/>
    </row>
    <row r="2025" spans="1:18" ht="13.8" outlineLevel="1" x14ac:dyDescent="0.25">
      <c r="A2025">
        <v>65136</v>
      </c>
      <c r="B2025" t="s">
        <v>2418</v>
      </c>
      <c r="C2025" t="s">
        <v>2419</v>
      </c>
      <c r="D2025" s="14" t="s">
        <v>2419</v>
      </c>
      <c r="E2025" s="12" t="s">
        <v>28</v>
      </c>
      <c r="F2025" s="13" t="s">
        <v>29</v>
      </c>
      <c r="G2025">
        <v>100</v>
      </c>
      <c r="H2025" t="s">
        <v>30</v>
      </c>
      <c r="I2025">
        <v>100</v>
      </c>
      <c r="J2025" s="15"/>
      <c r="K2025" s="16">
        <f>64.89 - (64.89 * $E$1)</f>
        <v>64.89</v>
      </c>
      <c r="L2025" s="16">
        <f>53.19 - (53.19 * $E$1)</f>
        <v>53.19</v>
      </c>
      <c r="M2025" s="1">
        <v>64.89</v>
      </c>
      <c r="N2025" s="1">
        <v>53.19</v>
      </c>
      <c r="O2025" s="1">
        <v>55.16</v>
      </c>
      <c r="P2025" s="1">
        <v>45.21</v>
      </c>
      <c r="Q2025">
        <v>1.1999999999999999E-3</v>
      </c>
      <c r="R2025">
        <v>1.6500000000000001E-5</v>
      </c>
    </row>
    <row r="2026" spans="1:18" ht="13.8" outlineLevel="1" x14ac:dyDescent="0.25">
      <c r="A2026">
        <v>69341</v>
      </c>
      <c r="B2026" t="s">
        <v>2418</v>
      </c>
      <c r="C2026" t="s">
        <v>2420</v>
      </c>
      <c r="D2026" s="14" t="s">
        <v>2420</v>
      </c>
      <c r="E2026" s="12" t="s">
        <v>28</v>
      </c>
      <c r="F2026" s="13" t="s">
        <v>29</v>
      </c>
      <c r="G2026">
        <v>100</v>
      </c>
      <c r="H2026" t="s">
        <v>30</v>
      </c>
      <c r="I2026">
        <v>100</v>
      </c>
      <c r="J2026" s="15"/>
      <c r="K2026" s="16">
        <f>70.71 - (70.71 * $E$1)</f>
        <v>70.709999999999994</v>
      </c>
      <c r="L2026" s="16">
        <f>57.96 - (57.96 * $E$1)</f>
        <v>57.96</v>
      </c>
      <c r="M2026" s="1">
        <v>70.709999999999994</v>
      </c>
      <c r="N2026" s="1">
        <v>57.96</v>
      </c>
      <c r="O2026" s="1">
        <v>60.1</v>
      </c>
      <c r="P2026" s="1">
        <v>49.27</v>
      </c>
      <c r="Q2026">
        <v>5.8999999999999999E-3</v>
      </c>
      <c r="R2026">
        <v>1.12E-4</v>
      </c>
    </row>
    <row r="2027" spans="1:18" ht="13.8" outlineLevel="1" x14ac:dyDescent="0.25">
      <c r="A2027">
        <v>69342</v>
      </c>
      <c r="B2027" t="s">
        <v>2418</v>
      </c>
      <c r="C2027" t="s">
        <v>2421</v>
      </c>
      <c r="D2027" s="14" t="s">
        <v>2421</v>
      </c>
      <c r="E2027" s="12" t="s">
        <v>28</v>
      </c>
      <c r="F2027" s="13" t="s">
        <v>29</v>
      </c>
      <c r="G2027">
        <v>50</v>
      </c>
      <c r="H2027" t="s">
        <v>30</v>
      </c>
      <c r="I2027">
        <v>50</v>
      </c>
      <c r="J2027" s="15"/>
      <c r="K2027" s="16">
        <f>99.92 - (99.92 * $E$1)</f>
        <v>99.92</v>
      </c>
      <c r="L2027" s="16">
        <f>81.9 - (81.9 * $E$1)</f>
        <v>81.900000000000006</v>
      </c>
      <c r="M2027" s="1">
        <v>99.92</v>
      </c>
      <c r="N2027" s="1">
        <v>81.900000000000006</v>
      </c>
      <c r="O2027" s="1">
        <v>84.93</v>
      </c>
      <c r="P2027" s="1">
        <v>69.62</v>
      </c>
      <c r="Q2027">
        <v>1.2800000000000001E-2</v>
      </c>
      <c r="R2027">
        <v>2.3672E-4</v>
      </c>
    </row>
    <row r="2028" spans="1:18" ht="13.8" outlineLevel="1" x14ac:dyDescent="0.25">
      <c r="A2028">
        <v>69343</v>
      </c>
      <c r="B2028" t="s">
        <v>2418</v>
      </c>
      <c r="C2028" t="s">
        <v>2422</v>
      </c>
      <c r="D2028" s="14" t="s">
        <v>2422</v>
      </c>
      <c r="E2028" s="12" t="s">
        <v>28</v>
      </c>
      <c r="F2028" s="13" t="s">
        <v>29</v>
      </c>
      <c r="G2028">
        <v>50</v>
      </c>
      <c r="H2028" t="s">
        <v>30</v>
      </c>
      <c r="I2028">
        <v>50</v>
      </c>
      <c r="J2028" s="15"/>
      <c r="K2028" s="16">
        <f>142 - (142 * $E$1)</f>
        <v>142</v>
      </c>
      <c r="L2028" s="16">
        <f>116.39 - (116.39 * $E$1)</f>
        <v>116.39</v>
      </c>
      <c r="M2028" s="1">
        <v>142</v>
      </c>
      <c r="N2028" s="1">
        <v>116.39</v>
      </c>
      <c r="O2028" s="1">
        <v>120.7</v>
      </c>
      <c r="P2028" s="1">
        <v>98.93</v>
      </c>
      <c r="Q2028">
        <v>3.2000000000000001E-2</v>
      </c>
      <c r="R2028">
        <v>7.2800000000000002E-4</v>
      </c>
    </row>
    <row r="2029" spans="1:18" ht="13.8" outlineLevel="1" x14ac:dyDescent="0.25">
      <c r="A2029">
        <v>69344</v>
      </c>
      <c r="B2029" t="s">
        <v>2418</v>
      </c>
      <c r="C2029" t="s">
        <v>2423</v>
      </c>
      <c r="D2029" s="14" t="s">
        <v>2423</v>
      </c>
      <c r="E2029" s="12" t="s">
        <v>28</v>
      </c>
      <c r="F2029" s="13" t="s">
        <v>29</v>
      </c>
      <c r="G2029">
        <v>25</v>
      </c>
      <c r="H2029" t="s">
        <v>30</v>
      </c>
      <c r="I2029">
        <v>25</v>
      </c>
      <c r="J2029" s="15"/>
      <c r="K2029" s="16">
        <f>223.31 - (223.31 * $E$1)</f>
        <v>223.31</v>
      </c>
      <c r="L2029" s="16">
        <f>183.04 - (183.04 * $E$1)</f>
        <v>183.04</v>
      </c>
      <c r="M2029" s="1">
        <v>223.31</v>
      </c>
      <c r="N2029" s="1">
        <v>183.04</v>
      </c>
      <c r="O2029" s="1">
        <v>189.81</v>
      </c>
      <c r="P2029" s="1">
        <v>155.58000000000001</v>
      </c>
      <c r="Q2029">
        <v>5.1999999999999998E-2</v>
      </c>
      <c r="R2029">
        <v>1.17936E-3</v>
      </c>
    </row>
    <row r="2030" spans="1:18" ht="13.8" outlineLevel="1" x14ac:dyDescent="0.25">
      <c r="A2030">
        <v>81534</v>
      </c>
      <c r="B2030" t="s">
        <v>2418</v>
      </c>
      <c r="C2030" t="s">
        <v>2424</v>
      </c>
      <c r="D2030" s="14" t="s">
        <v>2424</v>
      </c>
      <c r="E2030" s="12" t="s">
        <v>28</v>
      </c>
      <c r="F2030" s="13" t="s">
        <v>29</v>
      </c>
      <c r="G2030">
        <v>10</v>
      </c>
      <c r="H2030" t="s">
        <v>30</v>
      </c>
      <c r="I2030">
        <v>10</v>
      </c>
      <c r="J2030" s="15"/>
      <c r="K2030" s="16">
        <f>311.39 - (311.39 * $E$1)</f>
        <v>311.39</v>
      </c>
      <c r="L2030" s="16">
        <f>255.24 - (255.24 * $E$1)</f>
        <v>255.24</v>
      </c>
      <c r="M2030" s="1">
        <v>311.39</v>
      </c>
      <c r="N2030" s="1">
        <v>255.24</v>
      </c>
      <c r="O2030" s="1">
        <v>264.68</v>
      </c>
      <c r="P2030" s="1">
        <v>216.95</v>
      </c>
      <c r="Q2030">
        <v>6.5000000000000002E-2</v>
      </c>
      <c r="R2030">
        <v>1.536E-3</v>
      </c>
    </row>
    <row r="2031" spans="1:18" ht="13.8" outlineLevel="1" x14ac:dyDescent="0.25">
      <c r="A2031">
        <v>65138</v>
      </c>
      <c r="B2031" t="s">
        <v>2418</v>
      </c>
      <c r="C2031" t="s">
        <v>2425</v>
      </c>
      <c r="D2031" s="14" t="s">
        <v>2425</v>
      </c>
      <c r="E2031" s="12" t="s">
        <v>28</v>
      </c>
      <c r="F2031" s="13" t="s">
        <v>29</v>
      </c>
      <c r="G2031">
        <v>10</v>
      </c>
      <c r="H2031" t="s">
        <v>30</v>
      </c>
      <c r="I2031">
        <v>10</v>
      </c>
      <c r="J2031" s="15"/>
      <c r="K2031" s="16">
        <f>311.39 - (311.39 * $E$1)</f>
        <v>311.39</v>
      </c>
      <c r="L2031" s="16">
        <f>255.24 - (255.24 * $E$1)</f>
        <v>255.24</v>
      </c>
      <c r="M2031" s="1">
        <v>311.39</v>
      </c>
      <c r="N2031" s="1">
        <v>255.24</v>
      </c>
      <c r="O2031" s="1">
        <v>264.68</v>
      </c>
      <c r="P2031" s="1">
        <v>216.95</v>
      </c>
      <c r="Q2031">
        <v>0.06</v>
      </c>
      <c r="R2031">
        <v>1.4553000000000001E-3</v>
      </c>
    </row>
    <row r="2032" spans="1:18" ht="13.8" outlineLevel="1" x14ac:dyDescent="0.25">
      <c r="A2032">
        <v>65139</v>
      </c>
      <c r="B2032" t="s">
        <v>2418</v>
      </c>
      <c r="C2032" t="s">
        <v>2426</v>
      </c>
      <c r="D2032" s="14" t="s">
        <v>2426</v>
      </c>
      <c r="E2032" s="12" t="s">
        <v>28</v>
      </c>
      <c r="F2032" s="13" t="s">
        <v>29</v>
      </c>
      <c r="G2032">
        <v>5</v>
      </c>
      <c r="H2032" t="s">
        <v>30</v>
      </c>
      <c r="I2032">
        <v>5</v>
      </c>
      <c r="J2032" s="15"/>
      <c r="K2032" s="16">
        <f>472.47 - (472.47 * $E$1)</f>
        <v>472.47</v>
      </c>
      <c r="L2032" s="16">
        <f>387.27 - (387.27 * $E$1)</f>
        <v>387.27</v>
      </c>
      <c r="M2032" s="1">
        <v>472.47</v>
      </c>
      <c r="N2032" s="1">
        <v>387.27</v>
      </c>
      <c r="O2032" s="1">
        <v>401.6</v>
      </c>
      <c r="P2032" s="1">
        <v>329.18</v>
      </c>
      <c r="Q2032">
        <v>0.104</v>
      </c>
      <c r="R2032">
        <v>2.496E-3</v>
      </c>
    </row>
    <row r="2033" spans="1:18" ht="13.8" outlineLevel="1" x14ac:dyDescent="0.25">
      <c r="A2033">
        <v>78569</v>
      </c>
      <c r="B2033" t="s">
        <v>2427</v>
      </c>
      <c r="C2033" t="s">
        <v>2428</v>
      </c>
      <c r="D2033" s="14" t="s">
        <v>2429</v>
      </c>
      <c r="E2033" s="12" t="s">
        <v>28</v>
      </c>
      <c r="F2033" s="13" t="s">
        <v>29</v>
      </c>
      <c r="G2033">
        <v>10</v>
      </c>
      <c r="H2033" t="s">
        <v>30</v>
      </c>
      <c r="I2033">
        <v>10</v>
      </c>
      <c r="J2033" s="15"/>
      <c r="K2033" s="16">
        <f>254 - (254 * $E$1)</f>
        <v>254</v>
      </c>
      <c r="L2033" s="16">
        <f>208.2 - (208.2 * $E$1)</f>
        <v>208.2</v>
      </c>
      <c r="M2033" s="1">
        <v>254</v>
      </c>
      <c r="N2033" s="1">
        <v>208.2</v>
      </c>
      <c r="O2033" s="1">
        <v>215.9</v>
      </c>
      <c r="P2033" s="1">
        <v>176.97</v>
      </c>
      <c r="Q2033">
        <v>3.2000000000000001E-2</v>
      </c>
      <c r="R2033">
        <v>5.488E-4</v>
      </c>
    </row>
    <row r="2034" spans="1:18" ht="13.8" outlineLevel="1" x14ac:dyDescent="0.25">
      <c r="A2034">
        <v>81102</v>
      </c>
      <c r="B2034" t="s">
        <v>2427</v>
      </c>
      <c r="C2034" t="s">
        <v>2430</v>
      </c>
      <c r="D2034" s="14" t="s">
        <v>2429</v>
      </c>
      <c r="E2034" s="12" t="s">
        <v>28</v>
      </c>
      <c r="F2034" s="13" t="s">
        <v>29</v>
      </c>
      <c r="G2034">
        <v>10</v>
      </c>
      <c r="H2034" t="s">
        <v>30</v>
      </c>
      <c r="I2034">
        <v>10</v>
      </c>
      <c r="J2034" s="15"/>
      <c r="K2034" s="16">
        <f>356.91 - (356.91 * $E$1)</f>
        <v>356.91</v>
      </c>
      <c r="L2034" s="16">
        <f>292.55 - (292.55 * $E$1)</f>
        <v>292.55</v>
      </c>
      <c r="M2034" s="1">
        <v>356.91</v>
      </c>
      <c r="N2034" s="1">
        <v>292.55</v>
      </c>
      <c r="O2034" s="1">
        <v>303.37</v>
      </c>
      <c r="P2034" s="1">
        <v>248.67</v>
      </c>
      <c r="Q2034">
        <v>0.13</v>
      </c>
      <c r="R2034">
        <v>1.872E-3</v>
      </c>
    </row>
    <row r="2035" spans="1:18" ht="13.8" outlineLevel="1" x14ac:dyDescent="0.25">
      <c r="A2035">
        <v>81103</v>
      </c>
      <c r="B2035" t="s">
        <v>2427</v>
      </c>
      <c r="C2035" t="s">
        <v>2431</v>
      </c>
      <c r="D2035" s="14" t="s">
        <v>2429</v>
      </c>
      <c r="E2035" s="12" t="s">
        <v>28</v>
      </c>
      <c r="F2035" s="13" t="s">
        <v>29</v>
      </c>
      <c r="G2035">
        <v>10</v>
      </c>
      <c r="H2035" t="s">
        <v>30</v>
      </c>
      <c r="I2035">
        <v>10</v>
      </c>
      <c r="J2035" s="15"/>
      <c r="K2035" s="16">
        <f>368.23 - (368.23 * $E$1)</f>
        <v>368.23</v>
      </c>
      <c r="L2035" s="16">
        <f>301.83 - (301.83 * $E$1)</f>
        <v>301.83</v>
      </c>
      <c r="M2035" s="1">
        <v>368.23</v>
      </c>
      <c r="N2035" s="1">
        <v>301.83</v>
      </c>
      <c r="O2035" s="1">
        <v>313</v>
      </c>
      <c r="P2035" s="1">
        <v>256.56</v>
      </c>
      <c r="Q2035">
        <v>0.16</v>
      </c>
      <c r="R2035">
        <v>1.872E-3</v>
      </c>
    </row>
    <row r="2036" spans="1:18" ht="13.8" outlineLevel="1" x14ac:dyDescent="0.25">
      <c r="A2036">
        <v>89453</v>
      </c>
      <c r="B2036" t="s">
        <v>2427</v>
      </c>
      <c r="C2036" t="s">
        <v>2432</v>
      </c>
      <c r="D2036" s="14" t="s">
        <v>2429</v>
      </c>
      <c r="E2036" s="12" t="s">
        <v>28</v>
      </c>
      <c r="F2036" s="13" t="s">
        <v>29</v>
      </c>
      <c r="G2036">
        <v>5</v>
      </c>
      <c r="H2036" t="s">
        <v>30</v>
      </c>
      <c r="I2036">
        <v>5</v>
      </c>
      <c r="J2036" s="15"/>
      <c r="K2036" s="16">
        <f>508.44 - (508.44 * $E$1)</f>
        <v>508.44</v>
      </c>
      <c r="L2036" s="16">
        <f>416.75 - (416.75 * $E$1)</f>
        <v>416.75</v>
      </c>
      <c r="M2036" s="1">
        <v>508.44</v>
      </c>
      <c r="N2036" s="1">
        <v>416.75</v>
      </c>
      <c r="O2036" s="1">
        <v>432.17</v>
      </c>
      <c r="P2036" s="1">
        <v>354.24</v>
      </c>
      <c r="Q2036">
        <v>0.2</v>
      </c>
      <c r="R2036">
        <v>3.7399999999999998E-3</v>
      </c>
    </row>
    <row r="2037" spans="1:18" ht="13.8" outlineLevel="1" x14ac:dyDescent="0.25">
      <c r="A2037">
        <v>81104</v>
      </c>
      <c r="B2037" t="s">
        <v>2427</v>
      </c>
      <c r="C2037" t="s">
        <v>2433</v>
      </c>
      <c r="D2037" s="14" t="s">
        <v>2429</v>
      </c>
      <c r="E2037" s="12" t="s">
        <v>28</v>
      </c>
      <c r="F2037" s="13" t="s">
        <v>29</v>
      </c>
      <c r="G2037">
        <v>5</v>
      </c>
      <c r="H2037" t="s">
        <v>30</v>
      </c>
      <c r="I2037">
        <v>5</v>
      </c>
      <c r="J2037" s="15"/>
      <c r="K2037" s="16">
        <f>500.32 - (500.32 * $E$1)</f>
        <v>500.32</v>
      </c>
      <c r="L2037" s="16">
        <f>410.1 - (410.1 * $E$1)</f>
        <v>410.1</v>
      </c>
      <c r="M2037" s="1">
        <v>500.32</v>
      </c>
      <c r="N2037" s="1">
        <v>410.1</v>
      </c>
      <c r="O2037" s="1">
        <v>425.27</v>
      </c>
      <c r="P2037" s="1">
        <v>348.59</v>
      </c>
      <c r="Q2037">
        <v>0.27500000000000002</v>
      </c>
      <c r="R2037">
        <v>1.8522E-3</v>
      </c>
    </row>
    <row r="2038" spans="1:18" ht="13.8" outlineLevel="1" x14ac:dyDescent="0.25">
      <c r="A2038">
        <v>61280</v>
      </c>
      <c r="B2038" t="s">
        <v>2427</v>
      </c>
      <c r="C2038" t="s">
        <v>2434</v>
      </c>
      <c r="D2038" s="14" t="s">
        <v>2429</v>
      </c>
      <c r="E2038" s="12" t="s">
        <v>28</v>
      </c>
      <c r="F2038" s="13" t="s">
        <v>29</v>
      </c>
      <c r="G2038">
        <v>5</v>
      </c>
      <c r="H2038" t="s">
        <v>30</v>
      </c>
      <c r="I2038">
        <v>5</v>
      </c>
      <c r="J2038" s="15"/>
      <c r="K2038" s="16">
        <f>514.77 - (514.77 * $E$1)</f>
        <v>514.77</v>
      </c>
      <c r="L2038" s="16">
        <f>421.94 - (421.94 * $E$1)</f>
        <v>421.94</v>
      </c>
      <c r="M2038" s="1">
        <v>514.77</v>
      </c>
      <c r="N2038" s="1">
        <v>421.94</v>
      </c>
      <c r="O2038" s="1">
        <v>437.55</v>
      </c>
      <c r="P2038" s="1">
        <v>358.65</v>
      </c>
      <c r="Q2038">
        <v>0.20880000000000001</v>
      </c>
      <c r="R2038">
        <v>1.9602E-3</v>
      </c>
    </row>
    <row r="2039" spans="1:18" ht="13.8" outlineLevel="1" x14ac:dyDescent="0.25">
      <c r="A2039">
        <v>81105</v>
      </c>
      <c r="B2039" t="s">
        <v>2427</v>
      </c>
      <c r="C2039" t="s">
        <v>2435</v>
      </c>
      <c r="D2039" s="14" t="s">
        <v>2429</v>
      </c>
      <c r="E2039" s="12" t="s">
        <v>28</v>
      </c>
      <c r="F2039" s="13" t="s">
        <v>29</v>
      </c>
      <c r="G2039">
        <v>5</v>
      </c>
      <c r="H2039" t="s">
        <v>30</v>
      </c>
      <c r="I2039">
        <v>5</v>
      </c>
      <c r="J2039" s="15"/>
      <c r="K2039" s="16">
        <f>509.97 - (509.97 * $E$1)</f>
        <v>509.97</v>
      </c>
      <c r="L2039" s="16">
        <f>418.01 - (418.01 * $E$1)</f>
        <v>418.01</v>
      </c>
      <c r="M2039" s="1">
        <v>509.97</v>
      </c>
      <c r="N2039" s="1">
        <v>418.01</v>
      </c>
      <c r="O2039" s="1">
        <v>433.48</v>
      </c>
      <c r="P2039" s="1">
        <v>355.31</v>
      </c>
      <c r="Q2039">
        <v>0.24199999999999999</v>
      </c>
      <c r="R2039">
        <v>2.5500000000000002E-3</v>
      </c>
    </row>
    <row r="2040" spans="1:18" ht="13.8" outlineLevel="1" x14ac:dyDescent="0.25">
      <c r="A2040">
        <v>65324</v>
      </c>
      <c r="B2040" t="s">
        <v>2427</v>
      </c>
      <c r="C2040" t="s">
        <v>2436</v>
      </c>
      <c r="D2040" s="14" t="s">
        <v>2429</v>
      </c>
      <c r="E2040" s="12" t="s">
        <v>28</v>
      </c>
      <c r="F2040" s="13" t="s">
        <v>29</v>
      </c>
      <c r="G2040">
        <v>5</v>
      </c>
      <c r="H2040" t="s">
        <v>30</v>
      </c>
      <c r="I2040">
        <v>5</v>
      </c>
      <c r="J2040" s="15"/>
      <c r="K2040" s="16">
        <f>659.64 - (659.64 * $E$1)</f>
        <v>659.64</v>
      </c>
      <c r="L2040" s="16">
        <f>540.69 - (540.69 * $E$1)</f>
        <v>540.69000000000005</v>
      </c>
      <c r="M2040" s="1">
        <v>659.64</v>
      </c>
      <c r="N2040" s="1">
        <v>540.69000000000005</v>
      </c>
      <c r="O2040" s="1">
        <v>560.70000000000005</v>
      </c>
      <c r="P2040" s="1">
        <v>459.59</v>
      </c>
      <c r="Q2040">
        <v>0.34</v>
      </c>
      <c r="R2040">
        <v>3.9204000000000001E-3</v>
      </c>
    </row>
    <row r="2041" spans="1:18" ht="13.8" outlineLevel="1" x14ac:dyDescent="0.25">
      <c r="A2041">
        <v>89454</v>
      </c>
      <c r="B2041" t="s">
        <v>2427</v>
      </c>
      <c r="C2041" t="s">
        <v>2437</v>
      </c>
      <c r="D2041" s="14" t="s">
        <v>2429</v>
      </c>
      <c r="E2041" s="12" t="s">
        <v>28</v>
      </c>
      <c r="F2041" s="13" t="s">
        <v>29</v>
      </c>
      <c r="G2041">
        <v>5</v>
      </c>
      <c r="H2041" t="s">
        <v>30</v>
      </c>
      <c r="I2041">
        <v>5</v>
      </c>
      <c r="J2041" s="15"/>
      <c r="K2041" s="16">
        <f>660.03 - (660.03 * $E$1)</f>
        <v>660.03</v>
      </c>
      <c r="L2041" s="16">
        <f>541.01 - (541.01 * $E$1)</f>
        <v>541.01</v>
      </c>
      <c r="M2041" s="1">
        <v>660.03</v>
      </c>
      <c r="N2041" s="1">
        <v>541.01</v>
      </c>
      <c r="O2041" s="1">
        <v>561.03</v>
      </c>
      <c r="P2041" s="1">
        <v>459.86</v>
      </c>
      <c r="Q2041">
        <v>0.34</v>
      </c>
      <c r="R2041">
        <v>2.5125999999999998E-3</v>
      </c>
    </row>
    <row r="2042" spans="1:18" ht="13.8" outlineLevel="1" x14ac:dyDescent="0.25">
      <c r="A2042">
        <v>64167</v>
      </c>
      <c r="B2042" t="s">
        <v>2427</v>
      </c>
      <c r="C2042" t="s">
        <v>2438</v>
      </c>
      <c r="D2042" s="14" t="s">
        <v>2429</v>
      </c>
      <c r="E2042" s="12" t="s">
        <v>28</v>
      </c>
      <c r="F2042" s="13" t="s">
        <v>29</v>
      </c>
      <c r="G2042">
        <v>5</v>
      </c>
      <c r="H2042" t="s">
        <v>30</v>
      </c>
      <c r="I2042">
        <v>5</v>
      </c>
      <c r="J2042" s="15"/>
      <c r="K2042" s="16">
        <f>718.79 - (718.79 * $E$1)</f>
        <v>718.79</v>
      </c>
      <c r="L2042" s="16">
        <f>589.17 - (589.17 * $E$1)</f>
        <v>589.16999999999996</v>
      </c>
      <c r="M2042" s="1">
        <v>718.79</v>
      </c>
      <c r="N2042" s="1">
        <v>589.16999999999996</v>
      </c>
      <c r="O2042" s="1">
        <v>610.97</v>
      </c>
      <c r="P2042" s="1">
        <v>500.79</v>
      </c>
      <c r="Q2042">
        <v>0.28999999999999998</v>
      </c>
      <c r="R2042">
        <v>1.82E-3</v>
      </c>
    </row>
    <row r="2043" spans="1:18" ht="13.8" outlineLevel="1" x14ac:dyDescent="0.25">
      <c r="A2043">
        <v>64168</v>
      </c>
      <c r="B2043" t="s">
        <v>2427</v>
      </c>
      <c r="C2043" t="s">
        <v>2439</v>
      </c>
      <c r="D2043" s="14" t="s">
        <v>2429</v>
      </c>
      <c r="E2043" s="12" t="s">
        <v>28</v>
      </c>
      <c r="F2043" s="13" t="s">
        <v>29</v>
      </c>
      <c r="G2043">
        <v>4</v>
      </c>
      <c r="H2043" t="s">
        <v>30</v>
      </c>
      <c r="I2043">
        <v>4</v>
      </c>
      <c r="J2043" s="15"/>
      <c r="K2043" s="16">
        <f>850.12 - (850.12 * $E$1)</f>
        <v>850.12</v>
      </c>
      <c r="L2043" s="16">
        <f>696.82 - (696.82 * $E$1)</f>
        <v>696.82</v>
      </c>
      <c r="M2043" s="1">
        <v>850.12</v>
      </c>
      <c r="N2043" s="1">
        <v>696.82</v>
      </c>
      <c r="O2043" s="1">
        <v>722.6</v>
      </c>
      <c r="P2043" s="1">
        <v>592.29999999999995</v>
      </c>
      <c r="Q2043">
        <v>0.4375</v>
      </c>
      <c r="R2043">
        <v>2.2750000000000001E-3</v>
      </c>
    </row>
    <row r="2044" spans="1:18" ht="13.8" outlineLevel="1" x14ac:dyDescent="0.25">
      <c r="A2044">
        <v>89441</v>
      </c>
      <c r="B2044" t="s">
        <v>2427</v>
      </c>
      <c r="C2044" t="s">
        <v>2440</v>
      </c>
      <c r="D2044" s="14" t="s">
        <v>2429</v>
      </c>
      <c r="E2044" s="12" t="s">
        <v>28</v>
      </c>
      <c r="F2044" s="13" t="s">
        <v>29</v>
      </c>
      <c r="G2044">
        <v>4</v>
      </c>
      <c r="H2044" t="s">
        <v>30</v>
      </c>
      <c r="I2044">
        <v>4</v>
      </c>
      <c r="J2044" s="15"/>
      <c r="K2044" s="16">
        <f>855.81 - (855.81 * $E$1)</f>
        <v>855.81</v>
      </c>
      <c r="L2044" s="16">
        <f>701.48 - (701.48 * $E$1)</f>
        <v>701.48</v>
      </c>
      <c r="M2044" s="1">
        <v>855.81</v>
      </c>
      <c r="N2044" s="1">
        <v>701.48</v>
      </c>
      <c r="O2044" s="1">
        <v>727.43</v>
      </c>
      <c r="P2044" s="1">
        <v>596.26</v>
      </c>
      <c r="Q2044">
        <v>0.625</v>
      </c>
      <c r="R2044">
        <v>3.2724999999999998E-3</v>
      </c>
    </row>
    <row r="2045" spans="1:18" ht="13.8" outlineLevel="1" x14ac:dyDescent="0.25">
      <c r="A2045">
        <v>81516</v>
      </c>
      <c r="B2045" t="s">
        <v>2427</v>
      </c>
      <c r="C2045" t="s">
        <v>2441</v>
      </c>
      <c r="D2045" s="14" t="s">
        <v>2442</v>
      </c>
      <c r="E2045" s="12" t="s">
        <v>28</v>
      </c>
      <c r="F2045" s="13" t="s">
        <v>29</v>
      </c>
      <c r="G2045">
        <v>1</v>
      </c>
      <c r="H2045" t="s">
        <v>30</v>
      </c>
      <c r="I2045">
        <v>1</v>
      </c>
      <c r="J2045" s="15"/>
      <c r="K2045" s="16">
        <f>848.38 - (848.38 * $E$1)</f>
        <v>848.38</v>
      </c>
      <c r="L2045" s="16">
        <f>695.39 - (695.39 * $E$1)</f>
        <v>695.39</v>
      </c>
      <c r="M2045" s="1">
        <v>848.38</v>
      </c>
      <c r="N2045" s="1">
        <v>695.39</v>
      </c>
      <c r="O2045" s="1">
        <v>721.12</v>
      </c>
      <c r="P2045" s="1">
        <v>591.08000000000004</v>
      </c>
      <c r="Q2045">
        <v>0.1933</v>
      </c>
      <c r="R2045">
        <v>9.7400000000000004E-4</v>
      </c>
    </row>
    <row r="2046" spans="1:18" ht="13.8" outlineLevel="1" x14ac:dyDescent="0.25">
      <c r="A2046">
        <v>81517</v>
      </c>
      <c r="B2046" t="s">
        <v>2427</v>
      </c>
      <c r="C2046" t="s">
        <v>2443</v>
      </c>
      <c r="D2046" s="14" t="s">
        <v>2442</v>
      </c>
      <c r="E2046" s="12" t="s">
        <v>28</v>
      </c>
      <c r="F2046" s="13" t="s">
        <v>29</v>
      </c>
      <c r="G2046">
        <v>1</v>
      </c>
      <c r="H2046" t="s">
        <v>30</v>
      </c>
      <c r="I2046">
        <v>1</v>
      </c>
      <c r="J2046" s="15"/>
      <c r="K2046" s="16">
        <f>1194.77 - (1194.77 * $E$1)</f>
        <v>1194.77</v>
      </c>
      <c r="L2046" s="16">
        <f>979.32 - (979.32 * $E$1)</f>
        <v>979.32</v>
      </c>
      <c r="M2046" s="1">
        <v>1194.77</v>
      </c>
      <c r="N2046" s="1">
        <v>979.32</v>
      </c>
      <c r="O2046" s="1">
        <v>1015.55</v>
      </c>
      <c r="P2046" s="1">
        <v>832.42</v>
      </c>
      <c r="Q2046">
        <v>0.33329999999999999</v>
      </c>
      <c r="R2046">
        <v>1.6639999999999999E-3</v>
      </c>
    </row>
    <row r="2047" spans="1:18" ht="13.8" outlineLevel="1" x14ac:dyDescent="0.25">
      <c r="A2047">
        <v>75081</v>
      </c>
      <c r="B2047" t="s">
        <v>2427</v>
      </c>
      <c r="C2047" t="s">
        <v>2444</v>
      </c>
      <c r="D2047" s="14" t="s">
        <v>2442</v>
      </c>
      <c r="E2047" s="12" t="s">
        <v>28</v>
      </c>
      <c r="F2047" s="13" t="s">
        <v>29</v>
      </c>
      <c r="G2047">
        <v>1</v>
      </c>
      <c r="H2047" t="s">
        <v>30</v>
      </c>
      <c r="I2047">
        <v>1</v>
      </c>
      <c r="J2047" s="15"/>
      <c r="K2047" s="16">
        <f>1314.62 - (1314.62 * $E$1)</f>
        <v>1314.62</v>
      </c>
      <c r="L2047" s="16">
        <f>1077.56 - (1077.56 * $E$1)</f>
        <v>1077.56</v>
      </c>
      <c r="M2047" s="1">
        <v>1314.62</v>
      </c>
      <c r="N2047" s="1">
        <v>1077.56</v>
      </c>
      <c r="O2047" s="1">
        <v>1117.43</v>
      </c>
      <c r="P2047" s="1">
        <v>915.93</v>
      </c>
      <c r="Q2047">
        <v>0.38</v>
      </c>
      <c r="R2047">
        <v>1.6639999999999999E-3</v>
      </c>
    </row>
    <row r="2048" spans="1:18" ht="13.8" outlineLevel="1" x14ac:dyDescent="0.25">
      <c r="A2048">
        <v>75082</v>
      </c>
      <c r="B2048" t="s">
        <v>2427</v>
      </c>
      <c r="C2048" t="s">
        <v>2445</v>
      </c>
      <c r="D2048" s="14" t="s">
        <v>2442</v>
      </c>
      <c r="E2048" s="12" t="s">
        <v>28</v>
      </c>
      <c r="F2048" s="13" t="s">
        <v>29</v>
      </c>
      <c r="G2048">
        <v>1</v>
      </c>
      <c r="H2048" t="s">
        <v>30</v>
      </c>
      <c r="I2048">
        <v>1</v>
      </c>
      <c r="J2048" s="15"/>
      <c r="K2048" s="16">
        <f>1518.02 - (1518.02 * $E$1)</f>
        <v>1518.02</v>
      </c>
      <c r="L2048" s="16">
        <f>1244.28 - (1244.28 * $E$1)</f>
        <v>1244.28</v>
      </c>
      <c r="M2048" s="1">
        <v>1518.02</v>
      </c>
      <c r="N2048" s="1">
        <v>1244.28</v>
      </c>
      <c r="O2048" s="1">
        <v>1290.32</v>
      </c>
      <c r="P2048" s="1">
        <v>1057.6400000000001</v>
      </c>
      <c r="Q2048">
        <v>0.44</v>
      </c>
      <c r="R2048">
        <v>2.1840000000000002E-3</v>
      </c>
    </row>
    <row r="2049" spans="1:18" ht="13.8" outlineLevel="1" x14ac:dyDescent="0.25">
      <c r="A2049">
        <v>75083</v>
      </c>
      <c r="B2049" t="s">
        <v>2427</v>
      </c>
      <c r="C2049" t="s">
        <v>2446</v>
      </c>
      <c r="D2049" s="14" t="s">
        <v>2442</v>
      </c>
      <c r="E2049" s="12" t="s">
        <v>28</v>
      </c>
      <c r="F2049" s="13" t="s">
        <v>29</v>
      </c>
      <c r="G2049">
        <v>1</v>
      </c>
      <c r="H2049" t="s">
        <v>30</v>
      </c>
      <c r="I2049">
        <v>1</v>
      </c>
      <c r="J2049" s="15"/>
      <c r="K2049" s="16">
        <f>2087.42 - (2087.42 * $E$1)</f>
        <v>2087.42</v>
      </c>
      <c r="L2049" s="16">
        <f>1711 - (1711 * $E$1)</f>
        <v>1711</v>
      </c>
      <c r="M2049" s="1">
        <v>2087.42</v>
      </c>
      <c r="N2049" s="1">
        <v>1711</v>
      </c>
      <c r="O2049" s="1">
        <v>1774.31</v>
      </c>
      <c r="P2049" s="1">
        <v>1454.35</v>
      </c>
      <c r="Q2049">
        <v>0.54800000000000004</v>
      </c>
      <c r="R2049">
        <v>2.5869999999999999E-3</v>
      </c>
    </row>
    <row r="2050" spans="1:18" ht="13.8" outlineLevel="1" x14ac:dyDescent="0.25">
      <c r="A2050">
        <v>87830</v>
      </c>
      <c r="B2050" t="s">
        <v>2427</v>
      </c>
      <c r="C2050" t="s">
        <v>2447</v>
      </c>
      <c r="D2050" s="14" t="s">
        <v>2448</v>
      </c>
      <c r="E2050" s="12" t="s">
        <v>28</v>
      </c>
      <c r="F2050" s="13" t="s">
        <v>29</v>
      </c>
      <c r="G2050">
        <v>10</v>
      </c>
      <c r="H2050" t="s">
        <v>30</v>
      </c>
      <c r="I2050">
        <v>10</v>
      </c>
      <c r="J2050" s="15"/>
      <c r="K2050" s="16">
        <f>209.74 - (209.74 * $E$1)</f>
        <v>209.74</v>
      </c>
      <c r="L2050" s="16">
        <f>171.92 - (171.92 * $E$1)</f>
        <v>171.92</v>
      </c>
      <c r="M2050" s="1">
        <v>209.74</v>
      </c>
      <c r="N2050" s="1">
        <v>171.92</v>
      </c>
      <c r="O2050" s="1">
        <v>178.28</v>
      </c>
      <c r="P2050" s="1">
        <v>146.13</v>
      </c>
      <c r="Q2050">
        <v>4.8000000000000001E-2</v>
      </c>
      <c r="R2050">
        <v>1.08E-3</v>
      </c>
    </row>
    <row r="2051" spans="1:18" ht="13.8" outlineLevel="1" x14ac:dyDescent="0.25">
      <c r="A2051">
        <v>87831</v>
      </c>
      <c r="B2051" t="s">
        <v>2427</v>
      </c>
      <c r="C2051" t="s">
        <v>2449</v>
      </c>
      <c r="D2051" s="14" t="s">
        <v>2448</v>
      </c>
      <c r="E2051" s="12" t="s">
        <v>28</v>
      </c>
      <c r="F2051" s="13" t="s">
        <v>29</v>
      </c>
      <c r="G2051">
        <v>10</v>
      </c>
      <c r="H2051" t="s">
        <v>30</v>
      </c>
      <c r="I2051">
        <v>10</v>
      </c>
      <c r="J2051" s="15"/>
      <c r="K2051" s="16">
        <f>296.92 - (296.92 * $E$1)</f>
        <v>296.92</v>
      </c>
      <c r="L2051" s="16">
        <f>243.38 - (243.38 * $E$1)</f>
        <v>243.38</v>
      </c>
      <c r="M2051" s="1">
        <v>296.92</v>
      </c>
      <c r="N2051" s="1">
        <v>243.38</v>
      </c>
      <c r="O2051" s="1">
        <v>252.39</v>
      </c>
      <c r="P2051" s="1">
        <v>206.87</v>
      </c>
      <c r="Q2051">
        <v>7.0000000000000007E-2</v>
      </c>
      <c r="R2051">
        <v>1.8E-3</v>
      </c>
    </row>
    <row r="2052" spans="1:18" ht="13.8" outlineLevel="1" x14ac:dyDescent="0.25">
      <c r="A2052">
        <v>87832</v>
      </c>
      <c r="B2052" t="s">
        <v>2427</v>
      </c>
      <c r="C2052" t="s">
        <v>2450</v>
      </c>
      <c r="D2052" s="14" t="s">
        <v>2448</v>
      </c>
      <c r="E2052" s="12" t="s">
        <v>28</v>
      </c>
      <c r="F2052" s="13" t="s">
        <v>29</v>
      </c>
      <c r="G2052">
        <v>10</v>
      </c>
      <c r="H2052" t="s">
        <v>30</v>
      </c>
      <c r="I2052">
        <v>10</v>
      </c>
      <c r="J2052" s="15"/>
      <c r="K2052" s="16">
        <f>307.04 - (307.04 * $E$1)</f>
        <v>307.04000000000002</v>
      </c>
      <c r="L2052" s="16">
        <f>251.67 - (251.67 * $E$1)</f>
        <v>251.67</v>
      </c>
      <c r="M2052" s="1">
        <v>307.04000000000002</v>
      </c>
      <c r="N2052" s="1">
        <v>251.67</v>
      </c>
      <c r="O2052" s="1">
        <v>260.98</v>
      </c>
      <c r="P2052" s="1">
        <v>213.92</v>
      </c>
      <c r="Q2052">
        <v>7.0000000000000007E-2</v>
      </c>
      <c r="R2052">
        <v>2.16E-3</v>
      </c>
    </row>
    <row r="2053" spans="1:18" ht="13.8" outlineLevel="1" x14ac:dyDescent="0.25">
      <c r="A2053">
        <v>89455</v>
      </c>
      <c r="B2053" t="s">
        <v>2451</v>
      </c>
      <c r="C2053" t="s">
        <v>2452</v>
      </c>
      <c r="D2053" s="14" t="s">
        <v>2448</v>
      </c>
      <c r="E2053" s="12" t="s">
        <v>28</v>
      </c>
      <c r="F2053" s="13" t="s">
        <v>29</v>
      </c>
      <c r="G2053">
        <v>5</v>
      </c>
      <c r="H2053" t="s">
        <v>30</v>
      </c>
      <c r="I2053">
        <v>5</v>
      </c>
      <c r="J2053" s="15"/>
      <c r="K2053" s="16">
        <f>418.81 - (418.81 * $E$1)</f>
        <v>418.81</v>
      </c>
      <c r="L2053" s="16">
        <f>343.29 - (343.29 * $E$1)</f>
        <v>343.29</v>
      </c>
      <c r="M2053" s="1">
        <v>418.81</v>
      </c>
      <c r="N2053" s="1">
        <v>343.29</v>
      </c>
      <c r="O2053" s="1">
        <v>355.99</v>
      </c>
      <c r="P2053" s="1">
        <v>291.8</v>
      </c>
      <c r="Q2053">
        <v>0.1</v>
      </c>
      <c r="R2053">
        <v>3.6849999999999999E-3</v>
      </c>
    </row>
    <row r="2054" spans="1:18" ht="13.8" outlineLevel="1" x14ac:dyDescent="0.25">
      <c r="A2054">
        <v>87833</v>
      </c>
      <c r="B2054" t="s">
        <v>2427</v>
      </c>
      <c r="C2054" t="s">
        <v>2453</v>
      </c>
      <c r="D2054" s="14" t="s">
        <v>2448</v>
      </c>
      <c r="E2054" s="12" t="s">
        <v>28</v>
      </c>
      <c r="F2054" s="13" t="s">
        <v>29</v>
      </c>
      <c r="G2054">
        <v>5</v>
      </c>
      <c r="H2054" t="s">
        <v>30</v>
      </c>
      <c r="I2054">
        <v>5</v>
      </c>
      <c r="J2054" s="15"/>
      <c r="K2054" s="16">
        <f>418.85 - (418.85 * $E$1)</f>
        <v>418.85</v>
      </c>
      <c r="L2054" s="16">
        <f>343.32 - (343.32 * $E$1)</f>
        <v>343.32</v>
      </c>
      <c r="M2054" s="1">
        <v>418.85</v>
      </c>
      <c r="N2054" s="1">
        <v>343.32</v>
      </c>
      <c r="O2054" s="1">
        <v>356.02</v>
      </c>
      <c r="P2054" s="1">
        <v>291.82</v>
      </c>
      <c r="Q2054">
        <v>0.1</v>
      </c>
      <c r="R2054">
        <v>3.6849999999999999E-3</v>
      </c>
    </row>
    <row r="2055" spans="1:18" ht="13.8" outlineLevel="1" x14ac:dyDescent="0.25">
      <c r="A2055">
        <v>87834</v>
      </c>
      <c r="B2055" t="s">
        <v>2427</v>
      </c>
      <c r="C2055" t="s">
        <v>2454</v>
      </c>
      <c r="D2055" s="14" t="s">
        <v>2448</v>
      </c>
      <c r="E2055" s="12" t="s">
        <v>28</v>
      </c>
      <c r="F2055" s="13" t="s">
        <v>29</v>
      </c>
      <c r="G2055">
        <v>5</v>
      </c>
      <c r="H2055" t="s">
        <v>30</v>
      </c>
      <c r="I2055">
        <v>5</v>
      </c>
      <c r="J2055" s="15"/>
      <c r="K2055" s="16">
        <f>426.99 - (426.99 * $E$1)</f>
        <v>426.99</v>
      </c>
      <c r="L2055" s="16">
        <f>349.99 - (349.99 * $E$1)</f>
        <v>349.99</v>
      </c>
      <c r="M2055" s="1">
        <v>426.99</v>
      </c>
      <c r="N2055" s="1">
        <v>349.99</v>
      </c>
      <c r="O2055" s="1">
        <v>362.94</v>
      </c>
      <c r="P2055" s="1">
        <v>297.49</v>
      </c>
      <c r="Q2055">
        <v>0.1</v>
      </c>
      <c r="R2055">
        <v>1.8E-3</v>
      </c>
    </row>
    <row r="2056" spans="1:18" ht="13.8" outlineLevel="1" x14ac:dyDescent="0.25">
      <c r="A2056">
        <v>87835</v>
      </c>
      <c r="B2056" t="s">
        <v>2427</v>
      </c>
      <c r="C2056" t="s">
        <v>2455</v>
      </c>
      <c r="D2056" s="14" t="s">
        <v>2448</v>
      </c>
      <c r="E2056" s="12" t="s">
        <v>28</v>
      </c>
      <c r="F2056" s="13" t="s">
        <v>29</v>
      </c>
      <c r="G2056">
        <v>5</v>
      </c>
      <c r="H2056" t="s">
        <v>30</v>
      </c>
      <c r="I2056">
        <v>5</v>
      </c>
      <c r="J2056" s="15"/>
      <c r="K2056" s="16">
        <f>423.28 - (423.28 * $E$1)</f>
        <v>423.28</v>
      </c>
      <c r="L2056" s="16">
        <f>346.95 - (346.95 * $E$1)</f>
        <v>346.95</v>
      </c>
      <c r="M2056" s="1">
        <v>423.28</v>
      </c>
      <c r="N2056" s="1">
        <v>346.95</v>
      </c>
      <c r="O2056" s="1">
        <v>359.79</v>
      </c>
      <c r="P2056" s="1">
        <v>294.91000000000003</v>
      </c>
      <c r="Q2056">
        <v>0.13</v>
      </c>
      <c r="R2056">
        <v>2.8E-3</v>
      </c>
    </row>
    <row r="2057" spans="1:18" ht="13.8" outlineLevel="1" x14ac:dyDescent="0.25">
      <c r="A2057">
        <v>87836</v>
      </c>
      <c r="B2057" t="s">
        <v>2427</v>
      </c>
      <c r="C2057" t="s">
        <v>2456</v>
      </c>
      <c r="D2057" s="14" t="s">
        <v>2448</v>
      </c>
      <c r="E2057" s="12" t="s">
        <v>28</v>
      </c>
      <c r="F2057" s="13" t="s">
        <v>29</v>
      </c>
      <c r="G2057">
        <v>5</v>
      </c>
      <c r="H2057" t="s">
        <v>30</v>
      </c>
      <c r="I2057">
        <v>5</v>
      </c>
      <c r="J2057" s="15"/>
      <c r="K2057" s="16">
        <f>548.16 - (548.16 * $E$1)</f>
        <v>548.16</v>
      </c>
      <c r="L2057" s="16">
        <f>449.31 - (449.31 * $E$1)</f>
        <v>449.31</v>
      </c>
      <c r="M2057" s="1">
        <v>548.16</v>
      </c>
      <c r="N2057" s="1">
        <v>449.31</v>
      </c>
      <c r="O2057" s="1">
        <v>465.93</v>
      </c>
      <c r="P2057" s="1">
        <v>381.91</v>
      </c>
      <c r="Q2057">
        <v>0.19400000000000001</v>
      </c>
      <c r="R2057">
        <v>2.5125999999999998E-3</v>
      </c>
    </row>
    <row r="2058" spans="1:18" ht="13.8" outlineLevel="1" x14ac:dyDescent="0.25">
      <c r="A2058">
        <v>89456</v>
      </c>
      <c r="B2058" t="s">
        <v>2451</v>
      </c>
      <c r="C2058" t="s">
        <v>2457</v>
      </c>
      <c r="D2058" s="14" t="s">
        <v>2448</v>
      </c>
      <c r="E2058" s="12" t="s">
        <v>28</v>
      </c>
      <c r="F2058" s="13" t="s">
        <v>29</v>
      </c>
      <c r="G2058">
        <v>5</v>
      </c>
      <c r="H2058" t="s">
        <v>30</v>
      </c>
      <c r="I2058">
        <v>5</v>
      </c>
      <c r="J2058" s="15"/>
      <c r="K2058" s="16">
        <f>544.79 - (544.79 * $E$1)</f>
        <v>544.79</v>
      </c>
      <c r="L2058" s="16">
        <f>446.55 - (446.55 * $E$1)</f>
        <v>446.55</v>
      </c>
      <c r="M2058" s="1">
        <v>544.79</v>
      </c>
      <c r="N2058" s="1">
        <v>446.55</v>
      </c>
      <c r="O2058" s="1">
        <v>463.07</v>
      </c>
      <c r="P2058" s="1">
        <v>379.57</v>
      </c>
      <c r="Q2058">
        <v>0.24</v>
      </c>
      <c r="R2058">
        <v>2.5125999999999998E-3</v>
      </c>
    </row>
    <row r="2059" spans="1:18" ht="13.8" outlineLevel="1" x14ac:dyDescent="0.25">
      <c r="A2059">
        <v>87837</v>
      </c>
      <c r="B2059" t="s">
        <v>2427</v>
      </c>
      <c r="C2059" t="s">
        <v>2458</v>
      </c>
      <c r="D2059" s="14" t="s">
        <v>2448</v>
      </c>
      <c r="E2059" s="12" t="s">
        <v>28</v>
      </c>
      <c r="F2059" s="13" t="s">
        <v>29</v>
      </c>
      <c r="G2059">
        <v>5</v>
      </c>
      <c r="H2059" t="s">
        <v>30</v>
      </c>
      <c r="I2059">
        <v>5</v>
      </c>
      <c r="J2059" s="15"/>
      <c r="K2059" s="16">
        <f>631.51 - (631.51 * $E$1)</f>
        <v>631.51</v>
      </c>
      <c r="L2059" s="16">
        <f>517.63 - (517.63 * $E$1)</f>
        <v>517.63</v>
      </c>
      <c r="M2059" s="1">
        <v>631.51</v>
      </c>
      <c r="N2059" s="1">
        <v>517.63</v>
      </c>
      <c r="O2059" s="1">
        <v>536.78</v>
      </c>
      <c r="P2059" s="1">
        <v>439.99</v>
      </c>
      <c r="Q2059">
        <v>0.2</v>
      </c>
      <c r="R2059">
        <v>2.5125999999999998E-3</v>
      </c>
    </row>
    <row r="2060" spans="1:18" ht="13.8" outlineLevel="1" x14ac:dyDescent="0.25">
      <c r="A2060">
        <v>87838</v>
      </c>
      <c r="B2060" t="s">
        <v>2427</v>
      </c>
      <c r="C2060" t="s">
        <v>2459</v>
      </c>
      <c r="D2060" s="14" t="s">
        <v>2448</v>
      </c>
      <c r="E2060" s="12" t="s">
        <v>28</v>
      </c>
      <c r="F2060" s="13" t="s">
        <v>29</v>
      </c>
      <c r="G2060">
        <v>4</v>
      </c>
      <c r="H2060" t="s">
        <v>30</v>
      </c>
      <c r="I2060">
        <v>4</v>
      </c>
      <c r="J2060" s="15"/>
      <c r="K2060" s="16">
        <f>744.27 - (744.27 * $E$1)</f>
        <v>744.27</v>
      </c>
      <c r="L2060" s="16">
        <f>610.06 - (610.06 * $E$1)</f>
        <v>610.05999999999995</v>
      </c>
      <c r="M2060" s="1">
        <v>744.27</v>
      </c>
      <c r="N2060" s="1">
        <v>610.05999999999995</v>
      </c>
      <c r="O2060" s="1">
        <v>632.63</v>
      </c>
      <c r="P2060" s="1">
        <v>518.54999999999995</v>
      </c>
      <c r="Q2060">
        <v>0.32250000000000001</v>
      </c>
      <c r="R2060">
        <v>3.2724999999999998E-3</v>
      </c>
    </row>
    <row r="2061" spans="1:18" ht="13.8" outlineLevel="1" x14ac:dyDescent="0.25">
      <c r="A2061">
        <v>89442</v>
      </c>
      <c r="B2061" t="s">
        <v>2451</v>
      </c>
      <c r="C2061" t="s">
        <v>2460</v>
      </c>
      <c r="D2061" s="14" t="s">
        <v>2448</v>
      </c>
      <c r="E2061" s="12" t="s">
        <v>28</v>
      </c>
      <c r="F2061" s="13" t="s">
        <v>29</v>
      </c>
      <c r="G2061">
        <v>4</v>
      </c>
      <c r="H2061" t="s">
        <v>30</v>
      </c>
      <c r="I2061">
        <v>4</v>
      </c>
      <c r="J2061" s="15"/>
      <c r="K2061" s="16">
        <f>757.35 - (757.35 * $E$1)</f>
        <v>757.35</v>
      </c>
      <c r="L2061" s="16">
        <f>620.78 - (620.78 * $E$1)</f>
        <v>620.78</v>
      </c>
      <c r="M2061" s="1">
        <v>757.35</v>
      </c>
      <c r="N2061" s="1">
        <v>620.78</v>
      </c>
      <c r="O2061" s="1">
        <v>643.75</v>
      </c>
      <c r="P2061" s="1">
        <v>527.66</v>
      </c>
      <c r="Q2061">
        <v>0.5</v>
      </c>
      <c r="R2061">
        <v>3.2724999999999998E-3</v>
      </c>
    </row>
    <row r="2062" spans="1:18" ht="33.75" customHeight="1" x14ac:dyDescent="0.35">
      <c r="A2062" s="9"/>
      <c r="B2062" s="10" t="s">
        <v>2461</v>
      </c>
      <c r="C2062" s="10"/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1"/>
    </row>
    <row r="2063" spans="1:18" ht="16.5" customHeight="1" outlineLevel="1" x14ac:dyDescent="0.35">
      <c r="A2063" s="9"/>
      <c r="B2063" s="10" t="s">
        <v>2462</v>
      </c>
      <c r="C2063" s="10"/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1"/>
    </row>
    <row r="2064" spans="1:18" ht="13.8" outlineLevel="2" x14ac:dyDescent="0.25">
      <c r="A2064">
        <v>102161</v>
      </c>
      <c r="B2064" t="s">
        <v>2463</v>
      </c>
      <c r="C2064" t="s">
        <v>2464</v>
      </c>
      <c r="D2064" s="14" t="s">
        <v>2465</v>
      </c>
      <c r="E2064" s="12" t="s">
        <v>28</v>
      </c>
      <c r="F2064" s="13" t="s">
        <v>29</v>
      </c>
      <c r="G2064">
        <v>200</v>
      </c>
      <c r="H2064" t="s">
        <v>2466</v>
      </c>
      <c r="I2064">
        <v>200</v>
      </c>
      <c r="J2064" s="15"/>
      <c r="K2064" s="16">
        <f>15.99 - (15.99 * $E$1)</f>
        <v>15.99</v>
      </c>
      <c r="L2064" s="16">
        <f>13.11 - (13.11 * $E$1)</f>
        <v>13.11</v>
      </c>
      <c r="M2064" s="1">
        <v>15.99</v>
      </c>
      <c r="N2064" s="1">
        <v>13.11</v>
      </c>
      <c r="O2064" s="1">
        <v>13.6</v>
      </c>
      <c r="P2064" s="1">
        <v>11.14</v>
      </c>
      <c r="Q2064">
        <v>6.1000000000000004E-3</v>
      </c>
      <c r="R2064">
        <v>6.0749999999999999E-5</v>
      </c>
    </row>
    <row r="2065" spans="1:18" ht="13.8" outlineLevel="2" x14ac:dyDescent="0.25">
      <c r="A2065">
        <v>102162</v>
      </c>
      <c r="B2065" t="s">
        <v>2463</v>
      </c>
      <c r="C2065" t="s">
        <v>2467</v>
      </c>
      <c r="D2065" s="14" t="s">
        <v>2465</v>
      </c>
      <c r="E2065" s="12" t="s">
        <v>28</v>
      </c>
      <c r="F2065" s="13" t="s">
        <v>29</v>
      </c>
      <c r="G2065">
        <v>100</v>
      </c>
      <c r="H2065" t="s">
        <v>2466</v>
      </c>
      <c r="I2065">
        <v>100</v>
      </c>
      <c r="J2065" s="15"/>
      <c r="K2065" s="16">
        <f>24.12 - (24.12 * $E$1)</f>
        <v>24.12</v>
      </c>
      <c r="L2065" s="16">
        <f>19.77 - (19.77 * $E$1)</f>
        <v>19.77</v>
      </c>
      <c r="M2065" s="1">
        <v>24.12</v>
      </c>
      <c r="N2065" s="1">
        <v>19.77</v>
      </c>
      <c r="O2065" s="1">
        <v>20.5</v>
      </c>
      <c r="P2065" s="1">
        <v>16.8</v>
      </c>
      <c r="Q2065">
        <v>0.01</v>
      </c>
      <c r="R2065">
        <v>1.1137999999999999E-4</v>
      </c>
    </row>
    <row r="2066" spans="1:18" ht="13.8" outlineLevel="2" x14ac:dyDescent="0.25">
      <c r="A2066">
        <v>102163</v>
      </c>
      <c r="B2066" t="s">
        <v>2463</v>
      </c>
      <c r="C2066" t="s">
        <v>2468</v>
      </c>
      <c r="D2066" s="14" t="s">
        <v>2465</v>
      </c>
      <c r="E2066" s="12" t="s">
        <v>28</v>
      </c>
      <c r="F2066" s="13" t="s">
        <v>29</v>
      </c>
      <c r="G2066">
        <v>100</v>
      </c>
      <c r="H2066" t="s">
        <v>2466</v>
      </c>
      <c r="I2066">
        <v>100</v>
      </c>
      <c r="J2066" s="15"/>
      <c r="K2066" s="16">
        <f>26.68 - (26.68 * $E$1)</f>
        <v>26.68</v>
      </c>
      <c r="L2066" s="16">
        <f>21.87 - (21.87 * $E$1)</f>
        <v>21.87</v>
      </c>
      <c r="M2066" s="1">
        <v>26.68</v>
      </c>
      <c r="N2066" s="1">
        <v>21.87</v>
      </c>
      <c r="O2066" s="1">
        <v>22.68</v>
      </c>
      <c r="P2066" s="1">
        <v>18.59</v>
      </c>
      <c r="Q2066">
        <v>9.7199999999999995E-3</v>
      </c>
      <c r="R2066">
        <v>5.0630000000000001E-5</v>
      </c>
    </row>
    <row r="2067" spans="1:18" ht="13.8" outlineLevel="2" x14ac:dyDescent="0.25">
      <c r="A2067">
        <v>102164</v>
      </c>
      <c r="B2067" t="s">
        <v>2463</v>
      </c>
      <c r="C2067" t="s">
        <v>2469</v>
      </c>
      <c r="D2067" s="14" t="s">
        <v>2465</v>
      </c>
      <c r="E2067" s="12" t="s">
        <v>28</v>
      </c>
      <c r="F2067" s="13" t="s">
        <v>29</v>
      </c>
      <c r="G2067">
        <v>100</v>
      </c>
      <c r="H2067" t="s">
        <v>2466</v>
      </c>
      <c r="I2067">
        <v>100</v>
      </c>
      <c r="J2067" s="15"/>
      <c r="K2067" s="16">
        <f>30.61 - (30.61 * $E$1)</f>
        <v>30.61</v>
      </c>
      <c r="L2067" s="16">
        <f>25.09 - (25.09 * $E$1)</f>
        <v>25.09</v>
      </c>
      <c r="M2067" s="1">
        <v>30.61</v>
      </c>
      <c r="N2067" s="1">
        <v>25.09</v>
      </c>
      <c r="O2067" s="1">
        <v>26.02</v>
      </c>
      <c r="P2067" s="1">
        <v>21.33</v>
      </c>
      <c r="Q2067">
        <v>0.01</v>
      </c>
      <c r="R2067">
        <v>6.0749999999999999E-5</v>
      </c>
    </row>
    <row r="2068" spans="1:18" ht="13.8" outlineLevel="2" x14ac:dyDescent="0.25">
      <c r="A2068">
        <v>102165</v>
      </c>
      <c r="B2068" t="s">
        <v>2463</v>
      </c>
      <c r="C2068" t="s">
        <v>2470</v>
      </c>
      <c r="D2068" s="14" t="s">
        <v>2465</v>
      </c>
      <c r="E2068" s="12" t="s">
        <v>28</v>
      </c>
      <c r="F2068" s="13" t="s">
        <v>29</v>
      </c>
      <c r="G2068">
        <v>100</v>
      </c>
      <c r="H2068" t="s">
        <v>2466</v>
      </c>
      <c r="I2068">
        <v>100</v>
      </c>
      <c r="J2068" s="15"/>
      <c r="K2068" s="16">
        <f>35.34 - (35.34 * $E$1)</f>
        <v>35.340000000000003</v>
      </c>
      <c r="L2068" s="16">
        <f>28.97 - (28.97 * $E$1)</f>
        <v>28.97</v>
      </c>
      <c r="M2068" s="1">
        <v>35.340000000000003</v>
      </c>
      <c r="N2068" s="1">
        <v>28.97</v>
      </c>
      <c r="O2068" s="1">
        <v>30.04</v>
      </c>
      <c r="P2068" s="1">
        <v>24.62</v>
      </c>
      <c r="Q2068">
        <v>1.6199999999999999E-2</v>
      </c>
      <c r="R2068">
        <v>6.6829999999999995E-5</v>
      </c>
    </row>
    <row r="2069" spans="1:18" ht="13.8" outlineLevel="2" x14ac:dyDescent="0.25">
      <c r="A2069">
        <v>102166</v>
      </c>
      <c r="B2069" t="s">
        <v>2463</v>
      </c>
      <c r="C2069" t="s">
        <v>2471</v>
      </c>
      <c r="D2069" s="14" t="s">
        <v>2465</v>
      </c>
      <c r="E2069" s="12" t="s">
        <v>28</v>
      </c>
      <c r="F2069" s="13" t="s">
        <v>29</v>
      </c>
      <c r="G2069">
        <v>100</v>
      </c>
      <c r="H2069" t="s">
        <v>2466</v>
      </c>
      <c r="I2069">
        <v>100</v>
      </c>
      <c r="J2069" s="15"/>
      <c r="K2069" s="16">
        <f>55.06 - (55.06 * $E$1)</f>
        <v>55.06</v>
      </c>
      <c r="L2069" s="16">
        <f>45.13 - (45.13 * $E$1)</f>
        <v>45.13</v>
      </c>
      <c r="M2069" s="1">
        <v>55.06</v>
      </c>
      <c r="N2069" s="1">
        <v>45.13</v>
      </c>
      <c r="O2069" s="1">
        <v>46.8</v>
      </c>
      <c r="P2069" s="1">
        <v>38.36</v>
      </c>
      <c r="Q2069">
        <v>1.84E-2</v>
      </c>
      <c r="R2069">
        <v>8.1000000000000004E-5</v>
      </c>
    </row>
    <row r="2070" spans="1:18" ht="13.8" outlineLevel="2" x14ac:dyDescent="0.25">
      <c r="A2070">
        <v>102167</v>
      </c>
      <c r="B2070" t="s">
        <v>2463</v>
      </c>
      <c r="C2070" t="s">
        <v>2472</v>
      </c>
      <c r="D2070" s="14" t="s">
        <v>2465</v>
      </c>
      <c r="E2070" s="12" t="s">
        <v>28</v>
      </c>
      <c r="F2070" s="13" t="s">
        <v>29</v>
      </c>
      <c r="G2070">
        <v>100</v>
      </c>
      <c r="H2070" t="s">
        <v>2466</v>
      </c>
      <c r="I2070">
        <v>100</v>
      </c>
      <c r="J2070" s="15"/>
      <c r="K2070" s="16">
        <f>80.52 - (80.52 * $E$1)</f>
        <v>80.52</v>
      </c>
      <c r="L2070" s="16">
        <f>66 - (66 * $E$1)</f>
        <v>66</v>
      </c>
      <c r="M2070" s="1">
        <v>80.52</v>
      </c>
      <c r="N2070" s="1">
        <v>66</v>
      </c>
      <c r="O2070" s="1">
        <v>68.44</v>
      </c>
      <c r="P2070" s="1">
        <v>56.1</v>
      </c>
      <c r="Q2070">
        <v>2.93E-2</v>
      </c>
      <c r="R2070">
        <v>8.1000000000000004E-5</v>
      </c>
    </row>
    <row r="2071" spans="1:18" ht="13.8" outlineLevel="2" x14ac:dyDescent="0.25">
      <c r="A2071">
        <v>102168</v>
      </c>
      <c r="B2071" t="s">
        <v>2463</v>
      </c>
      <c r="C2071" t="s">
        <v>2473</v>
      </c>
      <c r="D2071" s="14" t="s">
        <v>2465</v>
      </c>
      <c r="E2071" s="12" t="s">
        <v>28</v>
      </c>
      <c r="F2071" s="13" t="s">
        <v>29</v>
      </c>
      <c r="G2071">
        <v>50</v>
      </c>
      <c r="H2071" t="s">
        <v>2466</v>
      </c>
      <c r="I2071">
        <v>50</v>
      </c>
      <c r="J2071" s="15"/>
      <c r="K2071" s="16">
        <f>112.02 - (112.02 * $E$1)</f>
        <v>112.02</v>
      </c>
      <c r="L2071" s="16">
        <f>91.82 - (91.82 * $E$1)</f>
        <v>91.82</v>
      </c>
      <c r="M2071" s="1">
        <v>112.02</v>
      </c>
      <c r="N2071" s="1">
        <v>91.82</v>
      </c>
      <c r="O2071" s="1">
        <v>95.22</v>
      </c>
      <c r="P2071" s="1">
        <v>78.05</v>
      </c>
      <c r="Q2071">
        <v>3.1199999999999999E-2</v>
      </c>
      <c r="R2071">
        <v>6.2500000000000001E-5</v>
      </c>
    </row>
    <row r="2072" spans="1:18" ht="13.8" outlineLevel="2" x14ac:dyDescent="0.25">
      <c r="A2072">
        <v>102169</v>
      </c>
      <c r="B2072" t="s">
        <v>2463</v>
      </c>
      <c r="C2072" t="s">
        <v>2474</v>
      </c>
      <c r="D2072" s="14" t="s">
        <v>2465</v>
      </c>
      <c r="E2072" s="12" t="s">
        <v>28</v>
      </c>
      <c r="F2072" s="13" t="s">
        <v>29</v>
      </c>
      <c r="G2072">
        <v>50</v>
      </c>
      <c r="H2072" t="s">
        <v>2466</v>
      </c>
      <c r="I2072">
        <v>50</v>
      </c>
      <c r="J2072" s="15"/>
      <c r="K2072" s="16">
        <f>147.41 - (147.41 * $E$1)</f>
        <v>147.41</v>
      </c>
      <c r="L2072" s="16">
        <f>120.83 - (120.83 * $E$1)</f>
        <v>120.83</v>
      </c>
      <c r="M2072" s="1">
        <v>147.41</v>
      </c>
      <c r="N2072" s="1">
        <v>120.83</v>
      </c>
      <c r="O2072" s="1">
        <v>125.3</v>
      </c>
      <c r="P2072" s="1">
        <v>102.71</v>
      </c>
      <c r="Q2072">
        <v>5.96E-2</v>
      </c>
      <c r="R2072">
        <v>1.089E-4</v>
      </c>
    </row>
    <row r="2073" spans="1:18" ht="13.8" outlineLevel="2" x14ac:dyDescent="0.25">
      <c r="A2073">
        <v>102170</v>
      </c>
      <c r="B2073" t="s">
        <v>2463</v>
      </c>
      <c r="C2073" t="s">
        <v>2475</v>
      </c>
      <c r="D2073" s="14" t="s">
        <v>2465</v>
      </c>
      <c r="E2073" s="12" t="s">
        <v>28</v>
      </c>
      <c r="F2073" s="13" t="s">
        <v>29</v>
      </c>
      <c r="G2073">
        <v>50</v>
      </c>
      <c r="H2073" t="s">
        <v>2466</v>
      </c>
      <c r="I2073">
        <v>50</v>
      </c>
      <c r="J2073" s="15"/>
      <c r="K2073" s="16">
        <f>202.02 - (202.02 * $E$1)</f>
        <v>202.02</v>
      </c>
      <c r="L2073" s="16">
        <f>165.59 - (165.59 * $E$1)</f>
        <v>165.59</v>
      </c>
      <c r="M2073" s="1">
        <v>202.02</v>
      </c>
      <c r="N2073" s="1">
        <v>165.59</v>
      </c>
      <c r="O2073" s="1">
        <v>171.72</v>
      </c>
      <c r="P2073" s="1">
        <v>140.75</v>
      </c>
      <c r="Q2073">
        <v>7.3800000000000004E-2</v>
      </c>
      <c r="R2073">
        <v>1.26E-4</v>
      </c>
    </row>
    <row r="2074" spans="1:18" ht="13.8" outlineLevel="2" x14ac:dyDescent="0.25">
      <c r="A2074">
        <v>102171</v>
      </c>
      <c r="B2074" t="s">
        <v>2463</v>
      </c>
      <c r="C2074" t="s">
        <v>2476</v>
      </c>
      <c r="D2074" s="14" t="s">
        <v>2465</v>
      </c>
      <c r="E2074" s="12" t="s">
        <v>28</v>
      </c>
      <c r="F2074" s="13" t="s">
        <v>29</v>
      </c>
      <c r="G2074">
        <v>25</v>
      </c>
      <c r="H2074" t="s">
        <v>2466</v>
      </c>
      <c r="I2074">
        <v>25</v>
      </c>
      <c r="J2074" s="15"/>
      <c r="K2074" s="16">
        <f>277.93 - (277.93 * $E$1)</f>
        <v>277.93</v>
      </c>
      <c r="L2074" s="16">
        <f>227.81 - (227.81 * $E$1)</f>
        <v>227.81</v>
      </c>
      <c r="M2074" s="1">
        <v>277.93</v>
      </c>
      <c r="N2074" s="1">
        <v>227.81</v>
      </c>
      <c r="O2074" s="1">
        <v>236.24</v>
      </c>
      <c r="P2074" s="1">
        <v>193.64</v>
      </c>
      <c r="Q2074">
        <v>0.1072</v>
      </c>
      <c r="R2074">
        <v>2.2499999999999999E-4</v>
      </c>
    </row>
    <row r="2075" spans="1:18" ht="13.8" outlineLevel="2" x14ac:dyDescent="0.25">
      <c r="A2075">
        <v>102172</v>
      </c>
      <c r="B2075" t="s">
        <v>2463</v>
      </c>
      <c r="C2075" t="s">
        <v>2477</v>
      </c>
      <c r="D2075" s="14" t="s">
        <v>2465</v>
      </c>
      <c r="E2075" s="12" t="s">
        <v>28</v>
      </c>
      <c r="F2075" s="13" t="s">
        <v>29</v>
      </c>
      <c r="G2075">
        <v>25</v>
      </c>
      <c r="H2075" t="s">
        <v>2466</v>
      </c>
      <c r="I2075">
        <v>25</v>
      </c>
      <c r="J2075" s="15"/>
      <c r="K2075" s="16">
        <f>386 - (386 * $E$1)</f>
        <v>386</v>
      </c>
      <c r="L2075" s="16">
        <f>316.39 - (316.39 * $E$1)</f>
        <v>316.39</v>
      </c>
      <c r="M2075" s="1">
        <v>386</v>
      </c>
      <c r="N2075" s="1">
        <v>316.39</v>
      </c>
      <c r="O2075" s="1">
        <v>328.1</v>
      </c>
      <c r="P2075" s="1">
        <v>268.93</v>
      </c>
      <c r="Q2075">
        <v>0.12</v>
      </c>
      <c r="R2075">
        <v>2.6251999999999997E-4</v>
      </c>
    </row>
    <row r="2076" spans="1:18" ht="13.8" outlineLevel="2" x14ac:dyDescent="0.25">
      <c r="A2076">
        <v>102173</v>
      </c>
      <c r="B2076" t="s">
        <v>2463</v>
      </c>
      <c r="C2076" t="s">
        <v>2478</v>
      </c>
      <c r="D2076" s="14" t="s">
        <v>2465</v>
      </c>
      <c r="E2076" s="12" t="s">
        <v>28</v>
      </c>
      <c r="F2076" s="13" t="s">
        <v>29</v>
      </c>
      <c r="G2076">
        <v>200</v>
      </c>
      <c r="H2076" t="s">
        <v>2466</v>
      </c>
      <c r="I2076">
        <v>200</v>
      </c>
      <c r="J2076" s="15"/>
      <c r="K2076" s="16">
        <f>15.99 - (15.99 * $E$1)</f>
        <v>15.99</v>
      </c>
      <c r="L2076" s="16">
        <f>13.11 - (13.11 * $E$1)</f>
        <v>13.11</v>
      </c>
      <c r="M2076" s="1">
        <v>15.99</v>
      </c>
      <c r="N2076" s="1">
        <v>13.11</v>
      </c>
      <c r="O2076" s="1">
        <v>13.6</v>
      </c>
      <c r="P2076" s="1">
        <v>11.14</v>
      </c>
      <c r="Q2076">
        <v>6.1000000000000004E-3</v>
      </c>
      <c r="R2076">
        <v>6.0749999999999999E-5</v>
      </c>
    </row>
    <row r="2077" spans="1:18" ht="13.8" outlineLevel="2" x14ac:dyDescent="0.25">
      <c r="A2077">
        <v>102174</v>
      </c>
      <c r="B2077" t="s">
        <v>2463</v>
      </c>
      <c r="C2077" t="s">
        <v>2479</v>
      </c>
      <c r="D2077" s="14" t="s">
        <v>2465</v>
      </c>
      <c r="E2077" s="12" t="s">
        <v>28</v>
      </c>
      <c r="F2077" s="13" t="s">
        <v>29</v>
      </c>
      <c r="G2077">
        <v>100</v>
      </c>
      <c r="H2077" t="s">
        <v>2466</v>
      </c>
      <c r="I2077">
        <v>100</v>
      </c>
      <c r="J2077" s="15"/>
      <c r="K2077" s="16">
        <f>24.12 - (24.12 * $E$1)</f>
        <v>24.12</v>
      </c>
      <c r="L2077" s="16">
        <f>19.77 - (19.77 * $E$1)</f>
        <v>19.77</v>
      </c>
      <c r="M2077" s="1">
        <v>24.12</v>
      </c>
      <c r="N2077" s="1">
        <v>19.77</v>
      </c>
      <c r="O2077" s="1">
        <v>20.5</v>
      </c>
      <c r="P2077" s="1">
        <v>16.8</v>
      </c>
      <c r="Q2077">
        <v>0.01</v>
      </c>
      <c r="R2077">
        <v>1.1137999999999999E-4</v>
      </c>
    </row>
    <row r="2078" spans="1:18" ht="13.8" outlineLevel="2" x14ac:dyDescent="0.25">
      <c r="A2078">
        <v>102175</v>
      </c>
      <c r="B2078" t="s">
        <v>2463</v>
      </c>
      <c r="C2078" t="s">
        <v>2480</v>
      </c>
      <c r="D2078" s="14" t="s">
        <v>2465</v>
      </c>
      <c r="E2078" s="12" t="s">
        <v>28</v>
      </c>
      <c r="F2078" s="13" t="s">
        <v>29</v>
      </c>
      <c r="G2078">
        <v>100</v>
      </c>
      <c r="H2078" t="s">
        <v>2466</v>
      </c>
      <c r="I2078">
        <v>100</v>
      </c>
      <c r="J2078" s="15"/>
      <c r="K2078" s="16">
        <f>26.68 - (26.68 * $E$1)</f>
        <v>26.68</v>
      </c>
      <c r="L2078" s="16">
        <f>21.87 - (21.87 * $E$1)</f>
        <v>21.87</v>
      </c>
      <c r="M2078" s="1">
        <v>26.68</v>
      </c>
      <c r="N2078" s="1">
        <v>21.87</v>
      </c>
      <c r="O2078" s="1">
        <v>22.68</v>
      </c>
      <c r="P2078" s="1">
        <v>18.59</v>
      </c>
      <c r="Q2078">
        <v>9.7199999999999995E-3</v>
      </c>
      <c r="R2078">
        <v>5.0630000000000001E-5</v>
      </c>
    </row>
    <row r="2079" spans="1:18" ht="13.8" outlineLevel="2" x14ac:dyDescent="0.25">
      <c r="A2079">
        <v>102176</v>
      </c>
      <c r="B2079" t="s">
        <v>2463</v>
      </c>
      <c r="C2079" t="s">
        <v>2481</v>
      </c>
      <c r="D2079" s="14" t="s">
        <v>2465</v>
      </c>
      <c r="E2079" s="12" t="s">
        <v>28</v>
      </c>
      <c r="F2079" s="13" t="s">
        <v>29</v>
      </c>
      <c r="G2079">
        <v>100</v>
      </c>
      <c r="H2079" t="s">
        <v>2466</v>
      </c>
      <c r="I2079">
        <v>100</v>
      </c>
      <c r="J2079" s="15"/>
      <c r="K2079" s="16">
        <f>30.61 - (30.61 * $E$1)</f>
        <v>30.61</v>
      </c>
      <c r="L2079" s="16">
        <f>25.09 - (25.09 * $E$1)</f>
        <v>25.09</v>
      </c>
      <c r="M2079" s="1">
        <v>30.61</v>
      </c>
      <c r="N2079" s="1">
        <v>25.09</v>
      </c>
      <c r="O2079" s="1">
        <v>26.02</v>
      </c>
      <c r="P2079" s="1">
        <v>21.33</v>
      </c>
      <c r="Q2079">
        <v>0.01</v>
      </c>
      <c r="R2079">
        <v>6.0749999999999999E-5</v>
      </c>
    </row>
    <row r="2080" spans="1:18" ht="13.8" outlineLevel="2" x14ac:dyDescent="0.25">
      <c r="A2080">
        <v>102177</v>
      </c>
      <c r="B2080" t="s">
        <v>2463</v>
      </c>
      <c r="C2080" t="s">
        <v>2482</v>
      </c>
      <c r="D2080" s="14" t="s">
        <v>2465</v>
      </c>
      <c r="E2080" s="12" t="s">
        <v>28</v>
      </c>
      <c r="F2080" s="13" t="s">
        <v>29</v>
      </c>
      <c r="G2080">
        <v>100</v>
      </c>
      <c r="H2080" t="s">
        <v>2466</v>
      </c>
      <c r="I2080">
        <v>100</v>
      </c>
      <c r="J2080" s="15"/>
      <c r="K2080" s="16">
        <f>35.34 - (35.34 * $E$1)</f>
        <v>35.340000000000003</v>
      </c>
      <c r="L2080" s="16">
        <f>28.97 - (28.97 * $E$1)</f>
        <v>28.97</v>
      </c>
      <c r="M2080" s="1">
        <v>35.340000000000003</v>
      </c>
      <c r="N2080" s="1">
        <v>28.97</v>
      </c>
      <c r="O2080" s="1">
        <v>30.04</v>
      </c>
      <c r="P2080" s="1">
        <v>24.62</v>
      </c>
      <c r="Q2080">
        <v>1.6199999999999999E-2</v>
      </c>
      <c r="R2080">
        <v>6.6829999999999995E-5</v>
      </c>
    </row>
    <row r="2081" spans="1:18" ht="13.8" outlineLevel="2" x14ac:dyDescent="0.25">
      <c r="A2081">
        <v>102178</v>
      </c>
      <c r="B2081" t="s">
        <v>2463</v>
      </c>
      <c r="C2081" t="s">
        <v>2483</v>
      </c>
      <c r="D2081" s="14" t="s">
        <v>2465</v>
      </c>
      <c r="E2081" s="12" t="s">
        <v>28</v>
      </c>
      <c r="F2081" s="13" t="s">
        <v>29</v>
      </c>
      <c r="G2081">
        <v>100</v>
      </c>
      <c r="H2081" t="s">
        <v>2466</v>
      </c>
      <c r="I2081">
        <v>100</v>
      </c>
      <c r="J2081" s="15"/>
      <c r="K2081" s="16">
        <f>55.06 - (55.06 * $E$1)</f>
        <v>55.06</v>
      </c>
      <c r="L2081" s="16">
        <f>45.13 - (45.13 * $E$1)</f>
        <v>45.13</v>
      </c>
      <c r="M2081" s="1">
        <v>55.06</v>
      </c>
      <c r="N2081" s="1">
        <v>45.13</v>
      </c>
      <c r="O2081" s="1">
        <v>46.8</v>
      </c>
      <c r="P2081" s="1">
        <v>38.36</v>
      </c>
      <c r="Q2081">
        <v>1.84E-2</v>
      </c>
      <c r="R2081">
        <v>8.1000000000000004E-5</v>
      </c>
    </row>
    <row r="2082" spans="1:18" ht="13.8" outlineLevel="2" x14ac:dyDescent="0.25">
      <c r="A2082">
        <v>102179</v>
      </c>
      <c r="B2082" t="s">
        <v>2463</v>
      </c>
      <c r="C2082" t="s">
        <v>2484</v>
      </c>
      <c r="D2082" s="14" t="s">
        <v>2465</v>
      </c>
      <c r="E2082" s="12" t="s">
        <v>28</v>
      </c>
      <c r="F2082" s="13" t="s">
        <v>29</v>
      </c>
      <c r="G2082">
        <v>100</v>
      </c>
      <c r="H2082" t="s">
        <v>2466</v>
      </c>
      <c r="I2082">
        <v>100</v>
      </c>
      <c r="J2082" s="15"/>
      <c r="K2082" s="16">
        <f>80.52 - (80.52 * $E$1)</f>
        <v>80.52</v>
      </c>
      <c r="L2082" s="16">
        <f>66 - (66 * $E$1)</f>
        <v>66</v>
      </c>
      <c r="M2082" s="1">
        <v>80.52</v>
      </c>
      <c r="N2082" s="1">
        <v>66</v>
      </c>
      <c r="O2082" s="1">
        <v>68.44</v>
      </c>
      <c r="P2082" s="1">
        <v>56.1</v>
      </c>
      <c r="Q2082">
        <v>2.93E-2</v>
      </c>
      <c r="R2082">
        <v>8.1000000000000004E-5</v>
      </c>
    </row>
    <row r="2083" spans="1:18" ht="13.8" outlineLevel="2" x14ac:dyDescent="0.25">
      <c r="A2083">
        <v>102180</v>
      </c>
      <c r="B2083" t="s">
        <v>2463</v>
      </c>
      <c r="C2083" t="s">
        <v>2485</v>
      </c>
      <c r="D2083" s="14" t="s">
        <v>2465</v>
      </c>
      <c r="E2083" s="12" t="s">
        <v>28</v>
      </c>
      <c r="F2083" s="13" t="s">
        <v>29</v>
      </c>
      <c r="G2083">
        <v>50</v>
      </c>
      <c r="H2083" t="s">
        <v>2466</v>
      </c>
      <c r="I2083">
        <v>50</v>
      </c>
      <c r="J2083" s="15"/>
      <c r="K2083" s="16">
        <f>112.02 - (112.02 * $E$1)</f>
        <v>112.02</v>
      </c>
      <c r="L2083" s="16">
        <f>91.82 - (91.82 * $E$1)</f>
        <v>91.82</v>
      </c>
      <c r="M2083" s="1">
        <v>112.02</v>
      </c>
      <c r="N2083" s="1">
        <v>91.82</v>
      </c>
      <c r="O2083" s="1">
        <v>95.22</v>
      </c>
      <c r="P2083" s="1">
        <v>78.05</v>
      </c>
      <c r="Q2083">
        <v>3.1199999999999999E-2</v>
      </c>
      <c r="R2083">
        <v>6.2500000000000001E-5</v>
      </c>
    </row>
    <row r="2084" spans="1:18" ht="13.8" outlineLevel="2" x14ac:dyDescent="0.25">
      <c r="A2084">
        <v>102181</v>
      </c>
      <c r="B2084" t="s">
        <v>2463</v>
      </c>
      <c r="C2084" t="s">
        <v>2486</v>
      </c>
      <c r="D2084" s="14" t="s">
        <v>2465</v>
      </c>
      <c r="E2084" s="12" t="s">
        <v>28</v>
      </c>
      <c r="F2084" s="13" t="s">
        <v>29</v>
      </c>
      <c r="G2084">
        <v>50</v>
      </c>
      <c r="H2084" t="s">
        <v>2466</v>
      </c>
      <c r="I2084">
        <v>50</v>
      </c>
      <c r="J2084" s="15"/>
      <c r="K2084" s="16">
        <f>147.41 - (147.41 * $E$1)</f>
        <v>147.41</v>
      </c>
      <c r="L2084" s="16">
        <f>120.83 - (120.83 * $E$1)</f>
        <v>120.83</v>
      </c>
      <c r="M2084" s="1">
        <v>147.41</v>
      </c>
      <c r="N2084" s="1">
        <v>120.83</v>
      </c>
      <c r="O2084" s="1">
        <v>125.3</v>
      </c>
      <c r="P2084" s="1">
        <v>102.71</v>
      </c>
      <c r="Q2084">
        <v>5.96E-2</v>
      </c>
      <c r="R2084">
        <v>1.089E-4</v>
      </c>
    </row>
    <row r="2085" spans="1:18" ht="13.8" outlineLevel="2" x14ac:dyDescent="0.25">
      <c r="A2085">
        <v>102182</v>
      </c>
      <c r="B2085" t="s">
        <v>2463</v>
      </c>
      <c r="C2085" t="s">
        <v>2487</v>
      </c>
      <c r="D2085" s="14" t="s">
        <v>2465</v>
      </c>
      <c r="E2085" s="12" t="s">
        <v>28</v>
      </c>
      <c r="F2085" s="13" t="s">
        <v>29</v>
      </c>
      <c r="G2085">
        <v>50</v>
      </c>
      <c r="H2085" t="s">
        <v>2466</v>
      </c>
      <c r="I2085">
        <v>50</v>
      </c>
      <c r="J2085" s="15"/>
      <c r="K2085" s="16">
        <f>202.02 - (202.02 * $E$1)</f>
        <v>202.02</v>
      </c>
      <c r="L2085" s="16">
        <f>165.59 - (165.59 * $E$1)</f>
        <v>165.59</v>
      </c>
      <c r="M2085" s="1">
        <v>202.02</v>
      </c>
      <c r="N2085" s="1">
        <v>165.59</v>
      </c>
      <c r="O2085" s="1">
        <v>171.72</v>
      </c>
      <c r="P2085" s="1">
        <v>140.75</v>
      </c>
      <c r="Q2085">
        <v>7.3800000000000004E-2</v>
      </c>
      <c r="R2085">
        <v>1.26E-4</v>
      </c>
    </row>
    <row r="2086" spans="1:18" ht="13.8" outlineLevel="2" x14ac:dyDescent="0.25">
      <c r="A2086">
        <v>102183</v>
      </c>
      <c r="B2086" t="s">
        <v>2463</v>
      </c>
      <c r="C2086" t="s">
        <v>2488</v>
      </c>
      <c r="D2086" s="14" t="s">
        <v>2465</v>
      </c>
      <c r="E2086" s="12" t="s">
        <v>28</v>
      </c>
      <c r="F2086" s="13" t="s">
        <v>29</v>
      </c>
      <c r="G2086">
        <v>25</v>
      </c>
      <c r="H2086" t="s">
        <v>2466</v>
      </c>
      <c r="I2086">
        <v>25</v>
      </c>
      <c r="J2086" s="15"/>
      <c r="K2086" s="16">
        <f>277.93 - (277.93 * $E$1)</f>
        <v>277.93</v>
      </c>
      <c r="L2086" s="16">
        <f>227.81 - (227.81 * $E$1)</f>
        <v>227.81</v>
      </c>
      <c r="M2086" s="1">
        <v>277.93</v>
      </c>
      <c r="N2086" s="1">
        <v>227.81</v>
      </c>
      <c r="O2086" s="1">
        <v>236.24</v>
      </c>
      <c r="P2086" s="1">
        <v>193.64</v>
      </c>
      <c r="Q2086">
        <v>0.1072</v>
      </c>
      <c r="R2086">
        <v>2.2499999999999999E-4</v>
      </c>
    </row>
    <row r="2087" spans="1:18" ht="13.8" outlineLevel="2" x14ac:dyDescent="0.25">
      <c r="A2087">
        <v>102184</v>
      </c>
      <c r="B2087" t="s">
        <v>2463</v>
      </c>
      <c r="C2087" t="s">
        <v>2489</v>
      </c>
      <c r="D2087" s="14" t="s">
        <v>2465</v>
      </c>
      <c r="E2087" s="12" t="s">
        <v>28</v>
      </c>
      <c r="F2087" s="13" t="s">
        <v>29</v>
      </c>
      <c r="G2087">
        <v>25</v>
      </c>
      <c r="H2087" t="s">
        <v>2466</v>
      </c>
      <c r="I2087">
        <v>25</v>
      </c>
      <c r="J2087" s="15"/>
      <c r="K2087" s="16">
        <f>386 - (386 * $E$1)</f>
        <v>386</v>
      </c>
      <c r="L2087" s="16">
        <f>316.39 - (316.39 * $E$1)</f>
        <v>316.39</v>
      </c>
      <c r="M2087" s="1">
        <v>386</v>
      </c>
      <c r="N2087" s="1">
        <v>316.39</v>
      </c>
      <c r="O2087" s="1">
        <v>328.1</v>
      </c>
      <c r="P2087" s="1">
        <v>268.93</v>
      </c>
      <c r="Q2087">
        <v>0.12</v>
      </c>
      <c r="R2087">
        <v>2.6251999999999997E-4</v>
      </c>
    </row>
    <row r="2088" spans="1:18" ht="13.8" outlineLevel="2" x14ac:dyDescent="0.25">
      <c r="A2088">
        <v>102185</v>
      </c>
      <c r="B2088" t="s">
        <v>2463</v>
      </c>
      <c r="C2088" t="s">
        <v>2490</v>
      </c>
      <c r="D2088" s="14" t="s">
        <v>2465</v>
      </c>
      <c r="E2088" s="12" t="s">
        <v>28</v>
      </c>
      <c r="F2088" s="13" t="s">
        <v>29</v>
      </c>
      <c r="G2088">
        <v>200</v>
      </c>
      <c r="H2088" t="s">
        <v>2466</v>
      </c>
      <c r="I2088">
        <v>200</v>
      </c>
      <c r="J2088" s="15"/>
      <c r="K2088" s="16">
        <f>15.99 - (15.99 * $E$1)</f>
        <v>15.99</v>
      </c>
      <c r="L2088" s="16">
        <f>13.11 - (13.11 * $E$1)</f>
        <v>13.11</v>
      </c>
      <c r="M2088" s="1">
        <v>15.99</v>
      </c>
      <c r="N2088" s="1">
        <v>13.11</v>
      </c>
      <c r="O2088" s="1">
        <v>13.6</v>
      </c>
      <c r="P2088" s="1">
        <v>11.14</v>
      </c>
      <c r="Q2088">
        <v>6.1000000000000004E-3</v>
      </c>
      <c r="R2088">
        <v>6.0749999999999999E-5</v>
      </c>
    </row>
    <row r="2089" spans="1:18" ht="13.8" outlineLevel="2" x14ac:dyDescent="0.25">
      <c r="A2089">
        <v>102186</v>
      </c>
      <c r="B2089" t="s">
        <v>2463</v>
      </c>
      <c r="C2089" t="s">
        <v>2491</v>
      </c>
      <c r="D2089" s="14" t="s">
        <v>2465</v>
      </c>
      <c r="E2089" s="12" t="s">
        <v>28</v>
      </c>
      <c r="F2089" s="13" t="s">
        <v>29</v>
      </c>
      <c r="G2089">
        <v>100</v>
      </c>
      <c r="H2089" t="s">
        <v>2466</v>
      </c>
      <c r="I2089">
        <v>100</v>
      </c>
      <c r="J2089" s="15"/>
      <c r="K2089" s="16">
        <f>24.12 - (24.12 * $E$1)</f>
        <v>24.12</v>
      </c>
      <c r="L2089" s="16">
        <f>19.77 - (19.77 * $E$1)</f>
        <v>19.77</v>
      </c>
      <c r="M2089" s="1">
        <v>24.12</v>
      </c>
      <c r="N2089" s="1">
        <v>19.77</v>
      </c>
      <c r="O2089" s="1">
        <v>20.5</v>
      </c>
      <c r="P2089" s="1">
        <v>16.8</v>
      </c>
      <c r="Q2089">
        <v>0.01</v>
      </c>
      <c r="R2089">
        <v>1.1137999999999999E-4</v>
      </c>
    </row>
    <row r="2090" spans="1:18" ht="13.8" outlineLevel="2" x14ac:dyDescent="0.25">
      <c r="A2090">
        <v>102187</v>
      </c>
      <c r="B2090" t="s">
        <v>2463</v>
      </c>
      <c r="C2090" t="s">
        <v>2492</v>
      </c>
      <c r="D2090" s="14" t="s">
        <v>2465</v>
      </c>
      <c r="E2090" s="12" t="s">
        <v>28</v>
      </c>
      <c r="F2090" s="13" t="s">
        <v>29</v>
      </c>
      <c r="G2090">
        <v>100</v>
      </c>
      <c r="H2090" t="s">
        <v>2466</v>
      </c>
      <c r="I2090">
        <v>100</v>
      </c>
      <c r="J2090" s="15"/>
      <c r="K2090" s="16">
        <f>26.68 - (26.68 * $E$1)</f>
        <v>26.68</v>
      </c>
      <c r="L2090" s="16">
        <f>21.87 - (21.87 * $E$1)</f>
        <v>21.87</v>
      </c>
      <c r="M2090" s="1">
        <v>26.68</v>
      </c>
      <c r="N2090" s="1">
        <v>21.87</v>
      </c>
      <c r="O2090" s="1">
        <v>22.68</v>
      </c>
      <c r="P2090" s="1">
        <v>18.59</v>
      </c>
      <c r="Q2090">
        <v>9.7199999999999995E-3</v>
      </c>
      <c r="R2090">
        <v>5.0630000000000001E-5</v>
      </c>
    </row>
    <row r="2091" spans="1:18" ht="13.8" outlineLevel="2" x14ac:dyDescent="0.25">
      <c r="A2091">
        <v>102188</v>
      </c>
      <c r="B2091" t="s">
        <v>2463</v>
      </c>
      <c r="C2091" t="s">
        <v>2493</v>
      </c>
      <c r="D2091" s="14" t="s">
        <v>2465</v>
      </c>
      <c r="E2091" s="12" t="s">
        <v>28</v>
      </c>
      <c r="F2091" s="13" t="s">
        <v>29</v>
      </c>
      <c r="G2091">
        <v>100</v>
      </c>
      <c r="H2091" t="s">
        <v>2466</v>
      </c>
      <c r="I2091">
        <v>100</v>
      </c>
      <c r="J2091" s="15"/>
      <c r="K2091" s="16">
        <f>30.61 - (30.61 * $E$1)</f>
        <v>30.61</v>
      </c>
      <c r="L2091" s="16">
        <f>25.09 - (25.09 * $E$1)</f>
        <v>25.09</v>
      </c>
      <c r="M2091" s="1">
        <v>30.61</v>
      </c>
      <c r="N2091" s="1">
        <v>25.09</v>
      </c>
      <c r="O2091" s="1">
        <v>26.02</v>
      </c>
      <c r="P2091" s="1">
        <v>21.33</v>
      </c>
      <c r="Q2091">
        <v>0.01</v>
      </c>
      <c r="R2091">
        <v>6.0749999999999999E-5</v>
      </c>
    </row>
    <row r="2092" spans="1:18" ht="13.8" outlineLevel="2" x14ac:dyDescent="0.25">
      <c r="A2092">
        <v>102189</v>
      </c>
      <c r="B2092" t="s">
        <v>2463</v>
      </c>
      <c r="C2092" t="s">
        <v>2494</v>
      </c>
      <c r="D2092" s="14" t="s">
        <v>2465</v>
      </c>
      <c r="E2092" s="12" t="s">
        <v>28</v>
      </c>
      <c r="F2092" s="13" t="s">
        <v>29</v>
      </c>
      <c r="G2092">
        <v>100</v>
      </c>
      <c r="H2092" t="s">
        <v>2466</v>
      </c>
      <c r="I2092">
        <v>100</v>
      </c>
      <c r="J2092" s="15"/>
      <c r="K2092" s="16">
        <f>35.34 - (35.34 * $E$1)</f>
        <v>35.340000000000003</v>
      </c>
      <c r="L2092" s="16">
        <f>28.97 - (28.97 * $E$1)</f>
        <v>28.97</v>
      </c>
      <c r="M2092" s="1">
        <v>35.340000000000003</v>
      </c>
      <c r="N2092" s="1">
        <v>28.97</v>
      </c>
      <c r="O2092" s="1">
        <v>30.04</v>
      </c>
      <c r="P2092" s="1">
        <v>24.62</v>
      </c>
      <c r="Q2092">
        <v>1.6199999999999999E-2</v>
      </c>
      <c r="R2092">
        <v>6.6829999999999995E-5</v>
      </c>
    </row>
    <row r="2093" spans="1:18" ht="13.8" outlineLevel="2" x14ac:dyDescent="0.25">
      <c r="A2093">
        <v>102190</v>
      </c>
      <c r="B2093" t="s">
        <v>2463</v>
      </c>
      <c r="C2093" t="s">
        <v>2495</v>
      </c>
      <c r="D2093" s="14" t="s">
        <v>2465</v>
      </c>
      <c r="E2093" s="12" t="s">
        <v>28</v>
      </c>
      <c r="F2093" s="13" t="s">
        <v>29</v>
      </c>
      <c r="G2093">
        <v>100</v>
      </c>
      <c r="H2093" t="s">
        <v>2466</v>
      </c>
      <c r="I2093">
        <v>100</v>
      </c>
      <c r="J2093" s="15"/>
      <c r="K2093" s="16">
        <f>55.06 - (55.06 * $E$1)</f>
        <v>55.06</v>
      </c>
      <c r="L2093" s="16">
        <f>45.13 - (45.13 * $E$1)</f>
        <v>45.13</v>
      </c>
      <c r="M2093" s="1">
        <v>55.06</v>
      </c>
      <c r="N2093" s="1">
        <v>45.13</v>
      </c>
      <c r="O2093" s="1">
        <v>46.8</v>
      </c>
      <c r="P2093" s="1">
        <v>38.36</v>
      </c>
      <c r="Q2093">
        <v>1.84E-2</v>
      </c>
      <c r="R2093">
        <v>8.1000000000000004E-5</v>
      </c>
    </row>
    <row r="2094" spans="1:18" ht="13.8" outlineLevel="2" x14ac:dyDescent="0.25">
      <c r="A2094">
        <v>102191</v>
      </c>
      <c r="B2094" t="s">
        <v>2463</v>
      </c>
      <c r="C2094" t="s">
        <v>2496</v>
      </c>
      <c r="D2094" s="14" t="s">
        <v>2465</v>
      </c>
      <c r="E2094" s="12" t="s">
        <v>28</v>
      </c>
      <c r="F2094" s="13" t="s">
        <v>29</v>
      </c>
      <c r="G2094">
        <v>100</v>
      </c>
      <c r="H2094" t="s">
        <v>2466</v>
      </c>
      <c r="I2094">
        <v>100</v>
      </c>
      <c r="J2094" s="15"/>
      <c r="K2094" s="16">
        <f>80.52 - (80.52 * $E$1)</f>
        <v>80.52</v>
      </c>
      <c r="L2094" s="16">
        <f>66 - (66 * $E$1)</f>
        <v>66</v>
      </c>
      <c r="M2094" s="1">
        <v>80.52</v>
      </c>
      <c r="N2094" s="1">
        <v>66</v>
      </c>
      <c r="O2094" s="1">
        <v>68.44</v>
      </c>
      <c r="P2094" s="1">
        <v>56.1</v>
      </c>
      <c r="Q2094">
        <v>2.93E-2</v>
      </c>
      <c r="R2094">
        <v>8.1000000000000004E-5</v>
      </c>
    </row>
    <row r="2095" spans="1:18" ht="13.8" outlineLevel="2" x14ac:dyDescent="0.25">
      <c r="A2095">
        <v>102192</v>
      </c>
      <c r="B2095" t="s">
        <v>2463</v>
      </c>
      <c r="C2095" t="s">
        <v>2497</v>
      </c>
      <c r="D2095" s="14" t="s">
        <v>2465</v>
      </c>
      <c r="E2095" s="12" t="s">
        <v>28</v>
      </c>
      <c r="F2095" s="13" t="s">
        <v>29</v>
      </c>
      <c r="G2095">
        <v>50</v>
      </c>
      <c r="H2095" t="s">
        <v>2466</v>
      </c>
      <c r="I2095">
        <v>50</v>
      </c>
      <c r="J2095" s="15"/>
      <c r="K2095" s="16">
        <f>112.02 - (112.02 * $E$1)</f>
        <v>112.02</v>
      </c>
      <c r="L2095" s="16">
        <f>91.82 - (91.82 * $E$1)</f>
        <v>91.82</v>
      </c>
      <c r="M2095" s="1">
        <v>112.02</v>
      </c>
      <c r="N2095" s="1">
        <v>91.82</v>
      </c>
      <c r="O2095" s="1">
        <v>95.22</v>
      </c>
      <c r="P2095" s="1">
        <v>78.05</v>
      </c>
      <c r="Q2095">
        <v>3.1199999999999999E-2</v>
      </c>
      <c r="R2095">
        <v>6.2500000000000001E-5</v>
      </c>
    </row>
    <row r="2096" spans="1:18" ht="13.8" outlineLevel="2" x14ac:dyDescent="0.25">
      <c r="A2096">
        <v>102193</v>
      </c>
      <c r="B2096" t="s">
        <v>2463</v>
      </c>
      <c r="C2096" t="s">
        <v>2498</v>
      </c>
      <c r="D2096" s="14" t="s">
        <v>2465</v>
      </c>
      <c r="E2096" s="12" t="s">
        <v>28</v>
      </c>
      <c r="F2096" s="13" t="s">
        <v>29</v>
      </c>
      <c r="G2096">
        <v>50</v>
      </c>
      <c r="H2096" t="s">
        <v>2466</v>
      </c>
      <c r="I2096">
        <v>50</v>
      </c>
      <c r="J2096" s="15"/>
      <c r="K2096" s="16">
        <f>147.41 - (147.41 * $E$1)</f>
        <v>147.41</v>
      </c>
      <c r="L2096" s="16">
        <f>120.83 - (120.83 * $E$1)</f>
        <v>120.83</v>
      </c>
      <c r="M2096" s="1">
        <v>147.41</v>
      </c>
      <c r="N2096" s="1">
        <v>120.83</v>
      </c>
      <c r="O2096" s="1">
        <v>125.3</v>
      </c>
      <c r="P2096" s="1">
        <v>102.71</v>
      </c>
      <c r="Q2096">
        <v>5.96E-2</v>
      </c>
      <c r="R2096">
        <v>1.089E-4</v>
      </c>
    </row>
    <row r="2097" spans="1:18" ht="13.8" outlineLevel="2" x14ac:dyDescent="0.25">
      <c r="A2097">
        <v>102194</v>
      </c>
      <c r="B2097" t="s">
        <v>2463</v>
      </c>
      <c r="C2097" t="s">
        <v>2499</v>
      </c>
      <c r="D2097" s="14" t="s">
        <v>2465</v>
      </c>
      <c r="E2097" s="12" t="s">
        <v>28</v>
      </c>
      <c r="F2097" s="13" t="s">
        <v>29</v>
      </c>
      <c r="G2097">
        <v>50</v>
      </c>
      <c r="H2097" t="s">
        <v>2466</v>
      </c>
      <c r="I2097">
        <v>50</v>
      </c>
      <c r="J2097" s="15"/>
      <c r="K2097" s="16">
        <f>202.02 - (202.02 * $E$1)</f>
        <v>202.02</v>
      </c>
      <c r="L2097" s="16">
        <f>165.59 - (165.59 * $E$1)</f>
        <v>165.59</v>
      </c>
      <c r="M2097" s="1">
        <v>202.02</v>
      </c>
      <c r="N2097" s="1">
        <v>165.59</v>
      </c>
      <c r="O2097" s="1">
        <v>171.72</v>
      </c>
      <c r="P2097" s="1">
        <v>140.75</v>
      </c>
      <c r="Q2097">
        <v>7.3800000000000004E-2</v>
      </c>
      <c r="R2097">
        <v>1.26E-4</v>
      </c>
    </row>
    <row r="2098" spans="1:18" ht="13.8" outlineLevel="2" x14ac:dyDescent="0.25">
      <c r="A2098">
        <v>102195</v>
      </c>
      <c r="B2098" t="s">
        <v>2463</v>
      </c>
      <c r="C2098" t="s">
        <v>2500</v>
      </c>
      <c r="D2098" s="14" t="s">
        <v>2465</v>
      </c>
      <c r="E2098" s="12" t="s">
        <v>28</v>
      </c>
      <c r="F2098" s="13" t="s">
        <v>29</v>
      </c>
      <c r="G2098">
        <v>25</v>
      </c>
      <c r="H2098" t="s">
        <v>2466</v>
      </c>
      <c r="I2098">
        <v>25</v>
      </c>
      <c r="J2098" s="15"/>
      <c r="K2098" s="16">
        <f>277.93 - (277.93 * $E$1)</f>
        <v>277.93</v>
      </c>
      <c r="L2098" s="16">
        <f>227.81 - (227.81 * $E$1)</f>
        <v>227.81</v>
      </c>
      <c r="M2098" s="1">
        <v>277.93</v>
      </c>
      <c r="N2098" s="1">
        <v>227.81</v>
      </c>
      <c r="O2098" s="1">
        <v>236.24</v>
      </c>
      <c r="P2098" s="1">
        <v>193.64</v>
      </c>
      <c r="Q2098">
        <v>0.1072</v>
      </c>
      <c r="R2098">
        <v>2.2499999999999999E-4</v>
      </c>
    </row>
    <row r="2099" spans="1:18" ht="13.8" outlineLevel="2" x14ac:dyDescent="0.25">
      <c r="A2099">
        <v>102196</v>
      </c>
      <c r="B2099" t="s">
        <v>2463</v>
      </c>
      <c r="C2099" t="s">
        <v>2501</v>
      </c>
      <c r="D2099" s="14" t="s">
        <v>2465</v>
      </c>
      <c r="E2099" s="12" t="s">
        <v>28</v>
      </c>
      <c r="F2099" s="13" t="s">
        <v>29</v>
      </c>
      <c r="G2099">
        <v>25</v>
      </c>
      <c r="H2099" t="s">
        <v>2466</v>
      </c>
      <c r="I2099">
        <v>25</v>
      </c>
      <c r="J2099" s="15"/>
      <c r="K2099" s="16">
        <f>386 - (386 * $E$1)</f>
        <v>386</v>
      </c>
      <c r="L2099" s="16">
        <f>316.39 - (316.39 * $E$1)</f>
        <v>316.39</v>
      </c>
      <c r="M2099" s="1">
        <v>386</v>
      </c>
      <c r="N2099" s="1">
        <v>316.39</v>
      </c>
      <c r="O2099" s="1">
        <v>328.1</v>
      </c>
      <c r="P2099" s="1">
        <v>268.93</v>
      </c>
      <c r="Q2099">
        <v>0.12</v>
      </c>
      <c r="R2099">
        <v>2.6251999999999997E-4</v>
      </c>
    </row>
    <row r="2100" spans="1:18" ht="13.8" outlineLevel="2" x14ac:dyDescent="0.25">
      <c r="A2100">
        <v>102197</v>
      </c>
      <c r="B2100" t="s">
        <v>2463</v>
      </c>
      <c r="C2100" t="s">
        <v>2502</v>
      </c>
      <c r="D2100" s="14" t="s">
        <v>2465</v>
      </c>
      <c r="E2100" s="12" t="s">
        <v>28</v>
      </c>
      <c r="F2100" s="13" t="s">
        <v>29</v>
      </c>
      <c r="G2100">
        <v>200</v>
      </c>
      <c r="H2100" t="s">
        <v>2466</v>
      </c>
      <c r="I2100">
        <v>200</v>
      </c>
      <c r="J2100" s="15"/>
      <c r="K2100" s="16">
        <f>15.99 - (15.99 * $E$1)</f>
        <v>15.99</v>
      </c>
      <c r="L2100" s="16">
        <f>13.11 - (13.11 * $E$1)</f>
        <v>13.11</v>
      </c>
      <c r="M2100" s="1">
        <v>15.99</v>
      </c>
      <c r="N2100" s="1">
        <v>13.11</v>
      </c>
      <c r="O2100" s="1">
        <v>13.6</v>
      </c>
      <c r="P2100" s="1">
        <v>11.14</v>
      </c>
      <c r="Q2100">
        <v>6.1000000000000004E-3</v>
      </c>
      <c r="R2100">
        <v>6.0749999999999999E-5</v>
      </c>
    </row>
    <row r="2101" spans="1:18" ht="13.8" outlineLevel="2" x14ac:dyDescent="0.25">
      <c r="A2101">
        <v>102198</v>
      </c>
      <c r="B2101" t="s">
        <v>2463</v>
      </c>
      <c r="C2101" t="s">
        <v>2503</v>
      </c>
      <c r="D2101" s="14" t="s">
        <v>2465</v>
      </c>
      <c r="E2101" s="12" t="s">
        <v>28</v>
      </c>
      <c r="F2101" s="13" t="s">
        <v>29</v>
      </c>
      <c r="G2101">
        <v>100</v>
      </c>
      <c r="H2101" t="s">
        <v>2466</v>
      </c>
      <c r="I2101">
        <v>100</v>
      </c>
      <c r="J2101" s="15"/>
      <c r="K2101" s="16">
        <f>24.12 - (24.12 * $E$1)</f>
        <v>24.12</v>
      </c>
      <c r="L2101" s="16">
        <f>19.77 - (19.77 * $E$1)</f>
        <v>19.77</v>
      </c>
      <c r="M2101" s="1">
        <v>24.12</v>
      </c>
      <c r="N2101" s="1">
        <v>19.77</v>
      </c>
      <c r="O2101" s="1">
        <v>20.5</v>
      </c>
      <c r="P2101" s="1">
        <v>16.8</v>
      </c>
      <c r="Q2101">
        <v>0.01</v>
      </c>
      <c r="R2101">
        <v>1.1137999999999999E-4</v>
      </c>
    </row>
    <row r="2102" spans="1:18" ht="13.8" outlineLevel="2" x14ac:dyDescent="0.25">
      <c r="A2102">
        <v>102199</v>
      </c>
      <c r="B2102" t="s">
        <v>2463</v>
      </c>
      <c r="C2102" t="s">
        <v>2504</v>
      </c>
      <c r="D2102" s="14" t="s">
        <v>2465</v>
      </c>
      <c r="E2102" s="12" t="s">
        <v>28</v>
      </c>
      <c r="F2102" s="13" t="s">
        <v>29</v>
      </c>
      <c r="G2102">
        <v>100</v>
      </c>
      <c r="H2102" t="s">
        <v>2466</v>
      </c>
      <c r="I2102">
        <v>100</v>
      </c>
      <c r="J2102" s="15"/>
      <c r="K2102" s="16">
        <f>26.68 - (26.68 * $E$1)</f>
        <v>26.68</v>
      </c>
      <c r="L2102" s="16">
        <f>21.87 - (21.87 * $E$1)</f>
        <v>21.87</v>
      </c>
      <c r="M2102" s="1">
        <v>26.68</v>
      </c>
      <c r="N2102" s="1">
        <v>21.87</v>
      </c>
      <c r="O2102" s="1">
        <v>22.68</v>
      </c>
      <c r="P2102" s="1">
        <v>18.59</v>
      </c>
      <c r="Q2102">
        <v>9.7199999999999995E-3</v>
      </c>
      <c r="R2102">
        <v>5.0630000000000001E-5</v>
      </c>
    </row>
    <row r="2103" spans="1:18" ht="13.8" outlineLevel="2" x14ac:dyDescent="0.25">
      <c r="A2103">
        <v>102200</v>
      </c>
      <c r="B2103" t="s">
        <v>2463</v>
      </c>
      <c r="C2103" t="s">
        <v>2505</v>
      </c>
      <c r="D2103" s="14" t="s">
        <v>2465</v>
      </c>
      <c r="E2103" s="12" t="s">
        <v>28</v>
      </c>
      <c r="F2103" s="13" t="s">
        <v>29</v>
      </c>
      <c r="G2103">
        <v>100</v>
      </c>
      <c r="H2103" t="s">
        <v>2466</v>
      </c>
      <c r="I2103">
        <v>100</v>
      </c>
      <c r="J2103" s="15"/>
      <c r="K2103" s="16">
        <f>30.61 - (30.61 * $E$1)</f>
        <v>30.61</v>
      </c>
      <c r="L2103" s="16">
        <f>25.09 - (25.09 * $E$1)</f>
        <v>25.09</v>
      </c>
      <c r="M2103" s="1">
        <v>30.61</v>
      </c>
      <c r="N2103" s="1">
        <v>25.09</v>
      </c>
      <c r="O2103" s="1">
        <v>26.02</v>
      </c>
      <c r="P2103" s="1">
        <v>21.33</v>
      </c>
      <c r="Q2103">
        <v>0.01</v>
      </c>
      <c r="R2103">
        <v>6.0749999999999999E-5</v>
      </c>
    </row>
    <row r="2104" spans="1:18" ht="13.8" outlineLevel="2" x14ac:dyDescent="0.25">
      <c r="A2104">
        <v>102201</v>
      </c>
      <c r="B2104" t="s">
        <v>2463</v>
      </c>
      <c r="C2104" t="s">
        <v>2506</v>
      </c>
      <c r="D2104" s="14" t="s">
        <v>2465</v>
      </c>
      <c r="E2104" s="12" t="s">
        <v>28</v>
      </c>
      <c r="F2104" s="13" t="s">
        <v>29</v>
      </c>
      <c r="G2104">
        <v>100</v>
      </c>
      <c r="H2104" t="s">
        <v>2466</v>
      </c>
      <c r="I2104">
        <v>100</v>
      </c>
      <c r="J2104" s="15"/>
      <c r="K2104" s="16">
        <f>35.34 - (35.34 * $E$1)</f>
        <v>35.340000000000003</v>
      </c>
      <c r="L2104" s="16">
        <f>28.97 - (28.97 * $E$1)</f>
        <v>28.97</v>
      </c>
      <c r="M2104" s="1">
        <v>35.340000000000003</v>
      </c>
      <c r="N2104" s="1">
        <v>28.97</v>
      </c>
      <c r="O2104" s="1">
        <v>30.04</v>
      </c>
      <c r="P2104" s="1">
        <v>24.62</v>
      </c>
      <c r="Q2104">
        <v>1.6199999999999999E-2</v>
      </c>
      <c r="R2104">
        <v>6.6829999999999995E-5</v>
      </c>
    </row>
    <row r="2105" spans="1:18" ht="13.8" outlineLevel="2" x14ac:dyDescent="0.25">
      <c r="A2105">
        <v>102202</v>
      </c>
      <c r="B2105" t="s">
        <v>2463</v>
      </c>
      <c r="C2105" t="s">
        <v>2507</v>
      </c>
      <c r="D2105" s="14" t="s">
        <v>2465</v>
      </c>
      <c r="E2105" s="12" t="s">
        <v>28</v>
      </c>
      <c r="F2105" s="13" t="s">
        <v>29</v>
      </c>
      <c r="G2105">
        <v>100</v>
      </c>
      <c r="H2105" t="s">
        <v>2466</v>
      </c>
      <c r="I2105">
        <v>100</v>
      </c>
      <c r="J2105" s="15"/>
      <c r="K2105" s="16">
        <f>55.06 - (55.06 * $E$1)</f>
        <v>55.06</v>
      </c>
      <c r="L2105" s="16">
        <f>45.13 - (45.13 * $E$1)</f>
        <v>45.13</v>
      </c>
      <c r="M2105" s="1">
        <v>55.06</v>
      </c>
      <c r="N2105" s="1">
        <v>45.13</v>
      </c>
      <c r="O2105" s="1">
        <v>46.8</v>
      </c>
      <c r="P2105" s="1">
        <v>38.36</v>
      </c>
      <c r="Q2105">
        <v>1.84E-2</v>
      </c>
      <c r="R2105">
        <v>8.1000000000000004E-5</v>
      </c>
    </row>
    <row r="2106" spans="1:18" ht="13.8" outlineLevel="2" x14ac:dyDescent="0.25">
      <c r="A2106">
        <v>102203</v>
      </c>
      <c r="B2106" t="s">
        <v>2463</v>
      </c>
      <c r="C2106" t="s">
        <v>2508</v>
      </c>
      <c r="D2106" s="14" t="s">
        <v>2465</v>
      </c>
      <c r="E2106" s="12" t="s">
        <v>28</v>
      </c>
      <c r="F2106" s="13" t="s">
        <v>29</v>
      </c>
      <c r="G2106">
        <v>100</v>
      </c>
      <c r="H2106" t="s">
        <v>2466</v>
      </c>
      <c r="I2106">
        <v>100</v>
      </c>
      <c r="J2106" s="15"/>
      <c r="K2106" s="16">
        <f>80.52 - (80.52 * $E$1)</f>
        <v>80.52</v>
      </c>
      <c r="L2106" s="16">
        <f>66 - (66 * $E$1)</f>
        <v>66</v>
      </c>
      <c r="M2106" s="1">
        <v>80.52</v>
      </c>
      <c r="N2106" s="1">
        <v>66</v>
      </c>
      <c r="O2106" s="1">
        <v>68.44</v>
      </c>
      <c r="P2106" s="1">
        <v>56.1</v>
      </c>
      <c r="Q2106">
        <v>2.93E-2</v>
      </c>
      <c r="R2106">
        <v>8.1000000000000004E-5</v>
      </c>
    </row>
    <row r="2107" spans="1:18" ht="13.8" outlineLevel="2" x14ac:dyDescent="0.25">
      <c r="A2107">
        <v>102204</v>
      </c>
      <c r="B2107" t="s">
        <v>2463</v>
      </c>
      <c r="C2107" t="s">
        <v>2509</v>
      </c>
      <c r="D2107" s="14" t="s">
        <v>2465</v>
      </c>
      <c r="E2107" s="12" t="s">
        <v>28</v>
      </c>
      <c r="F2107" s="13" t="s">
        <v>29</v>
      </c>
      <c r="G2107">
        <v>50</v>
      </c>
      <c r="H2107" t="s">
        <v>2466</v>
      </c>
      <c r="I2107">
        <v>50</v>
      </c>
      <c r="J2107" s="15"/>
      <c r="K2107" s="16">
        <f>112.02 - (112.02 * $E$1)</f>
        <v>112.02</v>
      </c>
      <c r="L2107" s="16">
        <f>91.82 - (91.82 * $E$1)</f>
        <v>91.82</v>
      </c>
      <c r="M2107" s="1">
        <v>112.02</v>
      </c>
      <c r="N2107" s="1">
        <v>91.82</v>
      </c>
      <c r="O2107" s="1">
        <v>95.22</v>
      </c>
      <c r="P2107" s="1">
        <v>78.05</v>
      </c>
      <c r="Q2107">
        <v>3.1199999999999999E-2</v>
      </c>
      <c r="R2107">
        <v>6.2500000000000001E-5</v>
      </c>
    </row>
    <row r="2108" spans="1:18" ht="13.8" outlineLevel="2" x14ac:dyDescent="0.25">
      <c r="A2108">
        <v>102294</v>
      </c>
      <c r="B2108" t="s">
        <v>2463</v>
      </c>
      <c r="C2108" t="s">
        <v>2510</v>
      </c>
      <c r="D2108" s="14" t="s">
        <v>2465</v>
      </c>
      <c r="E2108" s="12" t="s">
        <v>28</v>
      </c>
      <c r="F2108" s="13" t="s">
        <v>29</v>
      </c>
      <c r="G2108">
        <v>50</v>
      </c>
      <c r="H2108" t="s">
        <v>2466</v>
      </c>
      <c r="I2108">
        <v>50</v>
      </c>
      <c r="J2108" s="15"/>
      <c r="K2108" s="16">
        <f>147.41 - (147.41 * $E$1)</f>
        <v>147.41</v>
      </c>
      <c r="L2108" s="16">
        <f>120.83 - (120.83 * $E$1)</f>
        <v>120.83</v>
      </c>
      <c r="M2108" s="1">
        <v>147.41</v>
      </c>
      <c r="N2108" s="1">
        <v>120.83</v>
      </c>
      <c r="O2108" s="1">
        <v>125.3</v>
      </c>
      <c r="P2108" s="1">
        <v>102.71</v>
      </c>
      <c r="Q2108">
        <v>5.96E-2</v>
      </c>
      <c r="R2108">
        <v>1.089E-4</v>
      </c>
    </row>
    <row r="2109" spans="1:18" ht="13.8" outlineLevel="2" x14ac:dyDescent="0.25">
      <c r="A2109">
        <v>102206</v>
      </c>
      <c r="B2109" t="s">
        <v>2463</v>
      </c>
      <c r="C2109" t="s">
        <v>2511</v>
      </c>
      <c r="D2109" s="14" t="s">
        <v>2465</v>
      </c>
      <c r="E2109" s="12" t="s">
        <v>28</v>
      </c>
      <c r="F2109" s="13" t="s">
        <v>29</v>
      </c>
      <c r="G2109">
        <v>50</v>
      </c>
      <c r="H2109" t="s">
        <v>2466</v>
      </c>
      <c r="I2109">
        <v>50</v>
      </c>
      <c r="J2109" s="15"/>
      <c r="K2109" s="16">
        <f>202.02 - (202.02 * $E$1)</f>
        <v>202.02</v>
      </c>
      <c r="L2109" s="16">
        <f>165.59 - (165.59 * $E$1)</f>
        <v>165.59</v>
      </c>
      <c r="M2109" s="1">
        <v>202.02</v>
      </c>
      <c r="N2109" s="1">
        <v>165.59</v>
      </c>
      <c r="O2109" s="1">
        <v>171.72</v>
      </c>
      <c r="P2109" s="1">
        <v>140.75</v>
      </c>
      <c r="Q2109">
        <v>7.3800000000000004E-2</v>
      </c>
      <c r="R2109">
        <v>1.26E-4</v>
      </c>
    </row>
    <row r="2110" spans="1:18" ht="13.8" outlineLevel="2" x14ac:dyDescent="0.25">
      <c r="A2110">
        <v>102207</v>
      </c>
      <c r="B2110" t="s">
        <v>2463</v>
      </c>
      <c r="C2110" t="s">
        <v>2512</v>
      </c>
      <c r="D2110" s="14" t="s">
        <v>2465</v>
      </c>
      <c r="E2110" s="12" t="s">
        <v>28</v>
      </c>
      <c r="F2110" s="13" t="s">
        <v>29</v>
      </c>
      <c r="G2110">
        <v>25</v>
      </c>
      <c r="H2110" t="s">
        <v>2466</v>
      </c>
      <c r="I2110">
        <v>25</v>
      </c>
      <c r="J2110" s="15"/>
      <c r="K2110" s="16">
        <f>277.93 - (277.93 * $E$1)</f>
        <v>277.93</v>
      </c>
      <c r="L2110" s="16">
        <f>227.81 - (227.81 * $E$1)</f>
        <v>227.81</v>
      </c>
      <c r="M2110" s="1">
        <v>277.93</v>
      </c>
      <c r="N2110" s="1">
        <v>227.81</v>
      </c>
      <c r="O2110" s="1">
        <v>236.24</v>
      </c>
      <c r="P2110" s="1">
        <v>193.64</v>
      </c>
      <c r="Q2110">
        <v>0.1072</v>
      </c>
      <c r="R2110">
        <v>2.2499999999999999E-4</v>
      </c>
    </row>
    <row r="2111" spans="1:18" ht="13.8" outlineLevel="2" x14ac:dyDescent="0.25">
      <c r="A2111">
        <v>102208</v>
      </c>
      <c r="B2111" t="s">
        <v>2463</v>
      </c>
      <c r="C2111" t="s">
        <v>2513</v>
      </c>
      <c r="D2111" s="14" t="s">
        <v>2465</v>
      </c>
      <c r="E2111" s="12" t="s">
        <v>28</v>
      </c>
      <c r="F2111" s="13" t="s">
        <v>29</v>
      </c>
      <c r="G2111">
        <v>25</v>
      </c>
      <c r="H2111" t="s">
        <v>2466</v>
      </c>
      <c r="I2111">
        <v>25</v>
      </c>
      <c r="J2111" s="15"/>
      <c r="K2111" s="16">
        <f>386 - (386 * $E$1)</f>
        <v>386</v>
      </c>
      <c r="L2111" s="16">
        <f>316.39 - (316.39 * $E$1)</f>
        <v>316.39</v>
      </c>
      <c r="M2111" s="1">
        <v>386</v>
      </c>
      <c r="N2111" s="1">
        <v>316.39</v>
      </c>
      <c r="O2111" s="1">
        <v>328.1</v>
      </c>
      <c r="P2111" s="1">
        <v>268.93</v>
      </c>
      <c r="Q2111">
        <v>0.12</v>
      </c>
      <c r="R2111">
        <v>2.6251999999999997E-4</v>
      </c>
    </row>
    <row r="2112" spans="1:18" ht="13.8" outlineLevel="2" x14ac:dyDescent="0.25">
      <c r="A2112">
        <v>102209</v>
      </c>
      <c r="B2112" t="s">
        <v>2463</v>
      </c>
      <c r="C2112" t="s">
        <v>2514</v>
      </c>
      <c r="D2112" s="14" t="s">
        <v>2465</v>
      </c>
      <c r="E2112" s="12" t="s">
        <v>28</v>
      </c>
      <c r="F2112" s="13" t="s">
        <v>29</v>
      </c>
      <c r="G2112">
        <v>200</v>
      </c>
      <c r="H2112" t="s">
        <v>2466</v>
      </c>
      <c r="I2112">
        <v>200</v>
      </c>
      <c r="J2112" s="15"/>
      <c r="K2112" s="16">
        <f>15.99 - (15.99 * $E$1)</f>
        <v>15.99</v>
      </c>
      <c r="L2112" s="16">
        <f>13.11 - (13.11 * $E$1)</f>
        <v>13.11</v>
      </c>
      <c r="M2112" s="1">
        <v>15.99</v>
      </c>
      <c r="N2112" s="1">
        <v>13.11</v>
      </c>
      <c r="O2112" s="1">
        <v>13.6</v>
      </c>
      <c r="P2112" s="1">
        <v>11.14</v>
      </c>
      <c r="Q2112">
        <v>6.1000000000000004E-3</v>
      </c>
      <c r="R2112">
        <v>6.0749999999999999E-5</v>
      </c>
    </row>
    <row r="2113" spans="1:18" ht="13.8" outlineLevel="2" x14ac:dyDescent="0.25">
      <c r="A2113">
        <v>102210</v>
      </c>
      <c r="B2113" t="s">
        <v>2463</v>
      </c>
      <c r="C2113" t="s">
        <v>2515</v>
      </c>
      <c r="D2113" s="14" t="s">
        <v>2465</v>
      </c>
      <c r="E2113" s="12" t="s">
        <v>28</v>
      </c>
      <c r="F2113" s="13" t="s">
        <v>29</v>
      </c>
      <c r="G2113">
        <v>100</v>
      </c>
      <c r="H2113" t="s">
        <v>2466</v>
      </c>
      <c r="I2113">
        <v>100</v>
      </c>
      <c r="J2113" s="15"/>
      <c r="K2113" s="16">
        <f>24.12 - (24.12 * $E$1)</f>
        <v>24.12</v>
      </c>
      <c r="L2113" s="16">
        <f>19.77 - (19.77 * $E$1)</f>
        <v>19.77</v>
      </c>
      <c r="M2113" s="1">
        <v>24.12</v>
      </c>
      <c r="N2113" s="1">
        <v>19.77</v>
      </c>
      <c r="O2113" s="1">
        <v>20.5</v>
      </c>
      <c r="P2113" s="1">
        <v>16.8</v>
      </c>
      <c r="Q2113">
        <v>0.01</v>
      </c>
      <c r="R2113">
        <v>1.1137999999999999E-4</v>
      </c>
    </row>
    <row r="2114" spans="1:18" ht="13.8" outlineLevel="2" x14ac:dyDescent="0.25">
      <c r="A2114">
        <v>102211</v>
      </c>
      <c r="B2114" t="s">
        <v>2463</v>
      </c>
      <c r="C2114" t="s">
        <v>2516</v>
      </c>
      <c r="D2114" s="14" t="s">
        <v>2465</v>
      </c>
      <c r="E2114" s="12" t="s">
        <v>28</v>
      </c>
      <c r="F2114" s="13" t="s">
        <v>29</v>
      </c>
      <c r="G2114">
        <v>100</v>
      </c>
      <c r="H2114" t="s">
        <v>2466</v>
      </c>
      <c r="I2114">
        <v>100</v>
      </c>
      <c r="J2114" s="15"/>
      <c r="K2114" s="16">
        <f>26.68 - (26.68 * $E$1)</f>
        <v>26.68</v>
      </c>
      <c r="L2114" s="16">
        <f>21.87 - (21.87 * $E$1)</f>
        <v>21.87</v>
      </c>
      <c r="M2114" s="1">
        <v>26.68</v>
      </c>
      <c r="N2114" s="1">
        <v>21.87</v>
      </c>
      <c r="O2114" s="1">
        <v>22.68</v>
      </c>
      <c r="P2114" s="1">
        <v>18.59</v>
      </c>
      <c r="Q2114">
        <v>9.7199999999999995E-3</v>
      </c>
      <c r="R2114">
        <v>5.0630000000000001E-5</v>
      </c>
    </row>
    <row r="2115" spans="1:18" ht="13.8" outlineLevel="2" x14ac:dyDescent="0.25">
      <c r="A2115">
        <v>102212</v>
      </c>
      <c r="B2115" t="s">
        <v>2463</v>
      </c>
      <c r="C2115" t="s">
        <v>2517</v>
      </c>
      <c r="D2115" s="14" t="s">
        <v>2465</v>
      </c>
      <c r="E2115" s="12" t="s">
        <v>28</v>
      </c>
      <c r="F2115" s="13" t="s">
        <v>29</v>
      </c>
      <c r="G2115">
        <v>100</v>
      </c>
      <c r="H2115" t="s">
        <v>2466</v>
      </c>
      <c r="I2115">
        <v>100</v>
      </c>
      <c r="J2115" s="15"/>
      <c r="K2115" s="16">
        <f>30.61 - (30.61 * $E$1)</f>
        <v>30.61</v>
      </c>
      <c r="L2115" s="16">
        <f>25.09 - (25.09 * $E$1)</f>
        <v>25.09</v>
      </c>
      <c r="M2115" s="1">
        <v>30.61</v>
      </c>
      <c r="N2115" s="1">
        <v>25.09</v>
      </c>
      <c r="O2115" s="1">
        <v>26.02</v>
      </c>
      <c r="P2115" s="1">
        <v>21.33</v>
      </c>
      <c r="Q2115">
        <v>0.01</v>
      </c>
      <c r="R2115">
        <v>6.0749999999999999E-5</v>
      </c>
    </row>
    <row r="2116" spans="1:18" ht="13.8" outlineLevel="2" x14ac:dyDescent="0.25">
      <c r="A2116">
        <v>102213</v>
      </c>
      <c r="B2116" t="s">
        <v>2463</v>
      </c>
      <c r="C2116" t="s">
        <v>2518</v>
      </c>
      <c r="D2116" s="14" t="s">
        <v>2465</v>
      </c>
      <c r="E2116" s="12" t="s">
        <v>28</v>
      </c>
      <c r="F2116" s="13" t="s">
        <v>29</v>
      </c>
      <c r="G2116">
        <v>100</v>
      </c>
      <c r="H2116" t="s">
        <v>2466</v>
      </c>
      <c r="I2116">
        <v>100</v>
      </c>
      <c r="J2116" s="15"/>
      <c r="K2116" s="16">
        <f>35.34 - (35.34 * $E$1)</f>
        <v>35.340000000000003</v>
      </c>
      <c r="L2116" s="16">
        <f>28.97 - (28.97 * $E$1)</f>
        <v>28.97</v>
      </c>
      <c r="M2116" s="1">
        <v>35.340000000000003</v>
      </c>
      <c r="N2116" s="1">
        <v>28.97</v>
      </c>
      <c r="O2116" s="1">
        <v>30.04</v>
      </c>
      <c r="P2116" s="1">
        <v>24.62</v>
      </c>
      <c r="Q2116">
        <v>1.6199999999999999E-2</v>
      </c>
      <c r="R2116">
        <v>6.6829999999999995E-5</v>
      </c>
    </row>
    <row r="2117" spans="1:18" ht="13.8" outlineLevel="2" x14ac:dyDescent="0.25">
      <c r="A2117">
        <v>102214</v>
      </c>
      <c r="B2117" t="s">
        <v>2463</v>
      </c>
      <c r="C2117" t="s">
        <v>2519</v>
      </c>
      <c r="D2117" s="14" t="s">
        <v>2465</v>
      </c>
      <c r="E2117" s="12" t="s">
        <v>28</v>
      </c>
      <c r="F2117" s="13" t="s">
        <v>29</v>
      </c>
      <c r="G2117">
        <v>100</v>
      </c>
      <c r="H2117" t="s">
        <v>2466</v>
      </c>
      <c r="I2117">
        <v>100</v>
      </c>
      <c r="J2117" s="15"/>
      <c r="K2117" s="16">
        <f>55.06 - (55.06 * $E$1)</f>
        <v>55.06</v>
      </c>
      <c r="L2117" s="16">
        <f>45.13 - (45.13 * $E$1)</f>
        <v>45.13</v>
      </c>
      <c r="M2117" s="1">
        <v>55.06</v>
      </c>
      <c r="N2117" s="1">
        <v>45.13</v>
      </c>
      <c r="O2117" s="1">
        <v>46.8</v>
      </c>
      <c r="P2117" s="1">
        <v>38.36</v>
      </c>
      <c r="Q2117">
        <v>1.84E-2</v>
      </c>
      <c r="R2117">
        <v>8.1000000000000004E-5</v>
      </c>
    </row>
    <row r="2118" spans="1:18" ht="13.8" outlineLevel="2" x14ac:dyDescent="0.25">
      <c r="A2118">
        <v>102215</v>
      </c>
      <c r="B2118" t="s">
        <v>2463</v>
      </c>
      <c r="C2118" t="s">
        <v>2520</v>
      </c>
      <c r="D2118" s="14" t="s">
        <v>2465</v>
      </c>
      <c r="E2118" s="12" t="s">
        <v>28</v>
      </c>
      <c r="F2118" s="13" t="s">
        <v>29</v>
      </c>
      <c r="G2118">
        <v>100</v>
      </c>
      <c r="H2118" t="s">
        <v>2466</v>
      </c>
      <c r="I2118">
        <v>100</v>
      </c>
      <c r="J2118" s="15"/>
      <c r="K2118" s="16">
        <f>80.52 - (80.52 * $E$1)</f>
        <v>80.52</v>
      </c>
      <c r="L2118" s="16">
        <f>66 - (66 * $E$1)</f>
        <v>66</v>
      </c>
      <c r="M2118" s="1">
        <v>80.52</v>
      </c>
      <c r="N2118" s="1">
        <v>66</v>
      </c>
      <c r="O2118" s="1">
        <v>68.44</v>
      </c>
      <c r="P2118" s="1">
        <v>56.1</v>
      </c>
      <c r="Q2118">
        <v>2.93E-2</v>
      </c>
      <c r="R2118">
        <v>8.1000000000000004E-5</v>
      </c>
    </row>
    <row r="2119" spans="1:18" ht="13.8" outlineLevel="2" x14ac:dyDescent="0.25">
      <c r="A2119">
        <v>102216</v>
      </c>
      <c r="B2119" t="s">
        <v>2463</v>
      </c>
      <c r="C2119" t="s">
        <v>2521</v>
      </c>
      <c r="D2119" s="14" t="s">
        <v>2465</v>
      </c>
      <c r="E2119" s="12" t="s">
        <v>28</v>
      </c>
      <c r="F2119" s="13" t="s">
        <v>29</v>
      </c>
      <c r="G2119">
        <v>50</v>
      </c>
      <c r="H2119" t="s">
        <v>2466</v>
      </c>
      <c r="I2119">
        <v>50</v>
      </c>
      <c r="J2119" s="15"/>
      <c r="K2119" s="16">
        <f>112.02 - (112.02 * $E$1)</f>
        <v>112.02</v>
      </c>
      <c r="L2119" s="16">
        <f>91.82 - (91.82 * $E$1)</f>
        <v>91.82</v>
      </c>
      <c r="M2119" s="1">
        <v>112.02</v>
      </c>
      <c r="N2119" s="1">
        <v>91.82</v>
      </c>
      <c r="O2119" s="1">
        <v>95.22</v>
      </c>
      <c r="P2119" s="1">
        <v>78.05</v>
      </c>
      <c r="Q2119">
        <v>3.1199999999999999E-2</v>
      </c>
      <c r="R2119">
        <v>6.2500000000000001E-5</v>
      </c>
    </row>
    <row r="2120" spans="1:18" ht="13.8" outlineLevel="2" x14ac:dyDescent="0.25">
      <c r="A2120">
        <v>102217</v>
      </c>
      <c r="B2120" t="s">
        <v>2463</v>
      </c>
      <c r="C2120" t="s">
        <v>2522</v>
      </c>
      <c r="D2120" s="14" t="s">
        <v>2465</v>
      </c>
      <c r="E2120" s="12" t="s">
        <v>28</v>
      </c>
      <c r="F2120" s="13" t="s">
        <v>29</v>
      </c>
      <c r="G2120">
        <v>50</v>
      </c>
      <c r="H2120" t="s">
        <v>2466</v>
      </c>
      <c r="I2120">
        <v>50</v>
      </c>
      <c r="J2120" s="15"/>
      <c r="K2120" s="16">
        <f>147.41 - (147.41 * $E$1)</f>
        <v>147.41</v>
      </c>
      <c r="L2120" s="16">
        <f>120.83 - (120.83 * $E$1)</f>
        <v>120.83</v>
      </c>
      <c r="M2120" s="1">
        <v>147.41</v>
      </c>
      <c r="N2120" s="1">
        <v>120.83</v>
      </c>
      <c r="O2120" s="1">
        <v>125.3</v>
      </c>
      <c r="P2120" s="1">
        <v>102.71</v>
      </c>
      <c r="Q2120">
        <v>5.96E-2</v>
      </c>
      <c r="R2120">
        <v>1.089E-4</v>
      </c>
    </row>
    <row r="2121" spans="1:18" ht="13.8" outlineLevel="2" x14ac:dyDescent="0.25">
      <c r="A2121">
        <v>102218</v>
      </c>
      <c r="B2121" t="s">
        <v>2463</v>
      </c>
      <c r="C2121" t="s">
        <v>2523</v>
      </c>
      <c r="D2121" s="14" t="s">
        <v>2465</v>
      </c>
      <c r="E2121" s="12" t="s">
        <v>28</v>
      </c>
      <c r="F2121" s="13" t="s">
        <v>29</v>
      </c>
      <c r="G2121">
        <v>50</v>
      </c>
      <c r="H2121" t="s">
        <v>2466</v>
      </c>
      <c r="I2121">
        <v>50</v>
      </c>
      <c r="J2121" s="15"/>
      <c r="K2121" s="16">
        <f>202.02 - (202.02 * $E$1)</f>
        <v>202.02</v>
      </c>
      <c r="L2121" s="16">
        <f>165.59 - (165.59 * $E$1)</f>
        <v>165.59</v>
      </c>
      <c r="M2121" s="1">
        <v>202.02</v>
      </c>
      <c r="N2121" s="1">
        <v>165.59</v>
      </c>
      <c r="O2121" s="1">
        <v>171.72</v>
      </c>
      <c r="P2121" s="1">
        <v>140.75</v>
      </c>
      <c r="Q2121">
        <v>7.3800000000000004E-2</v>
      </c>
      <c r="R2121">
        <v>1.26E-4</v>
      </c>
    </row>
    <row r="2122" spans="1:18" ht="13.8" outlineLevel="2" x14ac:dyDescent="0.25">
      <c r="A2122">
        <v>102219</v>
      </c>
      <c r="B2122" t="s">
        <v>2463</v>
      </c>
      <c r="C2122" t="s">
        <v>2524</v>
      </c>
      <c r="D2122" s="14" t="s">
        <v>2465</v>
      </c>
      <c r="E2122" s="12" t="s">
        <v>28</v>
      </c>
      <c r="F2122" s="13" t="s">
        <v>29</v>
      </c>
      <c r="G2122">
        <v>25</v>
      </c>
      <c r="H2122" t="s">
        <v>2466</v>
      </c>
      <c r="I2122">
        <v>25</v>
      </c>
      <c r="J2122" s="15"/>
      <c r="K2122" s="16">
        <f>277.93 - (277.93 * $E$1)</f>
        <v>277.93</v>
      </c>
      <c r="L2122" s="16">
        <f>227.81 - (227.81 * $E$1)</f>
        <v>227.81</v>
      </c>
      <c r="M2122" s="1">
        <v>277.93</v>
      </c>
      <c r="N2122" s="1">
        <v>227.81</v>
      </c>
      <c r="O2122" s="1">
        <v>236.24</v>
      </c>
      <c r="P2122" s="1">
        <v>193.64</v>
      </c>
      <c r="Q2122">
        <v>0.1072</v>
      </c>
      <c r="R2122">
        <v>2.2499999999999999E-4</v>
      </c>
    </row>
    <row r="2123" spans="1:18" ht="13.8" outlineLevel="2" x14ac:dyDescent="0.25">
      <c r="A2123">
        <v>102220</v>
      </c>
      <c r="B2123" t="s">
        <v>2463</v>
      </c>
      <c r="C2123" t="s">
        <v>2525</v>
      </c>
      <c r="D2123" s="14" t="s">
        <v>2465</v>
      </c>
      <c r="E2123" s="12" t="s">
        <v>28</v>
      </c>
      <c r="F2123" s="13" t="s">
        <v>29</v>
      </c>
      <c r="G2123">
        <v>25</v>
      </c>
      <c r="H2123" t="s">
        <v>2466</v>
      </c>
      <c r="I2123">
        <v>25</v>
      </c>
      <c r="J2123" s="15"/>
      <c r="K2123" s="16">
        <f>386 - (386 * $E$1)</f>
        <v>386</v>
      </c>
      <c r="L2123" s="16">
        <f>316.39 - (316.39 * $E$1)</f>
        <v>316.39</v>
      </c>
      <c r="M2123" s="1">
        <v>386</v>
      </c>
      <c r="N2123" s="1">
        <v>316.39</v>
      </c>
      <c r="O2123" s="1">
        <v>328.1</v>
      </c>
      <c r="P2123" s="1">
        <v>268.93</v>
      </c>
      <c r="Q2123">
        <v>0.12</v>
      </c>
      <c r="R2123">
        <v>2.6251999999999997E-4</v>
      </c>
    </row>
    <row r="2124" spans="1:18" ht="13.8" outlineLevel="2" x14ac:dyDescent="0.25">
      <c r="A2124">
        <v>85104</v>
      </c>
      <c r="B2124" t="s">
        <v>2463</v>
      </c>
      <c r="C2124" t="s">
        <v>2526</v>
      </c>
      <c r="D2124" s="14" t="s">
        <v>2527</v>
      </c>
      <c r="E2124" s="12" t="s">
        <v>28</v>
      </c>
      <c r="F2124" s="13" t="s">
        <v>29</v>
      </c>
      <c r="G2124">
        <v>200</v>
      </c>
      <c r="H2124" t="s">
        <v>2466</v>
      </c>
      <c r="I2124">
        <v>200</v>
      </c>
      <c r="J2124" s="15"/>
      <c r="K2124" s="16">
        <f>32.72 - (32.72 * $E$1)</f>
        <v>32.72</v>
      </c>
      <c r="L2124" s="16">
        <f>26.82 - (26.82 * $E$1)</f>
        <v>26.82</v>
      </c>
      <c r="M2124" s="1">
        <v>32.72</v>
      </c>
      <c r="N2124" s="1">
        <v>26.82</v>
      </c>
      <c r="O2124" s="1">
        <v>27.81</v>
      </c>
      <c r="P2124" s="1">
        <v>22.8</v>
      </c>
      <c r="Q2124">
        <v>4.4999999999999997E-3</v>
      </c>
      <c r="R2124">
        <v>4.2120000000000003E-5</v>
      </c>
    </row>
    <row r="2125" spans="1:18" ht="13.8" outlineLevel="2" x14ac:dyDescent="0.25">
      <c r="A2125">
        <v>83374</v>
      </c>
      <c r="B2125" t="s">
        <v>2463</v>
      </c>
      <c r="C2125" t="s">
        <v>2528</v>
      </c>
      <c r="D2125" s="14" t="s">
        <v>2527</v>
      </c>
      <c r="E2125" s="12" t="s">
        <v>28</v>
      </c>
      <c r="F2125" s="13" t="s">
        <v>29</v>
      </c>
      <c r="G2125">
        <v>200</v>
      </c>
      <c r="H2125" t="s">
        <v>2466</v>
      </c>
      <c r="I2125">
        <v>200</v>
      </c>
      <c r="J2125" s="15"/>
      <c r="K2125" s="16">
        <f>32.96 - (32.96 * $E$1)</f>
        <v>32.96</v>
      </c>
      <c r="L2125" s="16">
        <f>27.02 - (27.02 * $E$1)</f>
        <v>27.02</v>
      </c>
      <c r="M2125" s="1">
        <v>32.96</v>
      </c>
      <c r="N2125" s="1">
        <v>27.02</v>
      </c>
      <c r="O2125" s="1">
        <v>28.02</v>
      </c>
      <c r="P2125" s="1">
        <v>22.97</v>
      </c>
      <c r="Q2125">
        <v>8.0000000000000002E-3</v>
      </c>
      <c r="R2125">
        <v>7.5939999999999995E-5</v>
      </c>
    </row>
    <row r="2126" spans="1:18" ht="13.8" outlineLevel="2" x14ac:dyDescent="0.25">
      <c r="A2126">
        <v>83375</v>
      </c>
      <c r="B2126" t="s">
        <v>2463</v>
      </c>
      <c r="C2126" t="s">
        <v>2529</v>
      </c>
      <c r="D2126" s="14" t="s">
        <v>2527</v>
      </c>
      <c r="E2126" s="12" t="s">
        <v>28</v>
      </c>
      <c r="F2126" s="13" t="s">
        <v>29</v>
      </c>
      <c r="G2126">
        <v>100</v>
      </c>
      <c r="H2126" t="s">
        <v>2466</v>
      </c>
      <c r="I2126">
        <v>100</v>
      </c>
      <c r="J2126" s="15"/>
      <c r="K2126" s="16">
        <f>42.55 - (42.55 * $E$1)</f>
        <v>42.55</v>
      </c>
      <c r="L2126" s="16">
        <f>34.88 - (34.88 * $E$1)</f>
        <v>34.880000000000003</v>
      </c>
      <c r="M2126" s="1">
        <v>42.55</v>
      </c>
      <c r="N2126" s="1">
        <v>34.880000000000003</v>
      </c>
      <c r="O2126" s="1">
        <v>36.17</v>
      </c>
      <c r="P2126" s="1">
        <v>29.65</v>
      </c>
      <c r="Q2126">
        <v>0.01</v>
      </c>
      <c r="R2126">
        <v>1.0124999999999999E-4</v>
      </c>
    </row>
    <row r="2127" spans="1:18" ht="13.8" outlineLevel="2" x14ac:dyDescent="0.25">
      <c r="A2127">
        <v>83376</v>
      </c>
      <c r="B2127" t="s">
        <v>2463</v>
      </c>
      <c r="C2127" t="s">
        <v>2530</v>
      </c>
      <c r="D2127" s="14" t="s">
        <v>2527</v>
      </c>
      <c r="E2127" s="12" t="s">
        <v>28</v>
      </c>
      <c r="F2127" s="13" t="s">
        <v>29</v>
      </c>
      <c r="G2127">
        <v>100</v>
      </c>
      <c r="H2127" t="s">
        <v>2466</v>
      </c>
      <c r="I2127">
        <v>100</v>
      </c>
      <c r="J2127" s="15"/>
      <c r="K2127" s="16">
        <f>54.24 - (54.24 * $E$1)</f>
        <v>54.24</v>
      </c>
      <c r="L2127" s="16">
        <f>44.46 - (44.46 * $E$1)</f>
        <v>44.46</v>
      </c>
      <c r="M2127" s="1">
        <v>54.24</v>
      </c>
      <c r="N2127" s="1">
        <v>44.46</v>
      </c>
      <c r="O2127" s="1">
        <v>46.11</v>
      </c>
      <c r="P2127" s="1">
        <v>37.79</v>
      </c>
      <c r="Q2127">
        <v>1.2999999999999999E-2</v>
      </c>
      <c r="R2127">
        <v>6.0749999999999999E-5</v>
      </c>
    </row>
    <row r="2128" spans="1:18" ht="13.8" outlineLevel="2" x14ac:dyDescent="0.25">
      <c r="A2128">
        <v>83377</v>
      </c>
      <c r="B2128" t="s">
        <v>2463</v>
      </c>
      <c r="C2128" t="s">
        <v>2531</v>
      </c>
      <c r="D2128" s="14" t="s">
        <v>2527</v>
      </c>
      <c r="E2128" s="12" t="s">
        <v>28</v>
      </c>
      <c r="F2128" s="13" t="s">
        <v>29</v>
      </c>
      <c r="G2128">
        <v>100</v>
      </c>
      <c r="H2128" t="s">
        <v>2466</v>
      </c>
      <c r="I2128">
        <v>100</v>
      </c>
      <c r="J2128" s="15"/>
      <c r="K2128" s="16">
        <f>75.04 - (75.04 * $E$1)</f>
        <v>75.040000000000006</v>
      </c>
      <c r="L2128" s="16">
        <f>61.51 - (61.51 * $E$1)</f>
        <v>61.51</v>
      </c>
      <c r="M2128" s="1">
        <v>75.040000000000006</v>
      </c>
      <c r="N2128" s="1">
        <v>61.51</v>
      </c>
      <c r="O2128" s="1">
        <v>63.79</v>
      </c>
      <c r="P2128" s="1">
        <v>52.28</v>
      </c>
      <c r="Q2128">
        <v>1.7999999999999999E-2</v>
      </c>
      <c r="R2128">
        <v>8.4640000000000003E-5</v>
      </c>
    </row>
    <row r="2129" spans="1:18" ht="13.8" outlineLevel="2" x14ac:dyDescent="0.25">
      <c r="A2129">
        <v>83378</v>
      </c>
      <c r="B2129" t="s">
        <v>2463</v>
      </c>
      <c r="C2129" t="s">
        <v>2532</v>
      </c>
      <c r="D2129" s="14" t="s">
        <v>2527</v>
      </c>
      <c r="E2129" s="12" t="s">
        <v>28</v>
      </c>
      <c r="F2129" s="13" t="s">
        <v>29</v>
      </c>
      <c r="G2129">
        <v>100</v>
      </c>
      <c r="H2129" t="s">
        <v>2466</v>
      </c>
      <c r="I2129">
        <v>100</v>
      </c>
      <c r="J2129" s="15"/>
      <c r="K2129" s="16">
        <f>92.81 - (92.81 * $E$1)</f>
        <v>92.81</v>
      </c>
      <c r="L2129" s="16">
        <f>76.07 - (76.07 * $E$1)</f>
        <v>76.069999999999993</v>
      </c>
      <c r="M2129" s="1">
        <v>92.81</v>
      </c>
      <c r="N2129" s="1">
        <v>76.069999999999993</v>
      </c>
      <c r="O2129" s="1">
        <v>78.88</v>
      </c>
      <c r="P2129" s="1">
        <v>64.66</v>
      </c>
      <c r="Q2129">
        <v>2.1999999999999999E-2</v>
      </c>
      <c r="R2129">
        <v>8.4640000000000003E-5</v>
      </c>
    </row>
    <row r="2130" spans="1:18" ht="13.8" outlineLevel="2" x14ac:dyDescent="0.25">
      <c r="A2130">
        <v>85089</v>
      </c>
      <c r="B2130" t="s">
        <v>2463</v>
      </c>
      <c r="C2130" t="s">
        <v>2533</v>
      </c>
      <c r="D2130" s="14" t="s">
        <v>2527</v>
      </c>
      <c r="E2130" s="12" t="s">
        <v>28</v>
      </c>
      <c r="F2130" s="13" t="s">
        <v>29</v>
      </c>
      <c r="G2130">
        <v>50</v>
      </c>
      <c r="H2130" t="s">
        <v>2466</v>
      </c>
      <c r="I2130">
        <v>50</v>
      </c>
      <c r="J2130" s="15"/>
      <c r="K2130" s="16">
        <f>127.16 - (127.16 * $E$1)</f>
        <v>127.16</v>
      </c>
      <c r="L2130" s="16">
        <f>104.23 - (104.23 * $E$1)</f>
        <v>104.23</v>
      </c>
      <c r="M2130" s="1">
        <v>127.16</v>
      </c>
      <c r="N2130" s="1">
        <v>104.23</v>
      </c>
      <c r="O2130" s="1">
        <v>108.09</v>
      </c>
      <c r="P2130" s="1">
        <v>88.6</v>
      </c>
      <c r="Q2130">
        <v>3.2000000000000001E-2</v>
      </c>
      <c r="R2130">
        <v>1.6928000000000001E-4</v>
      </c>
    </row>
    <row r="2131" spans="1:18" ht="13.8" outlineLevel="2" x14ac:dyDescent="0.25">
      <c r="A2131">
        <v>83380</v>
      </c>
      <c r="B2131" t="s">
        <v>2463</v>
      </c>
      <c r="C2131" t="s">
        <v>2534</v>
      </c>
      <c r="D2131" s="14" t="s">
        <v>2527</v>
      </c>
      <c r="E2131" s="12" t="s">
        <v>28</v>
      </c>
      <c r="F2131" s="13" t="s">
        <v>29</v>
      </c>
      <c r="G2131">
        <v>50</v>
      </c>
      <c r="H2131" t="s">
        <v>2466</v>
      </c>
      <c r="I2131">
        <v>50</v>
      </c>
      <c r="J2131" s="15"/>
      <c r="K2131" s="16">
        <f>217.62 - (217.62 * $E$1)</f>
        <v>217.62</v>
      </c>
      <c r="L2131" s="16">
        <f>178.38 - (178.38 * $E$1)</f>
        <v>178.38</v>
      </c>
      <c r="M2131" s="1">
        <v>217.62</v>
      </c>
      <c r="N2131" s="1">
        <v>178.38</v>
      </c>
      <c r="O2131" s="1">
        <v>184.98</v>
      </c>
      <c r="P2131" s="1">
        <v>151.62</v>
      </c>
      <c r="Q2131">
        <v>5.1999999999999998E-2</v>
      </c>
      <c r="R2131">
        <v>1.5552E-4</v>
      </c>
    </row>
    <row r="2132" spans="1:18" ht="13.8" outlineLevel="2" x14ac:dyDescent="0.25">
      <c r="A2132">
        <v>85090</v>
      </c>
      <c r="B2132" t="s">
        <v>2463</v>
      </c>
      <c r="C2132" t="s">
        <v>2535</v>
      </c>
      <c r="D2132" s="14" t="s">
        <v>2527</v>
      </c>
      <c r="E2132" s="12" t="s">
        <v>28</v>
      </c>
      <c r="F2132" s="13" t="s">
        <v>29</v>
      </c>
      <c r="G2132">
        <v>50</v>
      </c>
      <c r="H2132" t="s">
        <v>2466</v>
      </c>
      <c r="I2132">
        <v>50</v>
      </c>
      <c r="J2132" s="15"/>
      <c r="K2132" s="16">
        <f>327.48 - (327.48 * $E$1)</f>
        <v>327.48</v>
      </c>
      <c r="L2132" s="16">
        <f>268.43 - (268.43 * $E$1)</f>
        <v>268.43</v>
      </c>
      <c r="M2132" s="1">
        <v>327.48</v>
      </c>
      <c r="N2132" s="1">
        <v>268.43</v>
      </c>
      <c r="O2132" s="1">
        <v>278.36</v>
      </c>
      <c r="P2132" s="1">
        <v>228.17</v>
      </c>
      <c r="Q2132">
        <v>0.06</v>
      </c>
      <c r="R2132">
        <v>1.5245999999999999E-4</v>
      </c>
    </row>
    <row r="2133" spans="1:18" ht="13.8" outlineLevel="2" x14ac:dyDescent="0.25">
      <c r="A2133">
        <v>84905</v>
      </c>
      <c r="B2133" t="s">
        <v>2463</v>
      </c>
      <c r="C2133" t="s">
        <v>2536</v>
      </c>
      <c r="D2133" s="14" t="s">
        <v>2527</v>
      </c>
      <c r="E2133" s="12" t="s">
        <v>28</v>
      </c>
      <c r="F2133" s="13" t="s">
        <v>29</v>
      </c>
      <c r="G2133">
        <v>50</v>
      </c>
      <c r="H2133" t="s">
        <v>2466</v>
      </c>
      <c r="I2133">
        <v>50</v>
      </c>
      <c r="J2133" s="15"/>
      <c r="K2133" s="16">
        <f>647.49 - (647.49 * $E$1)</f>
        <v>647.49</v>
      </c>
      <c r="L2133" s="16">
        <f>530.73 - (530.73 * $E$1)</f>
        <v>530.73</v>
      </c>
      <c r="M2133" s="1">
        <v>647.49</v>
      </c>
      <c r="N2133" s="1">
        <v>530.73</v>
      </c>
      <c r="O2133" s="1">
        <v>550.37</v>
      </c>
      <c r="P2133" s="1">
        <v>451.12</v>
      </c>
      <c r="Q2133">
        <v>0.124</v>
      </c>
      <c r="R2133">
        <v>2.5920000000000001E-4</v>
      </c>
    </row>
    <row r="2134" spans="1:18" ht="13.8" outlineLevel="2" x14ac:dyDescent="0.25">
      <c r="A2134">
        <v>91900</v>
      </c>
      <c r="B2134" t="s">
        <v>2463</v>
      </c>
      <c r="C2134" t="s">
        <v>2537</v>
      </c>
      <c r="D2134" s="14" t="s">
        <v>2527</v>
      </c>
      <c r="E2134" s="12" t="s">
        <v>28</v>
      </c>
      <c r="F2134" s="13" t="s">
        <v>29</v>
      </c>
      <c r="G2134">
        <v>10</v>
      </c>
      <c r="H2134" t="s">
        <v>2466</v>
      </c>
      <c r="I2134">
        <v>10</v>
      </c>
      <c r="J2134" s="15"/>
      <c r="K2134" s="16">
        <f>864.99 - (864.99 * $E$1)</f>
        <v>864.99</v>
      </c>
      <c r="L2134" s="16">
        <f>709.01 - (709.01 * $E$1)</f>
        <v>709.01</v>
      </c>
      <c r="M2134" s="1">
        <v>864.99</v>
      </c>
      <c r="N2134" s="1">
        <v>709.01</v>
      </c>
      <c r="O2134" s="1">
        <v>735.24</v>
      </c>
      <c r="P2134" s="1">
        <v>602.66</v>
      </c>
      <c r="Q2134">
        <v>0.28999999999999998</v>
      </c>
      <c r="R2134">
        <v>3.078E-4</v>
      </c>
    </row>
    <row r="2135" spans="1:18" ht="13.8" outlineLevel="2" x14ac:dyDescent="0.25">
      <c r="A2135">
        <v>91899</v>
      </c>
      <c r="B2135" t="s">
        <v>2463</v>
      </c>
      <c r="C2135" t="s">
        <v>2538</v>
      </c>
      <c r="D2135" s="14" t="s">
        <v>2527</v>
      </c>
      <c r="E2135" s="12" t="s">
        <v>28</v>
      </c>
      <c r="F2135" s="13" t="s">
        <v>29</v>
      </c>
      <c r="G2135">
        <v>10</v>
      </c>
      <c r="H2135" t="s">
        <v>2466</v>
      </c>
      <c r="I2135">
        <v>10</v>
      </c>
      <c r="J2135" s="15"/>
      <c r="K2135" s="16">
        <f>1075.39 - (1075.39 * $E$1)</f>
        <v>1075.3900000000001</v>
      </c>
      <c r="L2135" s="16">
        <f>881.47 - (881.47 * $E$1)</f>
        <v>881.47</v>
      </c>
      <c r="M2135" s="1">
        <v>1075.3900000000001</v>
      </c>
      <c r="N2135" s="1">
        <v>881.47</v>
      </c>
      <c r="O2135" s="1">
        <v>914.08</v>
      </c>
      <c r="P2135" s="1">
        <v>749.25</v>
      </c>
      <c r="Q2135">
        <v>0.3</v>
      </c>
      <c r="R2135">
        <v>4.5130000000000002E-4</v>
      </c>
    </row>
    <row r="2136" spans="1:18" ht="13.8" outlineLevel="2" x14ac:dyDescent="0.25">
      <c r="A2136">
        <v>84987</v>
      </c>
      <c r="B2136" t="s">
        <v>2463</v>
      </c>
      <c r="C2136" t="s">
        <v>2539</v>
      </c>
      <c r="D2136" s="14" t="s">
        <v>2540</v>
      </c>
      <c r="E2136" s="12" t="s">
        <v>28</v>
      </c>
      <c r="F2136" s="13" t="s">
        <v>29</v>
      </c>
      <c r="G2136">
        <v>100</v>
      </c>
      <c r="H2136" t="s">
        <v>2466</v>
      </c>
      <c r="I2136">
        <v>100</v>
      </c>
      <c r="J2136" s="15"/>
      <c r="K2136" s="16">
        <f>11.99 - (11.99 * $E$1)</f>
        <v>11.99</v>
      </c>
      <c r="L2136" s="16">
        <f>9.83 - (9.83 * $E$1)</f>
        <v>9.83</v>
      </c>
      <c r="M2136" s="1">
        <v>11.99</v>
      </c>
      <c r="N2136" s="1">
        <v>9.83</v>
      </c>
      <c r="O2136" s="1">
        <v>10.19</v>
      </c>
      <c r="P2136" s="1">
        <v>8.36</v>
      </c>
      <c r="Q2136">
        <v>2.5000000000000001E-3</v>
      </c>
      <c r="R2136">
        <v>5.7500000000000002E-5</v>
      </c>
    </row>
    <row r="2137" spans="1:18" ht="13.8" outlineLevel="2" x14ac:dyDescent="0.25">
      <c r="A2137">
        <v>84993</v>
      </c>
      <c r="B2137" t="s">
        <v>2463</v>
      </c>
      <c r="C2137" t="s">
        <v>2541</v>
      </c>
      <c r="D2137" s="14" t="s">
        <v>2540</v>
      </c>
      <c r="E2137" s="12" t="s">
        <v>28</v>
      </c>
      <c r="F2137" s="13" t="s">
        <v>29</v>
      </c>
      <c r="G2137">
        <v>50</v>
      </c>
      <c r="H2137" t="s">
        <v>2466</v>
      </c>
      <c r="I2137">
        <v>50</v>
      </c>
      <c r="J2137" s="15"/>
      <c r="K2137" s="16">
        <f>13.19 - (13.19 * $E$1)</f>
        <v>13.19</v>
      </c>
      <c r="L2137" s="16">
        <f>10.81 - (10.81 * $E$1)</f>
        <v>10.81</v>
      </c>
      <c r="M2137" s="1">
        <v>13.19</v>
      </c>
      <c r="N2137" s="1">
        <v>10.81</v>
      </c>
      <c r="O2137" s="1">
        <v>11.21</v>
      </c>
      <c r="P2137" s="1">
        <v>9.19</v>
      </c>
      <c r="Q2137">
        <v>2.8E-3</v>
      </c>
      <c r="R2137">
        <v>1.15E-4</v>
      </c>
    </row>
    <row r="2138" spans="1:18" ht="13.8" outlineLevel="2" x14ac:dyDescent="0.25">
      <c r="A2138">
        <v>84317</v>
      </c>
      <c r="B2138" t="s">
        <v>2463</v>
      </c>
      <c r="C2138" t="s">
        <v>2542</v>
      </c>
      <c r="D2138" s="14" t="s">
        <v>2540</v>
      </c>
      <c r="E2138" s="12" t="s">
        <v>28</v>
      </c>
      <c r="F2138" s="13" t="s">
        <v>29</v>
      </c>
      <c r="G2138">
        <v>50</v>
      </c>
      <c r="H2138" t="s">
        <v>2466</v>
      </c>
      <c r="I2138">
        <v>50</v>
      </c>
      <c r="J2138" s="15"/>
      <c r="K2138" s="16">
        <f>15.4 - (15.4 * $E$1)</f>
        <v>15.4</v>
      </c>
      <c r="L2138" s="16">
        <f>12.62 - (12.62 * $E$1)</f>
        <v>12.62</v>
      </c>
      <c r="M2138" s="1">
        <v>15.4</v>
      </c>
      <c r="N2138" s="1">
        <v>12.62</v>
      </c>
      <c r="O2138" s="1">
        <v>13.09</v>
      </c>
      <c r="P2138" s="1">
        <v>10.73</v>
      </c>
      <c r="Q2138">
        <v>4.4000000000000003E-3</v>
      </c>
      <c r="R2138">
        <v>7.4159999999999995E-5</v>
      </c>
    </row>
    <row r="2139" spans="1:18" ht="13.8" outlineLevel="2" x14ac:dyDescent="0.25">
      <c r="A2139">
        <v>84319</v>
      </c>
      <c r="B2139" t="s">
        <v>2463</v>
      </c>
      <c r="C2139" t="s">
        <v>2543</v>
      </c>
      <c r="D2139" s="14" t="s">
        <v>2540</v>
      </c>
      <c r="E2139" s="12" t="s">
        <v>28</v>
      </c>
      <c r="F2139" s="13" t="s">
        <v>29</v>
      </c>
      <c r="G2139">
        <v>20</v>
      </c>
      <c r="H2139" t="s">
        <v>2466</v>
      </c>
      <c r="I2139">
        <v>20</v>
      </c>
      <c r="J2139" s="15"/>
      <c r="K2139" s="16">
        <f>21.39 - (21.39 * $E$1)</f>
        <v>21.39</v>
      </c>
      <c r="L2139" s="16">
        <f>17.53 - (17.53 * $E$1)</f>
        <v>17.53</v>
      </c>
      <c r="M2139" s="1">
        <v>21.39</v>
      </c>
      <c r="N2139" s="1">
        <v>17.53</v>
      </c>
      <c r="O2139" s="1">
        <v>18.18</v>
      </c>
      <c r="P2139" s="1">
        <v>14.9</v>
      </c>
      <c r="Q2139">
        <v>6.3E-3</v>
      </c>
      <c r="R2139">
        <v>1.25E-4</v>
      </c>
    </row>
    <row r="2140" spans="1:18" ht="13.8" outlineLevel="2" x14ac:dyDescent="0.25">
      <c r="A2140">
        <v>84320</v>
      </c>
      <c r="B2140" t="s">
        <v>2463</v>
      </c>
      <c r="C2140" t="s">
        <v>2544</v>
      </c>
      <c r="D2140" s="14" t="s">
        <v>2540</v>
      </c>
      <c r="E2140" s="12" t="s">
        <v>28</v>
      </c>
      <c r="F2140" s="13" t="s">
        <v>29</v>
      </c>
      <c r="G2140">
        <v>20</v>
      </c>
      <c r="H2140" t="s">
        <v>2466</v>
      </c>
      <c r="I2140">
        <v>20</v>
      </c>
      <c r="J2140" s="15"/>
      <c r="K2140" s="16">
        <f>31.38 - (31.38 * $E$1)</f>
        <v>31.38</v>
      </c>
      <c r="L2140" s="16">
        <f>25.72 - (25.72 * $E$1)</f>
        <v>25.72</v>
      </c>
      <c r="M2140" s="1">
        <v>31.38</v>
      </c>
      <c r="N2140" s="1">
        <v>25.72</v>
      </c>
      <c r="O2140" s="1">
        <v>26.67</v>
      </c>
      <c r="P2140" s="1">
        <v>21.86</v>
      </c>
      <c r="Q2140">
        <v>8.0000000000000002E-3</v>
      </c>
      <c r="R2140">
        <v>4.0800000000000002E-5</v>
      </c>
    </row>
    <row r="2141" spans="1:18" ht="13.8" outlineLevel="2" x14ac:dyDescent="0.25">
      <c r="A2141">
        <v>84321</v>
      </c>
      <c r="B2141" t="s">
        <v>2463</v>
      </c>
      <c r="C2141" t="s">
        <v>2545</v>
      </c>
      <c r="D2141" s="14" t="s">
        <v>2540</v>
      </c>
      <c r="E2141" s="12" t="s">
        <v>28</v>
      </c>
      <c r="F2141" s="13" t="s">
        <v>29</v>
      </c>
      <c r="G2141">
        <v>20</v>
      </c>
      <c r="H2141" t="s">
        <v>2466</v>
      </c>
      <c r="I2141">
        <v>20</v>
      </c>
      <c r="J2141" s="15"/>
      <c r="K2141" s="16">
        <f>36.56 - (36.56 * $E$1)</f>
        <v>36.56</v>
      </c>
      <c r="L2141" s="16">
        <f>29.97 - (29.97 * $E$1)</f>
        <v>29.97</v>
      </c>
      <c r="M2141" s="1">
        <v>36.56</v>
      </c>
      <c r="N2141" s="1">
        <v>29.97</v>
      </c>
      <c r="O2141" s="1">
        <v>31.08</v>
      </c>
      <c r="P2141" s="1">
        <v>25.47</v>
      </c>
      <c r="Q2141">
        <v>1.2E-2</v>
      </c>
      <c r="R2141">
        <v>6.1199999999999997E-5</v>
      </c>
    </row>
    <row r="2142" spans="1:18" ht="13.8" outlineLevel="2" x14ac:dyDescent="0.25">
      <c r="A2142">
        <v>84322</v>
      </c>
      <c r="B2142" t="s">
        <v>2463</v>
      </c>
      <c r="C2142" t="s">
        <v>2546</v>
      </c>
      <c r="D2142" s="14" t="s">
        <v>2540</v>
      </c>
      <c r="E2142" s="12" t="s">
        <v>28</v>
      </c>
      <c r="F2142" s="13" t="s">
        <v>29</v>
      </c>
      <c r="G2142">
        <v>20</v>
      </c>
      <c r="H2142" t="s">
        <v>2466</v>
      </c>
      <c r="I2142">
        <v>20</v>
      </c>
      <c r="J2142" s="15"/>
      <c r="K2142" s="16">
        <f>38.74 - (38.74 * $E$1)</f>
        <v>38.74</v>
      </c>
      <c r="L2142" s="16">
        <f>31.75 - (31.75 * $E$1)</f>
        <v>31.75</v>
      </c>
      <c r="M2142" s="1">
        <v>38.74</v>
      </c>
      <c r="N2142" s="1">
        <v>31.75</v>
      </c>
      <c r="O2142" s="1">
        <v>32.92</v>
      </c>
      <c r="P2142" s="1">
        <v>26.99</v>
      </c>
      <c r="Q2142">
        <v>1.4999999999999999E-2</v>
      </c>
      <c r="R2142">
        <v>3.57E-5</v>
      </c>
    </row>
    <row r="2143" spans="1:18" ht="13.8" outlineLevel="2" x14ac:dyDescent="0.25">
      <c r="A2143">
        <v>84323</v>
      </c>
      <c r="B2143" t="s">
        <v>2463</v>
      </c>
      <c r="C2143" t="s">
        <v>2547</v>
      </c>
      <c r="D2143" s="14" t="s">
        <v>2540</v>
      </c>
      <c r="E2143" s="12" t="s">
        <v>28</v>
      </c>
      <c r="F2143" s="13" t="s">
        <v>29</v>
      </c>
      <c r="G2143">
        <v>10</v>
      </c>
      <c r="H2143" t="s">
        <v>2466</v>
      </c>
      <c r="I2143">
        <v>10</v>
      </c>
      <c r="J2143" s="15"/>
      <c r="K2143" s="16">
        <f>66.05 - (66.05 * $E$1)</f>
        <v>66.05</v>
      </c>
      <c r="L2143" s="16">
        <f>54.14 - (54.14 * $E$1)</f>
        <v>54.14</v>
      </c>
      <c r="M2143" s="1">
        <v>66.05</v>
      </c>
      <c r="N2143" s="1">
        <v>54.14</v>
      </c>
      <c r="O2143" s="1">
        <v>56.14</v>
      </c>
      <c r="P2143" s="1">
        <v>46.02</v>
      </c>
      <c r="Q2143">
        <v>1.7000000000000001E-2</v>
      </c>
      <c r="R2143">
        <v>6.1199999999999997E-5</v>
      </c>
    </row>
    <row r="2144" spans="1:18" ht="13.8" outlineLevel="2" x14ac:dyDescent="0.25">
      <c r="A2144">
        <v>84324</v>
      </c>
      <c r="B2144" t="s">
        <v>2463</v>
      </c>
      <c r="C2144" t="s">
        <v>2548</v>
      </c>
      <c r="D2144" s="14" t="s">
        <v>2540</v>
      </c>
      <c r="E2144" s="12" t="s">
        <v>28</v>
      </c>
      <c r="F2144" s="13" t="s">
        <v>29</v>
      </c>
      <c r="G2144">
        <v>10</v>
      </c>
      <c r="H2144" t="s">
        <v>2466</v>
      </c>
      <c r="I2144">
        <v>10</v>
      </c>
      <c r="J2144" s="15"/>
      <c r="K2144" s="16">
        <f>76.74 - (76.74 * $E$1)</f>
        <v>76.739999999999995</v>
      </c>
      <c r="L2144" s="16">
        <f>62.9 - (62.9 * $E$1)</f>
        <v>62.9</v>
      </c>
      <c r="M2144" s="1">
        <v>76.739999999999995</v>
      </c>
      <c r="N2144" s="1">
        <v>62.9</v>
      </c>
      <c r="O2144" s="1">
        <v>65.23</v>
      </c>
      <c r="P2144" s="1">
        <v>53.47</v>
      </c>
      <c r="Q2144">
        <v>3.3000000000000002E-2</v>
      </c>
      <c r="R2144">
        <v>1.155E-4</v>
      </c>
    </row>
    <row r="2145" spans="1:18" ht="13.8" outlineLevel="2" x14ac:dyDescent="0.25">
      <c r="A2145">
        <v>85000</v>
      </c>
      <c r="B2145" t="s">
        <v>2463</v>
      </c>
      <c r="C2145" t="s">
        <v>2549</v>
      </c>
      <c r="D2145" s="14" t="s">
        <v>2540</v>
      </c>
      <c r="E2145" s="12" t="s">
        <v>28</v>
      </c>
      <c r="F2145" s="13" t="s">
        <v>29</v>
      </c>
      <c r="G2145">
        <v>10</v>
      </c>
      <c r="H2145" t="s">
        <v>2466</v>
      </c>
      <c r="I2145">
        <v>10</v>
      </c>
      <c r="J2145" s="15"/>
      <c r="K2145" s="16">
        <f>113.12 - (113.12 * $E$1)</f>
        <v>113.12</v>
      </c>
      <c r="L2145" s="16">
        <f>92.72 - (92.72 * $E$1)</f>
        <v>92.72</v>
      </c>
      <c r="M2145" s="1">
        <v>113.12</v>
      </c>
      <c r="N2145" s="1">
        <v>92.72</v>
      </c>
      <c r="O2145" s="1">
        <v>96.15</v>
      </c>
      <c r="P2145" s="1">
        <v>78.81</v>
      </c>
      <c r="Q2145">
        <v>4.1000000000000002E-2</v>
      </c>
      <c r="R2145">
        <v>8.2399999999999997E-5</v>
      </c>
    </row>
    <row r="2146" spans="1:18" ht="13.8" outlineLevel="2" x14ac:dyDescent="0.25">
      <c r="A2146">
        <v>84325</v>
      </c>
      <c r="B2146" t="s">
        <v>2463</v>
      </c>
      <c r="C2146" t="s">
        <v>2550</v>
      </c>
      <c r="D2146" s="14" t="s">
        <v>2540</v>
      </c>
      <c r="E2146" s="12" t="s">
        <v>28</v>
      </c>
      <c r="F2146" s="13" t="s">
        <v>29</v>
      </c>
      <c r="G2146">
        <v>5</v>
      </c>
      <c r="H2146" t="s">
        <v>2466</v>
      </c>
      <c r="I2146">
        <v>5</v>
      </c>
      <c r="J2146" s="15"/>
      <c r="K2146" s="16">
        <f>161.28 - (161.28 * $E$1)</f>
        <v>161.28</v>
      </c>
      <c r="L2146" s="16">
        <f>132.2 - (132.2 * $E$1)</f>
        <v>132.19999999999999</v>
      </c>
      <c r="M2146" s="1">
        <v>161.28</v>
      </c>
      <c r="N2146" s="1">
        <v>132.19999999999999</v>
      </c>
      <c r="O2146" s="1">
        <v>137.09</v>
      </c>
      <c r="P2146" s="1">
        <v>112.37</v>
      </c>
      <c r="Q2146">
        <v>0.04</v>
      </c>
      <c r="R2146">
        <v>1.2239999999999999E-4</v>
      </c>
    </row>
    <row r="2147" spans="1:18" ht="13.8" outlineLevel="2" x14ac:dyDescent="0.25">
      <c r="A2147">
        <v>84326</v>
      </c>
      <c r="B2147" t="s">
        <v>2463</v>
      </c>
      <c r="C2147" t="s">
        <v>2551</v>
      </c>
      <c r="D2147" s="14" t="s">
        <v>2540</v>
      </c>
      <c r="E2147" s="12" t="s">
        <v>28</v>
      </c>
      <c r="F2147" s="13" t="s">
        <v>29</v>
      </c>
      <c r="G2147">
        <v>5</v>
      </c>
      <c r="H2147" t="s">
        <v>2466</v>
      </c>
      <c r="I2147">
        <v>5</v>
      </c>
      <c r="J2147" s="15"/>
      <c r="K2147" s="16">
        <f>205.06 - (205.06 * $E$1)</f>
        <v>205.06</v>
      </c>
      <c r="L2147" s="16">
        <f>168.08 - (168.08 * $E$1)</f>
        <v>168.08</v>
      </c>
      <c r="M2147" s="1">
        <v>205.06</v>
      </c>
      <c r="N2147" s="1">
        <v>168.08</v>
      </c>
      <c r="O2147" s="1">
        <v>174.3</v>
      </c>
      <c r="P2147" s="1">
        <v>142.87</v>
      </c>
      <c r="Q2147">
        <v>5.8000000000000003E-2</v>
      </c>
      <c r="R2147">
        <v>1.428E-4</v>
      </c>
    </row>
    <row r="2148" spans="1:18" ht="13.8" outlineLevel="2" x14ac:dyDescent="0.25">
      <c r="A2148">
        <v>85006</v>
      </c>
      <c r="B2148" t="s">
        <v>2463</v>
      </c>
      <c r="C2148" t="s">
        <v>2552</v>
      </c>
      <c r="D2148" s="14" t="s">
        <v>2540</v>
      </c>
      <c r="E2148" s="12" t="s">
        <v>28</v>
      </c>
      <c r="F2148" s="13" t="s">
        <v>29</v>
      </c>
      <c r="G2148">
        <v>5</v>
      </c>
      <c r="H2148" t="s">
        <v>2466</v>
      </c>
      <c r="I2148">
        <v>5</v>
      </c>
      <c r="J2148" s="15"/>
      <c r="K2148" s="16">
        <f>286.8 - (286.8 * $E$1)</f>
        <v>286.8</v>
      </c>
      <c r="L2148" s="16">
        <f>235.08 - (235.08 * $E$1)</f>
        <v>235.08</v>
      </c>
      <c r="M2148" s="1">
        <v>286.8</v>
      </c>
      <c r="N2148" s="1">
        <v>235.08</v>
      </c>
      <c r="O2148" s="1">
        <v>243.78</v>
      </c>
      <c r="P2148" s="1">
        <v>199.82</v>
      </c>
      <c r="Q2148">
        <v>9.1999999999999998E-2</v>
      </c>
      <c r="R2148">
        <v>1.6479999999999999E-4</v>
      </c>
    </row>
    <row r="2149" spans="1:18" ht="13.8" outlineLevel="2" x14ac:dyDescent="0.25">
      <c r="A2149">
        <v>84327</v>
      </c>
      <c r="B2149" t="s">
        <v>2463</v>
      </c>
      <c r="C2149" t="s">
        <v>2553</v>
      </c>
      <c r="D2149" s="14" t="s">
        <v>2540</v>
      </c>
      <c r="E2149" s="12" t="s">
        <v>28</v>
      </c>
      <c r="F2149" s="13" t="s">
        <v>29</v>
      </c>
      <c r="G2149">
        <v>5</v>
      </c>
      <c r="H2149" t="s">
        <v>2466</v>
      </c>
      <c r="I2149">
        <v>5</v>
      </c>
      <c r="J2149" s="15"/>
      <c r="K2149" s="16">
        <f>376.53 - (376.53 * $E$1)</f>
        <v>376.53</v>
      </c>
      <c r="L2149" s="16">
        <f>308.63 - (308.63 * $E$1)</f>
        <v>308.63</v>
      </c>
      <c r="M2149" s="1">
        <v>376.53</v>
      </c>
      <c r="N2149" s="1">
        <v>308.63</v>
      </c>
      <c r="O2149" s="1">
        <v>320.05</v>
      </c>
      <c r="P2149" s="1">
        <v>262.33999999999997</v>
      </c>
      <c r="Q2149">
        <v>0.13</v>
      </c>
      <c r="R2149">
        <v>3.456E-4</v>
      </c>
    </row>
    <row r="2150" spans="1:18" ht="13.8" outlineLevel="2" x14ac:dyDescent="0.25">
      <c r="A2150">
        <v>84982</v>
      </c>
      <c r="B2150" t="s">
        <v>2463</v>
      </c>
      <c r="C2150" t="s">
        <v>2554</v>
      </c>
      <c r="D2150" s="14" t="s">
        <v>2540</v>
      </c>
      <c r="E2150" s="12" t="s">
        <v>28</v>
      </c>
      <c r="F2150" s="13" t="s">
        <v>29</v>
      </c>
      <c r="G2150">
        <v>100</v>
      </c>
      <c r="H2150" t="s">
        <v>2466</v>
      </c>
      <c r="I2150">
        <v>100</v>
      </c>
      <c r="J2150" s="15"/>
      <c r="K2150" s="16">
        <f>11.13 - (11.13 * $E$1)</f>
        <v>11.13</v>
      </c>
      <c r="L2150" s="16">
        <f>9.12 - (9.12 * $E$1)</f>
        <v>9.1199999999999992</v>
      </c>
      <c r="M2150" s="1">
        <v>11.13</v>
      </c>
      <c r="N2150" s="1">
        <v>9.1199999999999992</v>
      </c>
      <c r="O2150" s="1">
        <v>9.4600000000000009</v>
      </c>
      <c r="P2150" s="1">
        <v>7.75</v>
      </c>
      <c r="Q2150">
        <v>2.5000000000000001E-3</v>
      </c>
      <c r="R2150">
        <v>5.7500000000000002E-5</v>
      </c>
    </row>
    <row r="2151" spans="1:18" ht="13.8" outlineLevel="2" x14ac:dyDescent="0.25">
      <c r="A2151">
        <v>84983</v>
      </c>
      <c r="B2151" t="s">
        <v>2463</v>
      </c>
      <c r="C2151" t="s">
        <v>2555</v>
      </c>
      <c r="D2151" s="14" t="s">
        <v>2540</v>
      </c>
      <c r="E2151" s="12" t="s">
        <v>28</v>
      </c>
      <c r="F2151" s="13" t="s">
        <v>29</v>
      </c>
      <c r="G2151">
        <v>100</v>
      </c>
      <c r="H2151" t="s">
        <v>2466</v>
      </c>
      <c r="I2151">
        <v>100</v>
      </c>
      <c r="J2151" s="15"/>
      <c r="K2151" s="16">
        <f>11.13 - (11.13 * $E$1)</f>
        <v>11.13</v>
      </c>
      <c r="L2151" s="16">
        <f>9.12 - (9.12 * $E$1)</f>
        <v>9.1199999999999992</v>
      </c>
      <c r="M2151" s="1">
        <v>11.13</v>
      </c>
      <c r="N2151" s="1">
        <v>9.1199999999999992</v>
      </c>
      <c r="O2151" s="1">
        <v>9.4600000000000009</v>
      </c>
      <c r="P2151" s="1">
        <v>7.75</v>
      </c>
      <c r="Q2151">
        <v>2.5000000000000001E-3</v>
      </c>
      <c r="R2151">
        <v>5.7500000000000002E-5</v>
      </c>
    </row>
    <row r="2152" spans="1:18" ht="13.8" outlineLevel="2" x14ac:dyDescent="0.25">
      <c r="A2152">
        <v>84984</v>
      </c>
      <c r="B2152" t="s">
        <v>2463</v>
      </c>
      <c r="C2152" t="s">
        <v>2556</v>
      </c>
      <c r="D2152" s="14" t="s">
        <v>2540</v>
      </c>
      <c r="E2152" s="12" t="s">
        <v>28</v>
      </c>
      <c r="F2152" s="13" t="s">
        <v>29</v>
      </c>
      <c r="G2152">
        <v>100</v>
      </c>
      <c r="H2152" t="s">
        <v>2466</v>
      </c>
      <c r="I2152">
        <v>100</v>
      </c>
      <c r="J2152" s="15"/>
      <c r="K2152" s="16">
        <f>11.13 - (11.13 * $E$1)</f>
        <v>11.13</v>
      </c>
      <c r="L2152" s="16">
        <f>9.12 - (9.12 * $E$1)</f>
        <v>9.1199999999999992</v>
      </c>
      <c r="M2152" s="1">
        <v>11.13</v>
      </c>
      <c r="N2152" s="1">
        <v>9.1199999999999992</v>
      </c>
      <c r="O2152" s="1">
        <v>9.4600000000000009</v>
      </c>
      <c r="P2152" s="1">
        <v>7.75</v>
      </c>
      <c r="Q2152">
        <v>2.5000000000000001E-3</v>
      </c>
      <c r="R2152">
        <v>5.7500000000000002E-5</v>
      </c>
    </row>
    <row r="2153" spans="1:18" ht="13.8" outlineLevel="2" x14ac:dyDescent="0.25">
      <c r="A2153">
        <v>84985</v>
      </c>
      <c r="B2153" t="s">
        <v>2463</v>
      </c>
      <c r="C2153" t="s">
        <v>2557</v>
      </c>
      <c r="D2153" s="14" t="s">
        <v>2540</v>
      </c>
      <c r="E2153" s="12" t="s">
        <v>28</v>
      </c>
      <c r="F2153" s="13" t="s">
        <v>29</v>
      </c>
      <c r="G2153">
        <v>100</v>
      </c>
      <c r="H2153" t="s">
        <v>2466</v>
      </c>
      <c r="I2153">
        <v>100</v>
      </c>
      <c r="J2153" s="15"/>
      <c r="K2153" s="16">
        <f>11.13 - (11.13 * $E$1)</f>
        <v>11.13</v>
      </c>
      <c r="L2153" s="16">
        <f>9.12 - (9.12 * $E$1)</f>
        <v>9.1199999999999992</v>
      </c>
      <c r="M2153" s="1">
        <v>11.13</v>
      </c>
      <c r="N2153" s="1">
        <v>9.1199999999999992</v>
      </c>
      <c r="O2153" s="1">
        <v>9.4600000000000009</v>
      </c>
      <c r="P2153" s="1">
        <v>7.75</v>
      </c>
      <c r="Q2153">
        <v>2.5000000000000001E-3</v>
      </c>
      <c r="R2153">
        <v>5.7500000000000002E-5</v>
      </c>
    </row>
    <row r="2154" spans="1:18" ht="13.8" outlineLevel="2" x14ac:dyDescent="0.25">
      <c r="A2154">
        <v>84988</v>
      </c>
      <c r="B2154" t="s">
        <v>2463</v>
      </c>
      <c r="C2154" t="s">
        <v>2558</v>
      </c>
      <c r="D2154" s="14" t="s">
        <v>2540</v>
      </c>
      <c r="E2154" s="12" t="s">
        <v>28</v>
      </c>
      <c r="F2154" s="13" t="s">
        <v>29</v>
      </c>
      <c r="G2154">
        <v>50</v>
      </c>
      <c r="H2154" t="s">
        <v>2466</v>
      </c>
      <c r="I2154">
        <v>50</v>
      </c>
      <c r="J2154" s="15"/>
      <c r="K2154" s="16">
        <f>12.58 - (12.58 * $E$1)</f>
        <v>12.58</v>
      </c>
      <c r="L2154" s="16">
        <f>10.31 - (10.31 * $E$1)</f>
        <v>10.31</v>
      </c>
      <c r="M2154" s="1">
        <v>12.58</v>
      </c>
      <c r="N2154" s="1">
        <v>10.31</v>
      </c>
      <c r="O2154" s="1">
        <v>10.69</v>
      </c>
      <c r="P2154" s="1">
        <v>8.76</v>
      </c>
      <c r="Q2154">
        <v>2.8E-3</v>
      </c>
      <c r="R2154">
        <v>1.15E-4</v>
      </c>
    </row>
    <row r="2155" spans="1:18" ht="13.8" outlineLevel="2" x14ac:dyDescent="0.25">
      <c r="A2155">
        <v>84989</v>
      </c>
      <c r="B2155" t="s">
        <v>2463</v>
      </c>
      <c r="C2155" t="s">
        <v>2559</v>
      </c>
      <c r="D2155" s="14" t="s">
        <v>2540</v>
      </c>
      <c r="E2155" s="12" t="s">
        <v>28</v>
      </c>
      <c r="F2155" s="13" t="s">
        <v>29</v>
      </c>
      <c r="G2155">
        <v>50</v>
      </c>
      <c r="H2155" t="s">
        <v>2466</v>
      </c>
      <c r="I2155">
        <v>50</v>
      </c>
      <c r="J2155" s="15"/>
      <c r="K2155" s="16">
        <f>12.58 - (12.58 * $E$1)</f>
        <v>12.58</v>
      </c>
      <c r="L2155" s="16">
        <f>10.31 - (10.31 * $E$1)</f>
        <v>10.31</v>
      </c>
      <c r="M2155" s="1">
        <v>12.58</v>
      </c>
      <c r="N2155" s="1">
        <v>10.31</v>
      </c>
      <c r="O2155" s="1">
        <v>10.69</v>
      </c>
      <c r="P2155" s="1">
        <v>8.76</v>
      </c>
      <c r="Q2155">
        <v>2.8E-3</v>
      </c>
      <c r="R2155">
        <v>1.15E-4</v>
      </c>
    </row>
    <row r="2156" spans="1:18" ht="13.8" outlineLevel="2" x14ac:dyDescent="0.25">
      <c r="A2156">
        <v>84990</v>
      </c>
      <c r="B2156" t="s">
        <v>2463</v>
      </c>
      <c r="C2156" t="s">
        <v>2560</v>
      </c>
      <c r="D2156" s="14" t="s">
        <v>2540</v>
      </c>
      <c r="E2156" s="12" t="s">
        <v>28</v>
      </c>
      <c r="F2156" s="13" t="s">
        <v>29</v>
      </c>
      <c r="G2156">
        <v>50</v>
      </c>
      <c r="H2156" t="s">
        <v>2466</v>
      </c>
      <c r="I2156">
        <v>50</v>
      </c>
      <c r="J2156" s="15"/>
      <c r="K2156" s="16">
        <f>12.58 - (12.58 * $E$1)</f>
        <v>12.58</v>
      </c>
      <c r="L2156" s="16">
        <f>10.31 - (10.31 * $E$1)</f>
        <v>10.31</v>
      </c>
      <c r="M2156" s="1">
        <v>12.58</v>
      </c>
      <c r="N2156" s="1">
        <v>10.31</v>
      </c>
      <c r="O2156" s="1">
        <v>10.69</v>
      </c>
      <c r="P2156" s="1">
        <v>8.76</v>
      </c>
      <c r="Q2156">
        <v>2.8E-3</v>
      </c>
      <c r="R2156">
        <v>1.15E-4</v>
      </c>
    </row>
    <row r="2157" spans="1:18" ht="13.8" outlineLevel="2" x14ac:dyDescent="0.25">
      <c r="A2157">
        <v>84991</v>
      </c>
      <c r="B2157" t="s">
        <v>2463</v>
      </c>
      <c r="C2157" t="s">
        <v>2561</v>
      </c>
      <c r="D2157" s="14" t="s">
        <v>2540</v>
      </c>
      <c r="E2157" s="12" t="s">
        <v>28</v>
      </c>
      <c r="F2157" s="13" t="s">
        <v>29</v>
      </c>
      <c r="G2157">
        <v>50</v>
      </c>
      <c r="H2157" t="s">
        <v>2466</v>
      </c>
      <c r="I2157">
        <v>50</v>
      </c>
      <c r="J2157" s="15"/>
      <c r="K2157" s="16">
        <f>12.58 - (12.58 * $E$1)</f>
        <v>12.58</v>
      </c>
      <c r="L2157" s="16">
        <f>10.31 - (10.31 * $E$1)</f>
        <v>10.31</v>
      </c>
      <c r="M2157" s="1">
        <v>12.58</v>
      </c>
      <c r="N2157" s="1">
        <v>10.31</v>
      </c>
      <c r="O2157" s="1">
        <v>10.69</v>
      </c>
      <c r="P2157" s="1">
        <v>8.76</v>
      </c>
      <c r="Q2157">
        <v>2.8E-3</v>
      </c>
      <c r="R2157">
        <v>1.15E-4</v>
      </c>
    </row>
    <row r="2158" spans="1:18" ht="13.8" outlineLevel="2" x14ac:dyDescent="0.25">
      <c r="A2158">
        <v>82967</v>
      </c>
      <c r="B2158" t="s">
        <v>2463</v>
      </c>
      <c r="C2158" t="s">
        <v>2562</v>
      </c>
      <c r="D2158" s="14" t="s">
        <v>2540</v>
      </c>
      <c r="E2158" s="12" t="s">
        <v>28</v>
      </c>
      <c r="F2158" s="13" t="s">
        <v>29</v>
      </c>
      <c r="G2158">
        <v>50</v>
      </c>
      <c r="H2158" t="s">
        <v>2466</v>
      </c>
      <c r="I2158">
        <v>50</v>
      </c>
      <c r="J2158" s="15"/>
      <c r="K2158" s="16">
        <f>15.97 - (15.97 * $E$1)</f>
        <v>15.97</v>
      </c>
      <c r="L2158" s="16">
        <f>13.09 - (13.09 * $E$1)</f>
        <v>13.09</v>
      </c>
      <c r="M2158" s="1">
        <v>15.97</v>
      </c>
      <c r="N2158" s="1">
        <v>13.09</v>
      </c>
      <c r="O2158" s="1">
        <v>13.57</v>
      </c>
      <c r="P2158" s="1">
        <v>11.13</v>
      </c>
      <c r="Q2158">
        <v>6.0000000000000001E-3</v>
      </c>
      <c r="R2158">
        <v>4.7080000000000003E-5</v>
      </c>
    </row>
    <row r="2159" spans="1:18" ht="13.8" outlineLevel="2" x14ac:dyDescent="0.25">
      <c r="A2159">
        <v>82968</v>
      </c>
      <c r="B2159" t="s">
        <v>2463</v>
      </c>
      <c r="C2159" t="s">
        <v>2563</v>
      </c>
      <c r="D2159" s="14" t="s">
        <v>2540</v>
      </c>
      <c r="E2159" s="12" t="s">
        <v>28</v>
      </c>
      <c r="F2159" s="13" t="s">
        <v>29</v>
      </c>
      <c r="G2159">
        <v>50</v>
      </c>
      <c r="H2159" t="s">
        <v>2466</v>
      </c>
      <c r="I2159">
        <v>50</v>
      </c>
      <c r="J2159" s="15"/>
      <c r="K2159" s="16">
        <f>15.97 - (15.97 * $E$1)</f>
        <v>15.97</v>
      </c>
      <c r="L2159" s="16">
        <f>13.09 - (13.09 * $E$1)</f>
        <v>13.09</v>
      </c>
      <c r="M2159" s="1">
        <v>15.97</v>
      </c>
      <c r="N2159" s="1">
        <v>13.09</v>
      </c>
      <c r="O2159" s="1">
        <v>13.57</v>
      </c>
      <c r="P2159" s="1">
        <v>11.13</v>
      </c>
      <c r="Q2159">
        <v>4.5999999999999999E-3</v>
      </c>
      <c r="R2159">
        <v>5.1499999999999998E-5</v>
      </c>
    </row>
    <row r="2160" spans="1:18" ht="13.8" outlineLevel="2" x14ac:dyDescent="0.25">
      <c r="A2160">
        <v>82969</v>
      </c>
      <c r="B2160" t="s">
        <v>2463</v>
      </c>
      <c r="C2160" t="s">
        <v>2564</v>
      </c>
      <c r="D2160" s="14" t="s">
        <v>2540</v>
      </c>
      <c r="E2160" s="12" t="s">
        <v>28</v>
      </c>
      <c r="F2160" s="13" t="s">
        <v>29</v>
      </c>
      <c r="G2160">
        <v>50</v>
      </c>
      <c r="H2160" t="s">
        <v>2466</v>
      </c>
      <c r="I2160">
        <v>50</v>
      </c>
      <c r="J2160" s="15"/>
      <c r="K2160" s="16">
        <f>15.97 - (15.97 * $E$1)</f>
        <v>15.97</v>
      </c>
      <c r="L2160" s="16">
        <f>13.09 - (13.09 * $E$1)</f>
        <v>13.09</v>
      </c>
      <c r="M2160" s="1">
        <v>15.97</v>
      </c>
      <c r="N2160" s="1">
        <v>13.09</v>
      </c>
      <c r="O2160" s="1">
        <v>13.57</v>
      </c>
      <c r="P2160" s="1">
        <v>11.13</v>
      </c>
      <c r="Q2160">
        <v>4.7999999999999996E-3</v>
      </c>
      <c r="R2160">
        <v>5.1499999999999998E-5</v>
      </c>
    </row>
    <row r="2161" spans="1:18" ht="13.8" outlineLevel="2" x14ac:dyDescent="0.25">
      <c r="A2161">
        <v>82970</v>
      </c>
      <c r="B2161" t="s">
        <v>2463</v>
      </c>
      <c r="C2161" t="s">
        <v>2565</v>
      </c>
      <c r="D2161" s="14" t="s">
        <v>2540</v>
      </c>
      <c r="E2161" s="12" t="s">
        <v>28</v>
      </c>
      <c r="F2161" s="13" t="s">
        <v>29</v>
      </c>
      <c r="G2161">
        <v>50</v>
      </c>
      <c r="H2161" t="s">
        <v>2466</v>
      </c>
      <c r="I2161">
        <v>50</v>
      </c>
      <c r="J2161" s="15"/>
      <c r="K2161" s="16">
        <f>15.97 - (15.97 * $E$1)</f>
        <v>15.97</v>
      </c>
      <c r="L2161" s="16">
        <f>13.09 - (13.09 * $E$1)</f>
        <v>13.09</v>
      </c>
      <c r="M2161" s="1">
        <v>15.97</v>
      </c>
      <c r="N2161" s="1">
        <v>13.09</v>
      </c>
      <c r="O2161" s="1">
        <v>13.57</v>
      </c>
      <c r="P2161" s="1">
        <v>11.13</v>
      </c>
      <c r="Q2161">
        <v>4.3600000000000002E-3</v>
      </c>
      <c r="R2161">
        <v>2.3099999999999999E-5</v>
      </c>
    </row>
    <row r="2162" spans="1:18" ht="13.8" outlineLevel="2" x14ac:dyDescent="0.25">
      <c r="A2162">
        <v>82960</v>
      </c>
      <c r="B2162" t="s">
        <v>2463</v>
      </c>
      <c r="C2162" t="s">
        <v>2566</v>
      </c>
      <c r="D2162" s="14" t="s">
        <v>2540</v>
      </c>
      <c r="E2162" s="12" t="s">
        <v>28</v>
      </c>
      <c r="F2162" s="13" t="s">
        <v>29</v>
      </c>
      <c r="G2162">
        <v>50</v>
      </c>
      <c r="H2162" t="s">
        <v>2466</v>
      </c>
      <c r="I2162">
        <v>50</v>
      </c>
      <c r="J2162" s="15"/>
      <c r="K2162" s="16">
        <f>15.97 - (15.97 * $E$1)</f>
        <v>15.97</v>
      </c>
      <c r="L2162" s="16">
        <f>13.09 - (13.09 * $E$1)</f>
        <v>13.09</v>
      </c>
      <c r="M2162" s="1">
        <v>15.97</v>
      </c>
      <c r="N2162" s="1">
        <v>13.09</v>
      </c>
      <c r="O2162" s="1">
        <v>13.57</v>
      </c>
      <c r="P2162" s="1">
        <v>11.13</v>
      </c>
      <c r="Q2162">
        <v>4.3600000000000002E-3</v>
      </c>
      <c r="R2162">
        <v>2.3099999999999999E-5</v>
      </c>
    </row>
    <row r="2163" spans="1:18" ht="13.8" outlineLevel="2" x14ac:dyDescent="0.25">
      <c r="A2163">
        <v>82971</v>
      </c>
      <c r="B2163" t="s">
        <v>2463</v>
      </c>
      <c r="C2163" t="s">
        <v>2567</v>
      </c>
      <c r="D2163" s="14" t="s">
        <v>2540</v>
      </c>
      <c r="E2163" s="12" t="s">
        <v>28</v>
      </c>
      <c r="F2163" s="13" t="s">
        <v>29</v>
      </c>
      <c r="G2163">
        <v>20</v>
      </c>
      <c r="H2163" t="s">
        <v>2466</v>
      </c>
      <c r="I2163">
        <v>20</v>
      </c>
      <c r="J2163" s="15"/>
      <c r="K2163" s="16">
        <f>20.44 - (20.44 * $E$1)</f>
        <v>20.440000000000001</v>
      </c>
      <c r="L2163" s="16">
        <f>16.75 - (16.75 * $E$1)</f>
        <v>16.75</v>
      </c>
      <c r="M2163" s="1">
        <v>20.440000000000001</v>
      </c>
      <c r="N2163" s="1">
        <v>16.75</v>
      </c>
      <c r="O2163" s="1">
        <v>17.37</v>
      </c>
      <c r="P2163" s="1">
        <v>14.24</v>
      </c>
      <c r="Q2163">
        <v>7.4999999999999997E-3</v>
      </c>
      <c r="R2163">
        <v>5.7750000000000001E-5</v>
      </c>
    </row>
    <row r="2164" spans="1:18" ht="13.8" outlineLevel="2" x14ac:dyDescent="0.25">
      <c r="A2164">
        <v>82972</v>
      </c>
      <c r="B2164" t="s">
        <v>2463</v>
      </c>
      <c r="C2164" t="s">
        <v>2568</v>
      </c>
      <c r="D2164" s="14" t="s">
        <v>2540</v>
      </c>
      <c r="E2164" s="12" t="s">
        <v>28</v>
      </c>
      <c r="F2164" s="13" t="s">
        <v>29</v>
      </c>
      <c r="G2164">
        <v>20</v>
      </c>
      <c r="H2164" t="s">
        <v>2466</v>
      </c>
      <c r="I2164">
        <v>20</v>
      </c>
      <c r="J2164" s="15"/>
      <c r="K2164" s="16">
        <f>20.44 - (20.44 * $E$1)</f>
        <v>20.440000000000001</v>
      </c>
      <c r="L2164" s="16">
        <f>16.75 - (16.75 * $E$1)</f>
        <v>16.75</v>
      </c>
      <c r="M2164" s="1">
        <v>20.440000000000001</v>
      </c>
      <c r="N2164" s="1">
        <v>16.75</v>
      </c>
      <c r="O2164" s="1">
        <v>17.37</v>
      </c>
      <c r="P2164" s="1">
        <v>14.24</v>
      </c>
      <c r="Q2164">
        <v>7.4999999999999997E-3</v>
      </c>
      <c r="R2164">
        <v>5.7750000000000001E-5</v>
      </c>
    </row>
    <row r="2165" spans="1:18" ht="13.8" outlineLevel="2" x14ac:dyDescent="0.25">
      <c r="A2165">
        <v>82973</v>
      </c>
      <c r="B2165" t="s">
        <v>2463</v>
      </c>
      <c r="C2165" t="s">
        <v>2569</v>
      </c>
      <c r="D2165" s="14" t="s">
        <v>2540</v>
      </c>
      <c r="E2165" s="12" t="s">
        <v>28</v>
      </c>
      <c r="F2165" s="13" t="s">
        <v>29</v>
      </c>
      <c r="G2165">
        <v>20</v>
      </c>
      <c r="H2165" t="s">
        <v>2466</v>
      </c>
      <c r="I2165">
        <v>20</v>
      </c>
      <c r="J2165" s="15"/>
      <c r="K2165" s="16">
        <f>20.44 - (20.44 * $E$1)</f>
        <v>20.440000000000001</v>
      </c>
      <c r="L2165" s="16">
        <f>16.75 - (16.75 * $E$1)</f>
        <v>16.75</v>
      </c>
      <c r="M2165" s="1">
        <v>20.440000000000001</v>
      </c>
      <c r="N2165" s="1">
        <v>16.75</v>
      </c>
      <c r="O2165" s="1">
        <v>17.37</v>
      </c>
      <c r="P2165" s="1">
        <v>14.24</v>
      </c>
      <c r="Q2165">
        <v>7.4999999999999997E-3</v>
      </c>
      <c r="R2165">
        <v>5.7750000000000001E-5</v>
      </c>
    </row>
    <row r="2166" spans="1:18" ht="13.8" outlineLevel="2" x14ac:dyDescent="0.25">
      <c r="A2166">
        <v>82974</v>
      </c>
      <c r="B2166" t="s">
        <v>2463</v>
      </c>
      <c r="C2166" t="s">
        <v>2570</v>
      </c>
      <c r="D2166" s="14" t="s">
        <v>2540</v>
      </c>
      <c r="E2166" s="12" t="s">
        <v>28</v>
      </c>
      <c r="F2166" s="13" t="s">
        <v>29</v>
      </c>
      <c r="G2166">
        <v>20</v>
      </c>
      <c r="H2166" t="s">
        <v>2466</v>
      </c>
      <c r="I2166">
        <v>20</v>
      </c>
      <c r="J2166" s="15"/>
      <c r="K2166" s="16">
        <f>20.44 - (20.44 * $E$1)</f>
        <v>20.440000000000001</v>
      </c>
      <c r="L2166" s="16">
        <f>16.75 - (16.75 * $E$1)</f>
        <v>16.75</v>
      </c>
      <c r="M2166" s="1">
        <v>20.440000000000001</v>
      </c>
      <c r="N2166" s="1">
        <v>16.75</v>
      </c>
      <c r="O2166" s="1">
        <v>17.37</v>
      </c>
      <c r="P2166" s="1">
        <v>14.24</v>
      </c>
      <c r="Q2166">
        <v>7.6E-3</v>
      </c>
      <c r="R2166">
        <v>5.7750000000000001E-5</v>
      </c>
    </row>
    <row r="2167" spans="1:18" ht="13.8" outlineLevel="2" x14ac:dyDescent="0.25">
      <c r="A2167">
        <v>82961</v>
      </c>
      <c r="B2167" t="s">
        <v>2463</v>
      </c>
      <c r="C2167" t="s">
        <v>2571</v>
      </c>
      <c r="D2167" s="14" t="s">
        <v>2540</v>
      </c>
      <c r="E2167" s="12" t="s">
        <v>28</v>
      </c>
      <c r="F2167" s="13" t="s">
        <v>29</v>
      </c>
      <c r="G2167">
        <v>20</v>
      </c>
      <c r="H2167" t="s">
        <v>2466</v>
      </c>
      <c r="I2167">
        <v>20</v>
      </c>
      <c r="J2167" s="15"/>
      <c r="K2167" s="16">
        <f>20.44 - (20.44 * $E$1)</f>
        <v>20.440000000000001</v>
      </c>
      <c r="L2167" s="16">
        <f>16.75 - (16.75 * $E$1)</f>
        <v>16.75</v>
      </c>
      <c r="M2167" s="1">
        <v>20.440000000000001</v>
      </c>
      <c r="N2167" s="1">
        <v>16.75</v>
      </c>
      <c r="O2167" s="1">
        <v>17.37</v>
      </c>
      <c r="P2167" s="1">
        <v>14.24</v>
      </c>
      <c r="Q2167">
        <v>6.4999999999999997E-3</v>
      </c>
      <c r="R2167">
        <v>5.7750000000000001E-5</v>
      </c>
    </row>
    <row r="2168" spans="1:18" ht="13.8" outlineLevel="2" x14ac:dyDescent="0.25">
      <c r="A2168">
        <v>82975</v>
      </c>
      <c r="B2168" t="s">
        <v>2463</v>
      </c>
      <c r="C2168" t="s">
        <v>2572</v>
      </c>
      <c r="D2168" s="14" t="s">
        <v>2540</v>
      </c>
      <c r="E2168" s="12" t="s">
        <v>28</v>
      </c>
      <c r="F2168" s="13" t="s">
        <v>29</v>
      </c>
      <c r="G2168">
        <v>20</v>
      </c>
      <c r="H2168" t="s">
        <v>2466</v>
      </c>
      <c r="I2168">
        <v>20</v>
      </c>
      <c r="J2168" s="15"/>
      <c r="K2168" s="16">
        <f>32.95 - (32.95 * $E$1)</f>
        <v>32.950000000000003</v>
      </c>
      <c r="L2168" s="16">
        <f>27.01 - (27.01 * $E$1)</f>
        <v>27.01</v>
      </c>
      <c r="M2168" s="1">
        <v>32.950000000000003</v>
      </c>
      <c r="N2168" s="1">
        <v>27.01</v>
      </c>
      <c r="O2168" s="1">
        <v>28.01</v>
      </c>
      <c r="P2168" s="1">
        <v>22.96</v>
      </c>
      <c r="Q2168">
        <v>1.15E-2</v>
      </c>
      <c r="R2168">
        <v>5.3499999999999999E-5</v>
      </c>
    </row>
    <row r="2169" spans="1:18" ht="13.8" outlineLevel="2" x14ac:dyDescent="0.25">
      <c r="A2169">
        <v>82976</v>
      </c>
      <c r="B2169" t="s">
        <v>2463</v>
      </c>
      <c r="C2169" t="s">
        <v>2573</v>
      </c>
      <c r="D2169" s="14" t="s">
        <v>2540</v>
      </c>
      <c r="E2169" s="12" t="s">
        <v>28</v>
      </c>
      <c r="F2169" s="13" t="s">
        <v>29</v>
      </c>
      <c r="G2169">
        <v>20</v>
      </c>
      <c r="H2169" t="s">
        <v>2466</v>
      </c>
      <c r="I2169">
        <v>20</v>
      </c>
      <c r="J2169" s="15"/>
      <c r="K2169" s="16">
        <f>32.95 - (32.95 * $E$1)</f>
        <v>32.950000000000003</v>
      </c>
      <c r="L2169" s="16">
        <f>27.01 - (27.01 * $E$1)</f>
        <v>27.01</v>
      </c>
      <c r="M2169" s="1">
        <v>32.950000000000003</v>
      </c>
      <c r="N2169" s="1">
        <v>27.01</v>
      </c>
      <c r="O2169" s="1">
        <v>28.01</v>
      </c>
      <c r="P2169" s="1">
        <v>22.96</v>
      </c>
      <c r="Q2169">
        <v>1.15E-2</v>
      </c>
      <c r="R2169">
        <v>5.3499999999999999E-5</v>
      </c>
    </row>
    <row r="2170" spans="1:18" ht="13.8" outlineLevel="2" x14ac:dyDescent="0.25">
      <c r="A2170">
        <v>82977</v>
      </c>
      <c r="B2170" t="s">
        <v>2463</v>
      </c>
      <c r="C2170" t="s">
        <v>2574</v>
      </c>
      <c r="D2170" s="14" t="s">
        <v>2540</v>
      </c>
      <c r="E2170" s="12" t="s">
        <v>28</v>
      </c>
      <c r="F2170" s="13" t="s">
        <v>29</v>
      </c>
      <c r="G2170">
        <v>20</v>
      </c>
      <c r="H2170" t="s">
        <v>2466</v>
      </c>
      <c r="I2170">
        <v>20</v>
      </c>
      <c r="J2170" s="15"/>
      <c r="K2170" s="16">
        <f>32.95 - (32.95 * $E$1)</f>
        <v>32.950000000000003</v>
      </c>
      <c r="L2170" s="16">
        <f>27.01 - (27.01 * $E$1)</f>
        <v>27.01</v>
      </c>
      <c r="M2170" s="1">
        <v>32.950000000000003</v>
      </c>
      <c r="N2170" s="1">
        <v>27.01</v>
      </c>
      <c r="O2170" s="1">
        <v>28.01</v>
      </c>
      <c r="P2170" s="1">
        <v>22.96</v>
      </c>
      <c r="Q2170">
        <v>1.15E-2</v>
      </c>
      <c r="R2170">
        <v>5.3499999999999999E-5</v>
      </c>
    </row>
    <row r="2171" spans="1:18" ht="13.8" outlineLevel="2" x14ac:dyDescent="0.25">
      <c r="A2171">
        <v>82978</v>
      </c>
      <c r="B2171" t="s">
        <v>2463</v>
      </c>
      <c r="C2171" t="s">
        <v>2575</v>
      </c>
      <c r="D2171" s="14" t="s">
        <v>2540</v>
      </c>
      <c r="E2171" s="12" t="s">
        <v>28</v>
      </c>
      <c r="F2171" s="13" t="s">
        <v>29</v>
      </c>
      <c r="G2171">
        <v>20</v>
      </c>
      <c r="H2171" t="s">
        <v>2466</v>
      </c>
      <c r="I2171">
        <v>20</v>
      </c>
      <c r="J2171" s="15"/>
      <c r="K2171" s="16">
        <f>32.95 - (32.95 * $E$1)</f>
        <v>32.950000000000003</v>
      </c>
      <c r="L2171" s="16">
        <f>27.01 - (27.01 * $E$1)</f>
        <v>27.01</v>
      </c>
      <c r="M2171" s="1">
        <v>32.950000000000003</v>
      </c>
      <c r="N2171" s="1">
        <v>27.01</v>
      </c>
      <c r="O2171" s="1">
        <v>28.01</v>
      </c>
      <c r="P2171" s="1">
        <v>22.96</v>
      </c>
      <c r="Q2171">
        <v>1.15E-2</v>
      </c>
      <c r="R2171">
        <v>5.3499999999999999E-5</v>
      </c>
    </row>
    <row r="2172" spans="1:18" ht="13.8" outlineLevel="2" x14ac:dyDescent="0.25">
      <c r="A2172">
        <v>82962</v>
      </c>
      <c r="B2172" t="s">
        <v>2463</v>
      </c>
      <c r="C2172" t="s">
        <v>2576</v>
      </c>
      <c r="D2172" s="14" t="s">
        <v>2540</v>
      </c>
      <c r="E2172" s="12" t="s">
        <v>28</v>
      </c>
      <c r="F2172" s="13" t="s">
        <v>29</v>
      </c>
      <c r="G2172">
        <v>20</v>
      </c>
      <c r="H2172" t="s">
        <v>2466</v>
      </c>
      <c r="I2172">
        <v>20</v>
      </c>
      <c r="J2172" s="15"/>
      <c r="K2172" s="16">
        <f>32.95 - (32.95 * $E$1)</f>
        <v>32.950000000000003</v>
      </c>
      <c r="L2172" s="16">
        <f>27.01 - (27.01 * $E$1)</f>
        <v>27.01</v>
      </c>
      <c r="M2172" s="1">
        <v>32.950000000000003</v>
      </c>
      <c r="N2172" s="1">
        <v>27.01</v>
      </c>
      <c r="O2172" s="1">
        <v>28.01</v>
      </c>
      <c r="P2172" s="1">
        <v>22.96</v>
      </c>
      <c r="Q2172">
        <v>8.3999999999999995E-3</v>
      </c>
      <c r="R2172">
        <v>5.7750000000000001E-5</v>
      </c>
    </row>
    <row r="2173" spans="1:18" ht="13.8" outlineLevel="2" x14ac:dyDescent="0.25">
      <c r="A2173">
        <v>82979</v>
      </c>
      <c r="B2173" t="s">
        <v>2463</v>
      </c>
      <c r="C2173" t="s">
        <v>2577</v>
      </c>
      <c r="D2173" s="14" t="s">
        <v>2540</v>
      </c>
      <c r="E2173" s="12" t="s">
        <v>28</v>
      </c>
      <c r="F2173" s="13" t="s">
        <v>29</v>
      </c>
      <c r="G2173">
        <v>20</v>
      </c>
      <c r="H2173" t="s">
        <v>2466</v>
      </c>
      <c r="I2173">
        <v>20</v>
      </c>
      <c r="J2173" s="15"/>
      <c r="K2173" s="16">
        <f>37.82 - (37.82 * $E$1)</f>
        <v>37.82</v>
      </c>
      <c r="L2173" s="16">
        <f>31 - (31 * $E$1)</f>
        <v>31</v>
      </c>
      <c r="M2173" s="1">
        <v>37.82</v>
      </c>
      <c r="N2173" s="1">
        <v>31</v>
      </c>
      <c r="O2173" s="1">
        <v>32.15</v>
      </c>
      <c r="P2173" s="1">
        <v>26.35</v>
      </c>
      <c r="Q2173">
        <v>1.2500000000000001E-2</v>
      </c>
      <c r="R2173">
        <v>5.3499999999999999E-5</v>
      </c>
    </row>
    <row r="2174" spans="1:18" ht="13.8" outlineLevel="2" x14ac:dyDescent="0.25">
      <c r="A2174">
        <v>82980</v>
      </c>
      <c r="B2174" t="s">
        <v>2463</v>
      </c>
      <c r="C2174" t="s">
        <v>2578</v>
      </c>
      <c r="D2174" s="14" t="s">
        <v>2540</v>
      </c>
      <c r="E2174" s="12" t="s">
        <v>28</v>
      </c>
      <c r="F2174" s="13" t="s">
        <v>29</v>
      </c>
      <c r="G2174">
        <v>20</v>
      </c>
      <c r="H2174" t="s">
        <v>2466</v>
      </c>
      <c r="I2174">
        <v>20</v>
      </c>
      <c r="J2174" s="15"/>
      <c r="K2174" s="16">
        <f>37.82 - (37.82 * $E$1)</f>
        <v>37.82</v>
      </c>
      <c r="L2174" s="16">
        <f>31 - (31 * $E$1)</f>
        <v>31</v>
      </c>
      <c r="M2174" s="1">
        <v>37.82</v>
      </c>
      <c r="N2174" s="1">
        <v>31</v>
      </c>
      <c r="O2174" s="1">
        <v>32.15</v>
      </c>
      <c r="P2174" s="1">
        <v>26.35</v>
      </c>
      <c r="Q2174">
        <v>1.2500000000000001E-2</v>
      </c>
      <c r="R2174">
        <v>5.3499999999999999E-5</v>
      </c>
    </row>
    <row r="2175" spans="1:18" ht="13.8" outlineLevel="2" x14ac:dyDescent="0.25">
      <c r="A2175">
        <v>82981</v>
      </c>
      <c r="B2175" t="s">
        <v>2463</v>
      </c>
      <c r="C2175" t="s">
        <v>2579</v>
      </c>
      <c r="D2175" s="14" t="s">
        <v>2540</v>
      </c>
      <c r="E2175" s="12" t="s">
        <v>28</v>
      </c>
      <c r="F2175" s="13" t="s">
        <v>29</v>
      </c>
      <c r="G2175">
        <v>20</v>
      </c>
      <c r="H2175" t="s">
        <v>2466</v>
      </c>
      <c r="I2175">
        <v>20</v>
      </c>
      <c r="J2175" s="15"/>
      <c r="K2175" s="16">
        <f>37.82 - (37.82 * $E$1)</f>
        <v>37.82</v>
      </c>
      <c r="L2175" s="16">
        <f>31 - (31 * $E$1)</f>
        <v>31</v>
      </c>
      <c r="M2175" s="1">
        <v>37.82</v>
      </c>
      <c r="N2175" s="1">
        <v>31</v>
      </c>
      <c r="O2175" s="1">
        <v>32.15</v>
      </c>
      <c r="P2175" s="1">
        <v>26.35</v>
      </c>
      <c r="Q2175">
        <v>1.2500000000000001E-2</v>
      </c>
      <c r="R2175">
        <v>5.3499999999999999E-5</v>
      </c>
    </row>
    <row r="2176" spans="1:18" ht="13.8" outlineLevel="2" x14ac:dyDescent="0.25">
      <c r="A2176">
        <v>82982</v>
      </c>
      <c r="B2176" t="s">
        <v>2463</v>
      </c>
      <c r="C2176" t="s">
        <v>2580</v>
      </c>
      <c r="D2176" s="14" t="s">
        <v>2540</v>
      </c>
      <c r="E2176" s="12" t="s">
        <v>28</v>
      </c>
      <c r="F2176" s="13" t="s">
        <v>29</v>
      </c>
      <c r="G2176">
        <v>20</v>
      </c>
      <c r="H2176" t="s">
        <v>2466</v>
      </c>
      <c r="I2176">
        <v>20</v>
      </c>
      <c r="J2176" s="15"/>
      <c r="K2176" s="16">
        <f>37.82 - (37.82 * $E$1)</f>
        <v>37.82</v>
      </c>
      <c r="L2176" s="16">
        <f>31 - (31 * $E$1)</f>
        <v>31</v>
      </c>
      <c r="M2176" s="1">
        <v>37.82</v>
      </c>
      <c r="N2176" s="1">
        <v>31</v>
      </c>
      <c r="O2176" s="1">
        <v>32.15</v>
      </c>
      <c r="P2176" s="1">
        <v>26.35</v>
      </c>
      <c r="Q2176">
        <v>1.2500000000000001E-2</v>
      </c>
      <c r="R2176">
        <v>5.3499999999999999E-5</v>
      </c>
    </row>
    <row r="2177" spans="1:18" ht="13.8" outlineLevel="2" x14ac:dyDescent="0.25">
      <c r="A2177">
        <v>82963</v>
      </c>
      <c r="B2177" t="s">
        <v>2463</v>
      </c>
      <c r="C2177" t="s">
        <v>2581</v>
      </c>
      <c r="D2177" s="14" t="s">
        <v>2540</v>
      </c>
      <c r="E2177" s="12" t="s">
        <v>28</v>
      </c>
      <c r="F2177" s="13" t="s">
        <v>29</v>
      </c>
      <c r="G2177">
        <v>20</v>
      </c>
      <c r="H2177" t="s">
        <v>2466</v>
      </c>
      <c r="I2177">
        <v>20</v>
      </c>
      <c r="J2177" s="15"/>
      <c r="K2177" s="16">
        <f>37.82 - (37.82 * $E$1)</f>
        <v>37.82</v>
      </c>
      <c r="L2177" s="16">
        <f>31 - (31 * $E$1)</f>
        <v>31</v>
      </c>
      <c r="M2177" s="1">
        <v>37.82</v>
      </c>
      <c r="N2177" s="1">
        <v>31</v>
      </c>
      <c r="O2177" s="1">
        <v>32.15</v>
      </c>
      <c r="P2177" s="1">
        <v>26.35</v>
      </c>
      <c r="Q2177">
        <v>9.7999999999999997E-3</v>
      </c>
      <c r="R2177">
        <v>5.7750000000000001E-5</v>
      </c>
    </row>
    <row r="2178" spans="1:18" ht="13.8" outlineLevel="2" x14ac:dyDescent="0.25">
      <c r="A2178">
        <v>82983</v>
      </c>
      <c r="B2178" t="s">
        <v>2463</v>
      </c>
      <c r="C2178" t="s">
        <v>2582</v>
      </c>
      <c r="D2178" s="14" t="s">
        <v>2540</v>
      </c>
      <c r="E2178" s="12" t="s">
        <v>28</v>
      </c>
      <c r="F2178" s="13" t="s">
        <v>29</v>
      </c>
      <c r="G2178">
        <v>20</v>
      </c>
      <c r="H2178" t="s">
        <v>2466</v>
      </c>
      <c r="I2178">
        <v>20</v>
      </c>
      <c r="J2178" s="15"/>
      <c r="K2178" s="16">
        <f>40.1 - (40.1 * $E$1)</f>
        <v>40.1</v>
      </c>
      <c r="L2178" s="16">
        <f>32.87 - (32.87 * $E$1)</f>
        <v>32.869999999999997</v>
      </c>
      <c r="M2178" s="1">
        <v>40.1</v>
      </c>
      <c r="N2178" s="1">
        <v>32.869999999999997</v>
      </c>
      <c r="O2178" s="1">
        <v>34.090000000000003</v>
      </c>
      <c r="P2178" s="1">
        <v>27.94</v>
      </c>
      <c r="Q2178">
        <v>1.4999999999999999E-2</v>
      </c>
      <c r="R2178">
        <v>6.4200000000000002E-5</v>
      </c>
    </row>
    <row r="2179" spans="1:18" ht="13.8" outlineLevel="2" x14ac:dyDescent="0.25">
      <c r="A2179">
        <v>82984</v>
      </c>
      <c r="B2179" t="s">
        <v>2463</v>
      </c>
      <c r="C2179" t="s">
        <v>2583</v>
      </c>
      <c r="D2179" s="14" t="s">
        <v>2540</v>
      </c>
      <c r="E2179" s="12" t="s">
        <v>28</v>
      </c>
      <c r="F2179" s="13" t="s">
        <v>29</v>
      </c>
      <c r="G2179">
        <v>20</v>
      </c>
      <c r="H2179" t="s">
        <v>2466</v>
      </c>
      <c r="I2179">
        <v>20</v>
      </c>
      <c r="J2179" s="15"/>
      <c r="K2179" s="16">
        <f>40.1 - (40.1 * $E$1)</f>
        <v>40.1</v>
      </c>
      <c r="L2179" s="16">
        <f>32.87 - (32.87 * $E$1)</f>
        <v>32.869999999999997</v>
      </c>
      <c r="M2179" s="1">
        <v>40.1</v>
      </c>
      <c r="N2179" s="1">
        <v>32.869999999999997</v>
      </c>
      <c r="O2179" s="1">
        <v>34.090000000000003</v>
      </c>
      <c r="P2179" s="1">
        <v>27.94</v>
      </c>
      <c r="Q2179">
        <v>1.4999999999999999E-2</v>
      </c>
      <c r="R2179">
        <v>6.4200000000000002E-5</v>
      </c>
    </row>
    <row r="2180" spans="1:18" ht="13.8" outlineLevel="2" x14ac:dyDescent="0.25">
      <c r="A2180">
        <v>82985</v>
      </c>
      <c r="B2180" t="s">
        <v>2463</v>
      </c>
      <c r="C2180" t="s">
        <v>2584</v>
      </c>
      <c r="D2180" s="14" t="s">
        <v>2540</v>
      </c>
      <c r="E2180" s="12" t="s">
        <v>28</v>
      </c>
      <c r="F2180" s="13" t="s">
        <v>29</v>
      </c>
      <c r="G2180">
        <v>20</v>
      </c>
      <c r="H2180" t="s">
        <v>2466</v>
      </c>
      <c r="I2180">
        <v>20</v>
      </c>
      <c r="J2180" s="15"/>
      <c r="K2180" s="16">
        <f>40.1 - (40.1 * $E$1)</f>
        <v>40.1</v>
      </c>
      <c r="L2180" s="16">
        <f>32.87 - (32.87 * $E$1)</f>
        <v>32.869999999999997</v>
      </c>
      <c r="M2180" s="1">
        <v>40.1</v>
      </c>
      <c r="N2180" s="1">
        <v>32.869999999999997</v>
      </c>
      <c r="O2180" s="1">
        <v>34.090000000000003</v>
      </c>
      <c r="P2180" s="1">
        <v>27.94</v>
      </c>
      <c r="Q2180">
        <v>1.4999999999999999E-2</v>
      </c>
      <c r="R2180">
        <v>6.4200000000000002E-5</v>
      </c>
    </row>
    <row r="2181" spans="1:18" ht="13.8" outlineLevel="2" x14ac:dyDescent="0.25">
      <c r="A2181">
        <v>82986</v>
      </c>
      <c r="B2181" t="s">
        <v>2463</v>
      </c>
      <c r="C2181" t="s">
        <v>2585</v>
      </c>
      <c r="D2181" s="14" t="s">
        <v>2540</v>
      </c>
      <c r="E2181" s="12" t="s">
        <v>28</v>
      </c>
      <c r="F2181" s="13" t="s">
        <v>29</v>
      </c>
      <c r="G2181">
        <v>20</v>
      </c>
      <c r="H2181" t="s">
        <v>2466</v>
      </c>
      <c r="I2181">
        <v>20</v>
      </c>
      <c r="J2181" s="15"/>
      <c r="K2181" s="16">
        <f>40.1 - (40.1 * $E$1)</f>
        <v>40.1</v>
      </c>
      <c r="L2181" s="16">
        <f>32.87 - (32.87 * $E$1)</f>
        <v>32.869999999999997</v>
      </c>
      <c r="M2181" s="1">
        <v>40.1</v>
      </c>
      <c r="N2181" s="1">
        <v>32.869999999999997</v>
      </c>
      <c r="O2181" s="1">
        <v>34.090000000000003</v>
      </c>
      <c r="P2181" s="1">
        <v>27.94</v>
      </c>
      <c r="Q2181">
        <v>1.4999999999999999E-2</v>
      </c>
      <c r="R2181">
        <v>6.4200000000000002E-5</v>
      </c>
    </row>
    <row r="2182" spans="1:18" ht="13.8" outlineLevel="2" x14ac:dyDescent="0.25">
      <c r="A2182">
        <v>82964</v>
      </c>
      <c r="B2182" t="s">
        <v>2463</v>
      </c>
      <c r="C2182" t="s">
        <v>2586</v>
      </c>
      <c r="D2182" s="14" t="s">
        <v>2540</v>
      </c>
      <c r="E2182" s="12" t="s">
        <v>28</v>
      </c>
      <c r="F2182" s="13" t="s">
        <v>29</v>
      </c>
      <c r="G2182">
        <v>20</v>
      </c>
      <c r="H2182" t="s">
        <v>2466</v>
      </c>
      <c r="I2182">
        <v>20</v>
      </c>
      <c r="J2182" s="15"/>
      <c r="K2182" s="16">
        <f>40.1 - (40.1 * $E$1)</f>
        <v>40.1</v>
      </c>
      <c r="L2182" s="16">
        <f>32.87 - (32.87 * $E$1)</f>
        <v>32.869999999999997</v>
      </c>
      <c r="M2182" s="1">
        <v>40.1</v>
      </c>
      <c r="N2182" s="1">
        <v>32.869999999999997</v>
      </c>
      <c r="O2182" s="1">
        <v>34.090000000000003</v>
      </c>
      <c r="P2182" s="1">
        <v>27.94</v>
      </c>
      <c r="Q2182">
        <v>1.21E-2</v>
      </c>
      <c r="R2182">
        <v>5.7750000000000001E-5</v>
      </c>
    </row>
    <row r="2183" spans="1:18" ht="13.8" outlineLevel="2" x14ac:dyDescent="0.25">
      <c r="A2183">
        <v>82987</v>
      </c>
      <c r="B2183" t="s">
        <v>2463</v>
      </c>
      <c r="C2183" t="s">
        <v>2587</v>
      </c>
      <c r="D2183" s="14" t="s">
        <v>2540</v>
      </c>
      <c r="E2183" s="12" t="s">
        <v>28</v>
      </c>
      <c r="F2183" s="13" t="s">
        <v>29</v>
      </c>
      <c r="G2183">
        <v>10</v>
      </c>
      <c r="H2183" t="s">
        <v>2466</v>
      </c>
      <c r="I2183">
        <v>10</v>
      </c>
      <c r="J2183" s="15"/>
      <c r="K2183" s="16">
        <f>64.25 - (64.25 * $E$1)</f>
        <v>64.25</v>
      </c>
      <c r="L2183" s="16">
        <f>52.66 - (52.66 * $E$1)</f>
        <v>52.66</v>
      </c>
      <c r="M2183" s="1">
        <v>64.25</v>
      </c>
      <c r="N2183" s="1">
        <v>52.66</v>
      </c>
      <c r="O2183" s="1">
        <v>54.61</v>
      </c>
      <c r="P2183" s="1">
        <v>44.76</v>
      </c>
      <c r="Q2183">
        <v>2.5000000000000001E-2</v>
      </c>
      <c r="R2183">
        <v>9.4199999999999999E-5</v>
      </c>
    </row>
    <row r="2184" spans="1:18" ht="13.8" outlineLevel="2" x14ac:dyDescent="0.25">
      <c r="A2184">
        <v>82988</v>
      </c>
      <c r="B2184" t="s">
        <v>2463</v>
      </c>
      <c r="C2184" t="s">
        <v>2588</v>
      </c>
      <c r="D2184" s="14" t="s">
        <v>2540</v>
      </c>
      <c r="E2184" s="12" t="s">
        <v>28</v>
      </c>
      <c r="F2184" s="13" t="s">
        <v>29</v>
      </c>
      <c r="G2184">
        <v>10</v>
      </c>
      <c r="H2184" t="s">
        <v>2466</v>
      </c>
      <c r="I2184">
        <v>10</v>
      </c>
      <c r="J2184" s="15"/>
      <c r="K2184" s="16">
        <f>64.25 - (64.25 * $E$1)</f>
        <v>64.25</v>
      </c>
      <c r="L2184" s="16">
        <f>52.66 - (52.66 * $E$1)</f>
        <v>52.66</v>
      </c>
      <c r="M2184" s="1">
        <v>64.25</v>
      </c>
      <c r="N2184" s="1">
        <v>52.66</v>
      </c>
      <c r="O2184" s="1">
        <v>54.61</v>
      </c>
      <c r="P2184" s="1">
        <v>44.76</v>
      </c>
      <c r="Q2184">
        <v>2.5000000000000001E-2</v>
      </c>
      <c r="R2184">
        <v>9.4199999999999999E-5</v>
      </c>
    </row>
    <row r="2185" spans="1:18" ht="13.8" outlineLevel="2" x14ac:dyDescent="0.25">
      <c r="A2185">
        <v>82989</v>
      </c>
      <c r="B2185" t="s">
        <v>2463</v>
      </c>
      <c r="C2185" t="s">
        <v>2589</v>
      </c>
      <c r="D2185" s="14" t="s">
        <v>2540</v>
      </c>
      <c r="E2185" s="12" t="s">
        <v>28</v>
      </c>
      <c r="F2185" s="13" t="s">
        <v>29</v>
      </c>
      <c r="G2185">
        <v>10</v>
      </c>
      <c r="H2185" t="s">
        <v>2466</v>
      </c>
      <c r="I2185">
        <v>10</v>
      </c>
      <c r="J2185" s="15"/>
      <c r="K2185" s="16">
        <f>64.25 - (64.25 * $E$1)</f>
        <v>64.25</v>
      </c>
      <c r="L2185" s="16">
        <f>52.66 - (52.66 * $E$1)</f>
        <v>52.66</v>
      </c>
      <c r="M2185" s="1">
        <v>64.25</v>
      </c>
      <c r="N2185" s="1">
        <v>52.66</v>
      </c>
      <c r="O2185" s="1">
        <v>54.61</v>
      </c>
      <c r="P2185" s="1">
        <v>44.76</v>
      </c>
      <c r="Q2185">
        <v>2.5000000000000001E-2</v>
      </c>
      <c r="R2185">
        <v>9.4199999999999999E-5</v>
      </c>
    </row>
    <row r="2186" spans="1:18" ht="13.8" outlineLevel="2" x14ac:dyDescent="0.25">
      <c r="A2186">
        <v>82990</v>
      </c>
      <c r="B2186" t="s">
        <v>2463</v>
      </c>
      <c r="C2186" t="s">
        <v>2590</v>
      </c>
      <c r="D2186" s="14" t="s">
        <v>2540</v>
      </c>
      <c r="E2186" s="12" t="s">
        <v>28</v>
      </c>
      <c r="F2186" s="13" t="s">
        <v>29</v>
      </c>
      <c r="G2186">
        <v>10</v>
      </c>
      <c r="H2186" t="s">
        <v>2466</v>
      </c>
      <c r="I2186">
        <v>10</v>
      </c>
      <c r="J2186" s="15"/>
      <c r="K2186" s="16">
        <f>64.25 - (64.25 * $E$1)</f>
        <v>64.25</v>
      </c>
      <c r="L2186" s="16">
        <f>52.66 - (52.66 * $E$1)</f>
        <v>52.66</v>
      </c>
      <c r="M2186" s="1">
        <v>64.25</v>
      </c>
      <c r="N2186" s="1">
        <v>52.66</v>
      </c>
      <c r="O2186" s="1">
        <v>54.61</v>
      </c>
      <c r="P2186" s="1">
        <v>44.76</v>
      </c>
      <c r="Q2186">
        <v>2.5000000000000001E-2</v>
      </c>
      <c r="R2186">
        <v>9.4199999999999999E-5</v>
      </c>
    </row>
    <row r="2187" spans="1:18" ht="13.8" outlineLevel="2" x14ac:dyDescent="0.25">
      <c r="A2187">
        <v>82965</v>
      </c>
      <c r="B2187" t="s">
        <v>2463</v>
      </c>
      <c r="C2187" t="s">
        <v>2591</v>
      </c>
      <c r="D2187" s="14" t="s">
        <v>2540</v>
      </c>
      <c r="E2187" s="12" t="s">
        <v>28</v>
      </c>
      <c r="F2187" s="13" t="s">
        <v>29</v>
      </c>
      <c r="G2187">
        <v>10</v>
      </c>
      <c r="H2187" t="s">
        <v>2466</v>
      </c>
      <c r="I2187">
        <v>10</v>
      </c>
      <c r="J2187" s="15"/>
      <c r="K2187" s="16">
        <f>64.25 - (64.25 * $E$1)</f>
        <v>64.25</v>
      </c>
      <c r="L2187" s="16">
        <f>52.66 - (52.66 * $E$1)</f>
        <v>52.66</v>
      </c>
      <c r="M2187" s="1">
        <v>64.25</v>
      </c>
      <c r="N2187" s="1">
        <v>52.66</v>
      </c>
      <c r="O2187" s="1">
        <v>54.61</v>
      </c>
      <c r="P2187" s="1">
        <v>44.76</v>
      </c>
      <c r="Q2187">
        <v>1.7600000000000001E-2</v>
      </c>
      <c r="R2187">
        <v>1.155E-4</v>
      </c>
    </row>
    <row r="2188" spans="1:18" ht="13.8" outlineLevel="2" x14ac:dyDescent="0.25">
      <c r="A2188">
        <v>82991</v>
      </c>
      <c r="B2188" t="s">
        <v>2463</v>
      </c>
      <c r="C2188" t="s">
        <v>2592</v>
      </c>
      <c r="D2188" s="14" t="s">
        <v>2540</v>
      </c>
      <c r="E2188" s="12" t="s">
        <v>28</v>
      </c>
      <c r="F2188" s="13" t="s">
        <v>29</v>
      </c>
      <c r="G2188">
        <v>10</v>
      </c>
      <c r="H2188" t="s">
        <v>2466</v>
      </c>
      <c r="I2188">
        <v>10</v>
      </c>
      <c r="J2188" s="15"/>
      <c r="K2188" s="16">
        <f>80.01 - (80.01 * $E$1)</f>
        <v>80.010000000000005</v>
      </c>
      <c r="L2188" s="16">
        <f>65.58 - (65.58 * $E$1)</f>
        <v>65.58</v>
      </c>
      <c r="M2188" s="1">
        <v>80.010000000000005</v>
      </c>
      <c r="N2188" s="1">
        <v>65.58</v>
      </c>
      <c r="O2188" s="1">
        <v>68.010000000000005</v>
      </c>
      <c r="P2188" s="1">
        <v>55.74</v>
      </c>
      <c r="Q2188">
        <v>3.3000000000000002E-2</v>
      </c>
      <c r="R2188">
        <v>9.4199999999999999E-5</v>
      </c>
    </row>
    <row r="2189" spans="1:18" ht="13.8" outlineLevel="2" x14ac:dyDescent="0.25">
      <c r="A2189">
        <v>82992</v>
      </c>
      <c r="B2189" t="s">
        <v>2463</v>
      </c>
      <c r="C2189" t="s">
        <v>2593</v>
      </c>
      <c r="D2189" s="14" t="s">
        <v>2540</v>
      </c>
      <c r="E2189" s="12" t="s">
        <v>28</v>
      </c>
      <c r="F2189" s="13" t="s">
        <v>29</v>
      </c>
      <c r="G2189">
        <v>10</v>
      </c>
      <c r="H2189" t="s">
        <v>2466</v>
      </c>
      <c r="I2189">
        <v>10</v>
      </c>
      <c r="J2189" s="15"/>
      <c r="K2189" s="16">
        <f>80.01 - (80.01 * $E$1)</f>
        <v>80.010000000000005</v>
      </c>
      <c r="L2189" s="16">
        <f>65.58 - (65.58 * $E$1)</f>
        <v>65.58</v>
      </c>
      <c r="M2189" s="1">
        <v>80.010000000000005</v>
      </c>
      <c r="N2189" s="1">
        <v>65.58</v>
      </c>
      <c r="O2189" s="1">
        <v>68.010000000000005</v>
      </c>
      <c r="P2189" s="1">
        <v>55.74</v>
      </c>
      <c r="Q2189">
        <v>3.3000000000000002E-2</v>
      </c>
      <c r="R2189">
        <v>9.4199999999999999E-5</v>
      </c>
    </row>
    <row r="2190" spans="1:18" ht="13.8" outlineLevel="2" x14ac:dyDescent="0.25">
      <c r="A2190">
        <v>82993</v>
      </c>
      <c r="B2190" t="s">
        <v>2463</v>
      </c>
      <c r="C2190" t="s">
        <v>2594</v>
      </c>
      <c r="D2190" s="14" t="s">
        <v>2540</v>
      </c>
      <c r="E2190" s="12" t="s">
        <v>28</v>
      </c>
      <c r="F2190" s="13" t="s">
        <v>29</v>
      </c>
      <c r="G2190">
        <v>10</v>
      </c>
      <c r="H2190" t="s">
        <v>2466</v>
      </c>
      <c r="I2190">
        <v>10</v>
      </c>
      <c r="J2190" s="15"/>
      <c r="K2190" s="16">
        <f>80.01 - (80.01 * $E$1)</f>
        <v>80.010000000000005</v>
      </c>
      <c r="L2190" s="16">
        <f>65.58 - (65.58 * $E$1)</f>
        <v>65.58</v>
      </c>
      <c r="M2190" s="1">
        <v>80.010000000000005</v>
      </c>
      <c r="N2190" s="1">
        <v>65.58</v>
      </c>
      <c r="O2190" s="1">
        <v>68.010000000000005</v>
      </c>
      <c r="P2190" s="1">
        <v>55.74</v>
      </c>
      <c r="Q2190">
        <v>3.3000000000000002E-2</v>
      </c>
      <c r="R2190">
        <v>9.4199999999999999E-5</v>
      </c>
    </row>
    <row r="2191" spans="1:18" ht="13.8" outlineLevel="2" x14ac:dyDescent="0.25">
      <c r="A2191">
        <v>82994</v>
      </c>
      <c r="B2191" t="s">
        <v>2463</v>
      </c>
      <c r="C2191" t="s">
        <v>2595</v>
      </c>
      <c r="D2191" s="14" t="s">
        <v>2540</v>
      </c>
      <c r="E2191" s="12" t="s">
        <v>28</v>
      </c>
      <c r="F2191" s="13" t="s">
        <v>29</v>
      </c>
      <c r="G2191">
        <v>10</v>
      </c>
      <c r="H2191" t="s">
        <v>2466</v>
      </c>
      <c r="I2191">
        <v>10</v>
      </c>
      <c r="J2191" s="15"/>
      <c r="K2191" s="16">
        <f>80.01 - (80.01 * $E$1)</f>
        <v>80.010000000000005</v>
      </c>
      <c r="L2191" s="16">
        <f>65.58 - (65.58 * $E$1)</f>
        <v>65.58</v>
      </c>
      <c r="M2191" s="1">
        <v>80.010000000000005</v>
      </c>
      <c r="N2191" s="1">
        <v>65.58</v>
      </c>
      <c r="O2191" s="1">
        <v>68.010000000000005</v>
      </c>
      <c r="P2191" s="1">
        <v>55.74</v>
      </c>
      <c r="Q2191">
        <v>3.3000000000000002E-2</v>
      </c>
      <c r="R2191">
        <v>9.4199999999999999E-5</v>
      </c>
    </row>
    <row r="2192" spans="1:18" ht="13.8" outlineLevel="2" x14ac:dyDescent="0.25">
      <c r="A2192">
        <v>82966</v>
      </c>
      <c r="B2192" t="s">
        <v>2463</v>
      </c>
      <c r="C2192" t="s">
        <v>2596</v>
      </c>
      <c r="D2192" s="14" t="s">
        <v>2540</v>
      </c>
      <c r="E2192" s="12" t="s">
        <v>28</v>
      </c>
      <c r="F2192" s="13" t="s">
        <v>29</v>
      </c>
      <c r="G2192">
        <v>10</v>
      </c>
      <c r="H2192" t="s">
        <v>2466</v>
      </c>
      <c r="I2192">
        <v>10</v>
      </c>
      <c r="J2192" s="15"/>
      <c r="K2192" s="16">
        <f>80.01 - (80.01 * $E$1)</f>
        <v>80.010000000000005</v>
      </c>
      <c r="L2192" s="16">
        <f>65.58 - (65.58 * $E$1)</f>
        <v>65.58</v>
      </c>
      <c r="M2192" s="1">
        <v>80.010000000000005</v>
      </c>
      <c r="N2192" s="1">
        <v>65.58</v>
      </c>
      <c r="O2192" s="1">
        <v>68.010000000000005</v>
      </c>
      <c r="P2192" s="1">
        <v>55.74</v>
      </c>
      <c r="Q2192">
        <v>2.06E-2</v>
      </c>
      <c r="R2192">
        <v>1.155E-4</v>
      </c>
    </row>
    <row r="2193" spans="1:18" ht="13.8" outlineLevel="2" x14ac:dyDescent="0.25">
      <c r="A2193">
        <v>84994</v>
      </c>
      <c r="B2193" t="s">
        <v>2463</v>
      </c>
      <c r="C2193" t="s">
        <v>2597</v>
      </c>
      <c r="D2193" s="14" t="s">
        <v>2540</v>
      </c>
      <c r="E2193" s="12" t="s">
        <v>28</v>
      </c>
      <c r="F2193" s="13" t="s">
        <v>29</v>
      </c>
      <c r="G2193">
        <v>10</v>
      </c>
      <c r="H2193" t="s">
        <v>2466</v>
      </c>
      <c r="I2193">
        <v>10</v>
      </c>
      <c r="J2193" s="15"/>
      <c r="K2193" s="16">
        <f>120.39 - (120.39 * $E$1)</f>
        <v>120.39</v>
      </c>
      <c r="L2193" s="16">
        <f>98.68 - (98.68 * $E$1)</f>
        <v>98.68</v>
      </c>
      <c r="M2193" s="1">
        <v>120.39</v>
      </c>
      <c r="N2193" s="1">
        <v>98.68</v>
      </c>
      <c r="O2193" s="1">
        <v>102.33</v>
      </c>
      <c r="P2193" s="1">
        <v>83.88</v>
      </c>
      <c r="Q2193">
        <v>4.1000000000000002E-2</v>
      </c>
      <c r="R2193">
        <v>8.2399999999999997E-5</v>
      </c>
    </row>
    <row r="2194" spans="1:18" ht="13.8" outlineLevel="2" x14ac:dyDescent="0.25">
      <c r="A2194">
        <v>84996</v>
      </c>
      <c r="B2194" t="s">
        <v>2463</v>
      </c>
      <c r="C2194" t="s">
        <v>2598</v>
      </c>
      <c r="D2194" s="14" t="s">
        <v>2540</v>
      </c>
      <c r="E2194" s="12" t="s">
        <v>28</v>
      </c>
      <c r="F2194" s="13" t="s">
        <v>29</v>
      </c>
      <c r="G2194">
        <v>10</v>
      </c>
      <c r="H2194" t="s">
        <v>2466</v>
      </c>
      <c r="I2194">
        <v>10</v>
      </c>
      <c r="J2194" s="15"/>
      <c r="K2194" s="16">
        <f>120.39 - (120.39 * $E$1)</f>
        <v>120.39</v>
      </c>
      <c r="L2194" s="16">
        <f>98.68 - (98.68 * $E$1)</f>
        <v>98.68</v>
      </c>
      <c r="M2194" s="1">
        <v>120.39</v>
      </c>
      <c r="N2194" s="1">
        <v>98.68</v>
      </c>
      <c r="O2194" s="1">
        <v>102.33</v>
      </c>
      <c r="P2194" s="1">
        <v>83.88</v>
      </c>
      <c r="Q2194">
        <v>4.1000000000000002E-2</v>
      </c>
      <c r="R2194">
        <v>8.2399999999999997E-5</v>
      </c>
    </row>
    <row r="2195" spans="1:18" ht="13.8" outlineLevel="2" x14ac:dyDescent="0.25">
      <c r="A2195">
        <v>84997</v>
      </c>
      <c r="B2195" t="s">
        <v>2463</v>
      </c>
      <c r="C2195" t="s">
        <v>2599</v>
      </c>
      <c r="D2195" s="14" t="s">
        <v>2540</v>
      </c>
      <c r="E2195" s="12" t="s">
        <v>28</v>
      </c>
      <c r="F2195" s="13" t="s">
        <v>29</v>
      </c>
      <c r="G2195">
        <v>10</v>
      </c>
      <c r="H2195" t="s">
        <v>2466</v>
      </c>
      <c r="I2195">
        <v>10</v>
      </c>
      <c r="J2195" s="15"/>
      <c r="K2195" s="16">
        <f>120.39 - (120.39 * $E$1)</f>
        <v>120.39</v>
      </c>
      <c r="L2195" s="16">
        <f>98.68 - (98.68 * $E$1)</f>
        <v>98.68</v>
      </c>
      <c r="M2195" s="1">
        <v>120.39</v>
      </c>
      <c r="N2195" s="1">
        <v>98.68</v>
      </c>
      <c r="O2195" s="1">
        <v>102.33</v>
      </c>
      <c r="P2195" s="1">
        <v>83.88</v>
      </c>
      <c r="Q2195">
        <v>4.1000000000000002E-2</v>
      </c>
      <c r="R2195">
        <v>8.2399999999999997E-5</v>
      </c>
    </row>
    <row r="2196" spans="1:18" ht="13.8" outlineLevel="2" x14ac:dyDescent="0.25">
      <c r="A2196">
        <v>84998</v>
      </c>
      <c r="B2196" t="s">
        <v>2463</v>
      </c>
      <c r="C2196" t="s">
        <v>2600</v>
      </c>
      <c r="D2196" s="14" t="s">
        <v>2540</v>
      </c>
      <c r="E2196" s="12" t="s">
        <v>28</v>
      </c>
      <c r="F2196" s="13" t="s">
        <v>29</v>
      </c>
      <c r="G2196">
        <v>10</v>
      </c>
      <c r="H2196" t="s">
        <v>2466</v>
      </c>
      <c r="I2196">
        <v>10</v>
      </c>
      <c r="J2196" s="15"/>
      <c r="K2196" s="16">
        <f>120.39 - (120.39 * $E$1)</f>
        <v>120.39</v>
      </c>
      <c r="L2196" s="16">
        <f>98.68 - (98.68 * $E$1)</f>
        <v>98.68</v>
      </c>
      <c r="M2196" s="1">
        <v>120.39</v>
      </c>
      <c r="N2196" s="1">
        <v>98.68</v>
      </c>
      <c r="O2196" s="1">
        <v>102.33</v>
      </c>
      <c r="P2196" s="1">
        <v>83.88</v>
      </c>
      <c r="Q2196">
        <v>4.1000000000000002E-2</v>
      </c>
      <c r="R2196">
        <v>8.2399999999999997E-5</v>
      </c>
    </row>
    <row r="2197" spans="1:18" ht="13.8" outlineLevel="2" x14ac:dyDescent="0.25">
      <c r="A2197">
        <v>82995</v>
      </c>
      <c r="B2197" t="s">
        <v>2463</v>
      </c>
      <c r="C2197" t="s">
        <v>2601</v>
      </c>
      <c r="D2197" s="14" t="s">
        <v>2540</v>
      </c>
      <c r="E2197" s="12" t="s">
        <v>28</v>
      </c>
      <c r="F2197" s="13" t="s">
        <v>29</v>
      </c>
      <c r="G2197">
        <v>5</v>
      </c>
      <c r="H2197" t="s">
        <v>2466</v>
      </c>
      <c r="I2197">
        <v>5</v>
      </c>
      <c r="J2197" s="15"/>
      <c r="K2197" s="16">
        <f>137.59 - (137.59 * $E$1)</f>
        <v>137.59</v>
      </c>
      <c r="L2197" s="16">
        <f>112.78 - (112.78 * $E$1)</f>
        <v>112.78</v>
      </c>
      <c r="M2197" s="1">
        <v>137.59</v>
      </c>
      <c r="N2197" s="1">
        <v>112.78</v>
      </c>
      <c r="O2197" s="1">
        <v>116.95</v>
      </c>
      <c r="P2197" s="1">
        <v>95.86</v>
      </c>
      <c r="Q2197">
        <v>5.8000000000000003E-2</v>
      </c>
      <c r="R2197">
        <v>1.4119999999999999E-4</v>
      </c>
    </row>
    <row r="2198" spans="1:18" ht="13.8" outlineLevel="2" x14ac:dyDescent="0.25">
      <c r="A2198">
        <v>82996</v>
      </c>
      <c r="B2198" t="s">
        <v>2463</v>
      </c>
      <c r="C2198" t="s">
        <v>2602</v>
      </c>
      <c r="D2198" s="14" t="s">
        <v>2540</v>
      </c>
      <c r="E2198" s="12" t="s">
        <v>28</v>
      </c>
      <c r="F2198" s="13" t="s">
        <v>29</v>
      </c>
      <c r="G2198">
        <v>5</v>
      </c>
      <c r="H2198" t="s">
        <v>2466</v>
      </c>
      <c r="I2198">
        <v>5</v>
      </c>
      <c r="J2198" s="15"/>
      <c r="K2198" s="16">
        <f>137.59 - (137.59 * $E$1)</f>
        <v>137.59</v>
      </c>
      <c r="L2198" s="16">
        <f>112.78 - (112.78 * $E$1)</f>
        <v>112.78</v>
      </c>
      <c r="M2198" s="1">
        <v>137.59</v>
      </c>
      <c r="N2198" s="1">
        <v>112.78</v>
      </c>
      <c r="O2198" s="1">
        <v>116.95</v>
      </c>
      <c r="P2198" s="1">
        <v>95.86</v>
      </c>
      <c r="Q2198">
        <v>5.8000000000000003E-2</v>
      </c>
      <c r="R2198">
        <v>1.4119999999999999E-4</v>
      </c>
    </row>
    <row r="2199" spans="1:18" ht="13.8" outlineLevel="2" x14ac:dyDescent="0.25">
      <c r="A2199">
        <v>82997</v>
      </c>
      <c r="B2199" t="s">
        <v>2463</v>
      </c>
      <c r="C2199" t="s">
        <v>2603</v>
      </c>
      <c r="D2199" s="14" t="s">
        <v>2540</v>
      </c>
      <c r="E2199" s="12" t="s">
        <v>28</v>
      </c>
      <c r="F2199" s="13" t="s">
        <v>29</v>
      </c>
      <c r="G2199">
        <v>5</v>
      </c>
      <c r="H2199" t="s">
        <v>2466</v>
      </c>
      <c r="I2199">
        <v>5</v>
      </c>
      <c r="J2199" s="15"/>
      <c r="K2199" s="16">
        <f>137.59 - (137.59 * $E$1)</f>
        <v>137.59</v>
      </c>
      <c r="L2199" s="16">
        <f>112.78 - (112.78 * $E$1)</f>
        <v>112.78</v>
      </c>
      <c r="M2199" s="1">
        <v>137.59</v>
      </c>
      <c r="N2199" s="1">
        <v>112.78</v>
      </c>
      <c r="O2199" s="1">
        <v>116.95</v>
      </c>
      <c r="P2199" s="1">
        <v>95.86</v>
      </c>
      <c r="Q2199">
        <v>5.8000000000000003E-2</v>
      </c>
      <c r="R2199">
        <v>1.4119999999999999E-4</v>
      </c>
    </row>
    <row r="2200" spans="1:18" ht="13.8" outlineLevel="2" x14ac:dyDescent="0.25">
      <c r="A2200">
        <v>82998</v>
      </c>
      <c r="B2200" t="s">
        <v>2463</v>
      </c>
      <c r="C2200" t="s">
        <v>2604</v>
      </c>
      <c r="D2200" s="14" t="s">
        <v>2540</v>
      </c>
      <c r="E2200" s="12" t="s">
        <v>28</v>
      </c>
      <c r="F2200" s="13" t="s">
        <v>29</v>
      </c>
      <c r="G2200">
        <v>5</v>
      </c>
      <c r="H2200" t="s">
        <v>2466</v>
      </c>
      <c r="I2200">
        <v>5</v>
      </c>
      <c r="J2200" s="15"/>
      <c r="K2200" s="16">
        <f>137.59 - (137.59 * $E$1)</f>
        <v>137.59</v>
      </c>
      <c r="L2200" s="16">
        <f>112.78 - (112.78 * $E$1)</f>
        <v>112.78</v>
      </c>
      <c r="M2200" s="1">
        <v>137.59</v>
      </c>
      <c r="N2200" s="1">
        <v>112.78</v>
      </c>
      <c r="O2200" s="1">
        <v>116.95</v>
      </c>
      <c r="P2200" s="1">
        <v>95.86</v>
      </c>
      <c r="Q2200">
        <v>5.8000000000000003E-2</v>
      </c>
      <c r="R2200">
        <v>1.4119999999999999E-4</v>
      </c>
    </row>
    <row r="2201" spans="1:18" ht="13.8" outlineLevel="2" x14ac:dyDescent="0.25">
      <c r="A2201">
        <v>82999</v>
      </c>
      <c r="B2201" t="s">
        <v>2463</v>
      </c>
      <c r="C2201" t="s">
        <v>2605</v>
      </c>
      <c r="D2201" s="14" t="s">
        <v>2540</v>
      </c>
      <c r="E2201" s="12" t="s">
        <v>28</v>
      </c>
      <c r="F2201" s="13" t="s">
        <v>29</v>
      </c>
      <c r="G2201">
        <v>5</v>
      </c>
      <c r="H2201" t="s">
        <v>2466</v>
      </c>
      <c r="I2201">
        <v>5</v>
      </c>
      <c r="J2201" s="15"/>
      <c r="K2201" s="16">
        <f>179.16 - (179.16 * $E$1)</f>
        <v>179.16</v>
      </c>
      <c r="L2201" s="16">
        <f>146.85 - (146.85 * $E$1)</f>
        <v>146.85</v>
      </c>
      <c r="M2201" s="1">
        <v>179.16</v>
      </c>
      <c r="N2201" s="1">
        <v>146.85</v>
      </c>
      <c r="O2201" s="1">
        <v>152.28</v>
      </c>
      <c r="P2201" s="1">
        <v>124.82</v>
      </c>
      <c r="Q2201">
        <v>7.5999999999999998E-2</v>
      </c>
      <c r="R2201">
        <v>1.6479999999999999E-4</v>
      </c>
    </row>
    <row r="2202" spans="1:18" ht="13.8" outlineLevel="2" x14ac:dyDescent="0.25">
      <c r="A2202">
        <v>83000</v>
      </c>
      <c r="B2202" t="s">
        <v>2463</v>
      </c>
      <c r="C2202" t="s">
        <v>2606</v>
      </c>
      <c r="D2202" s="14" t="s">
        <v>2540</v>
      </c>
      <c r="E2202" s="12" t="s">
        <v>28</v>
      </c>
      <c r="F2202" s="13" t="s">
        <v>29</v>
      </c>
      <c r="G2202">
        <v>5</v>
      </c>
      <c r="H2202" t="s">
        <v>2466</v>
      </c>
      <c r="I2202">
        <v>5</v>
      </c>
      <c r="J2202" s="15"/>
      <c r="K2202" s="16">
        <f>179.16 - (179.16 * $E$1)</f>
        <v>179.16</v>
      </c>
      <c r="L2202" s="16">
        <f>146.85 - (146.85 * $E$1)</f>
        <v>146.85</v>
      </c>
      <c r="M2202" s="1">
        <v>179.16</v>
      </c>
      <c r="N2202" s="1">
        <v>146.85</v>
      </c>
      <c r="O2202" s="1">
        <v>152.28</v>
      </c>
      <c r="P2202" s="1">
        <v>124.82</v>
      </c>
      <c r="Q2202">
        <v>7.5999999999999998E-2</v>
      </c>
      <c r="R2202">
        <v>1.6479999999999999E-4</v>
      </c>
    </row>
    <row r="2203" spans="1:18" ht="13.8" outlineLevel="2" x14ac:dyDescent="0.25">
      <c r="A2203">
        <v>83001</v>
      </c>
      <c r="B2203" t="s">
        <v>2463</v>
      </c>
      <c r="C2203" t="s">
        <v>2607</v>
      </c>
      <c r="D2203" s="14" t="s">
        <v>2540</v>
      </c>
      <c r="E2203" s="12" t="s">
        <v>28</v>
      </c>
      <c r="F2203" s="13" t="s">
        <v>29</v>
      </c>
      <c r="G2203">
        <v>5</v>
      </c>
      <c r="H2203" t="s">
        <v>2466</v>
      </c>
      <c r="I2203">
        <v>5</v>
      </c>
      <c r="J2203" s="15"/>
      <c r="K2203" s="16">
        <f>179.16 - (179.16 * $E$1)</f>
        <v>179.16</v>
      </c>
      <c r="L2203" s="16">
        <f>146.85 - (146.85 * $E$1)</f>
        <v>146.85</v>
      </c>
      <c r="M2203" s="1">
        <v>179.16</v>
      </c>
      <c r="N2203" s="1">
        <v>146.85</v>
      </c>
      <c r="O2203" s="1">
        <v>152.28</v>
      </c>
      <c r="P2203" s="1">
        <v>124.82</v>
      </c>
      <c r="Q2203">
        <v>7.5999999999999998E-2</v>
      </c>
      <c r="R2203">
        <v>1.6479999999999999E-4</v>
      </c>
    </row>
    <row r="2204" spans="1:18" ht="13.8" outlineLevel="2" x14ac:dyDescent="0.25">
      <c r="A2204">
        <v>83002</v>
      </c>
      <c r="B2204" t="s">
        <v>2463</v>
      </c>
      <c r="C2204" t="s">
        <v>2608</v>
      </c>
      <c r="D2204" s="14" t="s">
        <v>2540</v>
      </c>
      <c r="E2204" s="12" t="s">
        <v>28</v>
      </c>
      <c r="F2204" s="13" t="s">
        <v>29</v>
      </c>
      <c r="G2204">
        <v>5</v>
      </c>
      <c r="H2204" t="s">
        <v>2466</v>
      </c>
      <c r="I2204">
        <v>5</v>
      </c>
      <c r="J2204" s="15"/>
      <c r="K2204" s="16">
        <f>179.16 - (179.16 * $E$1)</f>
        <v>179.16</v>
      </c>
      <c r="L2204" s="16">
        <f>146.85 - (146.85 * $E$1)</f>
        <v>146.85</v>
      </c>
      <c r="M2204" s="1">
        <v>179.16</v>
      </c>
      <c r="N2204" s="1">
        <v>146.85</v>
      </c>
      <c r="O2204" s="1">
        <v>152.28</v>
      </c>
      <c r="P2204" s="1">
        <v>124.82</v>
      </c>
      <c r="Q2204">
        <v>7.5999999999999998E-2</v>
      </c>
      <c r="R2204">
        <v>1.6479999999999999E-4</v>
      </c>
    </row>
    <row r="2205" spans="1:18" ht="13.8" outlineLevel="2" x14ac:dyDescent="0.25">
      <c r="A2205">
        <v>85001</v>
      </c>
      <c r="B2205" t="s">
        <v>2463</v>
      </c>
      <c r="C2205" t="s">
        <v>2609</v>
      </c>
      <c r="D2205" s="14" t="s">
        <v>2540</v>
      </c>
      <c r="E2205" s="12" t="s">
        <v>28</v>
      </c>
      <c r="F2205" s="13" t="s">
        <v>29</v>
      </c>
      <c r="G2205">
        <v>5</v>
      </c>
      <c r="H2205" t="s">
        <v>2466</v>
      </c>
      <c r="I2205">
        <v>5</v>
      </c>
      <c r="J2205" s="15"/>
      <c r="K2205" s="16">
        <f>292.41 - (292.41 * $E$1)</f>
        <v>292.41000000000003</v>
      </c>
      <c r="L2205" s="16">
        <f>239.68 - (239.68 * $E$1)</f>
        <v>239.68</v>
      </c>
      <c r="M2205" s="1">
        <v>292.41000000000003</v>
      </c>
      <c r="N2205" s="1">
        <v>239.68</v>
      </c>
      <c r="O2205" s="1">
        <v>248.55</v>
      </c>
      <c r="P2205" s="1">
        <v>203.73</v>
      </c>
      <c r="Q2205">
        <v>9.1999999999999998E-2</v>
      </c>
      <c r="R2205">
        <v>1.6479999999999999E-4</v>
      </c>
    </row>
    <row r="2206" spans="1:18" ht="13.8" outlineLevel="2" x14ac:dyDescent="0.25">
      <c r="A2206">
        <v>85002</v>
      </c>
      <c r="B2206" t="s">
        <v>2463</v>
      </c>
      <c r="C2206" t="s">
        <v>2610</v>
      </c>
      <c r="D2206" s="14" t="s">
        <v>2540</v>
      </c>
      <c r="E2206" s="12" t="s">
        <v>28</v>
      </c>
      <c r="F2206" s="13" t="s">
        <v>29</v>
      </c>
      <c r="G2206">
        <v>5</v>
      </c>
      <c r="H2206" t="s">
        <v>2466</v>
      </c>
      <c r="I2206">
        <v>5</v>
      </c>
      <c r="J2206" s="15"/>
      <c r="K2206" s="16">
        <f>292.41 - (292.41 * $E$1)</f>
        <v>292.41000000000003</v>
      </c>
      <c r="L2206" s="16">
        <f>239.68 - (239.68 * $E$1)</f>
        <v>239.68</v>
      </c>
      <c r="M2206" s="1">
        <v>292.41000000000003</v>
      </c>
      <c r="N2206" s="1">
        <v>239.68</v>
      </c>
      <c r="O2206" s="1">
        <v>248.55</v>
      </c>
      <c r="P2206" s="1">
        <v>203.73</v>
      </c>
      <c r="Q2206">
        <v>9.1999999999999998E-2</v>
      </c>
      <c r="R2206">
        <v>1.6479999999999999E-4</v>
      </c>
    </row>
    <row r="2207" spans="1:18" ht="13.8" outlineLevel="2" x14ac:dyDescent="0.25">
      <c r="A2207">
        <v>85003</v>
      </c>
      <c r="B2207" t="s">
        <v>2463</v>
      </c>
      <c r="C2207" t="s">
        <v>2611</v>
      </c>
      <c r="D2207" s="14" t="s">
        <v>2540</v>
      </c>
      <c r="E2207" s="12" t="s">
        <v>28</v>
      </c>
      <c r="F2207" s="13" t="s">
        <v>29</v>
      </c>
      <c r="G2207">
        <v>5</v>
      </c>
      <c r="H2207" t="s">
        <v>2466</v>
      </c>
      <c r="I2207">
        <v>5</v>
      </c>
      <c r="J2207" s="15"/>
      <c r="K2207" s="16">
        <f>292.41 - (292.41 * $E$1)</f>
        <v>292.41000000000003</v>
      </c>
      <c r="L2207" s="16">
        <f>239.68 - (239.68 * $E$1)</f>
        <v>239.68</v>
      </c>
      <c r="M2207" s="1">
        <v>292.41000000000003</v>
      </c>
      <c r="N2207" s="1">
        <v>239.68</v>
      </c>
      <c r="O2207" s="1">
        <v>248.55</v>
      </c>
      <c r="P2207" s="1">
        <v>203.73</v>
      </c>
      <c r="Q2207">
        <v>9.1999999999999998E-2</v>
      </c>
      <c r="R2207">
        <v>1.6479999999999999E-4</v>
      </c>
    </row>
    <row r="2208" spans="1:18" ht="13.8" outlineLevel="2" x14ac:dyDescent="0.25">
      <c r="A2208">
        <v>85004</v>
      </c>
      <c r="B2208" t="s">
        <v>2463</v>
      </c>
      <c r="C2208" t="s">
        <v>2612</v>
      </c>
      <c r="D2208" s="14" t="s">
        <v>2540</v>
      </c>
      <c r="E2208" s="12" t="s">
        <v>28</v>
      </c>
      <c r="F2208" s="13" t="s">
        <v>29</v>
      </c>
      <c r="G2208">
        <v>5</v>
      </c>
      <c r="H2208" t="s">
        <v>2466</v>
      </c>
      <c r="I2208">
        <v>5</v>
      </c>
      <c r="J2208" s="15"/>
      <c r="K2208" s="16">
        <f>292.41 - (292.41 * $E$1)</f>
        <v>292.41000000000003</v>
      </c>
      <c r="L2208" s="16">
        <f>239.68 - (239.68 * $E$1)</f>
        <v>239.68</v>
      </c>
      <c r="M2208" s="1">
        <v>292.41000000000003</v>
      </c>
      <c r="N2208" s="1">
        <v>239.68</v>
      </c>
      <c r="O2208" s="1">
        <v>248.55</v>
      </c>
      <c r="P2208" s="1">
        <v>203.73</v>
      </c>
      <c r="Q2208">
        <v>9.1999999999999998E-2</v>
      </c>
      <c r="R2208">
        <v>1.6479999999999999E-4</v>
      </c>
    </row>
    <row r="2209" spans="1:18" ht="13.8" outlineLevel="2" x14ac:dyDescent="0.25">
      <c r="A2209">
        <v>83003</v>
      </c>
      <c r="B2209" t="s">
        <v>2463</v>
      </c>
      <c r="C2209" t="s">
        <v>2613</v>
      </c>
      <c r="D2209" s="14" t="s">
        <v>2540</v>
      </c>
      <c r="E2209" s="12" t="s">
        <v>28</v>
      </c>
      <c r="F2209" s="13" t="s">
        <v>29</v>
      </c>
      <c r="G2209">
        <v>5</v>
      </c>
      <c r="H2209" t="s">
        <v>2466</v>
      </c>
      <c r="I2209">
        <v>5</v>
      </c>
      <c r="J2209" s="15"/>
      <c r="K2209" s="16">
        <f>344.64 - (344.64 * $E$1)</f>
        <v>344.64</v>
      </c>
      <c r="L2209" s="16">
        <f>282.49 - (282.49 * $E$1)</f>
        <v>282.49</v>
      </c>
      <c r="M2209" s="1">
        <v>344.64</v>
      </c>
      <c r="N2209" s="1">
        <v>282.49</v>
      </c>
      <c r="O2209" s="1">
        <v>292.94</v>
      </c>
      <c r="P2209" s="1">
        <v>240.12</v>
      </c>
      <c r="Q2209">
        <v>0.13</v>
      </c>
      <c r="R2209">
        <v>2.42E-4</v>
      </c>
    </row>
    <row r="2210" spans="1:18" ht="13.8" outlineLevel="2" x14ac:dyDescent="0.25">
      <c r="A2210">
        <v>83004</v>
      </c>
      <c r="B2210" t="s">
        <v>2463</v>
      </c>
      <c r="C2210" t="s">
        <v>2614</v>
      </c>
      <c r="D2210" s="14" t="s">
        <v>2540</v>
      </c>
      <c r="E2210" s="12" t="s">
        <v>28</v>
      </c>
      <c r="F2210" s="13" t="s">
        <v>29</v>
      </c>
      <c r="G2210">
        <v>5</v>
      </c>
      <c r="H2210" t="s">
        <v>2466</v>
      </c>
      <c r="I2210">
        <v>5</v>
      </c>
      <c r="J2210" s="15"/>
      <c r="K2210" s="16">
        <f>344.64 - (344.64 * $E$1)</f>
        <v>344.64</v>
      </c>
      <c r="L2210" s="16">
        <f>282.49 - (282.49 * $E$1)</f>
        <v>282.49</v>
      </c>
      <c r="M2210" s="1">
        <v>344.64</v>
      </c>
      <c r="N2210" s="1">
        <v>282.49</v>
      </c>
      <c r="O2210" s="1">
        <v>292.94</v>
      </c>
      <c r="P2210" s="1">
        <v>240.12</v>
      </c>
      <c r="Q2210">
        <v>0.13</v>
      </c>
      <c r="R2210">
        <v>2.42E-4</v>
      </c>
    </row>
    <row r="2211" spans="1:18" ht="13.8" outlineLevel="2" x14ac:dyDescent="0.25">
      <c r="A2211">
        <v>83005</v>
      </c>
      <c r="B2211" t="s">
        <v>2463</v>
      </c>
      <c r="C2211" t="s">
        <v>2615</v>
      </c>
      <c r="D2211" s="14" t="s">
        <v>2540</v>
      </c>
      <c r="E2211" s="12" t="s">
        <v>28</v>
      </c>
      <c r="F2211" s="13" t="s">
        <v>29</v>
      </c>
      <c r="G2211">
        <v>5</v>
      </c>
      <c r="H2211" t="s">
        <v>2466</v>
      </c>
      <c r="I2211">
        <v>5</v>
      </c>
      <c r="J2211" s="15"/>
      <c r="K2211" s="16">
        <f>344.64 - (344.64 * $E$1)</f>
        <v>344.64</v>
      </c>
      <c r="L2211" s="16">
        <f>282.49 - (282.49 * $E$1)</f>
        <v>282.49</v>
      </c>
      <c r="M2211" s="1">
        <v>344.64</v>
      </c>
      <c r="N2211" s="1">
        <v>282.49</v>
      </c>
      <c r="O2211" s="1">
        <v>292.94</v>
      </c>
      <c r="P2211" s="1">
        <v>240.12</v>
      </c>
      <c r="Q2211">
        <v>0.13</v>
      </c>
      <c r="R2211">
        <v>2.42E-4</v>
      </c>
    </row>
    <row r="2212" spans="1:18" ht="13.8" outlineLevel="2" x14ac:dyDescent="0.25">
      <c r="A2212">
        <v>83006</v>
      </c>
      <c r="B2212" t="s">
        <v>2463</v>
      </c>
      <c r="C2212" t="s">
        <v>2616</v>
      </c>
      <c r="D2212" s="14" t="s">
        <v>2540</v>
      </c>
      <c r="E2212" s="12" t="s">
        <v>28</v>
      </c>
      <c r="F2212" s="13" t="s">
        <v>29</v>
      </c>
      <c r="G2212">
        <v>5</v>
      </c>
      <c r="H2212" t="s">
        <v>2466</v>
      </c>
      <c r="I2212">
        <v>5</v>
      </c>
      <c r="J2212" s="15"/>
      <c r="K2212" s="16">
        <f>344.64 - (344.64 * $E$1)</f>
        <v>344.64</v>
      </c>
      <c r="L2212" s="16">
        <f>282.49 - (282.49 * $E$1)</f>
        <v>282.49</v>
      </c>
      <c r="M2212" s="1">
        <v>344.64</v>
      </c>
      <c r="N2212" s="1">
        <v>282.49</v>
      </c>
      <c r="O2212" s="1">
        <v>292.94</v>
      </c>
      <c r="P2212" s="1">
        <v>240.12</v>
      </c>
      <c r="Q2212">
        <v>0.13</v>
      </c>
      <c r="R2212">
        <v>2.42E-4</v>
      </c>
    </row>
    <row r="2213" spans="1:18" ht="13.8" outlineLevel="2" x14ac:dyDescent="0.25">
      <c r="A2213">
        <v>84986</v>
      </c>
      <c r="B2213" t="s">
        <v>2463</v>
      </c>
      <c r="C2213" t="s">
        <v>2617</v>
      </c>
      <c r="D2213" s="14" t="s">
        <v>2618</v>
      </c>
      <c r="E2213" s="12" t="s">
        <v>28</v>
      </c>
      <c r="F2213" s="13" t="s">
        <v>29</v>
      </c>
      <c r="G2213">
        <v>100</v>
      </c>
      <c r="H2213" t="s">
        <v>2466</v>
      </c>
      <c r="I2213">
        <v>100</v>
      </c>
      <c r="J2213" s="15"/>
      <c r="K2213" s="16">
        <f>24.4 - (24.4 * $E$1)</f>
        <v>24.4</v>
      </c>
      <c r="L2213" s="16">
        <f>20 - (20 * $E$1)</f>
        <v>20</v>
      </c>
      <c r="M2213" s="1">
        <v>24.4</v>
      </c>
      <c r="N2213" s="1">
        <v>20</v>
      </c>
      <c r="O2213" s="1">
        <v>20.74</v>
      </c>
      <c r="P2213" s="1">
        <v>17</v>
      </c>
      <c r="Q2213">
        <v>2.5000000000000001E-3</v>
      </c>
      <c r="R2213">
        <v>5.7500000000000002E-5</v>
      </c>
    </row>
    <row r="2214" spans="1:18" ht="13.8" outlineLevel="2" x14ac:dyDescent="0.25">
      <c r="A2214">
        <v>84992</v>
      </c>
      <c r="B2214" t="s">
        <v>2463</v>
      </c>
      <c r="C2214" t="s">
        <v>2619</v>
      </c>
      <c r="D2214" s="14" t="s">
        <v>2618</v>
      </c>
      <c r="E2214" s="12" t="s">
        <v>28</v>
      </c>
      <c r="F2214" s="13" t="s">
        <v>29</v>
      </c>
      <c r="G2214">
        <v>50</v>
      </c>
      <c r="H2214" t="s">
        <v>2466</v>
      </c>
      <c r="I2214">
        <v>50</v>
      </c>
      <c r="J2214" s="15"/>
      <c r="K2214" s="16">
        <f>27.73 - (27.73 * $E$1)</f>
        <v>27.73</v>
      </c>
      <c r="L2214" s="16">
        <f>22.73 - (22.73 * $E$1)</f>
        <v>22.73</v>
      </c>
      <c r="M2214" s="1">
        <v>27.73</v>
      </c>
      <c r="N2214" s="1">
        <v>22.73</v>
      </c>
      <c r="O2214" s="1">
        <v>23.57</v>
      </c>
      <c r="P2214" s="1">
        <v>19.32</v>
      </c>
      <c r="Q2214">
        <v>2.8E-3</v>
      </c>
      <c r="R2214">
        <v>1.15E-4</v>
      </c>
    </row>
    <row r="2215" spans="1:18" ht="13.8" outlineLevel="2" x14ac:dyDescent="0.25">
      <c r="A2215">
        <v>72432</v>
      </c>
      <c r="B2215" t="s">
        <v>2463</v>
      </c>
      <c r="C2215" t="s">
        <v>2620</v>
      </c>
      <c r="D2215" s="14" t="s">
        <v>2618</v>
      </c>
      <c r="E2215" s="12" t="s">
        <v>28</v>
      </c>
      <c r="F2215" s="13" t="s">
        <v>29</v>
      </c>
      <c r="G2215">
        <v>50</v>
      </c>
      <c r="H2215" t="s">
        <v>2466</v>
      </c>
      <c r="I2215">
        <v>50</v>
      </c>
      <c r="J2215" s="15"/>
      <c r="K2215" s="16">
        <f>31.01 - (31.01 * $E$1)</f>
        <v>31.01</v>
      </c>
      <c r="L2215" s="16">
        <f>25.42 - (25.42 * $E$1)</f>
        <v>25.42</v>
      </c>
      <c r="M2215" s="1">
        <v>31.01</v>
      </c>
      <c r="N2215" s="1">
        <v>25.42</v>
      </c>
      <c r="O2215" s="1">
        <v>26.36</v>
      </c>
      <c r="P2215" s="1">
        <v>21.61</v>
      </c>
      <c r="Q2215">
        <v>6.0000000000000001E-3</v>
      </c>
      <c r="R2215">
        <v>2.3099999999999999E-5</v>
      </c>
    </row>
    <row r="2216" spans="1:18" ht="13.8" outlineLevel="2" x14ac:dyDescent="0.25">
      <c r="A2216">
        <v>72433</v>
      </c>
      <c r="B2216" t="s">
        <v>2463</v>
      </c>
      <c r="C2216" t="s">
        <v>2621</v>
      </c>
      <c r="D2216" s="14" t="s">
        <v>2618</v>
      </c>
      <c r="E2216" s="12" t="s">
        <v>28</v>
      </c>
      <c r="F2216" s="13" t="s">
        <v>29</v>
      </c>
      <c r="G2216">
        <v>20</v>
      </c>
      <c r="H2216" t="s">
        <v>2466</v>
      </c>
      <c r="I2216">
        <v>20</v>
      </c>
      <c r="J2216" s="15"/>
      <c r="K2216" s="16">
        <f>39.61 - (39.61 * $E$1)</f>
        <v>39.61</v>
      </c>
      <c r="L2216" s="16">
        <f>32.47 - (32.47 * $E$1)</f>
        <v>32.47</v>
      </c>
      <c r="M2216" s="1">
        <v>39.61</v>
      </c>
      <c r="N2216" s="1">
        <v>32.47</v>
      </c>
      <c r="O2216" s="1">
        <v>33.67</v>
      </c>
      <c r="P2216" s="1">
        <v>27.6</v>
      </c>
      <c r="Q2216">
        <v>8.9999999999999993E-3</v>
      </c>
      <c r="R2216">
        <v>5.7750000000000001E-5</v>
      </c>
    </row>
    <row r="2217" spans="1:18" ht="13.8" outlineLevel="2" x14ac:dyDescent="0.25">
      <c r="A2217">
        <v>72434</v>
      </c>
      <c r="B2217" t="s">
        <v>2463</v>
      </c>
      <c r="C2217" t="s">
        <v>2622</v>
      </c>
      <c r="D2217" s="14" t="s">
        <v>2618</v>
      </c>
      <c r="E2217" s="12" t="s">
        <v>28</v>
      </c>
      <c r="F2217" s="13" t="s">
        <v>29</v>
      </c>
      <c r="G2217">
        <v>20</v>
      </c>
      <c r="H2217" t="s">
        <v>2466</v>
      </c>
      <c r="I2217">
        <v>20</v>
      </c>
      <c r="J2217" s="15"/>
      <c r="K2217" s="16">
        <f>49.65 - (49.65 * $E$1)</f>
        <v>49.65</v>
      </c>
      <c r="L2217" s="16">
        <f>40.7 - (40.7 * $E$1)</f>
        <v>40.700000000000003</v>
      </c>
      <c r="M2217" s="1">
        <v>49.65</v>
      </c>
      <c r="N2217" s="1">
        <v>40.700000000000003</v>
      </c>
      <c r="O2217" s="1">
        <v>42.21</v>
      </c>
      <c r="P2217" s="1">
        <v>34.6</v>
      </c>
      <c r="Q2217">
        <v>1.15E-2</v>
      </c>
      <c r="R2217">
        <v>5.7750000000000001E-5</v>
      </c>
    </row>
    <row r="2218" spans="1:18" ht="13.8" outlineLevel="2" x14ac:dyDescent="0.25">
      <c r="A2218">
        <v>72435</v>
      </c>
      <c r="B2218" t="s">
        <v>2463</v>
      </c>
      <c r="C2218" t="s">
        <v>2623</v>
      </c>
      <c r="D2218" s="14" t="s">
        <v>2618</v>
      </c>
      <c r="E2218" s="12" t="s">
        <v>28</v>
      </c>
      <c r="F2218" s="13" t="s">
        <v>29</v>
      </c>
      <c r="G2218">
        <v>20</v>
      </c>
      <c r="H2218" t="s">
        <v>2466</v>
      </c>
      <c r="I2218">
        <v>20</v>
      </c>
      <c r="J2218" s="15"/>
      <c r="K2218" s="16">
        <f>59.13 - (59.13 * $E$1)</f>
        <v>59.13</v>
      </c>
      <c r="L2218" s="16">
        <f>48.47 - (48.47 * $E$1)</f>
        <v>48.47</v>
      </c>
      <c r="M2218" s="1">
        <v>59.13</v>
      </c>
      <c r="N2218" s="1">
        <v>48.47</v>
      </c>
      <c r="O2218" s="1">
        <v>50.26</v>
      </c>
      <c r="P2218" s="1">
        <v>41.2</v>
      </c>
      <c r="Q2218">
        <v>1.2500000000000001E-2</v>
      </c>
      <c r="R2218">
        <v>5.7750000000000001E-5</v>
      </c>
    </row>
    <row r="2219" spans="1:18" ht="13.8" outlineLevel="2" x14ac:dyDescent="0.25">
      <c r="A2219">
        <v>72436</v>
      </c>
      <c r="B2219" t="s">
        <v>2463</v>
      </c>
      <c r="C2219" t="s">
        <v>2624</v>
      </c>
      <c r="D2219" s="14" t="s">
        <v>2618</v>
      </c>
      <c r="E2219" s="12" t="s">
        <v>28</v>
      </c>
      <c r="F2219" s="13" t="s">
        <v>29</v>
      </c>
      <c r="G2219">
        <v>20</v>
      </c>
      <c r="H2219" t="s">
        <v>2466</v>
      </c>
      <c r="I2219">
        <v>20</v>
      </c>
      <c r="J2219" s="15"/>
      <c r="K2219" s="16">
        <f>70.86 - (70.86 * $E$1)</f>
        <v>70.86</v>
      </c>
      <c r="L2219" s="16">
        <f>58.08 - (58.08 * $E$1)</f>
        <v>58.08</v>
      </c>
      <c r="M2219" s="1">
        <v>70.86</v>
      </c>
      <c r="N2219" s="1">
        <v>58.08</v>
      </c>
      <c r="O2219" s="1">
        <v>60.23</v>
      </c>
      <c r="P2219" s="1">
        <v>49.37</v>
      </c>
      <c r="Q2219">
        <v>1.4999999999999999E-2</v>
      </c>
      <c r="R2219">
        <v>5.7750000000000001E-5</v>
      </c>
    </row>
    <row r="2220" spans="1:18" ht="13.8" outlineLevel="2" x14ac:dyDescent="0.25">
      <c r="A2220">
        <v>72437</v>
      </c>
      <c r="B2220" t="s">
        <v>2463</v>
      </c>
      <c r="C2220" t="s">
        <v>2625</v>
      </c>
      <c r="D2220" s="14" t="s">
        <v>2618</v>
      </c>
      <c r="E2220" s="12" t="s">
        <v>28</v>
      </c>
      <c r="F2220" s="13" t="s">
        <v>29</v>
      </c>
      <c r="G2220">
        <v>10</v>
      </c>
      <c r="H2220" t="s">
        <v>2466</v>
      </c>
      <c r="I2220">
        <v>10</v>
      </c>
      <c r="J2220" s="15"/>
      <c r="K2220" s="16">
        <f>111.24 - (111.24 * $E$1)</f>
        <v>111.24</v>
      </c>
      <c r="L2220" s="16">
        <f>91.18 - (91.18 * $E$1)</f>
        <v>91.18</v>
      </c>
      <c r="M2220" s="1">
        <v>111.24</v>
      </c>
      <c r="N2220" s="1">
        <v>91.18</v>
      </c>
      <c r="O2220" s="1">
        <v>94.55</v>
      </c>
      <c r="P2220" s="1">
        <v>77.5</v>
      </c>
      <c r="Q2220">
        <v>2.5000000000000001E-2</v>
      </c>
      <c r="R2220">
        <v>1.155E-4</v>
      </c>
    </row>
    <row r="2221" spans="1:18" ht="13.8" outlineLevel="2" x14ac:dyDescent="0.25">
      <c r="A2221">
        <v>72438</v>
      </c>
      <c r="B2221" t="s">
        <v>2463</v>
      </c>
      <c r="C2221" t="s">
        <v>2626</v>
      </c>
      <c r="D2221" s="14" t="s">
        <v>2618</v>
      </c>
      <c r="E2221" s="12" t="s">
        <v>28</v>
      </c>
      <c r="F2221" s="13" t="s">
        <v>29</v>
      </c>
      <c r="G2221">
        <v>10</v>
      </c>
      <c r="H2221" t="s">
        <v>2466</v>
      </c>
      <c r="I2221">
        <v>10</v>
      </c>
      <c r="J2221" s="15"/>
      <c r="K2221" s="16">
        <f>135.96 - (135.96 * $E$1)</f>
        <v>135.96</v>
      </c>
      <c r="L2221" s="16">
        <f>111.44 - (111.44 * $E$1)</f>
        <v>111.44</v>
      </c>
      <c r="M2221" s="1">
        <v>135.96</v>
      </c>
      <c r="N2221" s="1">
        <v>111.44</v>
      </c>
      <c r="O2221" s="1">
        <v>115.56</v>
      </c>
      <c r="P2221" s="1">
        <v>94.72</v>
      </c>
      <c r="Q2221">
        <v>3.3000000000000002E-2</v>
      </c>
      <c r="R2221">
        <v>1.155E-4</v>
      </c>
    </row>
    <row r="2222" spans="1:18" ht="13.8" outlineLevel="2" x14ac:dyDescent="0.25">
      <c r="A2222">
        <v>84999</v>
      </c>
      <c r="B2222" t="s">
        <v>2463</v>
      </c>
      <c r="C2222" t="s">
        <v>2627</v>
      </c>
      <c r="D2222" s="14" t="s">
        <v>2618</v>
      </c>
      <c r="E2222" s="12" t="s">
        <v>28</v>
      </c>
      <c r="F2222" s="13" t="s">
        <v>29</v>
      </c>
      <c r="G2222">
        <v>10</v>
      </c>
      <c r="H2222" t="s">
        <v>2466</v>
      </c>
      <c r="I2222">
        <v>10</v>
      </c>
      <c r="J2222" s="15"/>
      <c r="K2222" s="16">
        <f>195.29 - (195.29 * $E$1)</f>
        <v>195.29</v>
      </c>
      <c r="L2222" s="16">
        <f>160.07 - (160.07 * $E$1)</f>
        <v>160.07</v>
      </c>
      <c r="M2222" s="1">
        <v>195.29</v>
      </c>
      <c r="N2222" s="1">
        <v>160.07</v>
      </c>
      <c r="O2222" s="1">
        <v>165.99</v>
      </c>
      <c r="P2222" s="1">
        <v>136.06</v>
      </c>
      <c r="Q2222">
        <v>4.1000000000000002E-2</v>
      </c>
      <c r="R2222">
        <v>8.2399999999999997E-5</v>
      </c>
    </row>
    <row r="2223" spans="1:18" ht="13.8" outlineLevel="2" x14ac:dyDescent="0.25">
      <c r="A2223">
        <v>72439</v>
      </c>
      <c r="B2223" t="s">
        <v>2463</v>
      </c>
      <c r="C2223" t="s">
        <v>2628</v>
      </c>
      <c r="D2223" s="14" t="s">
        <v>2618</v>
      </c>
      <c r="E2223" s="12" t="s">
        <v>28</v>
      </c>
      <c r="F2223" s="13" t="s">
        <v>29</v>
      </c>
      <c r="G2223">
        <v>5</v>
      </c>
      <c r="H2223" t="s">
        <v>2466</v>
      </c>
      <c r="I2223">
        <v>5</v>
      </c>
      <c r="J2223" s="15"/>
      <c r="K2223" s="16">
        <f>264.51 - (264.51 * $E$1)</f>
        <v>264.51</v>
      </c>
      <c r="L2223" s="16">
        <f>216.81 - (216.81 * $E$1)</f>
        <v>216.81</v>
      </c>
      <c r="M2223" s="1">
        <v>264.51</v>
      </c>
      <c r="N2223" s="1">
        <v>216.81</v>
      </c>
      <c r="O2223" s="1">
        <v>224.83</v>
      </c>
      <c r="P2223" s="1">
        <v>184.29</v>
      </c>
      <c r="Q2223">
        <v>5.1999999999999998E-2</v>
      </c>
      <c r="R2223">
        <v>2.31E-4</v>
      </c>
    </row>
    <row r="2224" spans="1:18" ht="13.8" outlineLevel="2" x14ac:dyDescent="0.25">
      <c r="A2224">
        <v>72440</v>
      </c>
      <c r="B2224" t="s">
        <v>2463</v>
      </c>
      <c r="C2224" t="s">
        <v>2629</v>
      </c>
      <c r="D2224" s="14" t="s">
        <v>2618</v>
      </c>
      <c r="E2224" s="12" t="s">
        <v>28</v>
      </c>
      <c r="F2224" s="13" t="s">
        <v>29</v>
      </c>
      <c r="G2224">
        <v>5</v>
      </c>
      <c r="H2224" t="s">
        <v>2466</v>
      </c>
      <c r="I2224">
        <v>5</v>
      </c>
      <c r="J2224" s="15"/>
      <c r="K2224" s="16">
        <f>361.33 - (361.33 * $E$1)</f>
        <v>361.33</v>
      </c>
      <c r="L2224" s="16">
        <f>296.17 - (296.17 * $E$1)</f>
        <v>296.17</v>
      </c>
      <c r="M2224" s="1">
        <v>361.33</v>
      </c>
      <c r="N2224" s="1">
        <v>296.17</v>
      </c>
      <c r="O2224" s="1">
        <v>307.13</v>
      </c>
      <c r="P2224" s="1">
        <v>251.74</v>
      </c>
      <c r="Q2224">
        <v>7.5999999999999998E-2</v>
      </c>
      <c r="R2224">
        <v>2.31E-4</v>
      </c>
    </row>
    <row r="2225" spans="1:18" ht="13.8" outlineLevel="2" x14ac:dyDescent="0.25">
      <c r="A2225">
        <v>85005</v>
      </c>
      <c r="B2225" t="s">
        <v>2463</v>
      </c>
      <c r="C2225" t="s">
        <v>2630</v>
      </c>
      <c r="D2225" s="14" t="s">
        <v>2618</v>
      </c>
      <c r="E2225" s="12" t="s">
        <v>28</v>
      </c>
      <c r="F2225" s="13" t="s">
        <v>29</v>
      </c>
      <c r="G2225">
        <v>5</v>
      </c>
      <c r="H2225" t="s">
        <v>2466</v>
      </c>
      <c r="I2225">
        <v>5</v>
      </c>
      <c r="J2225" s="15"/>
      <c r="K2225" s="16">
        <f>459.6 - (459.6 * $E$1)</f>
        <v>459.6</v>
      </c>
      <c r="L2225" s="16">
        <f>376.72 - (376.72 * $E$1)</f>
        <v>376.72</v>
      </c>
      <c r="M2225" s="1">
        <v>459.6</v>
      </c>
      <c r="N2225" s="1">
        <v>376.72</v>
      </c>
      <c r="O2225" s="1">
        <v>390.66</v>
      </c>
      <c r="P2225" s="1">
        <v>320.20999999999998</v>
      </c>
      <c r="Q2225">
        <v>9.1999999999999998E-2</v>
      </c>
      <c r="R2225">
        <v>1.6479999999999999E-4</v>
      </c>
    </row>
    <row r="2226" spans="1:18" ht="13.8" outlineLevel="2" x14ac:dyDescent="0.25">
      <c r="A2226">
        <v>73715</v>
      </c>
      <c r="B2226" t="s">
        <v>2463</v>
      </c>
      <c r="C2226" t="s">
        <v>2631</v>
      </c>
      <c r="D2226" s="14" t="s">
        <v>2618</v>
      </c>
      <c r="E2226" s="12" t="s">
        <v>28</v>
      </c>
      <c r="F2226" s="13" t="s">
        <v>29</v>
      </c>
      <c r="G2226">
        <v>5</v>
      </c>
      <c r="H2226" t="s">
        <v>2466</v>
      </c>
      <c r="I2226">
        <v>5</v>
      </c>
      <c r="J2226" s="15"/>
      <c r="K2226" s="16">
        <f>571.24 - (571.24 * $E$1)</f>
        <v>571.24</v>
      </c>
      <c r="L2226" s="16">
        <f>468.23 - (468.23 * $E$1)</f>
        <v>468.23</v>
      </c>
      <c r="M2226" s="1">
        <v>571.24</v>
      </c>
      <c r="N2226" s="1">
        <v>468.23</v>
      </c>
      <c r="O2226" s="1">
        <v>485.55</v>
      </c>
      <c r="P2226" s="1">
        <v>398</v>
      </c>
      <c r="Q2226">
        <v>0.13</v>
      </c>
      <c r="R2226">
        <v>3.456E-4</v>
      </c>
    </row>
    <row r="2227" spans="1:18" ht="13.8" outlineLevel="2" x14ac:dyDescent="0.25">
      <c r="A2227">
        <v>60084</v>
      </c>
      <c r="B2227" t="s">
        <v>2463</v>
      </c>
      <c r="C2227" t="s">
        <v>2632</v>
      </c>
      <c r="D2227" s="14" t="s">
        <v>2633</v>
      </c>
      <c r="E2227" s="12" t="s">
        <v>28</v>
      </c>
      <c r="F2227" s="13" t="s">
        <v>29</v>
      </c>
      <c r="G2227">
        <v>200</v>
      </c>
      <c r="H2227" t="s">
        <v>2466</v>
      </c>
      <c r="I2227">
        <v>200</v>
      </c>
      <c r="J2227" s="15"/>
      <c r="K2227" s="16">
        <f>8.63 - (8.63 * $E$1)</f>
        <v>8.6300000000000008</v>
      </c>
      <c r="L2227" s="16">
        <f>7.07 - (7.07 * $E$1)</f>
        <v>7.07</v>
      </c>
      <c r="M2227" s="1">
        <v>8.6300000000000008</v>
      </c>
      <c r="N2227" s="1">
        <v>7.07</v>
      </c>
      <c r="O2227" s="1">
        <v>7.33</v>
      </c>
      <c r="P2227" s="1">
        <v>6.01</v>
      </c>
      <c r="Q2227">
        <v>3.0400000000000002E-3</v>
      </c>
      <c r="R2227">
        <v>2.5315000000000001E-5</v>
      </c>
    </row>
    <row r="2228" spans="1:18" ht="13.8" outlineLevel="2" x14ac:dyDescent="0.25">
      <c r="A2228">
        <v>60085</v>
      </c>
      <c r="B2228" t="s">
        <v>2463</v>
      </c>
      <c r="C2228" t="s">
        <v>2634</v>
      </c>
      <c r="D2228" s="14" t="s">
        <v>2633</v>
      </c>
      <c r="E2228" s="12" t="s">
        <v>28</v>
      </c>
      <c r="F2228" s="13" t="s">
        <v>29</v>
      </c>
      <c r="G2228">
        <v>200</v>
      </c>
      <c r="H2228" t="s">
        <v>2466</v>
      </c>
      <c r="I2228">
        <v>200</v>
      </c>
      <c r="J2228" s="15"/>
      <c r="K2228" s="16">
        <f>11.75 - (11.75 * $E$1)</f>
        <v>11.75</v>
      </c>
      <c r="L2228" s="16">
        <f>9.63 - (9.63 * $E$1)</f>
        <v>9.6300000000000008</v>
      </c>
      <c r="M2228" s="1">
        <v>11.75</v>
      </c>
      <c r="N2228" s="1">
        <v>9.6300000000000008</v>
      </c>
      <c r="O2228" s="1">
        <v>9.99</v>
      </c>
      <c r="P2228" s="1">
        <v>8.19</v>
      </c>
      <c r="Q2228">
        <v>4.0699999999999998E-3</v>
      </c>
      <c r="R2228">
        <v>4.0500000000000002E-5</v>
      </c>
    </row>
    <row r="2229" spans="1:18" ht="13.8" outlineLevel="2" x14ac:dyDescent="0.25">
      <c r="A2229">
        <v>60086</v>
      </c>
      <c r="B2229" t="s">
        <v>2463</v>
      </c>
      <c r="C2229" t="s">
        <v>2635</v>
      </c>
      <c r="D2229" s="14" t="s">
        <v>2633</v>
      </c>
      <c r="E2229" s="12" t="s">
        <v>28</v>
      </c>
      <c r="F2229" s="13" t="s">
        <v>29</v>
      </c>
      <c r="G2229">
        <v>200</v>
      </c>
      <c r="H2229" t="s">
        <v>2466</v>
      </c>
      <c r="I2229">
        <v>200</v>
      </c>
      <c r="J2229" s="15"/>
      <c r="K2229" s="16">
        <f>14.8 - (14.8 * $E$1)</f>
        <v>14.8</v>
      </c>
      <c r="L2229" s="16">
        <f>12.13 - (12.13 * $E$1)</f>
        <v>12.13</v>
      </c>
      <c r="M2229" s="1">
        <v>14.8</v>
      </c>
      <c r="N2229" s="1">
        <v>12.13</v>
      </c>
      <c r="O2229" s="1">
        <v>12.58</v>
      </c>
      <c r="P2229" s="1">
        <v>10.31</v>
      </c>
      <c r="Q2229">
        <v>6.1000000000000004E-3</v>
      </c>
      <c r="R2229">
        <v>6.0749999999999999E-5</v>
      </c>
    </row>
    <row r="2230" spans="1:18" ht="13.8" outlineLevel="2" x14ac:dyDescent="0.25">
      <c r="A2230">
        <v>60087</v>
      </c>
      <c r="B2230" t="s">
        <v>2463</v>
      </c>
      <c r="C2230" t="s">
        <v>2636</v>
      </c>
      <c r="D2230" s="14" t="s">
        <v>2633</v>
      </c>
      <c r="E2230" s="12" t="s">
        <v>28</v>
      </c>
      <c r="F2230" s="13" t="s">
        <v>29</v>
      </c>
      <c r="G2230">
        <v>100</v>
      </c>
      <c r="H2230" t="s">
        <v>2466</v>
      </c>
      <c r="I2230">
        <v>100</v>
      </c>
      <c r="J2230" s="15"/>
      <c r="K2230" s="16">
        <f>20.07 - (20.07 * $E$1)</f>
        <v>20.07</v>
      </c>
      <c r="L2230" s="16">
        <f>16.45 - (16.45 * $E$1)</f>
        <v>16.45</v>
      </c>
      <c r="M2230" s="1">
        <v>20.07</v>
      </c>
      <c r="N2230" s="1">
        <v>16.45</v>
      </c>
      <c r="O2230" s="1">
        <v>17.059999999999999</v>
      </c>
      <c r="P2230" s="1">
        <v>13.98</v>
      </c>
      <c r="Q2230">
        <v>7.7000000000000002E-3</v>
      </c>
      <c r="R2230">
        <v>9.1130000000000003E-5</v>
      </c>
    </row>
    <row r="2231" spans="1:18" ht="13.8" outlineLevel="2" x14ac:dyDescent="0.25">
      <c r="A2231">
        <v>60088</v>
      </c>
      <c r="B2231" t="s">
        <v>2463</v>
      </c>
      <c r="C2231" t="s">
        <v>2637</v>
      </c>
      <c r="D2231" s="14" t="s">
        <v>2633</v>
      </c>
      <c r="E2231" s="12" t="s">
        <v>28</v>
      </c>
      <c r="F2231" s="13" t="s">
        <v>29</v>
      </c>
      <c r="G2231">
        <v>100</v>
      </c>
      <c r="H2231" t="s">
        <v>2466</v>
      </c>
      <c r="I2231">
        <v>100</v>
      </c>
      <c r="J2231" s="15"/>
      <c r="K2231" s="16">
        <f>22.33 - (22.33 * $E$1)</f>
        <v>22.33</v>
      </c>
      <c r="L2231" s="16">
        <f>18.3 - (18.3 * $E$1)</f>
        <v>18.3</v>
      </c>
      <c r="M2231" s="1">
        <v>22.33</v>
      </c>
      <c r="N2231" s="1">
        <v>18.3</v>
      </c>
      <c r="O2231" s="1">
        <v>18.98</v>
      </c>
      <c r="P2231" s="1">
        <v>15.56</v>
      </c>
      <c r="Q2231">
        <v>1.0200000000000001E-2</v>
      </c>
      <c r="R2231">
        <v>1.1137999999999999E-4</v>
      </c>
    </row>
    <row r="2232" spans="1:18" ht="13.8" outlineLevel="2" x14ac:dyDescent="0.25">
      <c r="A2232">
        <v>60089</v>
      </c>
      <c r="B2232" t="s">
        <v>2463</v>
      </c>
      <c r="C2232" t="s">
        <v>2638</v>
      </c>
      <c r="D2232" s="14" t="s">
        <v>2633</v>
      </c>
      <c r="E2232" s="12" t="s">
        <v>28</v>
      </c>
      <c r="F2232" s="13" t="s">
        <v>29</v>
      </c>
      <c r="G2232">
        <v>100</v>
      </c>
      <c r="H2232" t="s">
        <v>2466</v>
      </c>
      <c r="I2232">
        <v>100</v>
      </c>
      <c r="J2232" s="15"/>
      <c r="K2232" s="16">
        <f>24.71 - (24.71 * $E$1)</f>
        <v>24.71</v>
      </c>
      <c r="L2232" s="16">
        <f>20.25 - (20.25 * $E$1)</f>
        <v>20.25</v>
      </c>
      <c r="M2232" s="1">
        <v>24.71</v>
      </c>
      <c r="N2232" s="1">
        <v>20.25</v>
      </c>
      <c r="O2232" s="1">
        <v>21</v>
      </c>
      <c r="P2232" s="1">
        <v>17.21</v>
      </c>
      <c r="Q2232">
        <v>9.7199999999999995E-3</v>
      </c>
      <c r="R2232">
        <v>5.0630000000000001E-5</v>
      </c>
    </row>
    <row r="2233" spans="1:18" ht="13.8" outlineLevel="2" x14ac:dyDescent="0.25">
      <c r="A2233">
        <v>60090</v>
      </c>
      <c r="B2233" t="s">
        <v>2463</v>
      </c>
      <c r="C2233" t="s">
        <v>2639</v>
      </c>
      <c r="D2233" s="14" t="s">
        <v>2633</v>
      </c>
      <c r="E2233" s="12" t="s">
        <v>28</v>
      </c>
      <c r="F2233" s="13" t="s">
        <v>29</v>
      </c>
      <c r="G2233">
        <v>100</v>
      </c>
      <c r="H2233" t="s">
        <v>2466</v>
      </c>
      <c r="I2233">
        <v>100</v>
      </c>
      <c r="J2233" s="15"/>
      <c r="K2233" s="16">
        <f>28.34 - (28.34 * $E$1)</f>
        <v>28.34</v>
      </c>
      <c r="L2233" s="16">
        <f>23.23 - (23.23 * $E$1)</f>
        <v>23.23</v>
      </c>
      <c r="M2233" s="1">
        <v>28.34</v>
      </c>
      <c r="N2233" s="1">
        <v>23.23</v>
      </c>
      <c r="O2233" s="1">
        <v>24.09</v>
      </c>
      <c r="P2233" s="1">
        <v>19.75</v>
      </c>
      <c r="Q2233">
        <v>0.01</v>
      </c>
      <c r="R2233">
        <v>6.0749999999999999E-5</v>
      </c>
    </row>
    <row r="2234" spans="1:18" ht="13.8" outlineLevel="2" x14ac:dyDescent="0.25">
      <c r="A2234">
        <v>60091</v>
      </c>
      <c r="B2234" t="s">
        <v>2463</v>
      </c>
      <c r="C2234" t="s">
        <v>2640</v>
      </c>
      <c r="D2234" s="14" t="s">
        <v>2633</v>
      </c>
      <c r="E2234" s="12" t="s">
        <v>28</v>
      </c>
      <c r="F2234" s="13" t="s">
        <v>29</v>
      </c>
      <c r="G2234">
        <v>100</v>
      </c>
      <c r="H2234" t="s">
        <v>2466</v>
      </c>
      <c r="I2234">
        <v>100</v>
      </c>
      <c r="J2234" s="15"/>
      <c r="K2234" s="16">
        <f>32.72 - (32.72 * $E$1)</f>
        <v>32.72</v>
      </c>
      <c r="L2234" s="16">
        <f>26.82 - (26.82 * $E$1)</f>
        <v>26.82</v>
      </c>
      <c r="M2234" s="1">
        <v>32.72</v>
      </c>
      <c r="N2234" s="1">
        <v>26.82</v>
      </c>
      <c r="O2234" s="1">
        <v>27.81</v>
      </c>
      <c r="P2234" s="1">
        <v>22.8</v>
      </c>
      <c r="Q2234">
        <v>1.6199999999999999E-2</v>
      </c>
      <c r="R2234">
        <v>6.6829999999999995E-5</v>
      </c>
    </row>
    <row r="2235" spans="1:18" ht="13.8" outlineLevel="2" x14ac:dyDescent="0.25">
      <c r="A2235">
        <v>89489</v>
      </c>
      <c r="B2235" t="s">
        <v>2463</v>
      </c>
      <c r="C2235" t="s">
        <v>2641</v>
      </c>
      <c r="D2235" s="14" t="s">
        <v>2633</v>
      </c>
      <c r="E2235" s="12" t="s">
        <v>28</v>
      </c>
      <c r="F2235" s="13" t="s">
        <v>29</v>
      </c>
      <c r="G2235">
        <v>100</v>
      </c>
      <c r="H2235" t="s">
        <v>2466</v>
      </c>
      <c r="I2235">
        <v>100</v>
      </c>
      <c r="J2235" s="15"/>
      <c r="K2235" s="16">
        <f>41.25 - (41.25 * $E$1)</f>
        <v>41.25</v>
      </c>
      <c r="L2235" s="16">
        <f>33.81 - (33.81 * $E$1)</f>
        <v>33.81</v>
      </c>
      <c r="M2235" s="1">
        <v>41.25</v>
      </c>
      <c r="N2235" s="1">
        <v>33.81</v>
      </c>
      <c r="O2235" s="1">
        <v>35.06</v>
      </c>
      <c r="P2235" s="1">
        <v>28.74</v>
      </c>
      <c r="Q2235">
        <v>2.5000000000000001E-2</v>
      </c>
      <c r="R2235">
        <v>6.6829999999999995E-5</v>
      </c>
    </row>
    <row r="2236" spans="1:18" ht="13.8" outlineLevel="2" x14ac:dyDescent="0.25">
      <c r="A2236">
        <v>60092</v>
      </c>
      <c r="B2236" t="s">
        <v>2463</v>
      </c>
      <c r="C2236" t="s">
        <v>2642</v>
      </c>
      <c r="D2236" s="14" t="s">
        <v>2633</v>
      </c>
      <c r="E2236" s="12" t="s">
        <v>28</v>
      </c>
      <c r="F2236" s="13" t="s">
        <v>29</v>
      </c>
      <c r="G2236">
        <v>100</v>
      </c>
      <c r="H2236" t="s">
        <v>2466</v>
      </c>
      <c r="I2236">
        <v>100</v>
      </c>
      <c r="J2236" s="15"/>
      <c r="K2236" s="16">
        <f>50.98 - (50.98 * $E$1)</f>
        <v>50.98</v>
      </c>
      <c r="L2236" s="16">
        <f>41.79 - (41.79 * $E$1)</f>
        <v>41.79</v>
      </c>
      <c r="M2236" s="1">
        <v>50.98</v>
      </c>
      <c r="N2236" s="1">
        <v>41.79</v>
      </c>
      <c r="O2236" s="1">
        <v>43.34</v>
      </c>
      <c r="P2236" s="1">
        <v>35.520000000000003</v>
      </c>
      <c r="Q2236">
        <v>1.84E-2</v>
      </c>
      <c r="R2236">
        <v>8.1000000000000004E-5</v>
      </c>
    </row>
    <row r="2237" spans="1:18" ht="13.8" outlineLevel="2" x14ac:dyDescent="0.25">
      <c r="A2237">
        <v>60093</v>
      </c>
      <c r="B2237" t="s">
        <v>2463</v>
      </c>
      <c r="C2237" t="s">
        <v>2643</v>
      </c>
      <c r="D2237" s="14" t="s">
        <v>2633</v>
      </c>
      <c r="E2237" s="12" t="s">
        <v>28</v>
      </c>
      <c r="F2237" s="13" t="s">
        <v>29</v>
      </c>
      <c r="G2237">
        <v>100</v>
      </c>
      <c r="H2237" t="s">
        <v>2466</v>
      </c>
      <c r="I2237">
        <v>100</v>
      </c>
      <c r="J2237" s="15"/>
      <c r="K2237" s="16">
        <f>74.55 - (74.55 * $E$1)</f>
        <v>74.55</v>
      </c>
      <c r="L2237" s="16">
        <f>61.11 - (61.11 * $E$1)</f>
        <v>61.11</v>
      </c>
      <c r="M2237" s="1">
        <v>74.55</v>
      </c>
      <c r="N2237" s="1">
        <v>61.11</v>
      </c>
      <c r="O2237" s="1">
        <v>63.37</v>
      </c>
      <c r="P2237" s="1">
        <v>51.94</v>
      </c>
      <c r="Q2237">
        <v>2.93E-2</v>
      </c>
      <c r="R2237">
        <v>8.1000000000000004E-5</v>
      </c>
    </row>
    <row r="2238" spans="1:18" ht="13.8" outlineLevel="2" x14ac:dyDescent="0.25">
      <c r="A2238">
        <v>60094</v>
      </c>
      <c r="B2238" t="s">
        <v>2463</v>
      </c>
      <c r="C2238" t="s">
        <v>2644</v>
      </c>
      <c r="D2238" s="14" t="s">
        <v>2633</v>
      </c>
      <c r="E2238" s="12" t="s">
        <v>28</v>
      </c>
      <c r="F2238" s="13" t="s">
        <v>29</v>
      </c>
      <c r="G2238">
        <v>50</v>
      </c>
      <c r="H2238" t="s">
        <v>2466</v>
      </c>
      <c r="I2238">
        <v>50</v>
      </c>
      <c r="J2238" s="15"/>
      <c r="K2238" s="16">
        <f>103.72 - (103.72 * $E$1)</f>
        <v>103.72</v>
      </c>
      <c r="L2238" s="16">
        <f>85.02 - (85.02 * $E$1)</f>
        <v>85.02</v>
      </c>
      <c r="M2238" s="1">
        <v>103.72</v>
      </c>
      <c r="N2238" s="1">
        <v>85.02</v>
      </c>
      <c r="O2238" s="1">
        <v>88.17</v>
      </c>
      <c r="P2238" s="1">
        <v>72.27</v>
      </c>
      <c r="Q2238">
        <v>3.1199999999999999E-2</v>
      </c>
      <c r="R2238">
        <v>6.2500000000000001E-5</v>
      </c>
    </row>
    <row r="2239" spans="1:18" ht="13.8" outlineLevel="2" x14ac:dyDescent="0.25">
      <c r="A2239">
        <v>60095</v>
      </c>
      <c r="B2239" t="s">
        <v>2463</v>
      </c>
      <c r="C2239" t="s">
        <v>2645</v>
      </c>
      <c r="D2239" s="14" t="s">
        <v>2633</v>
      </c>
      <c r="E2239" s="12" t="s">
        <v>28</v>
      </c>
      <c r="F2239" s="13" t="s">
        <v>29</v>
      </c>
      <c r="G2239">
        <v>50</v>
      </c>
      <c r="H2239" t="s">
        <v>2466</v>
      </c>
      <c r="I2239">
        <v>50</v>
      </c>
      <c r="J2239" s="15"/>
      <c r="K2239" s="16">
        <f>136.49 - (136.49 * $E$1)</f>
        <v>136.49</v>
      </c>
      <c r="L2239" s="16">
        <f>111.88 - (111.88 * $E$1)</f>
        <v>111.88</v>
      </c>
      <c r="M2239" s="1">
        <v>136.49</v>
      </c>
      <c r="N2239" s="1">
        <v>111.88</v>
      </c>
      <c r="O2239" s="1">
        <v>116.02</v>
      </c>
      <c r="P2239" s="1">
        <v>95.1</v>
      </c>
      <c r="Q2239">
        <v>5.9520000000000003E-2</v>
      </c>
      <c r="R2239">
        <v>1.0396E-4</v>
      </c>
    </row>
    <row r="2240" spans="1:18" ht="13.8" outlineLevel="2" x14ac:dyDescent="0.25">
      <c r="A2240">
        <v>60096</v>
      </c>
      <c r="B2240" t="s">
        <v>2463</v>
      </c>
      <c r="C2240" t="s">
        <v>2646</v>
      </c>
      <c r="D2240" s="14" t="s">
        <v>2633</v>
      </c>
      <c r="E2240" s="12" t="s">
        <v>28</v>
      </c>
      <c r="F2240" s="13" t="s">
        <v>29</v>
      </c>
      <c r="G2240">
        <v>50</v>
      </c>
      <c r="H2240" t="s">
        <v>2466</v>
      </c>
      <c r="I2240">
        <v>50</v>
      </c>
      <c r="J2240" s="15"/>
      <c r="K2240" s="16">
        <f>187.05 - (187.05 * $E$1)</f>
        <v>187.05</v>
      </c>
      <c r="L2240" s="16">
        <f>153.32 - (153.32 * $E$1)</f>
        <v>153.32</v>
      </c>
      <c r="M2240" s="1">
        <v>187.05</v>
      </c>
      <c r="N2240" s="1">
        <v>153.32</v>
      </c>
      <c r="O2240" s="1">
        <v>158.99</v>
      </c>
      <c r="P2240" s="1">
        <v>130.32</v>
      </c>
      <c r="Q2240">
        <v>7.3760000000000006E-2</v>
      </c>
      <c r="R2240">
        <v>1.2184E-4</v>
      </c>
    </row>
    <row r="2241" spans="1:18" ht="13.8" outlineLevel="2" x14ac:dyDescent="0.25">
      <c r="A2241">
        <v>60097</v>
      </c>
      <c r="B2241" t="s">
        <v>2463</v>
      </c>
      <c r="C2241" t="s">
        <v>2647</v>
      </c>
      <c r="D2241" s="14" t="s">
        <v>2633</v>
      </c>
      <c r="E2241" s="12" t="s">
        <v>28</v>
      </c>
      <c r="F2241" s="13" t="s">
        <v>29</v>
      </c>
      <c r="G2241">
        <v>25</v>
      </c>
      <c r="H2241" t="s">
        <v>2466</v>
      </c>
      <c r="I2241">
        <v>25</v>
      </c>
      <c r="J2241" s="15"/>
      <c r="K2241" s="16">
        <f>257.33 - (257.33 * $E$1)</f>
        <v>257.33</v>
      </c>
      <c r="L2241" s="16">
        <f>210.93 - (210.93 * $E$1)</f>
        <v>210.93</v>
      </c>
      <c r="M2241" s="1">
        <v>257.33</v>
      </c>
      <c r="N2241" s="1">
        <v>210.93</v>
      </c>
      <c r="O2241" s="1">
        <v>218.73</v>
      </c>
      <c r="P2241" s="1">
        <v>179.29</v>
      </c>
      <c r="Q2241">
        <v>0.10736</v>
      </c>
      <c r="R2241">
        <v>2.2052000000000001E-4</v>
      </c>
    </row>
    <row r="2242" spans="1:18" ht="13.8" outlineLevel="2" x14ac:dyDescent="0.25">
      <c r="A2242">
        <v>60098</v>
      </c>
      <c r="B2242" t="s">
        <v>2463</v>
      </c>
      <c r="C2242" t="s">
        <v>2648</v>
      </c>
      <c r="D2242" s="14" t="s">
        <v>2633</v>
      </c>
      <c r="E2242" s="12" t="s">
        <v>28</v>
      </c>
      <c r="F2242" s="13" t="s">
        <v>29</v>
      </c>
      <c r="G2242">
        <v>25</v>
      </c>
      <c r="H2242" t="s">
        <v>2466</v>
      </c>
      <c r="I2242">
        <v>25</v>
      </c>
      <c r="J2242" s="15"/>
      <c r="K2242" s="16">
        <f>357.39 - (357.39 * $E$1)</f>
        <v>357.39</v>
      </c>
      <c r="L2242" s="16">
        <f>292.94 - (292.94 * $E$1)</f>
        <v>292.94</v>
      </c>
      <c r="M2242" s="1">
        <v>357.39</v>
      </c>
      <c r="N2242" s="1">
        <v>292.94</v>
      </c>
      <c r="O2242" s="1">
        <v>303.77999999999997</v>
      </c>
      <c r="P2242" s="1">
        <v>249</v>
      </c>
      <c r="Q2242">
        <v>0.12056</v>
      </c>
      <c r="R2242">
        <v>2.52E-4</v>
      </c>
    </row>
    <row r="2243" spans="1:18" ht="13.8" outlineLevel="2" x14ac:dyDescent="0.25">
      <c r="A2243">
        <v>92355</v>
      </c>
      <c r="B2243" t="s">
        <v>2463</v>
      </c>
      <c r="C2243" t="s">
        <v>2649</v>
      </c>
      <c r="D2243" s="14" t="s">
        <v>2633</v>
      </c>
      <c r="E2243" s="12" t="s">
        <v>28</v>
      </c>
      <c r="F2243" s="13" t="s">
        <v>29</v>
      </c>
      <c r="G2243">
        <v>25</v>
      </c>
      <c r="H2243" t="s">
        <v>2466</v>
      </c>
      <c r="I2243">
        <v>25</v>
      </c>
      <c r="J2243" s="15"/>
      <c r="K2243" s="16">
        <f>413.51 - (413.51 * $E$1)</f>
        <v>413.51</v>
      </c>
      <c r="L2243" s="16">
        <f>338.94 - (338.94 * $E$1)</f>
        <v>338.94</v>
      </c>
      <c r="M2243" s="1">
        <v>413.51</v>
      </c>
      <c r="N2243" s="1">
        <v>338.94</v>
      </c>
      <c r="O2243" s="1">
        <v>351.48</v>
      </c>
      <c r="P2243" s="1">
        <v>288.10000000000002</v>
      </c>
      <c r="Q2243">
        <v>0.17480000000000001</v>
      </c>
      <c r="R2243">
        <v>4.0368000000000001E-4</v>
      </c>
    </row>
    <row r="2244" spans="1:18" ht="13.8" outlineLevel="2" x14ac:dyDescent="0.25">
      <c r="A2244">
        <v>60099</v>
      </c>
      <c r="B2244" t="s">
        <v>2463</v>
      </c>
      <c r="C2244" t="s">
        <v>2650</v>
      </c>
      <c r="D2244" s="14" t="s">
        <v>2633</v>
      </c>
      <c r="E2244" s="12" t="s">
        <v>28</v>
      </c>
      <c r="F2244" s="13" t="s">
        <v>29</v>
      </c>
      <c r="G2244">
        <v>25</v>
      </c>
      <c r="H2244" t="s">
        <v>2466</v>
      </c>
      <c r="I2244">
        <v>25</v>
      </c>
      <c r="J2244" s="15"/>
      <c r="K2244" s="16">
        <f>478.67 - (478.67 * $E$1)</f>
        <v>478.67</v>
      </c>
      <c r="L2244" s="16">
        <f>392.35 - (392.35 * $E$1)</f>
        <v>392.35</v>
      </c>
      <c r="M2244" s="1">
        <v>478.67</v>
      </c>
      <c r="N2244" s="1">
        <v>392.35</v>
      </c>
      <c r="O2244" s="1">
        <v>406.87</v>
      </c>
      <c r="P2244" s="1">
        <v>333.5</v>
      </c>
      <c r="Q2244">
        <v>0.14799999999999999</v>
      </c>
      <c r="R2244">
        <v>2.6323999999999998E-4</v>
      </c>
    </row>
    <row r="2245" spans="1:18" ht="13.8" outlineLevel="2" x14ac:dyDescent="0.25">
      <c r="A2245">
        <v>60100</v>
      </c>
      <c r="B2245" t="s">
        <v>2463</v>
      </c>
      <c r="C2245" t="s">
        <v>2651</v>
      </c>
      <c r="D2245" s="14" t="s">
        <v>2633</v>
      </c>
      <c r="E2245" s="12" t="s">
        <v>28</v>
      </c>
      <c r="F2245" s="13" t="s">
        <v>29</v>
      </c>
      <c r="G2245">
        <v>25</v>
      </c>
      <c r="H2245" t="s">
        <v>2466</v>
      </c>
      <c r="I2245">
        <v>25</v>
      </c>
      <c r="J2245" s="15"/>
      <c r="K2245" s="16">
        <f>620.94 - (620.94 * $E$1)</f>
        <v>620.94000000000005</v>
      </c>
      <c r="L2245" s="16">
        <f>508.97 - (508.97 * $E$1)</f>
        <v>508.97</v>
      </c>
      <c r="M2245" s="1">
        <v>620.94000000000005</v>
      </c>
      <c r="N2245" s="1">
        <v>508.97</v>
      </c>
      <c r="O2245" s="1">
        <v>527.79999999999995</v>
      </c>
      <c r="P2245" s="1">
        <v>432.62</v>
      </c>
      <c r="Q2245">
        <v>0.18</v>
      </c>
      <c r="R2245">
        <v>3.3411999999999998E-4</v>
      </c>
    </row>
    <row r="2246" spans="1:18" ht="13.8" outlineLevel="2" x14ac:dyDescent="0.25">
      <c r="A2246">
        <v>60101</v>
      </c>
      <c r="B2246" t="s">
        <v>2463</v>
      </c>
      <c r="C2246" t="s">
        <v>2652</v>
      </c>
      <c r="D2246" s="14" t="s">
        <v>2633</v>
      </c>
      <c r="E2246" s="12" t="s">
        <v>28</v>
      </c>
      <c r="F2246" s="13" t="s">
        <v>29</v>
      </c>
      <c r="G2246">
        <v>25</v>
      </c>
      <c r="H2246" t="s">
        <v>2466</v>
      </c>
      <c r="I2246">
        <v>25</v>
      </c>
      <c r="J2246" s="15"/>
      <c r="K2246" s="16">
        <f>817.22 - (817.22 * $E$1)</f>
        <v>817.22</v>
      </c>
      <c r="L2246" s="16">
        <f>669.85 - (669.85 * $E$1)</f>
        <v>669.85</v>
      </c>
      <c r="M2246" s="1">
        <v>817.22</v>
      </c>
      <c r="N2246" s="1">
        <v>669.85</v>
      </c>
      <c r="O2246" s="1">
        <v>694.63</v>
      </c>
      <c r="P2246" s="1">
        <v>569.37</v>
      </c>
      <c r="Q2246">
        <v>0.34</v>
      </c>
      <c r="R2246">
        <v>5.2935999999999999E-4</v>
      </c>
    </row>
    <row r="2247" spans="1:18" ht="13.8" outlineLevel="2" x14ac:dyDescent="0.25">
      <c r="A2247">
        <v>84956</v>
      </c>
      <c r="B2247" t="s">
        <v>2463</v>
      </c>
      <c r="C2247" t="s">
        <v>2653</v>
      </c>
      <c r="D2247" s="14" t="s">
        <v>2633</v>
      </c>
      <c r="E2247" s="12" t="s">
        <v>28</v>
      </c>
      <c r="F2247" s="13" t="s">
        <v>29</v>
      </c>
      <c r="G2247">
        <v>10</v>
      </c>
      <c r="H2247" t="s">
        <v>2466</v>
      </c>
      <c r="I2247">
        <v>10</v>
      </c>
      <c r="J2247" s="15"/>
      <c r="K2247" s="16">
        <f>1092.99 - (1092.99 * $E$1)</f>
        <v>1092.99</v>
      </c>
      <c r="L2247" s="16">
        <f>895.89 - (895.89 * $E$1)</f>
        <v>895.89</v>
      </c>
      <c r="M2247" s="1">
        <v>1092.99</v>
      </c>
      <c r="N2247" s="1">
        <v>895.89</v>
      </c>
      <c r="O2247" s="1">
        <v>929.04</v>
      </c>
      <c r="P2247" s="1">
        <v>761.51</v>
      </c>
      <c r="Q2247">
        <v>0.375</v>
      </c>
      <c r="R2247">
        <v>6.0000000000000002E-5</v>
      </c>
    </row>
    <row r="2248" spans="1:18" ht="13.8" outlineLevel="2" x14ac:dyDescent="0.25">
      <c r="A2248">
        <v>84957</v>
      </c>
      <c r="B2248" t="s">
        <v>2463</v>
      </c>
      <c r="C2248" t="s">
        <v>2654</v>
      </c>
      <c r="D2248" s="14" t="s">
        <v>2633</v>
      </c>
      <c r="E2248" s="12" t="s">
        <v>28</v>
      </c>
      <c r="F2248" s="13" t="s">
        <v>29</v>
      </c>
      <c r="G2248">
        <v>10</v>
      </c>
      <c r="H2248" t="s">
        <v>2466</v>
      </c>
      <c r="I2248">
        <v>10</v>
      </c>
      <c r="J2248" s="15"/>
      <c r="K2248" s="16">
        <f>1492.8 - (1492.8 * $E$1)</f>
        <v>1492.8</v>
      </c>
      <c r="L2248" s="16">
        <f>1223.61 - (1223.61 * $E$1)</f>
        <v>1223.6099999999999</v>
      </c>
      <c r="M2248" s="1">
        <v>1492.8</v>
      </c>
      <c r="N2248" s="1">
        <v>1223.6099999999999</v>
      </c>
      <c r="O2248" s="1">
        <v>1268.8800000000001</v>
      </c>
      <c r="P2248" s="1">
        <v>1040.07</v>
      </c>
      <c r="Q2248">
        <v>0.47499999999999998</v>
      </c>
      <c r="R2248">
        <v>6.9999999999999994E-5</v>
      </c>
    </row>
    <row r="2249" spans="1:18" ht="13.8" outlineLevel="2" x14ac:dyDescent="0.25">
      <c r="A2249">
        <v>92356</v>
      </c>
      <c r="B2249" t="s">
        <v>2463</v>
      </c>
      <c r="C2249" t="s">
        <v>2655</v>
      </c>
      <c r="D2249" s="14" t="s">
        <v>2633</v>
      </c>
      <c r="E2249" s="12" t="s">
        <v>28</v>
      </c>
      <c r="F2249" s="13" t="s">
        <v>29</v>
      </c>
      <c r="G2249">
        <v>10</v>
      </c>
      <c r="H2249" t="s">
        <v>2466</v>
      </c>
      <c r="I2249">
        <v>10</v>
      </c>
      <c r="J2249" s="15"/>
      <c r="K2249" s="16">
        <f>1877.26 - (1877.26 * $E$1)</f>
        <v>1877.26</v>
      </c>
      <c r="L2249" s="16">
        <f>1538.74 - (1538.74 * $E$1)</f>
        <v>1538.74</v>
      </c>
      <c r="M2249" s="1">
        <v>1877.26</v>
      </c>
      <c r="N2249" s="1">
        <v>1538.74</v>
      </c>
      <c r="O2249" s="1">
        <v>1595.67</v>
      </c>
      <c r="P2249" s="1">
        <v>1307.93</v>
      </c>
      <c r="Q2249">
        <v>0.68679999999999997</v>
      </c>
      <c r="R2249">
        <v>1.5487999999999999E-3</v>
      </c>
    </row>
    <row r="2250" spans="1:18" ht="13.8" outlineLevel="2" x14ac:dyDescent="0.25">
      <c r="A2250">
        <v>84958</v>
      </c>
      <c r="B2250" t="s">
        <v>2463</v>
      </c>
      <c r="C2250" t="s">
        <v>2656</v>
      </c>
      <c r="D2250" s="14" t="s">
        <v>2657</v>
      </c>
      <c r="E2250" s="12" t="s">
        <v>28</v>
      </c>
      <c r="F2250" s="13" t="s">
        <v>29</v>
      </c>
      <c r="G2250">
        <v>200</v>
      </c>
      <c r="H2250" t="s">
        <v>2466</v>
      </c>
      <c r="I2250">
        <v>200</v>
      </c>
      <c r="J2250" s="15"/>
      <c r="K2250" s="16">
        <f>22.61 - (22.61 * $E$1)</f>
        <v>22.61</v>
      </c>
      <c r="L2250" s="16">
        <f>18.53 - (18.53 * $E$1)</f>
        <v>18.53</v>
      </c>
      <c r="M2250" s="1">
        <v>22.61</v>
      </c>
      <c r="N2250" s="1">
        <v>18.53</v>
      </c>
      <c r="O2250" s="1">
        <v>19.22</v>
      </c>
      <c r="P2250" s="1">
        <v>15.75</v>
      </c>
      <c r="Q2250">
        <v>3.5000000000000001E-3</v>
      </c>
      <c r="R2250">
        <v>2.6449999999999999E-5</v>
      </c>
    </row>
    <row r="2251" spans="1:18" ht="13.8" outlineLevel="2" x14ac:dyDescent="0.25">
      <c r="A2251">
        <v>84959</v>
      </c>
      <c r="B2251" t="s">
        <v>2463</v>
      </c>
      <c r="C2251" t="s">
        <v>2658</v>
      </c>
      <c r="D2251" s="14" t="s">
        <v>2657</v>
      </c>
      <c r="E2251" s="12" t="s">
        <v>28</v>
      </c>
      <c r="F2251" s="13" t="s">
        <v>29</v>
      </c>
      <c r="G2251">
        <v>200</v>
      </c>
      <c r="H2251" t="s">
        <v>2466</v>
      </c>
      <c r="I2251">
        <v>200</v>
      </c>
      <c r="J2251" s="15"/>
      <c r="K2251" s="16">
        <f>23.9 - (23.9 * $E$1)</f>
        <v>23.9</v>
      </c>
      <c r="L2251" s="16">
        <f>19.59 - (19.59 * $E$1)</f>
        <v>19.59</v>
      </c>
      <c r="M2251" s="1">
        <v>23.9</v>
      </c>
      <c r="N2251" s="1">
        <v>19.59</v>
      </c>
      <c r="O2251" s="1">
        <v>20.309999999999999</v>
      </c>
      <c r="P2251" s="1">
        <v>16.649999999999999</v>
      </c>
      <c r="Q2251">
        <v>4.4999999999999997E-3</v>
      </c>
      <c r="R2251">
        <v>4.2320000000000001E-5</v>
      </c>
    </row>
    <row r="2252" spans="1:18" ht="13.8" outlineLevel="2" x14ac:dyDescent="0.25">
      <c r="A2252">
        <v>60103</v>
      </c>
      <c r="B2252" t="s">
        <v>2463</v>
      </c>
      <c r="C2252" t="s">
        <v>2659</v>
      </c>
      <c r="D2252" s="14" t="s">
        <v>2657</v>
      </c>
      <c r="E2252" s="12" t="s">
        <v>28</v>
      </c>
      <c r="F2252" s="13" t="s">
        <v>29</v>
      </c>
      <c r="G2252">
        <v>200</v>
      </c>
      <c r="H2252" t="s">
        <v>2466</v>
      </c>
      <c r="I2252">
        <v>200</v>
      </c>
      <c r="J2252" s="15"/>
      <c r="K2252" s="16">
        <f>26.39 - (26.39 * $E$1)</f>
        <v>26.39</v>
      </c>
      <c r="L2252" s="16">
        <f>21.63 - (21.63 * $E$1)</f>
        <v>21.63</v>
      </c>
      <c r="M2252" s="1">
        <v>26.39</v>
      </c>
      <c r="N2252" s="1">
        <v>21.63</v>
      </c>
      <c r="O2252" s="1">
        <v>22.43</v>
      </c>
      <c r="P2252" s="1">
        <v>18.39</v>
      </c>
      <c r="Q2252">
        <v>5.4999999999999997E-3</v>
      </c>
      <c r="R2252">
        <v>5.5689999999999997E-5</v>
      </c>
    </row>
    <row r="2253" spans="1:18" ht="13.8" outlineLevel="2" x14ac:dyDescent="0.25">
      <c r="A2253">
        <v>60104</v>
      </c>
      <c r="B2253" t="s">
        <v>2463</v>
      </c>
      <c r="C2253" t="s">
        <v>2660</v>
      </c>
      <c r="D2253" s="14" t="s">
        <v>2657</v>
      </c>
      <c r="E2253" s="12" t="s">
        <v>28</v>
      </c>
      <c r="F2253" s="13" t="s">
        <v>29</v>
      </c>
      <c r="G2253">
        <v>100</v>
      </c>
      <c r="H2253" t="s">
        <v>2466</v>
      </c>
      <c r="I2253">
        <v>100</v>
      </c>
      <c r="J2253" s="15"/>
      <c r="K2253" s="16">
        <f>34.18 - (34.18 * $E$1)</f>
        <v>34.18</v>
      </c>
      <c r="L2253" s="16">
        <f>28.02 - (28.02 * $E$1)</f>
        <v>28.02</v>
      </c>
      <c r="M2253" s="1">
        <v>34.18</v>
      </c>
      <c r="N2253" s="1">
        <v>28.02</v>
      </c>
      <c r="O2253" s="1">
        <v>29.06</v>
      </c>
      <c r="P2253" s="1">
        <v>23.82</v>
      </c>
      <c r="Q2253">
        <v>8.8400000000000006E-3</v>
      </c>
      <c r="R2253">
        <v>1.053E-4</v>
      </c>
    </row>
    <row r="2254" spans="1:18" ht="13.8" outlineLevel="2" x14ac:dyDescent="0.25">
      <c r="A2254">
        <v>60105</v>
      </c>
      <c r="B2254" t="s">
        <v>2463</v>
      </c>
      <c r="C2254" t="s">
        <v>2661</v>
      </c>
      <c r="D2254" s="14" t="s">
        <v>2657</v>
      </c>
      <c r="E2254" s="12" t="s">
        <v>28</v>
      </c>
      <c r="F2254" s="13" t="s">
        <v>29</v>
      </c>
      <c r="G2254">
        <v>100</v>
      </c>
      <c r="H2254" t="s">
        <v>2466</v>
      </c>
      <c r="I2254">
        <v>100</v>
      </c>
      <c r="J2254" s="15"/>
      <c r="K2254" s="16">
        <f>37.38 - (37.38 * $E$1)</f>
        <v>37.380000000000003</v>
      </c>
      <c r="L2254" s="16">
        <f>30.64 - (30.64 * $E$1)</f>
        <v>30.64</v>
      </c>
      <c r="M2254" s="1">
        <v>37.380000000000003</v>
      </c>
      <c r="N2254" s="1">
        <v>30.64</v>
      </c>
      <c r="O2254" s="1">
        <v>31.77</v>
      </c>
      <c r="P2254" s="1">
        <v>26.04</v>
      </c>
      <c r="Q2254">
        <v>1.1520000000000001E-2</v>
      </c>
      <c r="R2254">
        <v>5.0630000000000001E-5</v>
      </c>
    </row>
    <row r="2255" spans="1:18" ht="13.8" outlineLevel="2" x14ac:dyDescent="0.25">
      <c r="A2255">
        <v>60106</v>
      </c>
      <c r="B2255" t="s">
        <v>2463</v>
      </c>
      <c r="C2255" t="s">
        <v>2662</v>
      </c>
      <c r="D2255" s="14" t="s">
        <v>2657</v>
      </c>
      <c r="E2255" s="12" t="s">
        <v>28</v>
      </c>
      <c r="F2255" s="13" t="s">
        <v>29</v>
      </c>
      <c r="G2255">
        <v>100</v>
      </c>
      <c r="H2255" t="s">
        <v>2466</v>
      </c>
      <c r="I2255">
        <v>100</v>
      </c>
      <c r="J2255" s="15"/>
      <c r="K2255" s="16">
        <f>46.37 - (46.37 * $E$1)</f>
        <v>46.37</v>
      </c>
      <c r="L2255" s="16">
        <f>38.01 - (38.01 * $E$1)</f>
        <v>38.01</v>
      </c>
      <c r="M2255" s="1">
        <v>46.37</v>
      </c>
      <c r="N2255" s="1">
        <v>38.01</v>
      </c>
      <c r="O2255" s="1">
        <v>39.42</v>
      </c>
      <c r="P2255" s="1">
        <v>32.31</v>
      </c>
      <c r="Q2255">
        <v>1.7399999999999999E-2</v>
      </c>
      <c r="R2255">
        <v>5.4209999999999998E-5</v>
      </c>
    </row>
    <row r="2256" spans="1:18" ht="13.8" outlineLevel="2" x14ac:dyDescent="0.25">
      <c r="A2256">
        <v>60107</v>
      </c>
      <c r="B2256" t="s">
        <v>2463</v>
      </c>
      <c r="C2256" t="s">
        <v>2663</v>
      </c>
      <c r="D2256" s="14" t="s">
        <v>2657</v>
      </c>
      <c r="E2256" s="12" t="s">
        <v>28</v>
      </c>
      <c r="F2256" s="13" t="s">
        <v>29</v>
      </c>
      <c r="G2256">
        <v>100</v>
      </c>
      <c r="H2256" t="s">
        <v>2466</v>
      </c>
      <c r="I2256">
        <v>100</v>
      </c>
      <c r="J2256" s="15"/>
      <c r="K2256" s="16">
        <f>57.96 - (57.96 * $E$1)</f>
        <v>57.96</v>
      </c>
      <c r="L2256" s="16">
        <f>47.51 - (47.51 * $E$1)</f>
        <v>47.51</v>
      </c>
      <c r="M2256" s="1">
        <v>57.96</v>
      </c>
      <c r="N2256" s="1">
        <v>47.51</v>
      </c>
      <c r="O2256" s="1">
        <v>49.27</v>
      </c>
      <c r="P2256" s="1">
        <v>40.380000000000003</v>
      </c>
      <c r="Q2256">
        <v>1.55E-2</v>
      </c>
      <c r="R2256">
        <v>7.0879999999999999E-5</v>
      </c>
    </row>
    <row r="2257" spans="1:18" ht="13.8" outlineLevel="2" x14ac:dyDescent="0.25">
      <c r="A2257">
        <v>60108</v>
      </c>
      <c r="B2257" t="s">
        <v>2463</v>
      </c>
      <c r="C2257" t="s">
        <v>2664</v>
      </c>
      <c r="D2257" s="14" t="s">
        <v>2657</v>
      </c>
      <c r="E2257" s="12" t="s">
        <v>28</v>
      </c>
      <c r="F2257" s="13" t="s">
        <v>29</v>
      </c>
      <c r="G2257">
        <v>100</v>
      </c>
      <c r="H2257" t="s">
        <v>2466</v>
      </c>
      <c r="I2257">
        <v>100</v>
      </c>
      <c r="J2257" s="15"/>
      <c r="K2257" s="16">
        <f>91.34 - (91.34 * $E$1)</f>
        <v>91.34</v>
      </c>
      <c r="L2257" s="16">
        <f>74.87 - (74.87 * $E$1)</f>
        <v>74.87</v>
      </c>
      <c r="M2257" s="1">
        <v>91.34</v>
      </c>
      <c r="N2257" s="1">
        <v>74.87</v>
      </c>
      <c r="O2257" s="1">
        <v>77.64</v>
      </c>
      <c r="P2257" s="1">
        <v>63.64</v>
      </c>
      <c r="Q2257">
        <v>2.7740000000000001E-2</v>
      </c>
      <c r="R2257">
        <v>7.7440000000000004E-5</v>
      </c>
    </row>
    <row r="2258" spans="1:18" ht="13.8" outlineLevel="2" x14ac:dyDescent="0.25">
      <c r="A2258">
        <v>60109</v>
      </c>
      <c r="B2258" t="s">
        <v>2463</v>
      </c>
      <c r="C2258" t="s">
        <v>2665</v>
      </c>
      <c r="D2258" s="14" t="s">
        <v>2657</v>
      </c>
      <c r="E2258" s="12" t="s">
        <v>28</v>
      </c>
      <c r="F2258" s="13" t="s">
        <v>29</v>
      </c>
      <c r="G2258">
        <v>100</v>
      </c>
      <c r="H2258" t="s">
        <v>2466</v>
      </c>
      <c r="I2258">
        <v>100</v>
      </c>
      <c r="J2258" s="15"/>
      <c r="K2258" s="16">
        <f>116.12 - (116.12 * $E$1)</f>
        <v>116.12</v>
      </c>
      <c r="L2258" s="16">
        <f>95.18 - (95.18 * $E$1)</f>
        <v>95.18</v>
      </c>
      <c r="M2258" s="1">
        <v>116.12</v>
      </c>
      <c r="N2258" s="1">
        <v>95.18</v>
      </c>
      <c r="O2258" s="1">
        <v>98.7</v>
      </c>
      <c r="P2258" s="1">
        <v>80.900000000000006</v>
      </c>
      <c r="Q2258">
        <v>3.7819999999999999E-2</v>
      </c>
      <c r="R2258">
        <v>9.5179999999999993E-5</v>
      </c>
    </row>
    <row r="2259" spans="1:18" ht="13.8" outlineLevel="2" x14ac:dyDescent="0.25">
      <c r="A2259">
        <v>84960</v>
      </c>
      <c r="B2259" t="s">
        <v>2463</v>
      </c>
      <c r="C2259" t="s">
        <v>2666</v>
      </c>
      <c r="D2259" s="14" t="s">
        <v>2657</v>
      </c>
      <c r="E2259" s="12" t="s">
        <v>28</v>
      </c>
      <c r="F2259" s="13" t="s">
        <v>29</v>
      </c>
      <c r="G2259">
        <v>50</v>
      </c>
      <c r="H2259" t="s">
        <v>2466</v>
      </c>
      <c r="I2259">
        <v>50</v>
      </c>
      <c r="J2259" s="15"/>
      <c r="K2259" s="16">
        <f>189.06 - (189.06 * $E$1)</f>
        <v>189.06</v>
      </c>
      <c r="L2259" s="16">
        <f>154.97 - (154.97 * $E$1)</f>
        <v>154.97</v>
      </c>
      <c r="M2259" s="1">
        <v>189.06</v>
      </c>
      <c r="N2259" s="1">
        <v>154.97</v>
      </c>
      <c r="O2259" s="1">
        <v>160.69999999999999</v>
      </c>
      <c r="P2259" s="1">
        <v>131.72</v>
      </c>
      <c r="Q2259">
        <v>4.8000000000000001E-2</v>
      </c>
      <c r="R2259">
        <v>9.6100000000000005E-5</v>
      </c>
    </row>
    <row r="2260" spans="1:18" ht="13.8" outlineLevel="2" x14ac:dyDescent="0.25">
      <c r="A2260">
        <v>60111</v>
      </c>
      <c r="B2260" t="s">
        <v>2463</v>
      </c>
      <c r="C2260" t="s">
        <v>2667</v>
      </c>
      <c r="D2260" s="14" t="s">
        <v>2657</v>
      </c>
      <c r="E2260" s="12" t="s">
        <v>28</v>
      </c>
      <c r="F2260" s="13" t="s">
        <v>29</v>
      </c>
      <c r="G2260">
        <v>50</v>
      </c>
      <c r="H2260" t="s">
        <v>2466</v>
      </c>
      <c r="I2260">
        <v>50</v>
      </c>
      <c r="J2260" s="15"/>
      <c r="K2260" s="16">
        <f>229.24 - (229.24 * $E$1)</f>
        <v>229.24</v>
      </c>
      <c r="L2260" s="16">
        <f>187.9 - (187.9 * $E$1)</f>
        <v>187.9</v>
      </c>
      <c r="M2260" s="1">
        <v>229.24</v>
      </c>
      <c r="N2260" s="1">
        <v>187.9</v>
      </c>
      <c r="O2260" s="1">
        <v>194.85</v>
      </c>
      <c r="P2260" s="1">
        <v>159.72</v>
      </c>
      <c r="Q2260">
        <v>5.4600000000000003E-2</v>
      </c>
      <c r="R2260">
        <v>8.4679999999999996E-5</v>
      </c>
    </row>
    <row r="2261" spans="1:18" ht="13.8" outlineLevel="2" x14ac:dyDescent="0.25">
      <c r="A2261">
        <v>60112</v>
      </c>
      <c r="B2261" t="s">
        <v>2463</v>
      </c>
      <c r="C2261" t="s">
        <v>2668</v>
      </c>
      <c r="D2261" s="14" t="s">
        <v>2657</v>
      </c>
      <c r="E2261" s="12" t="s">
        <v>28</v>
      </c>
      <c r="F2261" s="13" t="s">
        <v>29</v>
      </c>
      <c r="G2261">
        <v>50</v>
      </c>
      <c r="H2261" t="s">
        <v>2466</v>
      </c>
      <c r="I2261">
        <v>50</v>
      </c>
      <c r="J2261" s="15"/>
      <c r="K2261" s="16">
        <f>322.76 - (322.76 * $E$1)</f>
        <v>322.76</v>
      </c>
      <c r="L2261" s="16">
        <f>264.56 - (264.56 * $E$1)</f>
        <v>264.56</v>
      </c>
      <c r="M2261" s="1">
        <v>322.76</v>
      </c>
      <c r="N2261" s="1">
        <v>264.56</v>
      </c>
      <c r="O2261" s="1">
        <v>274.35000000000002</v>
      </c>
      <c r="P2261" s="1">
        <v>224.88</v>
      </c>
      <c r="Q2261">
        <v>7.5480000000000005E-2</v>
      </c>
      <c r="R2261">
        <v>1.3954000000000001E-4</v>
      </c>
    </row>
    <row r="2262" spans="1:18" ht="13.8" outlineLevel="2" x14ac:dyDescent="0.25">
      <c r="A2262">
        <v>84961</v>
      </c>
      <c r="B2262" t="s">
        <v>2463</v>
      </c>
      <c r="C2262" t="s">
        <v>2669</v>
      </c>
      <c r="D2262" s="14" t="s">
        <v>2657</v>
      </c>
      <c r="E2262" s="12" t="s">
        <v>28</v>
      </c>
      <c r="F2262" s="13" t="s">
        <v>29</v>
      </c>
      <c r="G2262">
        <v>25</v>
      </c>
      <c r="H2262" t="s">
        <v>2466</v>
      </c>
      <c r="I2262">
        <v>25</v>
      </c>
      <c r="J2262" s="15"/>
      <c r="K2262" s="16">
        <f>422.11 - (422.11 * $E$1)</f>
        <v>422.11</v>
      </c>
      <c r="L2262" s="16">
        <f>345.99 - (345.99 * $E$1)</f>
        <v>345.99</v>
      </c>
      <c r="M2262" s="1">
        <v>422.11</v>
      </c>
      <c r="N2262" s="1">
        <v>345.99</v>
      </c>
      <c r="O2262" s="1">
        <v>358.79</v>
      </c>
      <c r="P2262" s="1">
        <v>294.08999999999997</v>
      </c>
      <c r="Q2262">
        <v>0.2</v>
      </c>
      <c r="R2262">
        <v>4.704E-4</v>
      </c>
    </row>
    <row r="2263" spans="1:18" ht="13.8" outlineLevel="2" x14ac:dyDescent="0.25">
      <c r="A2263">
        <v>65408</v>
      </c>
      <c r="B2263" t="s">
        <v>2463</v>
      </c>
      <c r="C2263" t="s">
        <v>2670</v>
      </c>
      <c r="D2263" s="14" t="s">
        <v>2657</v>
      </c>
      <c r="E2263" s="12" t="s">
        <v>28</v>
      </c>
      <c r="F2263" s="13" t="s">
        <v>29</v>
      </c>
      <c r="G2263">
        <v>10</v>
      </c>
      <c r="H2263" t="s">
        <v>2466</v>
      </c>
      <c r="I2263">
        <v>10</v>
      </c>
      <c r="J2263" s="15"/>
      <c r="K2263" s="16">
        <f>534.49 - (534.49 * $E$1)</f>
        <v>534.49</v>
      </c>
      <c r="L2263" s="16">
        <f>438.11 - (438.11 * $E$1)</f>
        <v>438.11</v>
      </c>
      <c r="M2263" s="1">
        <v>534.49</v>
      </c>
      <c r="N2263" s="1">
        <v>438.11</v>
      </c>
      <c r="O2263" s="1">
        <v>454.32</v>
      </c>
      <c r="P2263" s="1">
        <v>372.39</v>
      </c>
      <c r="Q2263">
        <v>0.13780000000000001</v>
      </c>
      <c r="R2263">
        <v>3.4019999999999998E-4</v>
      </c>
    </row>
    <row r="2264" spans="1:18" ht="13.8" outlineLevel="2" x14ac:dyDescent="0.25">
      <c r="A2264">
        <v>85119</v>
      </c>
      <c r="B2264" t="s">
        <v>2463</v>
      </c>
      <c r="C2264" t="s">
        <v>2671</v>
      </c>
      <c r="D2264" s="14" t="s">
        <v>2672</v>
      </c>
      <c r="E2264" s="12" t="s">
        <v>28</v>
      </c>
      <c r="F2264" s="13" t="s">
        <v>29</v>
      </c>
      <c r="G2264">
        <v>200</v>
      </c>
      <c r="H2264" t="s">
        <v>2466</v>
      </c>
      <c r="I2264">
        <v>200</v>
      </c>
      <c r="J2264" s="15"/>
      <c r="K2264" s="16">
        <f>8.03 - (8.03 * $E$1)</f>
        <v>8.0299999999999994</v>
      </c>
      <c r="L2264" s="16">
        <f>6.58 - (6.58 * $E$1)</f>
        <v>6.58</v>
      </c>
      <c r="M2264" s="1">
        <v>8.0299999999999994</v>
      </c>
      <c r="N2264" s="1">
        <v>6.58</v>
      </c>
      <c r="O2264" s="1">
        <v>6.82</v>
      </c>
      <c r="P2264" s="1">
        <v>5.59</v>
      </c>
      <c r="Q2264">
        <v>3.5000000000000001E-3</v>
      </c>
      <c r="R2264">
        <v>3.1739999999999998E-5</v>
      </c>
    </row>
    <row r="2265" spans="1:18" ht="13.8" outlineLevel="2" x14ac:dyDescent="0.25">
      <c r="A2265">
        <v>85120</v>
      </c>
      <c r="B2265" t="s">
        <v>2463</v>
      </c>
      <c r="C2265" t="s">
        <v>2673</v>
      </c>
      <c r="D2265" s="14" t="s">
        <v>2672</v>
      </c>
      <c r="E2265" s="12" t="s">
        <v>28</v>
      </c>
      <c r="F2265" s="13" t="s">
        <v>29</v>
      </c>
      <c r="G2265">
        <v>200</v>
      </c>
      <c r="H2265" t="s">
        <v>2466</v>
      </c>
      <c r="I2265">
        <v>200</v>
      </c>
      <c r="J2265" s="15"/>
      <c r="K2265" s="16">
        <f>9.91 - (9.91 * $E$1)</f>
        <v>9.91</v>
      </c>
      <c r="L2265" s="16">
        <f>8.12 - (8.12 * $E$1)</f>
        <v>8.1199999999999992</v>
      </c>
      <c r="M2265" s="1">
        <v>9.91</v>
      </c>
      <c r="N2265" s="1">
        <v>8.1199999999999992</v>
      </c>
      <c r="O2265" s="1">
        <v>8.42</v>
      </c>
      <c r="P2265" s="1">
        <v>6.9</v>
      </c>
      <c r="Q2265">
        <v>4.4999999999999997E-3</v>
      </c>
      <c r="R2265">
        <v>4.2320000000000001E-5</v>
      </c>
    </row>
    <row r="2266" spans="1:18" ht="13.8" outlineLevel="2" x14ac:dyDescent="0.25">
      <c r="A2266">
        <v>83016</v>
      </c>
      <c r="B2266" t="s">
        <v>2463</v>
      </c>
      <c r="C2266" t="s">
        <v>2674</v>
      </c>
      <c r="D2266" s="14" t="s">
        <v>2672</v>
      </c>
      <c r="E2266" s="12" t="s">
        <v>28</v>
      </c>
      <c r="F2266" s="13" t="s">
        <v>29</v>
      </c>
      <c r="G2266">
        <v>100</v>
      </c>
      <c r="H2266" t="s">
        <v>2466</v>
      </c>
      <c r="I2266">
        <v>100</v>
      </c>
      <c r="J2266" s="15"/>
      <c r="K2266" s="16">
        <f>12.47 - (12.47 * $E$1)</f>
        <v>12.47</v>
      </c>
      <c r="L2266" s="16">
        <f>10.22 - (10.22 * $E$1)</f>
        <v>10.220000000000001</v>
      </c>
      <c r="M2266" s="1">
        <v>12.47</v>
      </c>
      <c r="N2266" s="1">
        <v>10.220000000000001</v>
      </c>
      <c r="O2266" s="1">
        <v>10.6</v>
      </c>
      <c r="P2266" s="1">
        <v>8.69</v>
      </c>
      <c r="Q2266">
        <v>6.0000000000000001E-3</v>
      </c>
      <c r="R2266">
        <v>5.4450000000000002E-5</v>
      </c>
    </row>
    <row r="2267" spans="1:18" ht="13.8" outlineLevel="2" x14ac:dyDescent="0.25">
      <c r="A2267">
        <v>83017</v>
      </c>
      <c r="B2267" t="s">
        <v>2463</v>
      </c>
      <c r="C2267" t="s">
        <v>2675</v>
      </c>
      <c r="D2267" s="14" t="s">
        <v>2672</v>
      </c>
      <c r="E2267" s="12" t="s">
        <v>28</v>
      </c>
      <c r="F2267" s="13" t="s">
        <v>29</v>
      </c>
      <c r="G2267">
        <v>100</v>
      </c>
      <c r="H2267" t="s">
        <v>2466</v>
      </c>
      <c r="I2267">
        <v>100</v>
      </c>
      <c r="J2267" s="15"/>
      <c r="K2267" s="16">
        <f>18.82 - (18.82 * $E$1)</f>
        <v>18.82</v>
      </c>
      <c r="L2267" s="16">
        <f>15.43 - (15.43 * $E$1)</f>
        <v>15.43</v>
      </c>
      <c r="M2267" s="1">
        <v>18.82</v>
      </c>
      <c r="N2267" s="1">
        <v>15.43</v>
      </c>
      <c r="O2267" s="1">
        <v>16</v>
      </c>
      <c r="P2267" s="1">
        <v>13.12</v>
      </c>
      <c r="Q2267">
        <v>7.3000000000000001E-3</v>
      </c>
      <c r="R2267">
        <v>6.5339999999999994E-5</v>
      </c>
    </row>
    <row r="2268" spans="1:18" ht="13.8" outlineLevel="2" x14ac:dyDescent="0.25">
      <c r="A2268">
        <v>83018</v>
      </c>
      <c r="B2268" t="s">
        <v>2463</v>
      </c>
      <c r="C2268" t="s">
        <v>2676</v>
      </c>
      <c r="D2268" s="14" t="s">
        <v>2672</v>
      </c>
      <c r="E2268" s="12" t="s">
        <v>28</v>
      </c>
      <c r="F2268" s="13" t="s">
        <v>29</v>
      </c>
      <c r="G2268">
        <v>50</v>
      </c>
      <c r="H2268" t="s">
        <v>2466</v>
      </c>
      <c r="I2268">
        <v>50</v>
      </c>
      <c r="J2268" s="15"/>
      <c r="K2268" s="16">
        <f>20.8 - (20.8 * $E$1)</f>
        <v>20.8</v>
      </c>
      <c r="L2268" s="16">
        <f>17.05 - (17.05 * $E$1)</f>
        <v>17.05</v>
      </c>
      <c r="M2268" s="1">
        <v>20.8</v>
      </c>
      <c r="N2268" s="1">
        <v>17.05</v>
      </c>
      <c r="O2268" s="1">
        <v>17.68</v>
      </c>
      <c r="P2268" s="1">
        <v>14.49</v>
      </c>
      <c r="Q2268">
        <v>9.4000000000000004E-3</v>
      </c>
      <c r="R2268">
        <v>4.3560000000000003E-5</v>
      </c>
    </row>
    <row r="2269" spans="1:18" ht="13.8" outlineLevel="2" x14ac:dyDescent="0.25">
      <c r="A2269">
        <v>83019</v>
      </c>
      <c r="B2269" t="s">
        <v>2463</v>
      </c>
      <c r="C2269" t="s">
        <v>2677</v>
      </c>
      <c r="D2269" s="14" t="s">
        <v>2672</v>
      </c>
      <c r="E2269" s="12" t="s">
        <v>28</v>
      </c>
      <c r="F2269" s="13" t="s">
        <v>29</v>
      </c>
      <c r="G2269">
        <v>50</v>
      </c>
      <c r="H2269" t="s">
        <v>2466</v>
      </c>
      <c r="I2269">
        <v>50</v>
      </c>
      <c r="J2269" s="15"/>
      <c r="K2269" s="16">
        <f>23.86 - (23.86 * $E$1)</f>
        <v>23.86</v>
      </c>
      <c r="L2269" s="16">
        <f>19.56 - (19.56 * $E$1)</f>
        <v>19.559999999999999</v>
      </c>
      <c r="M2269" s="1">
        <v>23.86</v>
      </c>
      <c r="N2269" s="1">
        <v>19.559999999999999</v>
      </c>
      <c r="O2269" s="1">
        <v>20.28</v>
      </c>
      <c r="P2269" s="1">
        <v>16.63</v>
      </c>
      <c r="Q2269">
        <v>1.12E-2</v>
      </c>
      <c r="R2269">
        <v>6.5339999999999994E-5</v>
      </c>
    </row>
    <row r="2270" spans="1:18" ht="13.8" outlineLevel="2" x14ac:dyDescent="0.25">
      <c r="A2270">
        <v>83020</v>
      </c>
      <c r="B2270" t="s">
        <v>2463</v>
      </c>
      <c r="C2270" t="s">
        <v>2678</v>
      </c>
      <c r="D2270" s="14" t="s">
        <v>2672</v>
      </c>
      <c r="E2270" s="12" t="s">
        <v>28</v>
      </c>
      <c r="F2270" s="13" t="s">
        <v>29</v>
      </c>
      <c r="G2270">
        <v>50</v>
      </c>
      <c r="H2270" t="s">
        <v>2466</v>
      </c>
      <c r="I2270">
        <v>50</v>
      </c>
      <c r="J2270" s="15"/>
      <c r="K2270" s="16">
        <f>27.69 - (27.69 * $E$1)</f>
        <v>27.69</v>
      </c>
      <c r="L2270" s="16">
        <f>22.7 - (22.7 * $E$1)</f>
        <v>22.7</v>
      </c>
      <c r="M2270" s="1">
        <v>27.69</v>
      </c>
      <c r="N2270" s="1">
        <v>22.7</v>
      </c>
      <c r="O2270" s="1">
        <v>23.54</v>
      </c>
      <c r="P2270" s="1">
        <v>19.3</v>
      </c>
      <c r="Q2270">
        <v>1.4200000000000001E-2</v>
      </c>
      <c r="R2270">
        <v>6.5339999999999994E-5</v>
      </c>
    </row>
    <row r="2271" spans="1:18" ht="13.8" outlineLevel="2" x14ac:dyDescent="0.25">
      <c r="A2271">
        <v>84489</v>
      </c>
      <c r="B2271" t="s">
        <v>2463</v>
      </c>
      <c r="C2271" t="s">
        <v>2679</v>
      </c>
      <c r="D2271" s="14" t="s">
        <v>2672</v>
      </c>
      <c r="E2271" s="12" t="s">
        <v>28</v>
      </c>
      <c r="F2271" s="13" t="s">
        <v>29</v>
      </c>
      <c r="G2271">
        <v>50</v>
      </c>
      <c r="H2271" t="s">
        <v>2466</v>
      </c>
      <c r="I2271">
        <v>50</v>
      </c>
      <c r="J2271" s="15"/>
      <c r="K2271" s="16">
        <f>43.18 - (43.18 * $E$1)</f>
        <v>43.18</v>
      </c>
      <c r="L2271" s="16">
        <f>35.39 - (35.39 * $E$1)</f>
        <v>35.39</v>
      </c>
      <c r="M2271" s="1">
        <v>43.18</v>
      </c>
      <c r="N2271" s="1">
        <v>35.39</v>
      </c>
      <c r="O2271" s="1">
        <v>36.700000000000003</v>
      </c>
      <c r="P2271" s="1">
        <v>30.08</v>
      </c>
      <c r="Q2271">
        <v>2.5000000000000001E-2</v>
      </c>
      <c r="R2271">
        <v>8.7120000000000006E-5</v>
      </c>
    </row>
    <row r="2272" spans="1:18" ht="13.8" outlineLevel="2" x14ac:dyDescent="0.25">
      <c r="A2272">
        <v>83021</v>
      </c>
      <c r="B2272" t="s">
        <v>2463</v>
      </c>
      <c r="C2272" t="s">
        <v>2680</v>
      </c>
      <c r="D2272" s="14" t="s">
        <v>2672</v>
      </c>
      <c r="E2272" s="12" t="s">
        <v>28</v>
      </c>
      <c r="F2272" s="13" t="s">
        <v>29</v>
      </c>
      <c r="G2272">
        <v>50</v>
      </c>
      <c r="H2272" t="s">
        <v>2466</v>
      </c>
      <c r="I2272">
        <v>50</v>
      </c>
      <c r="J2272" s="15"/>
      <c r="K2272" s="16">
        <f>62.82 - (62.82 * $E$1)</f>
        <v>62.82</v>
      </c>
      <c r="L2272" s="16">
        <f>51.49 - (51.49 * $E$1)</f>
        <v>51.49</v>
      </c>
      <c r="M2272" s="1">
        <v>62.82</v>
      </c>
      <c r="N2272" s="1">
        <v>51.49</v>
      </c>
      <c r="O2272" s="1">
        <v>53.4</v>
      </c>
      <c r="P2272" s="1">
        <v>43.77</v>
      </c>
      <c r="Q2272">
        <v>2.4E-2</v>
      </c>
      <c r="R2272">
        <v>8.7120000000000006E-5</v>
      </c>
    </row>
    <row r="2273" spans="1:18" ht="13.8" outlineLevel="2" x14ac:dyDescent="0.25">
      <c r="A2273">
        <v>85121</v>
      </c>
      <c r="B2273" t="s">
        <v>2463</v>
      </c>
      <c r="C2273" t="s">
        <v>2681</v>
      </c>
      <c r="D2273" s="14" t="s">
        <v>2672</v>
      </c>
      <c r="E2273" s="12" t="s">
        <v>28</v>
      </c>
      <c r="F2273" s="13" t="s">
        <v>29</v>
      </c>
      <c r="G2273">
        <v>25</v>
      </c>
      <c r="H2273" t="s">
        <v>2466</v>
      </c>
      <c r="I2273">
        <v>25</v>
      </c>
      <c r="J2273" s="15"/>
      <c r="K2273" s="16">
        <f>87.54 - (87.54 * $E$1)</f>
        <v>87.54</v>
      </c>
      <c r="L2273" s="16">
        <f>71.75 - (71.75 * $E$1)</f>
        <v>71.75</v>
      </c>
      <c r="M2273" s="1">
        <v>87.54</v>
      </c>
      <c r="N2273" s="1">
        <v>71.75</v>
      </c>
      <c r="O2273" s="1">
        <v>74.400000000000006</v>
      </c>
      <c r="P2273" s="1">
        <v>60.99</v>
      </c>
      <c r="Q2273">
        <v>3.4000000000000002E-2</v>
      </c>
      <c r="R2273">
        <v>1.058E-4</v>
      </c>
    </row>
    <row r="2274" spans="1:18" ht="13.8" outlineLevel="2" x14ac:dyDescent="0.25">
      <c r="A2274">
        <v>83022</v>
      </c>
      <c r="B2274" t="s">
        <v>2463</v>
      </c>
      <c r="C2274" t="s">
        <v>2682</v>
      </c>
      <c r="D2274" s="14" t="s">
        <v>2672</v>
      </c>
      <c r="E2274" s="12" t="s">
        <v>28</v>
      </c>
      <c r="F2274" s="13" t="s">
        <v>29</v>
      </c>
      <c r="G2274">
        <v>25</v>
      </c>
      <c r="H2274" t="s">
        <v>2466</v>
      </c>
      <c r="I2274">
        <v>25</v>
      </c>
      <c r="J2274" s="15"/>
      <c r="K2274" s="16">
        <f>115.52 - (115.52 * $E$1)</f>
        <v>115.52</v>
      </c>
      <c r="L2274" s="16">
        <f>94.69 - (94.69 * $E$1)</f>
        <v>94.69</v>
      </c>
      <c r="M2274" s="1">
        <v>115.52</v>
      </c>
      <c r="N2274" s="1">
        <v>94.69</v>
      </c>
      <c r="O2274" s="1">
        <v>98.19</v>
      </c>
      <c r="P2274" s="1">
        <v>80.489999999999995</v>
      </c>
      <c r="Q2274">
        <v>4.24E-2</v>
      </c>
      <c r="R2274">
        <v>9.6000000000000002E-5</v>
      </c>
    </row>
    <row r="2275" spans="1:18" ht="13.8" outlineLevel="2" x14ac:dyDescent="0.25">
      <c r="A2275">
        <v>83023</v>
      </c>
      <c r="B2275" t="s">
        <v>2463</v>
      </c>
      <c r="C2275" t="s">
        <v>2683</v>
      </c>
      <c r="D2275" s="14" t="s">
        <v>2672</v>
      </c>
      <c r="E2275" s="12" t="s">
        <v>28</v>
      </c>
      <c r="F2275" s="13" t="s">
        <v>29</v>
      </c>
      <c r="G2275">
        <v>25</v>
      </c>
      <c r="H2275" t="s">
        <v>2466</v>
      </c>
      <c r="I2275">
        <v>25</v>
      </c>
      <c r="J2275" s="15"/>
      <c r="K2275" s="16">
        <f>158.47 - (158.47 * $E$1)</f>
        <v>158.47</v>
      </c>
      <c r="L2275" s="16">
        <f>129.89 - (129.89 * $E$1)</f>
        <v>129.88999999999999</v>
      </c>
      <c r="M2275" s="1">
        <v>158.47</v>
      </c>
      <c r="N2275" s="1">
        <v>129.88999999999999</v>
      </c>
      <c r="O2275" s="1">
        <v>134.69999999999999</v>
      </c>
      <c r="P2275" s="1">
        <v>110.41</v>
      </c>
      <c r="Q2275">
        <v>5.5599999999999997E-2</v>
      </c>
      <c r="R2275">
        <v>1.2348E-4</v>
      </c>
    </row>
    <row r="2276" spans="1:18" ht="13.8" outlineLevel="2" x14ac:dyDescent="0.25">
      <c r="A2276">
        <v>83024</v>
      </c>
      <c r="B2276" t="s">
        <v>2463</v>
      </c>
      <c r="C2276" t="s">
        <v>2684</v>
      </c>
      <c r="D2276" s="14" t="s">
        <v>2672</v>
      </c>
      <c r="E2276" s="12" t="s">
        <v>28</v>
      </c>
      <c r="F2276" s="13" t="s">
        <v>29</v>
      </c>
      <c r="G2276">
        <v>10</v>
      </c>
      <c r="H2276" t="s">
        <v>2466</v>
      </c>
      <c r="I2276">
        <v>10</v>
      </c>
      <c r="J2276" s="15"/>
      <c r="K2276" s="16">
        <f>217.99 - (217.99 * $E$1)</f>
        <v>217.99</v>
      </c>
      <c r="L2276" s="16">
        <f>178.68 - (178.68 * $E$1)</f>
        <v>178.68</v>
      </c>
      <c r="M2276" s="1">
        <v>217.99</v>
      </c>
      <c r="N2276" s="1">
        <v>178.68</v>
      </c>
      <c r="O2276" s="1">
        <v>185.29</v>
      </c>
      <c r="P2276" s="1">
        <v>151.88</v>
      </c>
      <c r="Q2276">
        <v>9.7000000000000003E-2</v>
      </c>
      <c r="R2276">
        <v>2.9159999999999999E-4</v>
      </c>
    </row>
    <row r="2277" spans="1:18" ht="13.8" outlineLevel="2" x14ac:dyDescent="0.25">
      <c r="A2277">
        <v>83025</v>
      </c>
      <c r="B2277" t="s">
        <v>2463</v>
      </c>
      <c r="C2277" t="s">
        <v>2685</v>
      </c>
      <c r="D2277" s="14" t="s">
        <v>2672</v>
      </c>
      <c r="E2277" s="12" t="s">
        <v>28</v>
      </c>
      <c r="F2277" s="13" t="s">
        <v>29</v>
      </c>
      <c r="G2277">
        <v>10</v>
      </c>
      <c r="H2277" t="s">
        <v>2466</v>
      </c>
      <c r="I2277">
        <v>10</v>
      </c>
      <c r="J2277" s="15"/>
      <c r="K2277" s="16">
        <f>300.61 - (300.61 * $E$1)</f>
        <v>300.61</v>
      </c>
      <c r="L2277" s="16">
        <f>246.4 - (246.4 * $E$1)</f>
        <v>246.4</v>
      </c>
      <c r="M2277" s="1">
        <v>300.61</v>
      </c>
      <c r="N2277" s="1">
        <v>246.4</v>
      </c>
      <c r="O2277" s="1">
        <v>255.52</v>
      </c>
      <c r="P2277" s="1">
        <v>209.44</v>
      </c>
      <c r="Q2277">
        <v>9.5000000000000001E-2</v>
      </c>
      <c r="R2277">
        <v>2.5599999999999999E-4</v>
      </c>
    </row>
    <row r="2278" spans="1:18" ht="13.8" outlineLevel="2" x14ac:dyDescent="0.25">
      <c r="A2278">
        <v>84963</v>
      </c>
      <c r="B2278" t="s">
        <v>2463</v>
      </c>
      <c r="C2278" t="s">
        <v>2686</v>
      </c>
      <c r="D2278" s="14" t="s">
        <v>2687</v>
      </c>
      <c r="E2278" s="12" t="s">
        <v>28</v>
      </c>
      <c r="F2278" s="13" t="s">
        <v>29</v>
      </c>
      <c r="G2278">
        <v>200</v>
      </c>
      <c r="H2278" t="s">
        <v>2466</v>
      </c>
      <c r="I2278">
        <v>200</v>
      </c>
      <c r="J2278" s="15"/>
      <c r="K2278" s="16">
        <f>10.92 - (10.92 * $E$1)</f>
        <v>10.92</v>
      </c>
      <c r="L2278" s="16">
        <f>8.95 - (8.95 * $E$1)</f>
        <v>8.9499999999999993</v>
      </c>
      <c r="M2278" s="1">
        <v>10.92</v>
      </c>
      <c r="N2278" s="1">
        <v>8.9499999999999993</v>
      </c>
      <c r="O2278" s="1">
        <v>9.2799999999999994</v>
      </c>
      <c r="P2278" s="1">
        <v>7.61</v>
      </c>
      <c r="Q2278">
        <v>8.9999999999999993E-3</v>
      </c>
      <c r="R2278">
        <v>4.2320000000000001E-5</v>
      </c>
    </row>
    <row r="2279" spans="1:18" ht="13.8" outlineLevel="2" x14ac:dyDescent="0.25">
      <c r="A2279">
        <v>82912</v>
      </c>
      <c r="B2279" t="s">
        <v>2463</v>
      </c>
      <c r="C2279" t="s">
        <v>2688</v>
      </c>
      <c r="D2279" s="14" t="s">
        <v>2687</v>
      </c>
      <c r="E2279" s="12" t="s">
        <v>28</v>
      </c>
      <c r="F2279" s="13" t="s">
        <v>29</v>
      </c>
      <c r="G2279">
        <v>100</v>
      </c>
      <c r="H2279" t="s">
        <v>2466</v>
      </c>
      <c r="I2279">
        <v>100</v>
      </c>
      <c r="J2279" s="15"/>
      <c r="K2279" s="16">
        <f>13.76 - (13.76 * $E$1)</f>
        <v>13.76</v>
      </c>
      <c r="L2279" s="16">
        <f>11.28 - (11.28 * $E$1)</f>
        <v>11.28</v>
      </c>
      <c r="M2279" s="1">
        <v>13.76</v>
      </c>
      <c r="N2279" s="1">
        <v>11.28</v>
      </c>
      <c r="O2279" s="1">
        <v>11.7</v>
      </c>
      <c r="P2279" s="1">
        <v>9.59</v>
      </c>
      <c r="Q2279">
        <v>6.0000000000000001E-3</v>
      </c>
      <c r="R2279">
        <v>5.4450000000000002E-5</v>
      </c>
    </row>
    <row r="2280" spans="1:18" ht="13.8" outlineLevel="2" x14ac:dyDescent="0.25">
      <c r="A2280">
        <v>82913</v>
      </c>
      <c r="B2280" t="s">
        <v>2463</v>
      </c>
      <c r="C2280" t="s">
        <v>2689</v>
      </c>
      <c r="D2280" s="14" t="s">
        <v>2687</v>
      </c>
      <c r="E2280" s="12" t="s">
        <v>28</v>
      </c>
      <c r="F2280" s="13" t="s">
        <v>29</v>
      </c>
      <c r="G2280">
        <v>100</v>
      </c>
      <c r="H2280" t="s">
        <v>2466</v>
      </c>
      <c r="I2280">
        <v>100</v>
      </c>
      <c r="J2280" s="15"/>
      <c r="K2280" s="16">
        <f>20.62 - (20.62 * $E$1)</f>
        <v>20.62</v>
      </c>
      <c r="L2280" s="16">
        <f>16.9 - (16.9 * $E$1)</f>
        <v>16.899999999999999</v>
      </c>
      <c r="M2280" s="1">
        <v>20.62</v>
      </c>
      <c r="N2280" s="1">
        <v>16.899999999999999</v>
      </c>
      <c r="O2280" s="1">
        <v>17.53</v>
      </c>
      <c r="P2280" s="1">
        <v>14.37</v>
      </c>
      <c r="Q2280">
        <v>7.0000000000000001E-3</v>
      </c>
      <c r="R2280">
        <v>6.5339999999999994E-5</v>
      </c>
    </row>
    <row r="2281" spans="1:18" ht="13.8" outlineLevel="2" x14ac:dyDescent="0.25">
      <c r="A2281">
        <v>82914</v>
      </c>
      <c r="B2281" t="s">
        <v>2463</v>
      </c>
      <c r="C2281" t="s">
        <v>2690</v>
      </c>
      <c r="D2281" s="14" t="s">
        <v>2687</v>
      </c>
      <c r="E2281" s="12" t="s">
        <v>28</v>
      </c>
      <c r="F2281" s="13" t="s">
        <v>29</v>
      </c>
      <c r="G2281">
        <v>50</v>
      </c>
      <c r="H2281" t="s">
        <v>2466</v>
      </c>
      <c r="I2281">
        <v>50</v>
      </c>
      <c r="J2281" s="15"/>
      <c r="K2281" s="16">
        <f>22.94 - (22.94 * $E$1)</f>
        <v>22.94</v>
      </c>
      <c r="L2281" s="16">
        <f>18.8 - (18.8 * $E$1)</f>
        <v>18.8</v>
      </c>
      <c r="M2281" s="1">
        <v>22.94</v>
      </c>
      <c r="N2281" s="1">
        <v>18.8</v>
      </c>
      <c r="O2281" s="1">
        <v>19.5</v>
      </c>
      <c r="P2281" s="1">
        <v>15.98</v>
      </c>
      <c r="Q2281">
        <v>0.01</v>
      </c>
      <c r="R2281">
        <v>6.0980000000000002E-5</v>
      </c>
    </row>
    <row r="2282" spans="1:18" ht="13.8" outlineLevel="2" x14ac:dyDescent="0.25">
      <c r="A2282">
        <v>82915</v>
      </c>
      <c r="B2282" t="s">
        <v>2463</v>
      </c>
      <c r="C2282" t="s">
        <v>2691</v>
      </c>
      <c r="D2282" s="14" t="s">
        <v>2687</v>
      </c>
      <c r="E2282" s="12" t="s">
        <v>28</v>
      </c>
      <c r="F2282" s="13" t="s">
        <v>29</v>
      </c>
      <c r="G2282">
        <v>50</v>
      </c>
      <c r="H2282" t="s">
        <v>2466</v>
      </c>
      <c r="I2282">
        <v>50</v>
      </c>
      <c r="J2282" s="15"/>
      <c r="K2282" s="16">
        <f>26.3 - (26.3 * $E$1)</f>
        <v>26.3</v>
      </c>
      <c r="L2282" s="16">
        <f>21.56 - (21.56 * $E$1)</f>
        <v>21.56</v>
      </c>
      <c r="M2282" s="1">
        <v>26.3</v>
      </c>
      <c r="N2282" s="1">
        <v>21.56</v>
      </c>
      <c r="O2282" s="1">
        <v>22.36</v>
      </c>
      <c r="P2282" s="1">
        <v>18.329999999999998</v>
      </c>
      <c r="Q2282">
        <v>0.01</v>
      </c>
      <c r="R2282">
        <v>6.5339999999999994E-5</v>
      </c>
    </row>
    <row r="2283" spans="1:18" ht="13.8" outlineLevel="2" x14ac:dyDescent="0.25">
      <c r="A2283">
        <v>82916</v>
      </c>
      <c r="B2283" t="s">
        <v>2463</v>
      </c>
      <c r="C2283" t="s">
        <v>2692</v>
      </c>
      <c r="D2283" s="14" t="s">
        <v>2687</v>
      </c>
      <c r="E2283" s="12" t="s">
        <v>28</v>
      </c>
      <c r="F2283" s="13" t="s">
        <v>29</v>
      </c>
      <c r="G2283">
        <v>50</v>
      </c>
      <c r="H2283" t="s">
        <v>2466</v>
      </c>
      <c r="I2283">
        <v>50</v>
      </c>
      <c r="J2283" s="15"/>
      <c r="K2283" s="16">
        <f>30.34 - (30.34 * $E$1)</f>
        <v>30.34</v>
      </c>
      <c r="L2283" s="16">
        <f>24.87 - (24.87 * $E$1)</f>
        <v>24.87</v>
      </c>
      <c r="M2283" s="1">
        <v>30.34</v>
      </c>
      <c r="N2283" s="1">
        <v>24.87</v>
      </c>
      <c r="O2283" s="1">
        <v>25.79</v>
      </c>
      <c r="P2283" s="1">
        <v>21.14</v>
      </c>
      <c r="Q2283">
        <v>1.4E-2</v>
      </c>
      <c r="R2283">
        <v>6.5339999999999994E-5</v>
      </c>
    </row>
    <row r="2284" spans="1:18" ht="13.8" outlineLevel="2" x14ac:dyDescent="0.25">
      <c r="A2284">
        <v>82917</v>
      </c>
      <c r="B2284" t="s">
        <v>2463</v>
      </c>
      <c r="C2284" t="s">
        <v>2693</v>
      </c>
      <c r="D2284" s="14" t="s">
        <v>2687</v>
      </c>
      <c r="E2284" s="12" t="s">
        <v>28</v>
      </c>
      <c r="F2284" s="13" t="s">
        <v>29</v>
      </c>
      <c r="G2284">
        <v>50</v>
      </c>
      <c r="H2284" t="s">
        <v>2466</v>
      </c>
      <c r="I2284">
        <v>50</v>
      </c>
      <c r="J2284" s="15"/>
      <c r="K2284" s="16">
        <f>47.3 - (47.3 * $E$1)</f>
        <v>47.3</v>
      </c>
      <c r="L2284" s="16">
        <f>38.77 - (38.77 * $E$1)</f>
        <v>38.770000000000003</v>
      </c>
      <c r="M2284" s="1">
        <v>47.3</v>
      </c>
      <c r="N2284" s="1">
        <v>38.770000000000003</v>
      </c>
      <c r="O2284" s="1">
        <v>40.200000000000003</v>
      </c>
      <c r="P2284" s="1">
        <v>32.950000000000003</v>
      </c>
      <c r="Q2284">
        <v>1.7999999999999999E-2</v>
      </c>
      <c r="R2284">
        <v>8.276E-5</v>
      </c>
    </row>
    <row r="2285" spans="1:18" ht="13.8" outlineLevel="2" x14ac:dyDescent="0.25">
      <c r="A2285">
        <v>82918</v>
      </c>
      <c r="B2285" t="s">
        <v>2463</v>
      </c>
      <c r="C2285" t="s">
        <v>2694</v>
      </c>
      <c r="D2285" s="14" t="s">
        <v>2687</v>
      </c>
      <c r="E2285" s="12" t="s">
        <v>28</v>
      </c>
      <c r="F2285" s="13" t="s">
        <v>29</v>
      </c>
      <c r="G2285">
        <v>50</v>
      </c>
      <c r="H2285" t="s">
        <v>2466</v>
      </c>
      <c r="I2285">
        <v>50</v>
      </c>
      <c r="J2285" s="15"/>
      <c r="K2285" s="16">
        <f>68.99 - (68.99 * $E$1)</f>
        <v>68.989999999999995</v>
      </c>
      <c r="L2285" s="16">
        <f>56.55 - (56.55 * $E$1)</f>
        <v>56.55</v>
      </c>
      <c r="M2285" s="1">
        <v>68.989999999999995</v>
      </c>
      <c r="N2285" s="1">
        <v>56.55</v>
      </c>
      <c r="O2285" s="1">
        <v>58.64</v>
      </c>
      <c r="P2285" s="1">
        <v>48.07</v>
      </c>
      <c r="Q2285">
        <v>2.4E-2</v>
      </c>
      <c r="R2285">
        <v>8.7120000000000006E-5</v>
      </c>
    </row>
    <row r="2286" spans="1:18" ht="13.8" outlineLevel="2" x14ac:dyDescent="0.25">
      <c r="A2286">
        <v>84964</v>
      </c>
      <c r="B2286" t="s">
        <v>2463</v>
      </c>
      <c r="C2286" t="s">
        <v>2695</v>
      </c>
      <c r="D2286" s="14" t="s">
        <v>2687</v>
      </c>
      <c r="E2286" s="12" t="s">
        <v>28</v>
      </c>
      <c r="F2286" s="13" t="s">
        <v>29</v>
      </c>
      <c r="G2286">
        <v>25</v>
      </c>
      <c r="H2286" t="s">
        <v>2466</v>
      </c>
      <c r="I2286">
        <v>25</v>
      </c>
      <c r="J2286" s="15"/>
      <c r="K2286" s="16">
        <f>95.99 - (95.99 * $E$1)</f>
        <v>95.99</v>
      </c>
      <c r="L2286" s="16">
        <f>78.68 - (78.68 * $E$1)</f>
        <v>78.680000000000007</v>
      </c>
      <c r="M2286" s="1">
        <v>95.99</v>
      </c>
      <c r="N2286" s="1">
        <v>78.680000000000007</v>
      </c>
      <c r="O2286" s="1">
        <v>81.59</v>
      </c>
      <c r="P2286" s="1">
        <v>66.88</v>
      </c>
      <c r="Q2286">
        <v>3.4000000000000002E-2</v>
      </c>
      <c r="R2286">
        <v>1.2695999999999999E-4</v>
      </c>
    </row>
    <row r="2287" spans="1:18" ht="13.8" outlineLevel="2" x14ac:dyDescent="0.25">
      <c r="A2287">
        <v>82919</v>
      </c>
      <c r="B2287" t="s">
        <v>2463</v>
      </c>
      <c r="C2287" t="s">
        <v>2696</v>
      </c>
      <c r="D2287" s="14" t="s">
        <v>2687</v>
      </c>
      <c r="E2287" s="12" t="s">
        <v>28</v>
      </c>
      <c r="F2287" s="13" t="s">
        <v>29</v>
      </c>
      <c r="G2287">
        <v>25</v>
      </c>
      <c r="H2287" t="s">
        <v>2466</v>
      </c>
      <c r="I2287">
        <v>25</v>
      </c>
      <c r="J2287" s="15"/>
      <c r="K2287" s="16">
        <f>127.5 - (127.5 * $E$1)</f>
        <v>127.5</v>
      </c>
      <c r="L2287" s="16">
        <f>104.51 - (104.51 * $E$1)</f>
        <v>104.51</v>
      </c>
      <c r="M2287" s="1">
        <v>127.5</v>
      </c>
      <c r="N2287" s="1">
        <v>104.51</v>
      </c>
      <c r="O2287" s="1">
        <v>108.38</v>
      </c>
      <c r="P2287" s="1">
        <v>88.83</v>
      </c>
      <c r="Q2287">
        <v>4.3999999999999997E-2</v>
      </c>
      <c r="R2287">
        <v>9.6000000000000002E-5</v>
      </c>
    </row>
    <row r="2288" spans="1:18" ht="13.8" outlineLevel="2" x14ac:dyDescent="0.25">
      <c r="A2288">
        <v>91708</v>
      </c>
      <c r="B2288" t="s">
        <v>2463</v>
      </c>
      <c r="C2288" t="s">
        <v>2697</v>
      </c>
      <c r="D2288" s="14" t="s">
        <v>2687</v>
      </c>
      <c r="E2288" s="12" t="s">
        <v>28</v>
      </c>
      <c r="F2288" s="13" t="s">
        <v>29</v>
      </c>
      <c r="G2288">
        <v>25</v>
      </c>
      <c r="H2288" t="s">
        <v>2466</v>
      </c>
      <c r="I2288">
        <v>25</v>
      </c>
      <c r="J2288" s="15"/>
      <c r="K2288" s="16">
        <f>174.28 - (174.28 * $E$1)</f>
        <v>174.28</v>
      </c>
      <c r="L2288" s="16">
        <f>142.85 - (142.85 * $E$1)</f>
        <v>142.85</v>
      </c>
      <c r="M2288" s="1">
        <v>174.28</v>
      </c>
      <c r="N2288" s="1">
        <v>142.85</v>
      </c>
      <c r="O2288" s="1">
        <v>148.13999999999999</v>
      </c>
      <c r="P2288" s="1">
        <v>121.42</v>
      </c>
      <c r="Q2288">
        <v>5.6000000000000001E-2</v>
      </c>
      <c r="R2288">
        <v>1.1768E-4</v>
      </c>
    </row>
    <row r="2289" spans="1:18" ht="13.8" outlineLevel="2" x14ac:dyDescent="0.25">
      <c r="A2289">
        <v>84965</v>
      </c>
      <c r="B2289" t="s">
        <v>2463</v>
      </c>
      <c r="C2289" t="s">
        <v>2698</v>
      </c>
      <c r="D2289" s="14" t="s">
        <v>2687</v>
      </c>
      <c r="E2289" s="12" t="s">
        <v>28</v>
      </c>
      <c r="F2289" s="13" t="s">
        <v>29</v>
      </c>
      <c r="G2289">
        <v>10</v>
      </c>
      <c r="H2289" t="s">
        <v>2466</v>
      </c>
      <c r="I2289">
        <v>10</v>
      </c>
      <c r="J2289" s="15"/>
      <c r="K2289" s="16">
        <f>239.11 - (239.11 * $E$1)</f>
        <v>239.11</v>
      </c>
      <c r="L2289" s="16">
        <f>195.99 - (195.99 * $E$1)</f>
        <v>195.99</v>
      </c>
      <c r="M2289" s="1">
        <v>239.11</v>
      </c>
      <c r="N2289" s="1">
        <v>195.99</v>
      </c>
      <c r="O2289" s="1">
        <v>203.24</v>
      </c>
      <c r="P2289" s="1">
        <v>166.59</v>
      </c>
      <c r="Q2289">
        <v>9.1999999999999998E-2</v>
      </c>
      <c r="R2289">
        <v>8.7120000000000003E-4</v>
      </c>
    </row>
    <row r="2290" spans="1:18" ht="13.8" outlineLevel="2" x14ac:dyDescent="0.25">
      <c r="A2290">
        <v>91710</v>
      </c>
      <c r="B2290" t="s">
        <v>2463</v>
      </c>
      <c r="C2290" t="s">
        <v>2699</v>
      </c>
      <c r="D2290" s="14" t="s">
        <v>2687</v>
      </c>
      <c r="E2290" s="12" t="s">
        <v>28</v>
      </c>
      <c r="F2290" s="13" t="s">
        <v>29</v>
      </c>
      <c r="G2290">
        <v>10</v>
      </c>
      <c r="H2290" t="s">
        <v>2466</v>
      </c>
      <c r="I2290">
        <v>10</v>
      </c>
      <c r="J2290" s="15"/>
      <c r="K2290" s="16">
        <f>331.51 - (331.51 * $E$1)</f>
        <v>331.51</v>
      </c>
      <c r="L2290" s="16">
        <f>271.73 - (271.73 * $E$1)</f>
        <v>271.73</v>
      </c>
      <c r="M2290" s="1">
        <v>331.51</v>
      </c>
      <c r="N2290" s="1">
        <v>271.73</v>
      </c>
      <c r="O2290" s="1">
        <v>281.77999999999997</v>
      </c>
      <c r="P2290" s="1">
        <v>230.97</v>
      </c>
      <c r="Q2290">
        <v>0.12</v>
      </c>
      <c r="R2290">
        <v>2.9930000000000001E-4</v>
      </c>
    </row>
    <row r="2291" spans="1:18" ht="13.8" outlineLevel="2" x14ac:dyDescent="0.25">
      <c r="A2291">
        <v>84966</v>
      </c>
      <c r="B2291" t="s">
        <v>2463</v>
      </c>
      <c r="C2291" t="s">
        <v>2700</v>
      </c>
      <c r="D2291" s="14" t="s">
        <v>2687</v>
      </c>
      <c r="E2291" s="12" t="s">
        <v>28</v>
      </c>
      <c r="F2291" s="13" t="s">
        <v>29</v>
      </c>
      <c r="G2291">
        <v>200</v>
      </c>
      <c r="H2291" t="s">
        <v>2466</v>
      </c>
      <c r="I2291">
        <v>200</v>
      </c>
      <c r="J2291" s="15"/>
      <c r="K2291" s="16">
        <f>8.82 - (8.82 * $E$1)</f>
        <v>8.82</v>
      </c>
      <c r="L2291" s="16">
        <f>7.23 - (7.23 * $E$1)</f>
        <v>7.23</v>
      </c>
      <c r="M2291" s="1">
        <v>8.82</v>
      </c>
      <c r="N2291" s="1">
        <v>7.23</v>
      </c>
      <c r="O2291" s="1">
        <v>7.5</v>
      </c>
      <c r="P2291" s="1">
        <v>6.15</v>
      </c>
      <c r="Q2291">
        <v>3.5000000000000001E-3</v>
      </c>
      <c r="R2291">
        <v>3.1739999999999998E-5</v>
      </c>
    </row>
    <row r="2292" spans="1:18" ht="13.8" outlineLevel="2" x14ac:dyDescent="0.25">
      <c r="A2292">
        <v>84970</v>
      </c>
      <c r="B2292" t="s">
        <v>2463</v>
      </c>
      <c r="C2292" t="s">
        <v>2701</v>
      </c>
      <c r="D2292" s="14" t="s">
        <v>2687</v>
      </c>
      <c r="E2292" s="12" t="s">
        <v>28</v>
      </c>
      <c r="F2292" s="13" t="s">
        <v>29</v>
      </c>
      <c r="G2292">
        <v>200</v>
      </c>
      <c r="H2292" t="s">
        <v>2466</v>
      </c>
      <c r="I2292">
        <v>200</v>
      </c>
      <c r="J2292" s="15"/>
      <c r="K2292" s="16">
        <f>10.92 - (10.92 * $E$1)</f>
        <v>10.92</v>
      </c>
      <c r="L2292" s="16">
        <f>8.95 - (8.95 * $E$1)</f>
        <v>8.9499999999999993</v>
      </c>
      <c r="M2292" s="1">
        <v>10.92</v>
      </c>
      <c r="N2292" s="1">
        <v>8.9499999999999993</v>
      </c>
      <c r="O2292" s="1">
        <v>9.2799999999999994</v>
      </c>
      <c r="P2292" s="1">
        <v>7.61</v>
      </c>
      <c r="Q2292">
        <v>8.9999999999999993E-3</v>
      </c>
      <c r="R2292">
        <v>4.2320000000000001E-5</v>
      </c>
    </row>
    <row r="2293" spans="1:18" ht="13.8" outlineLevel="2" x14ac:dyDescent="0.25">
      <c r="A2293">
        <v>82920</v>
      </c>
      <c r="B2293" t="s">
        <v>2463</v>
      </c>
      <c r="C2293" t="s">
        <v>2702</v>
      </c>
      <c r="D2293" s="14" t="s">
        <v>2687</v>
      </c>
      <c r="E2293" s="12" t="s">
        <v>28</v>
      </c>
      <c r="F2293" s="13" t="s">
        <v>29</v>
      </c>
      <c r="G2293">
        <v>100</v>
      </c>
      <c r="H2293" t="s">
        <v>2466</v>
      </c>
      <c r="I2293">
        <v>100</v>
      </c>
      <c r="J2293" s="15"/>
      <c r="K2293" s="16">
        <f>13.76 - (13.76 * $E$1)</f>
        <v>13.76</v>
      </c>
      <c r="L2293" s="16">
        <f>11.28 - (11.28 * $E$1)</f>
        <v>11.28</v>
      </c>
      <c r="M2293" s="1">
        <v>13.76</v>
      </c>
      <c r="N2293" s="1">
        <v>11.28</v>
      </c>
      <c r="O2293" s="1">
        <v>11.7</v>
      </c>
      <c r="P2293" s="1">
        <v>9.59</v>
      </c>
      <c r="Q2293">
        <v>6.0000000000000001E-3</v>
      </c>
      <c r="R2293">
        <v>5.4450000000000002E-5</v>
      </c>
    </row>
    <row r="2294" spans="1:18" ht="13.8" outlineLevel="2" x14ac:dyDescent="0.25">
      <c r="A2294">
        <v>82924</v>
      </c>
      <c r="B2294" t="s">
        <v>2463</v>
      </c>
      <c r="C2294" t="s">
        <v>2703</v>
      </c>
      <c r="D2294" s="14" t="s">
        <v>2687</v>
      </c>
      <c r="E2294" s="12" t="s">
        <v>28</v>
      </c>
      <c r="F2294" s="13" t="s">
        <v>29</v>
      </c>
      <c r="G2294">
        <v>100</v>
      </c>
      <c r="H2294" t="s">
        <v>2466</v>
      </c>
      <c r="I2294">
        <v>100</v>
      </c>
      <c r="J2294" s="15"/>
      <c r="K2294" s="16">
        <f>20.62 - (20.62 * $E$1)</f>
        <v>20.62</v>
      </c>
      <c r="L2294" s="16">
        <f>16.9 - (16.9 * $E$1)</f>
        <v>16.899999999999999</v>
      </c>
      <c r="M2294" s="1">
        <v>20.62</v>
      </c>
      <c r="N2294" s="1">
        <v>16.899999999999999</v>
      </c>
      <c r="O2294" s="1">
        <v>17.53</v>
      </c>
      <c r="P2294" s="1">
        <v>14.37</v>
      </c>
      <c r="Q2294">
        <v>7.0000000000000001E-3</v>
      </c>
      <c r="R2294">
        <v>6.5339999999999994E-5</v>
      </c>
    </row>
    <row r="2295" spans="1:18" ht="13.8" outlineLevel="2" x14ac:dyDescent="0.25">
      <c r="A2295">
        <v>82928</v>
      </c>
      <c r="B2295" t="s">
        <v>2463</v>
      </c>
      <c r="C2295" t="s">
        <v>2704</v>
      </c>
      <c r="D2295" s="14" t="s">
        <v>2687</v>
      </c>
      <c r="E2295" s="12" t="s">
        <v>28</v>
      </c>
      <c r="F2295" s="13" t="s">
        <v>29</v>
      </c>
      <c r="G2295">
        <v>50</v>
      </c>
      <c r="H2295" t="s">
        <v>2466</v>
      </c>
      <c r="I2295">
        <v>50</v>
      </c>
      <c r="J2295" s="15"/>
      <c r="K2295" s="16">
        <f>22.94 - (22.94 * $E$1)</f>
        <v>22.94</v>
      </c>
      <c r="L2295" s="16">
        <f>18.8 - (18.8 * $E$1)</f>
        <v>18.8</v>
      </c>
      <c r="M2295" s="1">
        <v>22.94</v>
      </c>
      <c r="N2295" s="1">
        <v>18.8</v>
      </c>
      <c r="O2295" s="1">
        <v>19.5</v>
      </c>
      <c r="P2295" s="1">
        <v>15.98</v>
      </c>
      <c r="Q2295">
        <v>0.01</v>
      </c>
      <c r="R2295">
        <v>6.0980000000000002E-5</v>
      </c>
    </row>
    <row r="2296" spans="1:18" ht="13.8" outlineLevel="2" x14ac:dyDescent="0.25">
      <c r="A2296">
        <v>82932</v>
      </c>
      <c r="B2296" t="s">
        <v>2463</v>
      </c>
      <c r="C2296" t="s">
        <v>2705</v>
      </c>
      <c r="D2296" s="14" t="s">
        <v>2687</v>
      </c>
      <c r="E2296" s="12" t="s">
        <v>28</v>
      </c>
      <c r="F2296" s="13" t="s">
        <v>29</v>
      </c>
      <c r="G2296">
        <v>50</v>
      </c>
      <c r="H2296" t="s">
        <v>2466</v>
      </c>
      <c r="I2296">
        <v>50</v>
      </c>
      <c r="J2296" s="15"/>
      <c r="K2296" s="16">
        <f>26.3 - (26.3 * $E$1)</f>
        <v>26.3</v>
      </c>
      <c r="L2296" s="16">
        <f>21.56 - (21.56 * $E$1)</f>
        <v>21.56</v>
      </c>
      <c r="M2296" s="1">
        <v>26.3</v>
      </c>
      <c r="N2296" s="1">
        <v>21.56</v>
      </c>
      <c r="O2296" s="1">
        <v>22.36</v>
      </c>
      <c r="P2296" s="1">
        <v>18.329999999999998</v>
      </c>
      <c r="Q2296">
        <v>0.01</v>
      </c>
      <c r="R2296">
        <v>6.5339999999999994E-5</v>
      </c>
    </row>
    <row r="2297" spans="1:18" ht="13.8" outlineLevel="2" x14ac:dyDescent="0.25">
      <c r="A2297">
        <v>82936</v>
      </c>
      <c r="B2297" t="s">
        <v>2463</v>
      </c>
      <c r="C2297" t="s">
        <v>2706</v>
      </c>
      <c r="D2297" s="14" t="s">
        <v>2687</v>
      </c>
      <c r="E2297" s="12" t="s">
        <v>28</v>
      </c>
      <c r="F2297" s="13" t="s">
        <v>29</v>
      </c>
      <c r="G2297">
        <v>50</v>
      </c>
      <c r="H2297" t="s">
        <v>2466</v>
      </c>
      <c r="I2297">
        <v>50</v>
      </c>
      <c r="J2297" s="15"/>
      <c r="K2297" s="16">
        <f>30.34 - (30.34 * $E$1)</f>
        <v>30.34</v>
      </c>
      <c r="L2297" s="16">
        <f>24.87 - (24.87 * $E$1)</f>
        <v>24.87</v>
      </c>
      <c r="M2297" s="1">
        <v>30.34</v>
      </c>
      <c r="N2297" s="1">
        <v>24.87</v>
      </c>
      <c r="O2297" s="1">
        <v>25.79</v>
      </c>
      <c r="P2297" s="1">
        <v>21.14</v>
      </c>
      <c r="Q2297">
        <v>1.4E-2</v>
      </c>
      <c r="R2297">
        <v>6.5339999999999994E-5</v>
      </c>
    </row>
    <row r="2298" spans="1:18" ht="13.8" outlineLevel="2" x14ac:dyDescent="0.25">
      <c r="A2298">
        <v>82940</v>
      </c>
      <c r="B2298" t="s">
        <v>2463</v>
      </c>
      <c r="C2298" t="s">
        <v>2707</v>
      </c>
      <c r="D2298" s="14" t="s">
        <v>2687</v>
      </c>
      <c r="E2298" s="12" t="s">
        <v>28</v>
      </c>
      <c r="F2298" s="13" t="s">
        <v>29</v>
      </c>
      <c r="G2298">
        <v>50</v>
      </c>
      <c r="H2298" t="s">
        <v>2466</v>
      </c>
      <c r="I2298">
        <v>50</v>
      </c>
      <c r="J2298" s="15"/>
      <c r="K2298" s="16">
        <f>47.3 - (47.3 * $E$1)</f>
        <v>47.3</v>
      </c>
      <c r="L2298" s="16">
        <f>38.77 - (38.77 * $E$1)</f>
        <v>38.770000000000003</v>
      </c>
      <c r="M2298" s="1">
        <v>47.3</v>
      </c>
      <c r="N2298" s="1">
        <v>38.770000000000003</v>
      </c>
      <c r="O2298" s="1">
        <v>40.200000000000003</v>
      </c>
      <c r="P2298" s="1">
        <v>32.950000000000003</v>
      </c>
      <c r="Q2298">
        <v>1.7999999999999999E-2</v>
      </c>
      <c r="R2298">
        <v>8.276E-5</v>
      </c>
    </row>
    <row r="2299" spans="1:18" ht="13.8" outlineLevel="2" x14ac:dyDescent="0.25">
      <c r="A2299">
        <v>82944</v>
      </c>
      <c r="B2299" t="s">
        <v>2463</v>
      </c>
      <c r="C2299" t="s">
        <v>2708</v>
      </c>
      <c r="D2299" s="14" t="s">
        <v>2687</v>
      </c>
      <c r="E2299" s="12" t="s">
        <v>28</v>
      </c>
      <c r="F2299" s="13" t="s">
        <v>29</v>
      </c>
      <c r="G2299">
        <v>50</v>
      </c>
      <c r="H2299" t="s">
        <v>2466</v>
      </c>
      <c r="I2299">
        <v>50</v>
      </c>
      <c r="J2299" s="15"/>
      <c r="K2299" s="16">
        <f>68.99 - (68.99 * $E$1)</f>
        <v>68.989999999999995</v>
      </c>
      <c r="L2299" s="16">
        <f>56.55 - (56.55 * $E$1)</f>
        <v>56.55</v>
      </c>
      <c r="M2299" s="1">
        <v>68.989999999999995</v>
      </c>
      <c r="N2299" s="1">
        <v>56.55</v>
      </c>
      <c r="O2299" s="1">
        <v>58.64</v>
      </c>
      <c r="P2299" s="1">
        <v>48.07</v>
      </c>
      <c r="Q2299">
        <v>2.4E-2</v>
      </c>
      <c r="R2299">
        <v>8.7120000000000006E-5</v>
      </c>
    </row>
    <row r="2300" spans="1:18" ht="13.8" outlineLevel="2" x14ac:dyDescent="0.25">
      <c r="A2300">
        <v>84974</v>
      </c>
      <c r="B2300" t="s">
        <v>2463</v>
      </c>
      <c r="C2300" t="s">
        <v>2709</v>
      </c>
      <c r="D2300" s="14" t="s">
        <v>2687</v>
      </c>
      <c r="E2300" s="12" t="s">
        <v>28</v>
      </c>
      <c r="F2300" s="13" t="s">
        <v>29</v>
      </c>
      <c r="G2300">
        <v>25</v>
      </c>
      <c r="H2300" t="s">
        <v>2466</v>
      </c>
      <c r="I2300">
        <v>25</v>
      </c>
      <c r="J2300" s="15"/>
      <c r="K2300" s="16">
        <f>95.99 - (95.99 * $E$1)</f>
        <v>95.99</v>
      </c>
      <c r="L2300" s="16">
        <f>78.68 - (78.68 * $E$1)</f>
        <v>78.680000000000007</v>
      </c>
      <c r="M2300" s="1">
        <v>95.99</v>
      </c>
      <c r="N2300" s="1">
        <v>78.680000000000007</v>
      </c>
      <c r="O2300" s="1">
        <v>81.59</v>
      </c>
      <c r="P2300" s="1">
        <v>66.88</v>
      </c>
      <c r="Q2300">
        <v>3.4000000000000002E-2</v>
      </c>
      <c r="R2300">
        <v>1.2695999999999999E-4</v>
      </c>
    </row>
    <row r="2301" spans="1:18" ht="13.8" outlineLevel="2" x14ac:dyDescent="0.25">
      <c r="A2301">
        <v>82948</v>
      </c>
      <c r="B2301" t="s">
        <v>2463</v>
      </c>
      <c r="C2301" t="s">
        <v>2710</v>
      </c>
      <c r="D2301" s="14" t="s">
        <v>2687</v>
      </c>
      <c r="E2301" s="12" t="s">
        <v>28</v>
      </c>
      <c r="F2301" s="13" t="s">
        <v>29</v>
      </c>
      <c r="G2301">
        <v>25</v>
      </c>
      <c r="H2301" t="s">
        <v>2466</v>
      </c>
      <c r="I2301">
        <v>25</v>
      </c>
      <c r="J2301" s="15"/>
      <c r="K2301" s="16">
        <f>127.5 - (127.5 * $E$1)</f>
        <v>127.5</v>
      </c>
      <c r="L2301" s="16">
        <f>104.51 - (104.51 * $E$1)</f>
        <v>104.51</v>
      </c>
      <c r="M2301" s="1">
        <v>127.5</v>
      </c>
      <c r="N2301" s="1">
        <v>104.51</v>
      </c>
      <c r="O2301" s="1">
        <v>108.38</v>
      </c>
      <c r="P2301" s="1">
        <v>88.83</v>
      </c>
      <c r="Q2301">
        <v>0.04</v>
      </c>
      <c r="R2301">
        <v>1.0088E-4</v>
      </c>
    </row>
    <row r="2302" spans="1:18" ht="13.8" outlineLevel="2" x14ac:dyDescent="0.25">
      <c r="A2302">
        <v>82952</v>
      </c>
      <c r="B2302" t="s">
        <v>2463</v>
      </c>
      <c r="C2302" t="s">
        <v>2711</v>
      </c>
      <c r="D2302" s="14" t="s">
        <v>2687</v>
      </c>
      <c r="E2302" s="12" t="s">
        <v>28</v>
      </c>
      <c r="F2302" s="13" t="s">
        <v>29</v>
      </c>
      <c r="G2302">
        <v>25</v>
      </c>
      <c r="H2302" t="s">
        <v>2466</v>
      </c>
      <c r="I2302">
        <v>25</v>
      </c>
      <c r="J2302" s="15"/>
      <c r="K2302" s="16">
        <f>174.28 - (174.28 * $E$1)</f>
        <v>174.28</v>
      </c>
      <c r="L2302" s="16">
        <f>142.85 - (142.85 * $E$1)</f>
        <v>142.85</v>
      </c>
      <c r="M2302" s="1">
        <v>174.28</v>
      </c>
      <c r="N2302" s="1">
        <v>142.85</v>
      </c>
      <c r="O2302" s="1">
        <v>148.13999999999999</v>
      </c>
      <c r="P2302" s="1">
        <v>121.42</v>
      </c>
      <c r="Q2302">
        <v>5.6000000000000001E-2</v>
      </c>
      <c r="R2302">
        <v>1.1768E-4</v>
      </c>
    </row>
    <row r="2303" spans="1:18" ht="13.8" outlineLevel="2" x14ac:dyDescent="0.25">
      <c r="A2303">
        <v>84978</v>
      </c>
      <c r="B2303" t="s">
        <v>2463</v>
      </c>
      <c r="C2303" t="s">
        <v>2712</v>
      </c>
      <c r="D2303" s="14" t="s">
        <v>2687</v>
      </c>
      <c r="E2303" s="12" t="s">
        <v>28</v>
      </c>
      <c r="F2303" s="13" t="s">
        <v>29</v>
      </c>
      <c r="G2303">
        <v>10</v>
      </c>
      <c r="H2303" t="s">
        <v>2466</v>
      </c>
      <c r="I2303">
        <v>10</v>
      </c>
      <c r="J2303" s="15"/>
      <c r="K2303" s="16">
        <f>239.11 - (239.11 * $E$1)</f>
        <v>239.11</v>
      </c>
      <c r="L2303" s="16">
        <f>195.99 - (195.99 * $E$1)</f>
        <v>195.99</v>
      </c>
      <c r="M2303" s="1">
        <v>239.11</v>
      </c>
      <c r="N2303" s="1">
        <v>195.99</v>
      </c>
      <c r="O2303" s="1">
        <v>203.24</v>
      </c>
      <c r="P2303" s="1">
        <v>166.59</v>
      </c>
      <c r="Q2303">
        <v>9.1999999999999998E-2</v>
      </c>
      <c r="R2303">
        <v>8.7120000000000003E-4</v>
      </c>
    </row>
    <row r="2304" spans="1:18" ht="13.8" outlineLevel="2" x14ac:dyDescent="0.25">
      <c r="A2304">
        <v>82956</v>
      </c>
      <c r="B2304" t="s">
        <v>2463</v>
      </c>
      <c r="C2304" t="s">
        <v>2713</v>
      </c>
      <c r="D2304" s="14" t="s">
        <v>2687</v>
      </c>
      <c r="E2304" s="12" t="s">
        <v>28</v>
      </c>
      <c r="F2304" s="13" t="s">
        <v>29</v>
      </c>
      <c r="G2304">
        <v>10</v>
      </c>
      <c r="H2304" t="s">
        <v>2466</v>
      </c>
      <c r="I2304">
        <v>10</v>
      </c>
      <c r="J2304" s="15"/>
      <c r="K2304" s="16">
        <f>331.51 - (331.51 * $E$1)</f>
        <v>331.51</v>
      </c>
      <c r="L2304" s="16">
        <f>271.73 - (271.73 * $E$1)</f>
        <v>271.73</v>
      </c>
      <c r="M2304" s="1">
        <v>331.51</v>
      </c>
      <c r="N2304" s="1">
        <v>271.73</v>
      </c>
      <c r="O2304" s="1">
        <v>281.77999999999997</v>
      </c>
      <c r="P2304" s="1">
        <v>230.97</v>
      </c>
      <c r="Q2304">
        <v>0.12</v>
      </c>
      <c r="R2304">
        <v>2.9930000000000001E-4</v>
      </c>
    </row>
    <row r="2305" spans="1:18" ht="13.8" outlineLevel="2" x14ac:dyDescent="0.25">
      <c r="A2305">
        <v>84967</v>
      </c>
      <c r="B2305" t="s">
        <v>2463</v>
      </c>
      <c r="C2305" t="s">
        <v>2714</v>
      </c>
      <c r="D2305" s="14" t="s">
        <v>2687</v>
      </c>
      <c r="E2305" s="12" t="s">
        <v>28</v>
      </c>
      <c r="F2305" s="13" t="s">
        <v>29</v>
      </c>
      <c r="G2305">
        <v>200</v>
      </c>
      <c r="H2305" t="s">
        <v>2466</v>
      </c>
      <c r="I2305">
        <v>200</v>
      </c>
      <c r="J2305" s="15"/>
      <c r="K2305" s="16">
        <f>8.82 - (8.82 * $E$1)</f>
        <v>8.82</v>
      </c>
      <c r="L2305" s="16">
        <f>7.23 - (7.23 * $E$1)</f>
        <v>7.23</v>
      </c>
      <c r="M2305" s="1">
        <v>8.82</v>
      </c>
      <c r="N2305" s="1">
        <v>7.23</v>
      </c>
      <c r="O2305" s="1">
        <v>7.5</v>
      </c>
      <c r="P2305" s="1">
        <v>6.15</v>
      </c>
      <c r="Q2305">
        <v>3.5000000000000001E-3</v>
      </c>
      <c r="R2305">
        <v>3.1739999999999998E-5</v>
      </c>
    </row>
    <row r="2306" spans="1:18" ht="13.8" outlineLevel="2" x14ac:dyDescent="0.25">
      <c r="A2306">
        <v>84971</v>
      </c>
      <c r="B2306" t="s">
        <v>2463</v>
      </c>
      <c r="C2306" t="s">
        <v>2715</v>
      </c>
      <c r="D2306" s="14" t="s">
        <v>2687</v>
      </c>
      <c r="E2306" s="12" t="s">
        <v>28</v>
      </c>
      <c r="F2306" s="13" t="s">
        <v>29</v>
      </c>
      <c r="G2306">
        <v>200</v>
      </c>
      <c r="H2306" t="s">
        <v>2466</v>
      </c>
      <c r="I2306">
        <v>200</v>
      </c>
      <c r="J2306" s="15"/>
      <c r="K2306" s="16">
        <f>10.92 - (10.92 * $E$1)</f>
        <v>10.92</v>
      </c>
      <c r="L2306" s="16">
        <f>8.95 - (8.95 * $E$1)</f>
        <v>8.9499999999999993</v>
      </c>
      <c r="M2306" s="1">
        <v>10.92</v>
      </c>
      <c r="N2306" s="1">
        <v>8.9499999999999993</v>
      </c>
      <c r="O2306" s="1">
        <v>9.2799999999999994</v>
      </c>
      <c r="P2306" s="1">
        <v>7.61</v>
      </c>
      <c r="Q2306">
        <v>8.9999999999999993E-3</v>
      </c>
      <c r="R2306">
        <v>4.2320000000000001E-5</v>
      </c>
    </row>
    <row r="2307" spans="1:18" ht="13.8" outlineLevel="2" x14ac:dyDescent="0.25">
      <c r="A2307">
        <v>82921</v>
      </c>
      <c r="B2307" t="s">
        <v>2463</v>
      </c>
      <c r="C2307" t="s">
        <v>2716</v>
      </c>
      <c r="D2307" s="14" t="s">
        <v>2687</v>
      </c>
      <c r="E2307" s="12" t="s">
        <v>28</v>
      </c>
      <c r="F2307" s="13" t="s">
        <v>29</v>
      </c>
      <c r="G2307">
        <v>100</v>
      </c>
      <c r="H2307" t="s">
        <v>2466</v>
      </c>
      <c r="I2307">
        <v>100</v>
      </c>
      <c r="J2307" s="15"/>
      <c r="K2307" s="16">
        <f>13.76 - (13.76 * $E$1)</f>
        <v>13.76</v>
      </c>
      <c r="L2307" s="16">
        <f>11.28 - (11.28 * $E$1)</f>
        <v>11.28</v>
      </c>
      <c r="M2307" s="1">
        <v>13.76</v>
      </c>
      <c r="N2307" s="1">
        <v>11.28</v>
      </c>
      <c r="O2307" s="1">
        <v>11.7</v>
      </c>
      <c r="P2307" s="1">
        <v>9.59</v>
      </c>
      <c r="Q2307">
        <v>6.0000000000000001E-3</v>
      </c>
      <c r="R2307">
        <v>5.4450000000000002E-5</v>
      </c>
    </row>
    <row r="2308" spans="1:18" ht="13.8" outlineLevel="2" x14ac:dyDescent="0.25">
      <c r="A2308">
        <v>82925</v>
      </c>
      <c r="B2308" t="s">
        <v>2463</v>
      </c>
      <c r="C2308" t="s">
        <v>2717</v>
      </c>
      <c r="D2308" s="14" t="s">
        <v>2687</v>
      </c>
      <c r="E2308" s="12" t="s">
        <v>28</v>
      </c>
      <c r="F2308" s="13" t="s">
        <v>29</v>
      </c>
      <c r="G2308">
        <v>100</v>
      </c>
      <c r="H2308" t="s">
        <v>2466</v>
      </c>
      <c r="I2308">
        <v>100</v>
      </c>
      <c r="J2308" s="15"/>
      <c r="K2308" s="16">
        <f>20.62 - (20.62 * $E$1)</f>
        <v>20.62</v>
      </c>
      <c r="L2308" s="16">
        <f>16.9 - (16.9 * $E$1)</f>
        <v>16.899999999999999</v>
      </c>
      <c r="M2308" s="1">
        <v>20.62</v>
      </c>
      <c r="N2308" s="1">
        <v>16.899999999999999</v>
      </c>
      <c r="O2308" s="1">
        <v>17.53</v>
      </c>
      <c r="P2308" s="1">
        <v>14.37</v>
      </c>
      <c r="Q2308">
        <v>7.0000000000000001E-3</v>
      </c>
      <c r="R2308">
        <v>6.5339999999999994E-5</v>
      </c>
    </row>
    <row r="2309" spans="1:18" ht="13.8" outlineLevel="2" x14ac:dyDescent="0.25">
      <c r="A2309">
        <v>82929</v>
      </c>
      <c r="B2309" t="s">
        <v>2463</v>
      </c>
      <c r="C2309" t="s">
        <v>2718</v>
      </c>
      <c r="D2309" s="14" t="s">
        <v>2687</v>
      </c>
      <c r="E2309" s="12" t="s">
        <v>28</v>
      </c>
      <c r="F2309" s="13" t="s">
        <v>29</v>
      </c>
      <c r="G2309">
        <v>50</v>
      </c>
      <c r="H2309" t="s">
        <v>2466</v>
      </c>
      <c r="I2309">
        <v>50</v>
      </c>
      <c r="J2309" s="15"/>
      <c r="K2309" s="16">
        <f>22.94 - (22.94 * $E$1)</f>
        <v>22.94</v>
      </c>
      <c r="L2309" s="16">
        <f>18.8 - (18.8 * $E$1)</f>
        <v>18.8</v>
      </c>
      <c r="M2309" s="1">
        <v>22.94</v>
      </c>
      <c r="N2309" s="1">
        <v>18.8</v>
      </c>
      <c r="O2309" s="1">
        <v>19.5</v>
      </c>
      <c r="P2309" s="1">
        <v>15.98</v>
      </c>
      <c r="Q2309">
        <v>0.01</v>
      </c>
      <c r="R2309">
        <v>6.0980000000000002E-5</v>
      </c>
    </row>
    <row r="2310" spans="1:18" ht="13.8" outlineLevel="2" x14ac:dyDescent="0.25">
      <c r="A2310">
        <v>82933</v>
      </c>
      <c r="B2310" t="s">
        <v>2463</v>
      </c>
      <c r="C2310" t="s">
        <v>2719</v>
      </c>
      <c r="D2310" s="14" t="s">
        <v>2687</v>
      </c>
      <c r="E2310" s="12" t="s">
        <v>28</v>
      </c>
      <c r="F2310" s="13" t="s">
        <v>29</v>
      </c>
      <c r="G2310">
        <v>50</v>
      </c>
      <c r="H2310" t="s">
        <v>2466</v>
      </c>
      <c r="I2310">
        <v>50</v>
      </c>
      <c r="J2310" s="15"/>
      <c r="K2310" s="16">
        <f>26.3 - (26.3 * $E$1)</f>
        <v>26.3</v>
      </c>
      <c r="L2310" s="16">
        <f>21.56 - (21.56 * $E$1)</f>
        <v>21.56</v>
      </c>
      <c r="M2310" s="1">
        <v>26.3</v>
      </c>
      <c r="N2310" s="1">
        <v>21.56</v>
      </c>
      <c r="O2310" s="1">
        <v>22.36</v>
      </c>
      <c r="P2310" s="1">
        <v>18.329999999999998</v>
      </c>
      <c r="Q2310">
        <v>0.01</v>
      </c>
      <c r="R2310">
        <v>6.5339999999999994E-5</v>
      </c>
    </row>
    <row r="2311" spans="1:18" ht="13.8" outlineLevel="2" x14ac:dyDescent="0.25">
      <c r="A2311">
        <v>82937</v>
      </c>
      <c r="B2311" t="s">
        <v>2463</v>
      </c>
      <c r="C2311" t="s">
        <v>2720</v>
      </c>
      <c r="D2311" s="14" t="s">
        <v>2687</v>
      </c>
      <c r="E2311" s="12" t="s">
        <v>28</v>
      </c>
      <c r="F2311" s="13" t="s">
        <v>29</v>
      </c>
      <c r="G2311">
        <v>50</v>
      </c>
      <c r="H2311" t="s">
        <v>2466</v>
      </c>
      <c r="I2311">
        <v>50</v>
      </c>
      <c r="J2311" s="15"/>
      <c r="K2311" s="16">
        <f>30.34 - (30.34 * $E$1)</f>
        <v>30.34</v>
      </c>
      <c r="L2311" s="16">
        <f>24.87 - (24.87 * $E$1)</f>
        <v>24.87</v>
      </c>
      <c r="M2311" s="1">
        <v>30.34</v>
      </c>
      <c r="N2311" s="1">
        <v>24.87</v>
      </c>
      <c r="O2311" s="1">
        <v>25.79</v>
      </c>
      <c r="P2311" s="1">
        <v>21.14</v>
      </c>
      <c r="Q2311">
        <v>1.4E-2</v>
      </c>
      <c r="R2311">
        <v>6.5339999999999994E-5</v>
      </c>
    </row>
    <row r="2312" spans="1:18" ht="13.8" outlineLevel="2" x14ac:dyDescent="0.25">
      <c r="A2312">
        <v>82941</v>
      </c>
      <c r="B2312" t="s">
        <v>2463</v>
      </c>
      <c r="C2312" t="s">
        <v>2721</v>
      </c>
      <c r="D2312" s="14" t="s">
        <v>2687</v>
      </c>
      <c r="E2312" s="12" t="s">
        <v>28</v>
      </c>
      <c r="F2312" s="13" t="s">
        <v>29</v>
      </c>
      <c r="G2312">
        <v>50</v>
      </c>
      <c r="H2312" t="s">
        <v>2466</v>
      </c>
      <c r="I2312">
        <v>50</v>
      </c>
      <c r="J2312" s="15"/>
      <c r="K2312" s="16">
        <f>47.3 - (47.3 * $E$1)</f>
        <v>47.3</v>
      </c>
      <c r="L2312" s="16">
        <f>38.77 - (38.77 * $E$1)</f>
        <v>38.770000000000003</v>
      </c>
      <c r="M2312" s="1">
        <v>47.3</v>
      </c>
      <c r="N2312" s="1">
        <v>38.770000000000003</v>
      </c>
      <c r="O2312" s="1">
        <v>40.200000000000003</v>
      </c>
      <c r="P2312" s="1">
        <v>32.950000000000003</v>
      </c>
      <c r="Q2312">
        <v>1.7999999999999999E-2</v>
      </c>
      <c r="R2312">
        <v>8.276E-5</v>
      </c>
    </row>
    <row r="2313" spans="1:18" ht="13.8" outlineLevel="2" x14ac:dyDescent="0.25">
      <c r="A2313">
        <v>82945</v>
      </c>
      <c r="B2313" t="s">
        <v>2463</v>
      </c>
      <c r="C2313" t="s">
        <v>2722</v>
      </c>
      <c r="D2313" s="14" t="s">
        <v>2687</v>
      </c>
      <c r="E2313" s="12" t="s">
        <v>28</v>
      </c>
      <c r="F2313" s="13" t="s">
        <v>29</v>
      </c>
      <c r="G2313">
        <v>50</v>
      </c>
      <c r="H2313" t="s">
        <v>2466</v>
      </c>
      <c r="I2313">
        <v>50</v>
      </c>
      <c r="J2313" s="15"/>
      <c r="K2313" s="16">
        <f>68.99 - (68.99 * $E$1)</f>
        <v>68.989999999999995</v>
      </c>
      <c r="L2313" s="16">
        <f>56.55 - (56.55 * $E$1)</f>
        <v>56.55</v>
      </c>
      <c r="M2313" s="1">
        <v>68.989999999999995</v>
      </c>
      <c r="N2313" s="1">
        <v>56.55</v>
      </c>
      <c r="O2313" s="1">
        <v>58.64</v>
      </c>
      <c r="P2313" s="1">
        <v>48.07</v>
      </c>
      <c r="Q2313">
        <v>2.4E-2</v>
      </c>
      <c r="R2313">
        <v>8.7120000000000006E-5</v>
      </c>
    </row>
    <row r="2314" spans="1:18" ht="13.8" outlineLevel="2" x14ac:dyDescent="0.25">
      <c r="A2314">
        <v>84975</v>
      </c>
      <c r="B2314" t="s">
        <v>2463</v>
      </c>
      <c r="C2314" t="s">
        <v>2723</v>
      </c>
      <c r="D2314" s="14" t="s">
        <v>2687</v>
      </c>
      <c r="E2314" s="12" t="s">
        <v>28</v>
      </c>
      <c r="F2314" s="13" t="s">
        <v>29</v>
      </c>
      <c r="G2314">
        <v>25</v>
      </c>
      <c r="H2314" t="s">
        <v>2466</v>
      </c>
      <c r="I2314">
        <v>25</v>
      </c>
      <c r="J2314" s="15"/>
      <c r="K2314" s="16">
        <f>95.99 - (95.99 * $E$1)</f>
        <v>95.99</v>
      </c>
      <c r="L2314" s="16">
        <f>78.68 - (78.68 * $E$1)</f>
        <v>78.680000000000007</v>
      </c>
      <c r="M2314" s="1">
        <v>95.99</v>
      </c>
      <c r="N2314" s="1">
        <v>78.680000000000007</v>
      </c>
      <c r="O2314" s="1">
        <v>81.59</v>
      </c>
      <c r="P2314" s="1">
        <v>66.88</v>
      </c>
      <c r="Q2314">
        <v>3.4000000000000002E-2</v>
      </c>
      <c r="R2314">
        <v>1.2695999999999999E-4</v>
      </c>
    </row>
    <row r="2315" spans="1:18" ht="13.8" outlineLevel="2" x14ac:dyDescent="0.25">
      <c r="A2315">
        <v>82949</v>
      </c>
      <c r="B2315" t="s">
        <v>2463</v>
      </c>
      <c r="C2315" t="s">
        <v>2724</v>
      </c>
      <c r="D2315" s="14" t="s">
        <v>2687</v>
      </c>
      <c r="E2315" s="12" t="s">
        <v>28</v>
      </c>
      <c r="F2315" s="13" t="s">
        <v>29</v>
      </c>
      <c r="G2315">
        <v>25</v>
      </c>
      <c r="H2315" t="s">
        <v>2466</v>
      </c>
      <c r="I2315">
        <v>25</v>
      </c>
      <c r="J2315" s="15"/>
      <c r="K2315" s="16">
        <f>127.5 - (127.5 * $E$1)</f>
        <v>127.5</v>
      </c>
      <c r="L2315" s="16">
        <f>104.51 - (104.51 * $E$1)</f>
        <v>104.51</v>
      </c>
      <c r="M2315" s="1">
        <v>127.5</v>
      </c>
      <c r="N2315" s="1">
        <v>104.51</v>
      </c>
      <c r="O2315" s="1">
        <v>108.38</v>
      </c>
      <c r="P2315" s="1">
        <v>88.83</v>
      </c>
      <c r="Q2315">
        <v>0.04</v>
      </c>
      <c r="R2315">
        <v>1.0088E-4</v>
      </c>
    </row>
    <row r="2316" spans="1:18" ht="13.8" outlineLevel="2" x14ac:dyDescent="0.25">
      <c r="A2316">
        <v>82953</v>
      </c>
      <c r="B2316" t="s">
        <v>2463</v>
      </c>
      <c r="C2316" t="s">
        <v>2725</v>
      </c>
      <c r="D2316" s="14" t="s">
        <v>2687</v>
      </c>
      <c r="E2316" s="12" t="s">
        <v>28</v>
      </c>
      <c r="F2316" s="13" t="s">
        <v>29</v>
      </c>
      <c r="G2316">
        <v>25</v>
      </c>
      <c r="H2316" t="s">
        <v>2466</v>
      </c>
      <c r="I2316">
        <v>25</v>
      </c>
      <c r="J2316" s="15"/>
      <c r="K2316" s="16">
        <f>174.28 - (174.28 * $E$1)</f>
        <v>174.28</v>
      </c>
      <c r="L2316" s="16">
        <f>142.85 - (142.85 * $E$1)</f>
        <v>142.85</v>
      </c>
      <c r="M2316" s="1">
        <v>174.28</v>
      </c>
      <c r="N2316" s="1">
        <v>142.85</v>
      </c>
      <c r="O2316" s="1">
        <v>148.13999999999999</v>
      </c>
      <c r="P2316" s="1">
        <v>121.42</v>
      </c>
      <c r="Q2316">
        <v>5.6000000000000001E-2</v>
      </c>
      <c r="R2316">
        <v>1.1768E-4</v>
      </c>
    </row>
    <row r="2317" spans="1:18" ht="13.8" outlineLevel="2" x14ac:dyDescent="0.25">
      <c r="A2317">
        <v>84979</v>
      </c>
      <c r="B2317" t="s">
        <v>2463</v>
      </c>
      <c r="C2317" t="s">
        <v>2726</v>
      </c>
      <c r="D2317" s="14" t="s">
        <v>2687</v>
      </c>
      <c r="E2317" s="12" t="s">
        <v>28</v>
      </c>
      <c r="F2317" s="13" t="s">
        <v>29</v>
      </c>
      <c r="G2317">
        <v>10</v>
      </c>
      <c r="H2317" t="s">
        <v>2466</v>
      </c>
      <c r="I2317">
        <v>10</v>
      </c>
      <c r="J2317" s="15"/>
      <c r="K2317" s="16">
        <f>239.11 - (239.11 * $E$1)</f>
        <v>239.11</v>
      </c>
      <c r="L2317" s="16">
        <f>195.99 - (195.99 * $E$1)</f>
        <v>195.99</v>
      </c>
      <c r="M2317" s="1">
        <v>239.11</v>
      </c>
      <c r="N2317" s="1">
        <v>195.99</v>
      </c>
      <c r="O2317" s="1">
        <v>203.24</v>
      </c>
      <c r="P2317" s="1">
        <v>166.59</v>
      </c>
      <c r="Q2317">
        <v>9.1999999999999998E-2</v>
      </c>
      <c r="R2317">
        <v>8.7120000000000003E-4</v>
      </c>
    </row>
    <row r="2318" spans="1:18" ht="13.8" outlineLevel="2" x14ac:dyDescent="0.25">
      <c r="A2318">
        <v>82957</v>
      </c>
      <c r="B2318" t="s">
        <v>2463</v>
      </c>
      <c r="C2318" t="s">
        <v>2727</v>
      </c>
      <c r="D2318" s="14" t="s">
        <v>2687</v>
      </c>
      <c r="E2318" s="12" t="s">
        <v>28</v>
      </c>
      <c r="F2318" s="13" t="s">
        <v>29</v>
      </c>
      <c r="G2318">
        <v>10</v>
      </c>
      <c r="H2318" t="s">
        <v>2466</v>
      </c>
      <c r="I2318">
        <v>10</v>
      </c>
      <c r="J2318" s="15"/>
      <c r="K2318" s="16">
        <f>331.51 - (331.51 * $E$1)</f>
        <v>331.51</v>
      </c>
      <c r="L2318" s="16">
        <f>271.73 - (271.73 * $E$1)</f>
        <v>271.73</v>
      </c>
      <c r="M2318" s="1">
        <v>331.51</v>
      </c>
      <c r="N2318" s="1">
        <v>271.73</v>
      </c>
      <c r="O2318" s="1">
        <v>281.77999999999997</v>
      </c>
      <c r="P2318" s="1">
        <v>230.97</v>
      </c>
      <c r="Q2318">
        <v>0.12</v>
      </c>
      <c r="R2318">
        <v>2.9930000000000001E-4</v>
      </c>
    </row>
    <row r="2319" spans="1:18" ht="13.8" outlineLevel="2" x14ac:dyDescent="0.25">
      <c r="A2319">
        <v>84968</v>
      </c>
      <c r="B2319" t="s">
        <v>2463</v>
      </c>
      <c r="C2319" t="s">
        <v>2728</v>
      </c>
      <c r="D2319" s="14" t="s">
        <v>2687</v>
      </c>
      <c r="E2319" s="12" t="s">
        <v>28</v>
      </c>
      <c r="F2319" s="13" t="s">
        <v>29</v>
      </c>
      <c r="G2319">
        <v>200</v>
      </c>
      <c r="H2319" t="s">
        <v>2466</v>
      </c>
      <c r="I2319">
        <v>200</v>
      </c>
      <c r="J2319" s="15"/>
      <c r="K2319" s="16">
        <f>8.82 - (8.82 * $E$1)</f>
        <v>8.82</v>
      </c>
      <c r="L2319" s="16">
        <f>7.23 - (7.23 * $E$1)</f>
        <v>7.23</v>
      </c>
      <c r="M2319" s="1">
        <v>8.82</v>
      </c>
      <c r="N2319" s="1">
        <v>7.23</v>
      </c>
      <c r="O2319" s="1">
        <v>7.5</v>
      </c>
      <c r="P2319" s="1">
        <v>6.15</v>
      </c>
      <c r="Q2319">
        <v>3.5000000000000001E-3</v>
      </c>
      <c r="R2319">
        <v>3.1739999999999998E-5</v>
      </c>
    </row>
    <row r="2320" spans="1:18" ht="13.8" outlineLevel="2" x14ac:dyDescent="0.25">
      <c r="A2320">
        <v>84972</v>
      </c>
      <c r="B2320" t="s">
        <v>2463</v>
      </c>
      <c r="C2320" t="s">
        <v>2729</v>
      </c>
      <c r="D2320" s="14" t="s">
        <v>2687</v>
      </c>
      <c r="E2320" s="12" t="s">
        <v>28</v>
      </c>
      <c r="F2320" s="13" t="s">
        <v>29</v>
      </c>
      <c r="G2320">
        <v>200</v>
      </c>
      <c r="H2320" t="s">
        <v>2466</v>
      </c>
      <c r="I2320">
        <v>200</v>
      </c>
      <c r="J2320" s="15"/>
      <c r="K2320" s="16">
        <f>10.92 - (10.92 * $E$1)</f>
        <v>10.92</v>
      </c>
      <c r="L2320" s="16">
        <f>8.95 - (8.95 * $E$1)</f>
        <v>8.9499999999999993</v>
      </c>
      <c r="M2320" s="1">
        <v>10.92</v>
      </c>
      <c r="N2320" s="1">
        <v>8.9499999999999993</v>
      </c>
      <c r="O2320" s="1">
        <v>9.2799999999999994</v>
      </c>
      <c r="P2320" s="1">
        <v>7.61</v>
      </c>
      <c r="Q2320">
        <v>8.9999999999999993E-3</v>
      </c>
      <c r="R2320">
        <v>4.2320000000000001E-5</v>
      </c>
    </row>
    <row r="2321" spans="1:18" ht="13.8" outlineLevel="2" x14ac:dyDescent="0.25">
      <c r="A2321">
        <v>82922</v>
      </c>
      <c r="B2321" t="s">
        <v>2463</v>
      </c>
      <c r="C2321" t="s">
        <v>2730</v>
      </c>
      <c r="D2321" s="14" t="s">
        <v>2687</v>
      </c>
      <c r="E2321" s="12" t="s">
        <v>28</v>
      </c>
      <c r="F2321" s="13" t="s">
        <v>29</v>
      </c>
      <c r="G2321">
        <v>100</v>
      </c>
      <c r="H2321" t="s">
        <v>2466</v>
      </c>
      <c r="I2321">
        <v>100</v>
      </c>
      <c r="J2321" s="15"/>
      <c r="K2321" s="16">
        <f>13.76 - (13.76 * $E$1)</f>
        <v>13.76</v>
      </c>
      <c r="L2321" s="16">
        <f>11.28 - (11.28 * $E$1)</f>
        <v>11.28</v>
      </c>
      <c r="M2321" s="1">
        <v>13.76</v>
      </c>
      <c r="N2321" s="1">
        <v>11.28</v>
      </c>
      <c r="O2321" s="1">
        <v>11.7</v>
      </c>
      <c r="P2321" s="1">
        <v>9.59</v>
      </c>
      <c r="Q2321">
        <v>6.0000000000000001E-3</v>
      </c>
      <c r="R2321">
        <v>5.4450000000000002E-5</v>
      </c>
    </row>
    <row r="2322" spans="1:18" ht="13.8" outlineLevel="2" x14ac:dyDescent="0.25">
      <c r="A2322">
        <v>82926</v>
      </c>
      <c r="B2322" t="s">
        <v>2463</v>
      </c>
      <c r="C2322" t="s">
        <v>2731</v>
      </c>
      <c r="D2322" s="14" t="s">
        <v>2687</v>
      </c>
      <c r="E2322" s="12" t="s">
        <v>28</v>
      </c>
      <c r="F2322" s="13" t="s">
        <v>29</v>
      </c>
      <c r="G2322">
        <v>100</v>
      </c>
      <c r="H2322" t="s">
        <v>2466</v>
      </c>
      <c r="I2322">
        <v>100</v>
      </c>
      <c r="J2322" s="15"/>
      <c r="K2322" s="16">
        <f>20.62 - (20.62 * $E$1)</f>
        <v>20.62</v>
      </c>
      <c r="L2322" s="16">
        <f>16.9 - (16.9 * $E$1)</f>
        <v>16.899999999999999</v>
      </c>
      <c r="M2322" s="1">
        <v>20.62</v>
      </c>
      <c r="N2322" s="1">
        <v>16.899999999999999</v>
      </c>
      <c r="O2322" s="1">
        <v>17.53</v>
      </c>
      <c r="P2322" s="1">
        <v>14.37</v>
      </c>
      <c r="Q2322">
        <v>7.0000000000000001E-3</v>
      </c>
      <c r="R2322">
        <v>6.5339999999999994E-5</v>
      </c>
    </row>
    <row r="2323" spans="1:18" ht="13.8" outlineLevel="2" x14ac:dyDescent="0.25">
      <c r="A2323">
        <v>82930</v>
      </c>
      <c r="B2323" t="s">
        <v>2463</v>
      </c>
      <c r="C2323" t="s">
        <v>2732</v>
      </c>
      <c r="D2323" s="14" t="s">
        <v>2687</v>
      </c>
      <c r="E2323" s="12" t="s">
        <v>28</v>
      </c>
      <c r="F2323" s="13" t="s">
        <v>29</v>
      </c>
      <c r="G2323">
        <v>50</v>
      </c>
      <c r="H2323" t="s">
        <v>2466</v>
      </c>
      <c r="I2323">
        <v>50</v>
      </c>
      <c r="J2323" s="15"/>
      <c r="K2323" s="16">
        <f>22.94 - (22.94 * $E$1)</f>
        <v>22.94</v>
      </c>
      <c r="L2323" s="16">
        <f>18.8 - (18.8 * $E$1)</f>
        <v>18.8</v>
      </c>
      <c r="M2323" s="1">
        <v>22.94</v>
      </c>
      <c r="N2323" s="1">
        <v>18.8</v>
      </c>
      <c r="O2323" s="1">
        <v>19.5</v>
      </c>
      <c r="P2323" s="1">
        <v>15.98</v>
      </c>
      <c r="Q2323">
        <v>0.01</v>
      </c>
      <c r="R2323">
        <v>6.0980000000000002E-5</v>
      </c>
    </row>
    <row r="2324" spans="1:18" ht="13.8" outlineLevel="2" x14ac:dyDescent="0.25">
      <c r="A2324">
        <v>82934</v>
      </c>
      <c r="B2324" t="s">
        <v>2463</v>
      </c>
      <c r="C2324" t="s">
        <v>2733</v>
      </c>
      <c r="D2324" s="14" t="s">
        <v>2687</v>
      </c>
      <c r="E2324" s="12" t="s">
        <v>28</v>
      </c>
      <c r="F2324" s="13" t="s">
        <v>29</v>
      </c>
      <c r="G2324">
        <v>50</v>
      </c>
      <c r="H2324" t="s">
        <v>2466</v>
      </c>
      <c r="I2324">
        <v>50</v>
      </c>
      <c r="J2324" s="15"/>
      <c r="K2324" s="16">
        <f>26.3 - (26.3 * $E$1)</f>
        <v>26.3</v>
      </c>
      <c r="L2324" s="16">
        <f>21.56 - (21.56 * $E$1)</f>
        <v>21.56</v>
      </c>
      <c r="M2324" s="1">
        <v>26.3</v>
      </c>
      <c r="N2324" s="1">
        <v>21.56</v>
      </c>
      <c r="O2324" s="1">
        <v>22.36</v>
      </c>
      <c r="P2324" s="1">
        <v>18.329999999999998</v>
      </c>
      <c r="Q2324">
        <v>0.01</v>
      </c>
      <c r="R2324">
        <v>6.5339999999999994E-5</v>
      </c>
    </row>
    <row r="2325" spans="1:18" ht="13.8" outlineLevel="2" x14ac:dyDescent="0.25">
      <c r="A2325">
        <v>82938</v>
      </c>
      <c r="B2325" t="s">
        <v>2463</v>
      </c>
      <c r="C2325" t="s">
        <v>2734</v>
      </c>
      <c r="D2325" s="14" t="s">
        <v>2687</v>
      </c>
      <c r="E2325" s="12" t="s">
        <v>28</v>
      </c>
      <c r="F2325" s="13" t="s">
        <v>29</v>
      </c>
      <c r="G2325">
        <v>50</v>
      </c>
      <c r="H2325" t="s">
        <v>2466</v>
      </c>
      <c r="I2325">
        <v>50</v>
      </c>
      <c r="J2325" s="15"/>
      <c r="K2325" s="16">
        <f>30.34 - (30.34 * $E$1)</f>
        <v>30.34</v>
      </c>
      <c r="L2325" s="16">
        <f>24.87 - (24.87 * $E$1)</f>
        <v>24.87</v>
      </c>
      <c r="M2325" s="1">
        <v>30.34</v>
      </c>
      <c r="N2325" s="1">
        <v>24.87</v>
      </c>
      <c r="O2325" s="1">
        <v>25.79</v>
      </c>
      <c r="P2325" s="1">
        <v>21.14</v>
      </c>
      <c r="Q2325">
        <v>1.4E-2</v>
      </c>
      <c r="R2325">
        <v>6.5339999999999994E-5</v>
      </c>
    </row>
    <row r="2326" spans="1:18" ht="13.8" outlineLevel="2" x14ac:dyDescent="0.25">
      <c r="A2326">
        <v>82942</v>
      </c>
      <c r="B2326" t="s">
        <v>2463</v>
      </c>
      <c r="C2326" t="s">
        <v>2735</v>
      </c>
      <c r="D2326" s="14" t="s">
        <v>2687</v>
      </c>
      <c r="E2326" s="12" t="s">
        <v>28</v>
      </c>
      <c r="F2326" s="13" t="s">
        <v>29</v>
      </c>
      <c r="G2326">
        <v>50</v>
      </c>
      <c r="H2326" t="s">
        <v>2466</v>
      </c>
      <c r="I2326">
        <v>50</v>
      </c>
      <c r="J2326" s="15"/>
      <c r="K2326" s="16">
        <f>47.3 - (47.3 * $E$1)</f>
        <v>47.3</v>
      </c>
      <c r="L2326" s="16">
        <f>38.77 - (38.77 * $E$1)</f>
        <v>38.770000000000003</v>
      </c>
      <c r="M2326" s="1">
        <v>47.3</v>
      </c>
      <c r="N2326" s="1">
        <v>38.770000000000003</v>
      </c>
      <c r="O2326" s="1">
        <v>40.200000000000003</v>
      </c>
      <c r="P2326" s="1">
        <v>32.950000000000003</v>
      </c>
      <c r="Q2326">
        <v>1.7999999999999999E-2</v>
      </c>
      <c r="R2326">
        <v>8.276E-5</v>
      </c>
    </row>
    <row r="2327" spans="1:18" ht="13.8" outlineLevel="2" x14ac:dyDescent="0.25">
      <c r="A2327">
        <v>82946</v>
      </c>
      <c r="B2327" t="s">
        <v>2463</v>
      </c>
      <c r="C2327" t="s">
        <v>2736</v>
      </c>
      <c r="D2327" s="14" t="s">
        <v>2687</v>
      </c>
      <c r="E2327" s="12" t="s">
        <v>28</v>
      </c>
      <c r="F2327" s="13" t="s">
        <v>29</v>
      </c>
      <c r="G2327">
        <v>50</v>
      </c>
      <c r="H2327" t="s">
        <v>2466</v>
      </c>
      <c r="I2327">
        <v>50</v>
      </c>
      <c r="J2327" s="15"/>
      <c r="K2327" s="16">
        <f>68.99 - (68.99 * $E$1)</f>
        <v>68.989999999999995</v>
      </c>
      <c r="L2327" s="16">
        <f>56.55 - (56.55 * $E$1)</f>
        <v>56.55</v>
      </c>
      <c r="M2327" s="1">
        <v>68.989999999999995</v>
      </c>
      <c r="N2327" s="1">
        <v>56.55</v>
      </c>
      <c r="O2327" s="1">
        <v>58.64</v>
      </c>
      <c r="P2327" s="1">
        <v>48.07</v>
      </c>
      <c r="Q2327">
        <v>2.4E-2</v>
      </c>
      <c r="R2327">
        <v>8.7120000000000006E-5</v>
      </c>
    </row>
    <row r="2328" spans="1:18" ht="13.8" outlineLevel="2" x14ac:dyDescent="0.25">
      <c r="A2328">
        <v>84976</v>
      </c>
      <c r="B2328" t="s">
        <v>2463</v>
      </c>
      <c r="C2328" t="s">
        <v>2737</v>
      </c>
      <c r="D2328" s="14" t="s">
        <v>2687</v>
      </c>
      <c r="E2328" s="12" t="s">
        <v>28</v>
      </c>
      <c r="F2328" s="13" t="s">
        <v>29</v>
      </c>
      <c r="G2328">
        <v>25</v>
      </c>
      <c r="H2328" t="s">
        <v>2466</v>
      </c>
      <c r="I2328">
        <v>25</v>
      </c>
      <c r="J2328" s="15"/>
      <c r="K2328" s="16">
        <f>95.99 - (95.99 * $E$1)</f>
        <v>95.99</v>
      </c>
      <c r="L2328" s="16">
        <f>78.68 - (78.68 * $E$1)</f>
        <v>78.680000000000007</v>
      </c>
      <c r="M2328" s="1">
        <v>95.99</v>
      </c>
      <c r="N2328" s="1">
        <v>78.680000000000007</v>
      </c>
      <c r="O2328" s="1">
        <v>81.59</v>
      </c>
      <c r="P2328" s="1">
        <v>66.88</v>
      </c>
      <c r="Q2328">
        <v>3.4000000000000002E-2</v>
      </c>
      <c r="R2328">
        <v>1.2695999999999999E-4</v>
      </c>
    </row>
    <row r="2329" spans="1:18" ht="13.8" outlineLevel="2" x14ac:dyDescent="0.25">
      <c r="A2329">
        <v>82950</v>
      </c>
      <c r="B2329" t="s">
        <v>2463</v>
      </c>
      <c r="C2329" t="s">
        <v>2738</v>
      </c>
      <c r="D2329" s="14" t="s">
        <v>2687</v>
      </c>
      <c r="E2329" s="12" t="s">
        <v>28</v>
      </c>
      <c r="F2329" s="13" t="s">
        <v>29</v>
      </c>
      <c r="G2329">
        <v>25</v>
      </c>
      <c r="H2329" t="s">
        <v>2466</v>
      </c>
      <c r="I2329">
        <v>25</v>
      </c>
      <c r="J2329" s="15"/>
      <c r="K2329" s="16">
        <f>127.5 - (127.5 * $E$1)</f>
        <v>127.5</v>
      </c>
      <c r="L2329" s="16">
        <f>104.51 - (104.51 * $E$1)</f>
        <v>104.51</v>
      </c>
      <c r="M2329" s="1">
        <v>127.5</v>
      </c>
      <c r="N2329" s="1">
        <v>104.51</v>
      </c>
      <c r="O2329" s="1">
        <v>108.38</v>
      </c>
      <c r="P2329" s="1">
        <v>88.83</v>
      </c>
      <c r="Q2329">
        <v>0.04</v>
      </c>
      <c r="R2329">
        <v>1.0088E-4</v>
      </c>
    </row>
    <row r="2330" spans="1:18" ht="13.8" outlineLevel="2" x14ac:dyDescent="0.25">
      <c r="A2330">
        <v>82954</v>
      </c>
      <c r="B2330" t="s">
        <v>2463</v>
      </c>
      <c r="C2330" t="s">
        <v>2739</v>
      </c>
      <c r="D2330" s="14" t="s">
        <v>2687</v>
      </c>
      <c r="E2330" s="12" t="s">
        <v>28</v>
      </c>
      <c r="F2330" s="13" t="s">
        <v>29</v>
      </c>
      <c r="G2330">
        <v>25</v>
      </c>
      <c r="H2330" t="s">
        <v>2466</v>
      </c>
      <c r="I2330">
        <v>25</v>
      </c>
      <c r="J2330" s="15"/>
      <c r="K2330" s="16">
        <f>174.28 - (174.28 * $E$1)</f>
        <v>174.28</v>
      </c>
      <c r="L2330" s="16">
        <f>142.85 - (142.85 * $E$1)</f>
        <v>142.85</v>
      </c>
      <c r="M2330" s="1">
        <v>174.28</v>
      </c>
      <c r="N2330" s="1">
        <v>142.85</v>
      </c>
      <c r="O2330" s="1">
        <v>148.13999999999999</v>
      </c>
      <c r="P2330" s="1">
        <v>121.42</v>
      </c>
      <c r="Q2330">
        <v>5.6000000000000001E-2</v>
      </c>
      <c r="R2330">
        <v>1.1768E-4</v>
      </c>
    </row>
    <row r="2331" spans="1:18" ht="13.8" outlineLevel="2" x14ac:dyDescent="0.25">
      <c r="A2331">
        <v>84980</v>
      </c>
      <c r="B2331" t="s">
        <v>2463</v>
      </c>
      <c r="C2331" t="s">
        <v>2740</v>
      </c>
      <c r="D2331" s="14" t="s">
        <v>2687</v>
      </c>
      <c r="E2331" s="12" t="s">
        <v>28</v>
      </c>
      <c r="F2331" s="13" t="s">
        <v>29</v>
      </c>
      <c r="G2331">
        <v>10</v>
      </c>
      <c r="H2331" t="s">
        <v>2466</v>
      </c>
      <c r="I2331">
        <v>10</v>
      </c>
      <c r="J2331" s="15"/>
      <c r="K2331" s="16">
        <f>239.11 - (239.11 * $E$1)</f>
        <v>239.11</v>
      </c>
      <c r="L2331" s="16">
        <f>195.99 - (195.99 * $E$1)</f>
        <v>195.99</v>
      </c>
      <c r="M2331" s="1">
        <v>239.11</v>
      </c>
      <c r="N2331" s="1">
        <v>195.99</v>
      </c>
      <c r="O2331" s="1">
        <v>203.24</v>
      </c>
      <c r="P2331" s="1">
        <v>166.59</v>
      </c>
      <c r="Q2331">
        <v>9.1999999999999998E-2</v>
      </c>
      <c r="R2331">
        <v>8.7120000000000003E-4</v>
      </c>
    </row>
    <row r="2332" spans="1:18" ht="13.8" outlineLevel="2" x14ac:dyDescent="0.25">
      <c r="A2332">
        <v>82958</v>
      </c>
      <c r="B2332" t="s">
        <v>2463</v>
      </c>
      <c r="C2332" t="s">
        <v>2741</v>
      </c>
      <c r="D2332" s="14" t="s">
        <v>2687</v>
      </c>
      <c r="E2332" s="12" t="s">
        <v>28</v>
      </c>
      <c r="F2332" s="13" t="s">
        <v>29</v>
      </c>
      <c r="G2332">
        <v>10</v>
      </c>
      <c r="H2332" t="s">
        <v>2466</v>
      </c>
      <c r="I2332">
        <v>10</v>
      </c>
      <c r="J2332" s="15"/>
      <c r="K2332" s="16">
        <f>331.51 - (331.51 * $E$1)</f>
        <v>331.51</v>
      </c>
      <c r="L2332" s="16">
        <f>271.73 - (271.73 * $E$1)</f>
        <v>271.73</v>
      </c>
      <c r="M2332" s="1">
        <v>331.51</v>
      </c>
      <c r="N2332" s="1">
        <v>271.73</v>
      </c>
      <c r="O2332" s="1">
        <v>281.77999999999997</v>
      </c>
      <c r="P2332" s="1">
        <v>230.97</v>
      </c>
      <c r="Q2332">
        <v>0.12</v>
      </c>
      <c r="R2332">
        <v>2.9930000000000001E-4</v>
      </c>
    </row>
    <row r="2333" spans="1:18" ht="13.8" outlineLevel="2" x14ac:dyDescent="0.25">
      <c r="A2333">
        <v>84969</v>
      </c>
      <c r="B2333" t="s">
        <v>2463</v>
      </c>
      <c r="C2333" t="s">
        <v>2742</v>
      </c>
      <c r="D2333" s="14" t="s">
        <v>2687</v>
      </c>
      <c r="E2333" s="12" t="s">
        <v>28</v>
      </c>
      <c r="F2333" s="13" t="s">
        <v>29</v>
      </c>
      <c r="G2333">
        <v>200</v>
      </c>
      <c r="H2333" t="s">
        <v>2466</v>
      </c>
      <c r="I2333">
        <v>200</v>
      </c>
      <c r="J2333" s="15"/>
      <c r="K2333" s="16">
        <f>8.82 - (8.82 * $E$1)</f>
        <v>8.82</v>
      </c>
      <c r="L2333" s="16">
        <f>7.23 - (7.23 * $E$1)</f>
        <v>7.23</v>
      </c>
      <c r="M2333" s="1">
        <v>8.82</v>
      </c>
      <c r="N2333" s="1">
        <v>7.23</v>
      </c>
      <c r="O2333" s="1">
        <v>7.5</v>
      </c>
      <c r="P2333" s="1">
        <v>6.15</v>
      </c>
      <c r="Q2333">
        <v>3.5000000000000001E-3</v>
      </c>
      <c r="R2333">
        <v>3.1739999999999998E-5</v>
      </c>
    </row>
    <row r="2334" spans="1:18" ht="13.8" outlineLevel="2" x14ac:dyDescent="0.25">
      <c r="A2334">
        <v>84973</v>
      </c>
      <c r="B2334" t="s">
        <v>2463</v>
      </c>
      <c r="C2334" t="s">
        <v>2743</v>
      </c>
      <c r="D2334" s="14" t="s">
        <v>2687</v>
      </c>
      <c r="E2334" s="12" t="s">
        <v>28</v>
      </c>
      <c r="F2334" s="13" t="s">
        <v>29</v>
      </c>
      <c r="G2334">
        <v>200</v>
      </c>
      <c r="H2334" t="s">
        <v>2466</v>
      </c>
      <c r="I2334">
        <v>200</v>
      </c>
      <c r="J2334" s="15"/>
      <c r="K2334" s="16">
        <f>10.92 - (10.92 * $E$1)</f>
        <v>10.92</v>
      </c>
      <c r="L2334" s="16">
        <f>8.95 - (8.95 * $E$1)</f>
        <v>8.9499999999999993</v>
      </c>
      <c r="M2334" s="1">
        <v>10.92</v>
      </c>
      <c r="N2334" s="1">
        <v>8.9499999999999993</v>
      </c>
      <c r="O2334" s="1">
        <v>9.2799999999999994</v>
      </c>
      <c r="P2334" s="1">
        <v>7.61</v>
      </c>
      <c r="Q2334">
        <v>8.9999999999999993E-3</v>
      </c>
      <c r="R2334">
        <v>4.2320000000000001E-5</v>
      </c>
    </row>
    <row r="2335" spans="1:18" ht="13.8" outlineLevel="2" x14ac:dyDescent="0.25">
      <c r="A2335">
        <v>82923</v>
      </c>
      <c r="B2335" t="s">
        <v>2463</v>
      </c>
      <c r="C2335" t="s">
        <v>2744</v>
      </c>
      <c r="D2335" s="14" t="s">
        <v>2687</v>
      </c>
      <c r="E2335" s="12" t="s">
        <v>28</v>
      </c>
      <c r="F2335" s="13" t="s">
        <v>29</v>
      </c>
      <c r="G2335">
        <v>100</v>
      </c>
      <c r="H2335" t="s">
        <v>2466</v>
      </c>
      <c r="I2335">
        <v>100</v>
      </c>
      <c r="J2335" s="15"/>
      <c r="K2335" s="16">
        <f>13.76 - (13.76 * $E$1)</f>
        <v>13.76</v>
      </c>
      <c r="L2335" s="16">
        <f>11.28 - (11.28 * $E$1)</f>
        <v>11.28</v>
      </c>
      <c r="M2335" s="1">
        <v>13.76</v>
      </c>
      <c r="N2335" s="1">
        <v>11.28</v>
      </c>
      <c r="O2335" s="1">
        <v>11.7</v>
      </c>
      <c r="P2335" s="1">
        <v>9.59</v>
      </c>
      <c r="Q2335">
        <v>6.0000000000000001E-3</v>
      </c>
      <c r="R2335">
        <v>5.4450000000000002E-5</v>
      </c>
    </row>
    <row r="2336" spans="1:18" ht="13.8" outlineLevel="2" x14ac:dyDescent="0.25">
      <c r="A2336">
        <v>82927</v>
      </c>
      <c r="B2336" t="s">
        <v>2463</v>
      </c>
      <c r="C2336" t="s">
        <v>2745</v>
      </c>
      <c r="D2336" s="14" t="s">
        <v>2687</v>
      </c>
      <c r="E2336" s="12" t="s">
        <v>28</v>
      </c>
      <c r="F2336" s="13" t="s">
        <v>29</v>
      </c>
      <c r="G2336">
        <v>100</v>
      </c>
      <c r="H2336" t="s">
        <v>2466</v>
      </c>
      <c r="I2336">
        <v>100</v>
      </c>
      <c r="J2336" s="15"/>
      <c r="K2336" s="16">
        <f>20.62 - (20.62 * $E$1)</f>
        <v>20.62</v>
      </c>
      <c r="L2336" s="16">
        <f>16.9 - (16.9 * $E$1)</f>
        <v>16.899999999999999</v>
      </c>
      <c r="M2336" s="1">
        <v>20.62</v>
      </c>
      <c r="N2336" s="1">
        <v>16.899999999999999</v>
      </c>
      <c r="O2336" s="1">
        <v>17.53</v>
      </c>
      <c r="P2336" s="1">
        <v>14.37</v>
      </c>
      <c r="Q2336">
        <v>7.0000000000000001E-3</v>
      </c>
      <c r="R2336">
        <v>6.5339999999999994E-5</v>
      </c>
    </row>
    <row r="2337" spans="1:18" ht="13.8" outlineLevel="2" x14ac:dyDescent="0.25">
      <c r="A2337">
        <v>82931</v>
      </c>
      <c r="B2337" t="s">
        <v>2463</v>
      </c>
      <c r="C2337" t="s">
        <v>2746</v>
      </c>
      <c r="D2337" s="14" t="s">
        <v>2687</v>
      </c>
      <c r="E2337" s="12" t="s">
        <v>28</v>
      </c>
      <c r="F2337" s="13" t="s">
        <v>29</v>
      </c>
      <c r="G2337">
        <v>50</v>
      </c>
      <c r="H2337" t="s">
        <v>2466</v>
      </c>
      <c r="I2337">
        <v>50</v>
      </c>
      <c r="J2337" s="15"/>
      <c r="K2337" s="16">
        <f>22.94 - (22.94 * $E$1)</f>
        <v>22.94</v>
      </c>
      <c r="L2337" s="16">
        <f>18.8 - (18.8 * $E$1)</f>
        <v>18.8</v>
      </c>
      <c r="M2337" s="1">
        <v>22.94</v>
      </c>
      <c r="N2337" s="1">
        <v>18.8</v>
      </c>
      <c r="O2337" s="1">
        <v>19.5</v>
      </c>
      <c r="P2337" s="1">
        <v>15.98</v>
      </c>
      <c r="Q2337">
        <v>0.01</v>
      </c>
      <c r="R2337">
        <v>6.0980000000000002E-5</v>
      </c>
    </row>
    <row r="2338" spans="1:18" ht="13.8" outlineLevel="2" x14ac:dyDescent="0.25">
      <c r="A2338">
        <v>82935</v>
      </c>
      <c r="B2338" t="s">
        <v>2463</v>
      </c>
      <c r="C2338" t="s">
        <v>2747</v>
      </c>
      <c r="D2338" s="14" t="s">
        <v>2687</v>
      </c>
      <c r="E2338" s="12" t="s">
        <v>28</v>
      </c>
      <c r="F2338" s="13" t="s">
        <v>29</v>
      </c>
      <c r="G2338">
        <v>50</v>
      </c>
      <c r="H2338" t="s">
        <v>2466</v>
      </c>
      <c r="I2338">
        <v>50</v>
      </c>
      <c r="J2338" s="15"/>
      <c r="K2338" s="16">
        <f>26.3 - (26.3 * $E$1)</f>
        <v>26.3</v>
      </c>
      <c r="L2338" s="16">
        <f>21.56 - (21.56 * $E$1)</f>
        <v>21.56</v>
      </c>
      <c r="M2338" s="1">
        <v>26.3</v>
      </c>
      <c r="N2338" s="1">
        <v>21.56</v>
      </c>
      <c r="O2338" s="1">
        <v>22.36</v>
      </c>
      <c r="P2338" s="1">
        <v>18.329999999999998</v>
      </c>
      <c r="Q2338">
        <v>0.01</v>
      </c>
      <c r="R2338">
        <v>6.5339999999999994E-5</v>
      </c>
    </row>
    <row r="2339" spans="1:18" ht="13.8" outlineLevel="2" x14ac:dyDescent="0.25">
      <c r="A2339">
        <v>82939</v>
      </c>
      <c r="B2339" t="s">
        <v>2463</v>
      </c>
      <c r="C2339" t="s">
        <v>2748</v>
      </c>
      <c r="D2339" s="14" t="s">
        <v>2687</v>
      </c>
      <c r="E2339" s="12" t="s">
        <v>28</v>
      </c>
      <c r="F2339" s="13" t="s">
        <v>29</v>
      </c>
      <c r="G2339">
        <v>50</v>
      </c>
      <c r="H2339" t="s">
        <v>2466</v>
      </c>
      <c r="I2339">
        <v>50</v>
      </c>
      <c r="J2339" s="15"/>
      <c r="K2339" s="16">
        <f>30.34 - (30.34 * $E$1)</f>
        <v>30.34</v>
      </c>
      <c r="L2339" s="16">
        <f>24.87 - (24.87 * $E$1)</f>
        <v>24.87</v>
      </c>
      <c r="M2339" s="1">
        <v>30.34</v>
      </c>
      <c r="N2339" s="1">
        <v>24.87</v>
      </c>
      <c r="O2339" s="1">
        <v>25.79</v>
      </c>
      <c r="P2339" s="1">
        <v>21.14</v>
      </c>
      <c r="Q2339">
        <v>1.4E-2</v>
      </c>
      <c r="R2339">
        <v>6.5339999999999994E-5</v>
      </c>
    </row>
    <row r="2340" spans="1:18" ht="13.8" outlineLevel="2" x14ac:dyDescent="0.25">
      <c r="A2340">
        <v>82943</v>
      </c>
      <c r="B2340" t="s">
        <v>2463</v>
      </c>
      <c r="C2340" t="s">
        <v>2749</v>
      </c>
      <c r="D2340" s="14" t="s">
        <v>2687</v>
      </c>
      <c r="E2340" s="12" t="s">
        <v>28</v>
      </c>
      <c r="F2340" s="13" t="s">
        <v>29</v>
      </c>
      <c r="G2340">
        <v>50</v>
      </c>
      <c r="H2340" t="s">
        <v>2466</v>
      </c>
      <c r="I2340">
        <v>50</v>
      </c>
      <c r="J2340" s="15"/>
      <c r="K2340" s="16">
        <f>47.3 - (47.3 * $E$1)</f>
        <v>47.3</v>
      </c>
      <c r="L2340" s="16">
        <f>38.77 - (38.77 * $E$1)</f>
        <v>38.770000000000003</v>
      </c>
      <c r="M2340" s="1">
        <v>47.3</v>
      </c>
      <c r="N2340" s="1">
        <v>38.770000000000003</v>
      </c>
      <c r="O2340" s="1">
        <v>40.200000000000003</v>
      </c>
      <c r="P2340" s="1">
        <v>32.950000000000003</v>
      </c>
      <c r="Q2340">
        <v>1.7999999999999999E-2</v>
      </c>
      <c r="R2340">
        <v>8.276E-5</v>
      </c>
    </row>
    <row r="2341" spans="1:18" ht="13.8" outlineLevel="2" x14ac:dyDescent="0.25">
      <c r="A2341">
        <v>82947</v>
      </c>
      <c r="B2341" t="s">
        <v>2463</v>
      </c>
      <c r="C2341" t="s">
        <v>2750</v>
      </c>
      <c r="D2341" s="14" t="s">
        <v>2687</v>
      </c>
      <c r="E2341" s="12" t="s">
        <v>28</v>
      </c>
      <c r="F2341" s="13" t="s">
        <v>29</v>
      </c>
      <c r="G2341">
        <v>50</v>
      </c>
      <c r="H2341" t="s">
        <v>2466</v>
      </c>
      <c r="I2341">
        <v>50</v>
      </c>
      <c r="J2341" s="15"/>
      <c r="K2341" s="16">
        <f>68.99 - (68.99 * $E$1)</f>
        <v>68.989999999999995</v>
      </c>
      <c r="L2341" s="16">
        <f>56.55 - (56.55 * $E$1)</f>
        <v>56.55</v>
      </c>
      <c r="M2341" s="1">
        <v>68.989999999999995</v>
      </c>
      <c r="N2341" s="1">
        <v>56.55</v>
      </c>
      <c r="O2341" s="1">
        <v>58.64</v>
      </c>
      <c r="P2341" s="1">
        <v>48.07</v>
      </c>
      <c r="Q2341">
        <v>2.4E-2</v>
      </c>
      <c r="R2341">
        <v>8.7120000000000006E-5</v>
      </c>
    </row>
    <row r="2342" spans="1:18" ht="13.8" outlineLevel="2" x14ac:dyDescent="0.25">
      <c r="A2342">
        <v>84977</v>
      </c>
      <c r="B2342" t="s">
        <v>2463</v>
      </c>
      <c r="C2342" t="s">
        <v>2751</v>
      </c>
      <c r="D2342" s="14" t="s">
        <v>2687</v>
      </c>
      <c r="E2342" s="12" t="s">
        <v>28</v>
      </c>
      <c r="F2342" s="13" t="s">
        <v>29</v>
      </c>
      <c r="G2342">
        <v>25</v>
      </c>
      <c r="H2342" t="s">
        <v>2466</v>
      </c>
      <c r="I2342">
        <v>25</v>
      </c>
      <c r="J2342" s="15"/>
      <c r="K2342" s="16">
        <f>95.99 - (95.99 * $E$1)</f>
        <v>95.99</v>
      </c>
      <c r="L2342" s="16">
        <f>78.68 - (78.68 * $E$1)</f>
        <v>78.680000000000007</v>
      </c>
      <c r="M2342" s="1">
        <v>95.99</v>
      </c>
      <c r="N2342" s="1">
        <v>78.680000000000007</v>
      </c>
      <c r="O2342" s="1">
        <v>81.59</v>
      </c>
      <c r="P2342" s="1">
        <v>66.88</v>
      </c>
      <c r="Q2342">
        <v>3.4000000000000002E-2</v>
      </c>
      <c r="R2342">
        <v>1.2695999999999999E-4</v>
      </c>
    </row>
    <row r="2343" spans="1:18" ht="13.8" outlineLevel="2" x14ac:dyDescent="0.25">
      <c r="A2343">
        <v>82951</v>
      </c>
      <c r="B2343" t="s">
        <v>2463</v>
      </c>
      <c r="C2343" t="s">
        <v>2752</v>
      </c>
      <c r="D2343" s="14" t="s">
        <v>2687</v>
      </c>
      <c r="E2343" s="12" t="s">
        <v>28</v>
      </c>
      <c r="F2343" s="13" t="s">
        <v>29</v>
      </c>
      <c r="G2343">
        <v>25</v>
      </c>
      <c r="H2343" t="s">
        <v>2466</v>
      </c>
      <c r="I2343">
        <v>25</v>
      </c>
      <c r="J2343" s="15"/>
      <c r="K2343" s="16">
        <f>127.5 - (127.5 * $E$1)</f>
        <v>127.5</v>
      </c>
      <c r="L2343" s="16">
        <f>104.51 - (104.51 * $E$1)</f>
        <v>104.51</v>
      </c>
      <c r="M2343" s="1">
        <v>127.5</v>
      </c>
      <c r="N2343" s="1">
        <v>104.51</v>
      </c>
      <c r="O2343" s="1">
        <v>108.38</v>
      </c>
      <c r="P2343" s="1">
        <v>88.83</v>
      </c>
      <c r="Q2343">
        <v>0.04</v>
      </c>
      <c r="R2343">
        <v>1.0088E-4</v>
      </c>
    </row>
    <row r="2344" spans="1:18" ht="13.8" outlineLevel="2" x14ac:dyDescent="0.25">
      <c r="A2344">
        <v>82955</v>
      </c>
      <c r="B2344" t="s">
        <v>2463</v>
      </c>
      <c r="C2344" t="s">
        <v>2753</v>
      </c>
      <c r="D2344" s="14" t="s">
        <v>2687</v>
      </c>
      <c r="E2344" s="12" t="s">
        <v>28</v>
      </c>
      <c r="F2344" s="13" t="s">
        <v>29</v>
      </c>
      <c r="G2344">
        <v>25</v>
      </c>
      <c r="H2344" t="s">
        <v>2466</v>
      </c>
      <c r="I2344">
        <v>25</v>
      </c>
      <c r="J2344" s="15"/>
      <c r="K2344" s="16">
        <f>174.28 - (174.28 * $E$1)</f>
        <v>174.28</v>
      </c>
      <c r="L2344" s="16">
        <f>142.85 - (142.85 * $E$1)</f>
        <v>142.85</v>
      </c>
      <c r="M2344" s="1">
        <v>174.28</v>
      </c>
      <c r="N2344" s="1">
        <v>142.85</v>
      </c>
      <c r="O2344" s="1">
        <v>148.13999999999999</v>
      </c>
      <c r="P2344" s="1">
        <v>121.42</v>
      </c>
      <c r="Q2344">
        <v>5.6000000000000001E-2</v>
      </c>
      <c r="R2344">
        <v>1.1768E-4</v>
      </c>
    </row>
    <row r="2345" spans="1:18" ht="13.8" outlineLevel="2" x14ac:dyDescent="0.25">
      <c r="A2345">
        <v>84981</v>
      </c>
      <c r="B2345" t="s">
        <v>2463</v>
      </c>
      <c r="C2345" t="s">
        <v>2754</v>
      </c>
      <c r="D2345" s="14" t="s">
        <v>2687</v>
      </c>
      <c r="E2345" s="12" t="s">
        <v>28</v>
      </c>
      <c r="F2345" s="13" t="s">
        <v>29</v>
      </c>
      <c r="G2345">
        <v>10</v>
      </c>
      <c r="H2345" t="s">
        <v>2466</v>
      </c>
      <c r="I2345">
        <v>10</v>
      </c>
      <c r="J2345" s="15"/>
      <c r="K2345" s="16">
        <f>239.11 - (239.11 * $E$1)</f>
        <v>239.11</v>
      </c>
      <c r="L2345" s="16">
        <f>195.99 - (195.99 * $E$1)</f>
        <v>195.99</v>
      </c>
      <c r="M2345" s="1">
        <v>239.11</v>
      </c>
      <c r="N2345" s="1">
        <v>195.99</v>
      </c>
      <c r="O2345" s="1">
        <v>203.24</v>
      </c>
      <c r="P2345" s="1">
        <v>166.59</v>
      </c>
      <c r="Q2345">
        <v>9.1999999999999998E-2</v>
      </c>
      <c r="R2345">
        <v>8.7120000000000003E-4</v>
      </c>
    </row>
    <row r="2346" spans="1:18" ht="13.8" outlineLevel="2" x14ac:dyDescent="0.25">
      <c r="A2346">
        <v>82959</v>
      </c>
      <c r="B2346" t="s">
        <v>2463</v>
      </c>
      <c r="C2346" t="s">
        <v>2755</v>
      </c>
      <c r="D2346" s="14" t="s">
        <v>2687</v>
      </c>
      <c r="E2346" s="12" t="s">
        <v>28</v>
      </c>
      <c r="F2346" s="13" t="s">
        <v>29</v>
      </c>
      <c r="G2346">
        <v>10</v>
      </c>
      <c r="H2346" t="s">
        <v>2466</v>
      </c>
      <c r="I2346">
        <v>10</v>
      </c>
      <c r="J2346" s="15"/>
      <c r="K2346" s="16">
        <f>331.51 - (331.51 * $E$1)</f>
        <v>331.51</v>
      </c>
      <c r="L2346" s="16">
        <f>271.73 - (271.73 * $E$1)</f>
        <v>271.73</v>
      </c>
      <c r="M2346" s="1">
        <v>331.51</v>
      </c>
      <c r="N2346" s="1">
        <v>271.73</v>
      </c>
      <c r="O2346" s="1">
        <v>281.77999999999997</v>
      </c>
      <c r="P2346" s="1">
        <v>230.97</v>
      </c>
      <c r="Q2346">
        <v>0.12</v>
      </c>
      <c r="R2346">
        <v>2.9930000000000001E-4</v>
      </c>
    </row>
    <row r="2347" spans="1:18" ht="13.8" outlineLevel="2" x14ac:dyDescent="0.25">
      <c r="A2347">
        <v>85116</v>
      </c>
      <c r="B2347" t="s">
        <v>2463</v>
      </c>
      <c r="C2347" t="s">
        <v>2756</v>
      </c>
      <c r="D2347" s="14" t="s">
        <v>2687</v>
      </c>
      <c r="E2347" s="12" t="s">
        <v>28</v>
      </c>
      <c r="F2347" s="13" t="s">
        <v>29</v>
      </c>
      <c r="G2347">
        <v>200</v>
      </c>
      <c r="H2347" t="s">
        <v>2466</v>
      </c>
      <c r="I2347">
        <v>200</v>
      </c>
      <c r="J2347" s="15"/>
      <c r="K2347" s="16">
        <f>14.75 - (14.75 * $E$1)</f>
        <v>14.75</v>
      </c>
      <c r="L2347" s="16">
        <f>12.09 - (12.09 * $E$1)</f>
        <v>12.09</v>
      </c>
      <c r="M2347" s="1">
        <v>14.75</v>
      </c>
      <c r="N2347" s="1">
        <v>12.09</v>
      </c>
      <c r="O2347" s="1">
        <v>12.54</v>
      </c>
      <c r="P2347" s="1">
        <v>10.28</v>
      </c>
      <c r="Q2347">
        <v>4.4999999999999997E-3</v>
      </c>
      <c r="R2347">
        <v>4.2320000000000001E-5</v>
      </c>
    </row>
    <row r="2348" spans="1:18" ht="13.8" outlineLevel="2" x14ac:dyDescent="0.25">
      <c r="A2348">
        <v>83266</v>
      </c>
      <c r="B2348" t="s">
        <v>2463</v>
      </c>
      <c r="C2348" t="s">
        <v>2757</v>
      </c>
      <c r="D2348" s="14" t="s">
        <v>2687</v>
      </c>
      <c r="E2348" s="12" t="s">
        <v>28</v>
      </c>
      <c r="F2348" s="13" t="s">
        <v>29</v>
      </c>
      <c r="G2348">
        <v>100</v>
      </c>
      <c r="H2348" t="s">
        <v>2466</v>
      </c>
      <c r="I2348">
        <v>100</v>
      </c>
      <c r="J2348" s="15"/>
      <c r="K2348" s="16">
        <f>15.6 - (15.6 * $E$1)</f>
        <v>15.6</v>
      </c>
      <c r="L2348" s="16">
        <f>12.79 - (12.79 * $E$1)</f>
        <v>12.79</v>
      </c>
      <c r="M2348" s="1">
        <v>15.6</v>
      </c>
      <c r="N2348" s="1">
        <v>12.79</v>
      </c>
      <c r="O2348" s="1">
        <v>13.26</v>
      </c>
      <c r="P2348" s="1">
        <v>10.87</v>
      </c>
      <c r="Q2348">
        <v>6.0000000000000001E-3</v>
      </c>
      <c r="R2348">
        <v>5.4450000000000002E-5</v>
      </c>
    </row>
    <row r="2349" spans="1:18" ht="13.8" outlineLevel="2" x14ac:dyDescent="0.25">
      <c r="A2349">
        <v>83270</v>
      </c>
      <c r="B2349" t="s">
        <v>2463</v>
      </c>
      <c r="C2349" t="s">
        <v>2758</v>
      </c>
      <c r="D2349" s="14" t="s">
        <v>2687</v>
      </c>
      <c r="E2349" s="12" t="s">
        <v>28</v>
      </c>
      <c r="F2349" s="13" t="s">
        <v>29</v>
      </c>
      <c r="G2349">
        <v>50</v>
      </c>
      <c r="H2349" t="s">
        <v>2466</v>
      </c>
      <c r="I2349">
        <v>50</v>
      </c>
      <c r="J2349" s="15"/>
      <c r="K2349" s="16">
        <f>30.16 - (30.16 * $E$1)</f>
        <v>30.16</v>
      </c>
      <c r="L2349" s="16">
        <f>24.72 - (24.72 * $E$1)</f>
        <v>24.72</v>
      </c>
      <c r="M2349" s="1">
        <v>30.16</v>
      </c>
      <c r="N2349" s="1">
        <v>24.72</v>
      </c>
      <c r="O2349" s="1">
        <v>25.63</v>
      </c>
      <c r="P2349" s="1">
        <v>21.01</v>
      </c>
      <c r="Q2349">
        <v>1.4E-2</v>
      </c>
      <c r="R2349">
        <v>6.5339999999999994E-5</v>
      </c>
    </row>
    <row r="2350" spans="1:18" ht="13.8" outlineLevel="2" x14ac:dyDescent="0.25">
      <c r="A2350">
        <v>85117</v>
      </c>
      <c r="B2350" t="s">
        <v>2463</v>
      </c>
      <c r="C2350" t="s">
        <v>2759</v>
      </c>
      <c r="D2350" s="14" t="s">
        <v>2687</v>
      </c>
      <c r="E2350" s="12" t="s">
        <v>28</v>
      </c>
      <c r="F2350" s="13" t="s">
        <v>29</v>
      </c>
      <c r="G2350">
        <v>25</v>
      </c>
      <c r="H2350" t="s">
        <v>2466</v>
      </c>
      <c r="I2350">
        <v>25</v>
      </c>
      <c r="J2350" s="15"/>
      <c r="K2350" s="16">
        <f>108.01 - (108.01 * $E$1)</f>
        <v>108.01</v>
      </c>
      <c r="L2350" s="16">
        <f>88.53 - (88.53 * $E$1)</f>
        <v>88.53</v>
      </c>
      <c r="M2350" s="1">
        <v>108.01</v>
      </c>
      <c r="N2350" s="1">
        <v>88.53</v>
      </c>
      <c r="O2350" s="1">
        <v>91.81</v>
      </c>
      <c r="P2350" s="1">
        <v>75.25</v>
      </c>
      <c r="Q2350">
        <v>3.4000000000000002E-2</v>
      </c>
      <c r="R2350">
        <v>1.058E-4</v>
      </c>
    </row>
    <row r="2351" spans="1:18" ht="13.8" outlineLevel="2" x14ac:dyDescent="0.25">
      <c r="A2351">
        <v>85118</v>
      </c>
      <c r="B2351" t="s">
        <v>2463</v>
      </c>
      <c r="C2351" t="s">
        <v>2760</v>
      </c>
      <c r="D2351" s="14" t="s">
        <v>2687</v>
      </c>
      <c r="E2351" s="12" t="s">
        <v>28</v>
      </c>
      <c r="F2351" s="13" t="s">
        <v>29</v>
      </c>
      <c r="G2351">
        <v>25</v>
      </c>
      <c r="H2351" t="s">
        <v>2466</v>
      </c>
      <c r="I2351">
        <v>25</v>
      </c>
      <c r="J2351" s="15"/>
      <c r="K2351" s="16">
        <f>124.9 - (124.9 * $E$1)</f>
        <v>124.9</v>
      </c>
      <c r="L2351" s="16">
        <f>102.38 - (102.38 * $E$1)</f>
        <v>102.38</v>
      </c>
      <c r="M2351" s="1">
        <v>124.9</v>
      </c>
      <c r="N2351" s="1">
        <v>102.38</v>
      </c>
      <c r="O2351" s="1">
        <v>106.17</v>
      </c>
      <c r="P2351" s="1">
        <v>87.02</v>
      </c>
      <c r="Q2351">
        <v>3.5200000000000002E-2</v>
      </c>
      <c r="R2351">
        <v>2.0184000000000001E-4</v>
      </c>
    </row>
    <row r="2352" spans="1:18" ht="13.8" outlineLevel="2" x14ac:dyDescent="0.25">
      <c r="A2352">
        <v>65592</v>
      </c>
      <c r="B2352" t="s">
        <v>2463</v>
      </c>
      <c r="C2352" t="s">
        <v>2761</v>
      </c>
      <c r="D2352" s="14" t="s">
        <v>2762</v>
      </c>
      <c r="E2352" s="12" t="s">
        <v>28</v>
      </c>
      <c r="F2352" s="13" t="s">
        <v>29</v>
      </c>
      <c r="G2352">
        <v>1</v>
      </c>
      <c r="H2352" t="s">
        <v>30</v>
      </c>
      <c r="I2352">
        <v>1</v>
      </c>
      <c r="J2352" s="15"/>
      <c r="K2352" s="16">
        <f>1177.95 - (1177.95 * $E$1)</f>
        <v>1177.95</v>
      </c>
      <c r="L2352" s="16">
        <f>965.53 - (965.53 * $E$1)</f>
        <v>965.53</v>
      </c>
      <c r="M2352" s="1">
        <v>1177.95</v>
      </c>
      <c r="N2352" s="1">
        <v>965.53</v>
      </c>
      <c r="O2352" s="1">
        <v>1001.25</v>
      </c>
      <c r="P2352" s="1">
        <v>820.7</v>
      </c>
      <c r="Q2352">
        <v>0.16</v>
      </c>
      <c r="R2352">
        <v>1.6100000000000001E-3</v>
      </c>
    </row>
    <row r="2353" spans="1:18" ht="13.8" outlineLevel="2" x14ac:dyDescent="0.25">
      <c r="A2353">
        <v>65606</v>
      </c>
      <c r="B2353" t="s">
        <v>2463</v>
      </c>
      <c r="C2353" t="s">
        <v>2763</v>
      </c>
      <c r="D2353" s="14" t="s">
        <v>2762</v>
      </c>
      <c r="E2353" s="12" t="s">
        <v>28</v>
      </c>
      <c r="F2353" s="13" t="s">
        <v>29</v>
      </c>
      <c r="G2353">
        <v>1</v>
      </c>
      <c r="H2353" t="s">
        <v>30</v>
      </c>
      <c r="I2353">
        <v>1</v>
      </c>
      <c r="J2353" s="15"/>
      <c r="K2353" s="16">
        <f>1253.73 - (1253.73 * $E$1)</f>
        <v>1253.73</v>
      </c>
      <c r="L2353" s="16">
        <f>1027.65 - (1027.65 * $E$1)</f>
        <v>1027.6500000000001</v>
      </c>
      <c r="M2353" s="1">
        <v>1253.73</v>
      </c>
      <c r="N2353" s="1">
        <v>1027.6500000000001</v>
      </c>
      <c r="O2353" s="1">
        <v>1065.67</v>
      </c>
      <c r="P2353" s="1">
        <v>873.5</v>
      </c>
      <c r="Q2353">
        <v>0.22</v>
      </c>
      <c r="R2353">
        <v>1.6100000000000001E-3</v>
      </c>
    </row>
    <row r="2354" spans="1:18" ht="13.8" outlineLevel="2" x14ac:dyDescent="0.25">
      <c r="A2354">
        <v>65613</v>
      </c>
      <c r="B2354" t="s">
        <v>2463</v>
      </c>
      <c r="C2354" t="s">
        <v>2764</v>
      </c>
      <c r="D2354" s="14" t="s">
        <v>2762</v>
      </c>
      <c r="E2354" s="12" t="s">
        <v>28</v>
      </c>
      <c r="F2354" s="13" t="s">
        <v>29</v>
      </c>
      <c r="G2354">
        <v>1</v>
      </c>
      <c r="H2354" t="s">
        <v>30</v>
      </c>
      <c r="I2354">
        <v>1</v>
      </c>
      <c r="J2354" s="15"/>
      <c r="K2354" s="16">
        <f>1322.7 - (1322.7 * $E$1)</f>
        <v>1322.7</v>
      </c>
      <c r="L2354" s="16">
        <f>1084.18 - (1084.18 * $E$1)</f>
        <v>1084.18</v>
      </c>
      <c r="M2354" s="1">
        <v>1322.7</v>
      </c>
      <c r="N2354" s="1">
        <v>1084.18</v>
      </c>
      <c r="O2354" s="1">
        <v>1124.29</v>
      </c>
      <c r="P2354" s="1">
        <v>921.55</v>
      </c>
      <c r="Q2354">
        <v>0.23</v>
      </c>
      <c r="R2354">
        <v>1.6100000000000001E-3</v>
      </c>
    </row>
    <row r="2355" spans="1:18" ht="13.8" outlineLevel="2" x14ac:dyDescent="0.25">
      <c r="A2355">
        <v>65634</v>
      </c>
      <c r="B2355" t="s">
        <v>2463</v>
      </c>
      <c r="C2355" t="s">
        <v>2765</v>
      </c>
      <c r="D2355" s="14" t="s">
        <v>2762</v>
      </c>
      <c r="E2355" s="12" t="s">
        <v>28</v>
      </c>
      <c r="F2355" s="13" t="s">
        <v>29</v>
      </c>
      <c r="G2355">
        <v>1</v>
      </c>
      <c r="H2355" t="s">
        <v>30</v>
      </c>
      <c r="I2355">
        <v>1</v>
      </c>
      <c r="J2355" s="15"/>
      <c r="K2355" s="16">
        <f>1745.54 - (1745.54 * $E$1)</f>
        <v>1745.54</v>
      </c>
      <c r="L2355" s="16">
        <f>1430.77 - (1430.77 * $E$1)</f>
        <v>1430.77</v>
      </c>
      <c r="M2355" s="1">
        <v>1745.54</v>
      </c>
      <c r="N2355" s="1">
        <v>1430.77</v>
      </c>
      <c r="O2355" s="1">
        <v>1483.71</v>
      </c>
      <c r="P2355" s="1">
        <v>1216.1500000000001</v>
      </c>
      <c r="Q2355">
        <v>0.43</v>
      </c>
      <c r="R2355">
        <v>1.6100000000000001E-3</v>
      </c>
    </row>
    <row r="2356" spans="1:18" ht="13.8" outlineLevel="2" x14ac:dyDescent="0.25">
      <c r="A2356">
        <v>65593</v>
      </c>
      <c r="B2356" t="s">
        <v>2463</v>
      </c>
      <c r="C2356" t="s">
        <v>2766</v>
      </c>
      <c r="D2356" s="14" t="s">
        <v>2767</v>
      </c>
      <c r="E2356" s="12" t="s">
        <v>28</v>
      </c>
      <c r="G2356">
        <v>1</v>
      </c>
      <c r="H2356" t="s">
        <v>30</v>
      </c>
      <c r="I2356">
        <v>1</v>
      </c>
      <c r="J2356" s="15"/>
      <c r="K2356" s="16">
        <f>1211.24 - (1211.24 * $E$1)</f>
        <v>1211.24</v>
      </c>
      <c r="L2356" s="16">
        <f>992.82 - (992.82 * $E$1)</f>
        <v>992.82</v>
      </c>
      <c r="M2356" s="1">
        <v>1211.24</v>
      </c>
      <c r="N2356" s="1">
        <v>992.82</v>
      </c>
      <c r="O2356" s="1">
        <v>1029.55</v>
      </c>
      <c r="P2356" s="1">
        <v>843.9</v>
      </c>
      <c r="Q2356">
        <v>0.16</v>
      </c>
      <c r="R2356">
        <v>1.6100000000000001E-3</v>
      </c>
    </row>
    <row r="2357" spans="1:18" ht="13.8" outlineLevel="2" x14ac:dyDescent="0.25">
      <c r="A2357">
        <v>65628</v>
      </c>
      <c r="B2357" t="s">
        <v>2463</v>
      </c>
      <c r="C2357" t="s">
        <v>2768</v>
      </c>
      <c r="D2357" s="14" t="s">
        <v>2767</v>
      </c>
      <c r="E2357" s="12" t="s">
        <v>28</v>
      </c>
      <c r="F2357" s="13" t="s">
        <v>29</v>
      </c>
      <c r="G2357">
        <v>1</v>
      </c>
      <c r="H2357" t="s">
        <v>30</v>
      </c>
      <c r="I2357">
        <v>1</v>
      </c>
      <c r="J2357" s="15"/>
      <c r="K2357" s="16">
        <f>1577.68 - (1577.68 * $E$1)</f>
        <v>1577.68</v>
      </c>
      <c r="L2357" s="16">
        <f>1293.18 - (1293.18 * $E$1)</f>
        <v>1293.18</v>
      </c>
      <c r="M2357" s="1">
        <v>1577.68</v>
      </c>
      <c r="N2357" s="1">
        <v>1293.18</v>
      </c>
      <c r="O2357" s="1">
        <v>1341.03</v>
      </c>
      <c r="P2357" s="1">
        <v>1099.2</v>
      </c>
      <c r="Q2357">
        <v>0.35</v>
      </c>
      <c r="R2357">
        <v>1.6100000000000001E-3</v>
      </c>
    </row>
    <row r="2358" spans="1:18" ht="13.8" outlineLevel="2" x14ac:dyDescent="0.25">
      <c r="A2358">
        <v>65594</v>
      </c>
      <c r="B2358" t="s">
        <v>2463</v>
      </c>
      <c r="C2358" t="s">
        <v>2769</v>
      </c>
      <c r="D2358" s="14" t="s">
        <v>2767</v>
      </c>
      <c r="E2358" s="12" t="s">
        <v>28</v>
      </c>
      <c r="F2358" s="13" t="s">
        <v>29</v>
      </c>
      <c r="G2358">
        <v>1</v>
      </c>
      <c r="H2358" t="s">
        <v>30</v>
      </c>
      <c r="I2358">
        <v>1</v>
      </c>
      <c r="J2358" s="15"/>
      <c r="K2358" s="16">
        <f>1220.73 - (1220.73 * $E$1)</f>
        <v>1220.73</v>
      </c>
      <c r="L2358" s="16">
        <f>1000.6 - (1000.6 * $E$1)</f>
        <v>1000.6</v>
      </c>
      <c r="M2358" s="1">
        <v>1220.73</v>
      </c>
      <c r="N2358" s="1">
        <v>1000.6</v>
      </c>
      <c r="O2358" s="1">
        <v>1037.6199999999999</v>
      </c>
      <c r="P2358" s="1">
        <v>850.51</v>
      </c>
      <c r="Q2358">
        <v>0.16</v>
      </c>
      <c r="R2358">
        <v>1.6100000000000001E-3</v>
      </c>
    </row>
    <row r="2359" spans="1:18" ht="13.8" outlineLevel="2" x14ac:dyDescent="0.25">
      <c r="A2359">
        <v>65608</v>
      </c>
      <c r="B2359" t="s">
        <v>2463</v>
      </c>
      <c r="C2359" t="s">
        <v>2770</v>
      </c>
      <c r="D2359" s="14" t="s">
        <v>2767</v>
      </c>
      <c r="E2359" s="12" t="s">
        <v>28</v>
      </c>
      <c r="F2359" s="13" t="s">
        <v>29</v>
      </c>
      <c r="G2359">
        <v>1</v>
      </c>
      <c r="H2359" t="s">
        <v>30</v>
      </c>
      <c r="I2359">
        <v>1</v>
      </c>
      <c r="J2359" s="15"/>
      <c r="K2359" s="16">
        <f>1310.76 - (1310.76 * $E$1)</f>
        <v>1310.76</v>
      </c>
      <c r="L2359" s="16">
        <f>1074.39 - (1074.39 * $E$1)</f>
        <v>1074.3900000000001</v>
      </c>
      <c r="M2359" s="1">
        <v>1310.76</v>
      </c>
      <c r="N2359" s="1">
        <v>1074.3900000000001</v>
      </c>
      <c r="O2359" s="1">
        <v>1114.1400000000001</v>
      </c>
      <c r="P2359" s="1">
        <v>913.23</v>
      </c>
      <c r="Q2359">
        <v>0.22</v>
      </c>
      <c r="R2359">
        <v>1.6100000000000001E-3</v>
      </c>
    </row>
    <row r="2360" spans="1:18" ht="13.8" outlineLevel="2" x14ac:dyDescent="0.25">
      <c r="A2360">
        <v>65622</v>
      </c>
      <c r="B2360" t="s">
        <v>2463</v>
      </c>
      <c r="C2360" t="s">
        <v>2771</v>
      </c>
      <c r="D2360" s="14" t="s">
        <v>2767</v>
      </c>
      <c r="E2360" s="12" t="s">
        <v>28</v>
      </c>
      <c r="F2360" s="13" t="s">
        <v>29</v>
      </c>
      <c r="G2360">
        <v>1</v>
      </c>
      <c r="H2360" t="s">
        <v>30</v>
      </c>
      <c r="I2360">
        <v>1</v>
      </c>
      <c r="J2360" s="15"/>
      <c r="K2360" s="16">
        <f>1384 - (1384 * $E$1)</f>
        <v>1384</v>
      </c>
      <c r="L2360" s="16">
        <f>1134.43 - (1134.43 * $E$1)</f>
        <v>1134.43</v>
      </c>
      <c r="M2360" s="1">
        <v>1384</v>
      </c>
      <c r="N2360" s="1">
        <v>1134.43</v>
      </c>
      <c r="O2360" s="1">
        <v>1176.4000000000001</v>
      </c>
      <c r="P2360" s="1">
        <v>964.27</v>
      </c>
      <c r="Q2360">
        <v>0.26</v>
      </c>
      <c r="R2360">
        <v>1.6100000000000001E-3</v>
      </c>
    </row>
    <row r="2361" spans="1:18" ht="13.8" outlineLevel="2" x14ac:dyDescent="0.25">
      <c r="A2361">
        <v>65595</v>
      </c>
      <c r="B2361" t="s">
        <v>2463</v>
      </c>
      <c r="C2361" t="s">
        <v>2772</v>
      </c>
      <c r="D2361" s="14" t="s">
        <v>2767</v>
      </c>
      <c r="E2361" s="12" t="s">
        <v>28</v>
      </c>
      <c r="F2361" s="13" t="s">
        <v>29</v>
      </c>
      <c r="G2361">
        <v>1</v>
      </c>
      <c r="H2361" t="s">
        <v>30</v>
      </c>
      <c r="I2361">
        <v>1</v>
      </c>
      <c r="J2361" s="15"/>
      <c r="K2361" s="16">
        <f>1220.73 - (1220.73 * $E$1)</f>
        <v>1220.73</v>
      </c>
      <c r="L2361" s="16">
        <f>1000.6 - (1000.6 * $E$1)</f>
        <v>1000.6</v>
      </c>
      <c r="M2361" s="1">
        <v>1220.73</v>
      </c>
      <c r="N2361" s="1">
        <v>1000.6</v>
      </c>
      <c r="O2361" s="1">
        <v>1037.6199999999999</v>
      </c>
      <c r="P2361" s="1">
        <v>850.51</v>
      </c>
      <c r="Q2361">
        <v>0.16</v>
      </c>
      <c r="R2361">
        <v>1.6100000000000001E-3</v>
      </c>
    </row>
    <row r="2362" spans="1:18" ht="13.8" outlineLevel="2" x14ac:dyDescent="0.25">
      <c r="A2362">
        <v>65609</v>
      </c>
      <c r="B2362" t="s">
        <v>2463</v>
      </c>
      <c r="C2362" t="s">
        <v>2773</v>
      </c>
      <c r="D2362" s="14" t="s">
        <v>2767</v>
      </c>
      <c r="E2362" s="12" t="s">
        <v>28</v>
      </c>
      <c r="G2362">
        <v>1</v>
      </c>
      <c r="H2362" t="s">
        <v>30</v>
      </c>
      <c r="I2362">
        <v>1</v>
      </c>
      <c r="J2362" s="15"/>
      <c r="K2362" s="16">
        <f>1310.76 - (1310.76 * $E$1)</f>
        <v>1310.76</v>
      </c>
      <c r="L2362" s="16">
        <f>1074.39 - (1074.39 * $E$1)</f>
        <v>1074.3900000000001</v>
      </c>
      <c r="M2362" s="1">
        <v>1310.76</v>
      </c>
      <c r="N2362" s="1">
        <v>1074.3900000000001</v>
      </c>
      <c r="O2362" s="1">
        <v>1114.1400000000001</v>
      </c>
      <c r="P2362" s="1">
        <v>913.23</v>
      </c>
      <c r="Q2362">
        <v>0.22</v>
      </c>
      <c r="R2362">
        <v>1.6100000000000001E-3</v>
      </c>
    </row>
    <row r="2363" spans="1:18" ht="13.8" outlineLevel="2" x14ac:dyDescent="0.25">
      <c r="A2363">
        <v>65630</v>
      </c>
      <c r="B2363" t="s">
        <v>2463</v>
      </c>
      <c r="C2363" t="s">
        <v>2774</v>
      </c>
      <c r="D2363" s="14" t="s">
        <v>2767</v>
      </c>
      <c r="E2363" s="12" t="s">
        <v>28</v>
      </c>
      <c r="F2363" s="13" t="s">
        <v>29</v>
      </c>
      <c r="G2363">
        <v>1</v>
      </c>
      <c r="H2363" t="s">
        <v>30</v>
      </c>
      <c r="I2363">
        <v>1</v>
      </c>
      <c r="J2363" s="15"/>
      <c r="K2363" s="16">
        <f>1599.87 - (1599.87 * $E$1)</f>
        <v>1599.87</v>
      </c>
      <c r="L2363" s="16">
        <f>1311.37 - (1311.37 * $E$1)</f>
        <v>1311.37</v>
      </c>
      <c r="M2363" s="1">
        <v>1599.87</v>
      </c>
      <c r="N2363" s="1">
        <v>1311.37</v>
      </c>
      <c r="O2363" s="1">
        <v>1359.89</v>
      </c>
      <c r="P2363" s="1">
        <v>1114.6600000000001</v>
      </c>
      <c r="Q2363">
        <v>0.35</v>
      </c>
      <c r="R2363">
        <v>1.6100000000000001E-3</v>
      </c>
    </row>
    <row r="2364" spans="1:18" ht="13.8" outlineLevel="2" x14ac:dyDescent="0.25">
      <c r="A2364">
        <v>65637</v>
      </c>
      <c r="B2364" t="s">
        <v>2463</v>
      </c>
      <c r="C2364" t="s">
        <v>2775</v>
      </c>
      <c r="D2364" s="14" t="s">
        <v>2767</v>
      </c>
      <c r="E2364" s="12" t="s">
        <v>28</v>
      </c>
      <c r="F2364" s="13" t="s">
        <v>29</v>
      </c>
      <c r="G2364">
        <v>1</v>
      </c>
      <c r="H2364" t="s">
        <v>30</v>
      </c>
      <c r="I2364">
        <v>1</v>
      </c>
      <c r="J2364" s="15"/>
      <c r="K2364" s="16">
        <f>1809.05 - (1809.05 * $E$1)</f>
        <v>1809.05</v>
      </c>
      <c r="L2364" s="16">
        <f>1482.83 - (1482.83 * $E$1)</f>
        <v>1482.83</v>
      </c>
      <c r="M2364" s="1">
        <v>1809.05</v>
      </c>
      <c r="N2364" s="1">
        <v>1482.83</v>
      </c>
      <c r="O2364" s="1">
        <v>1537.69</v>
      </c>
      <c r="P2364" s="1">
        <v>1260.4100000000001</v>
      </c>
      <c r="Q2364">
        <v>0.43</v>
      </c>
      <c r="R2364">
        <v>1.6100000000000001E-3</v>
      </c>
    </row>
    <row r="2365" spans="1:18" ht="13.8" outlineLevel="2" x14ac:dyDescent="0.25">
      <c r="A2365">
        <v>65610</v>
      </c>
      <c r="B2365" t="s">
        <v>2463</v>
      </c>
      <c r="C2365" t="s">
        <v>2776</v>
      </c>
      <c r="D2365" s="14" t="s">
        <v>2767</v>
      </c>
      <c r="E2365" s="12" t="s">
        <v>28</v>
      </c>
      <c r="F2365" s="13" t="s">
        <v>29</v>
      </c>
      <c r="G2365">
        <v>1</v>
      </c>
      <c r="H2365" t="s">
        <v>30</v>
      </c>
      <c r="I2365">
        <v>1</v>
      </c>
      <c r="J2365" s="15"/>
      <c r="K2365" s="16">
        <f>1310.76 - (1310.76 * $E$1)</f>
        <v>1310.76</v>
      </c>
      <c r="L2365" s="16">
        <f>1074.39 - (1074.39 * $E$1)</f>
        <v>1074.3900000000001</v>
      </c>
      <c r="M2365" s="1">
        <v>1310.76</v>
      </c>
      <c r="N2365" s="1">
        <v>1074.3900000000001</v>
      </c>
      <c r="O2365" s="1">
        <v>1114.1400000000001</v>
      </c>
      <c r="P2365" s="1">
        <v>913.23</v>
      </c>
      <c r="Q2365">
        <v>0.22</v>
      </c>
      <c r="R2365">
        <v>1.6100000000000001E-3</v>
      </c>
    </row>
    <row r="2366" spans="1:18" ht="13.8" outlineLevel="2" x14ac:dyDescent="0.25">
      <c r="A2366">
        <v>65617</v>
      </c>
      <c r="B2366" t="s">
        <v>2463</v>
      </c>
      <c r="C2366" t="s">
        <v>2777</v>
      </c>
      <c r="D2366" s="14" t="s">
        <v>2767</v>
      </c>
      <c r="E2366" s="12" t="s">
        <v>28</v>
      </c>
      <c r="F2366" s="13" t="s">
        <v>29</v>
      </c>
      <c r="G2366">
        <v>1</v>
      </c>
      <c r="H2366" t="s">
        <v>30</v>
      </c>
      <c r="I2366">
        <v>1</v>
      </c>
      <c r="J2366" s="15"/>
      <c r="K2366" s="16">
        <f>1381.98 - (1381.98 * $E$1)</f>
        <v>1381.98</v>
      </c>
      <c r="L2366" s="16">
        <f>1132.77 - (1132.77 * $E$1)</f>
        <v>1132.77</v>
      </c>
      <c r="M2366" s="1">
        <v>1381.98</v>
      </c>
      <c r="N2366" s="1">
        <v>1132.77</v>
      </c>
      <c r="O2366" s="1">
        <v>1174.68</v>
      </c>
      <c r="P2366" s="1">
        <v>962.85</v>
      </c>
      <c r="Q2366">
        <v>0.23</v>
      </c>
      <c r="R2366">
        <v>1.6100000000000001E-3</v>
      </c>
    </row>
    <row r="2367" spans="1:18" ht="13.8" outlineLevel="2" x14ac:dyDescent="0.25">
      <c r="A2367">
        <v>65631</v>
      </c>
      <c r="B2367" t="s">
        <v>2463</v>
      </c>
      <c r="C2367" t="s">
        <v>2778</v>
      </c>
      <c r="D2367" s="14" t="s">
        <v>2767</v>
      </c>
      <c r="E2367" s="12" t="s">
        <v>28</v>
      </c>
      <c r="F2367" s="13" t="s">
        <v>29</v>
      </c>
      <c r="G2367">
        <v>1</v>
      </c>
      <c r="H2367" t="s">
        <v>30</v>
      </c>
      <c r="I2367">
        <v>1</v>
      </c>
      <c r="J2367" s="15"/>
      <c r="K2367" s="16">
        <f>1598.97 - (1598.97 * $E$1)</f>
        <v>1598.97</v>
      </c>
      <c r="L2367" s="16">
        <f>1310.63 - (1310.63 * $E$1)</f>
        <v>1310.6300000000001</v>
      </c>
      <c r="M2367" s="1">
        <v>1598.97</v>
      </c>
      <c r="N2367" s="1">
        <v>1310.6300000000001</v>
      </c>
      <c r="O2367" s="1">
        <v>1359.12</v>
      </c>
      <c r="P2367" s="1">
        <v>1114.04</v>
      </c>
      <c r="Q2367">
        <v>0.35</v>
      </c>
      <c r="R2367">
        <v>1.6100000000000001E-3</v>
      </c>
    </row>
    <row r="2368" spans="1:18" ht="13.8" outlineLevel="2" x14ac:dyDescent="0.25">
      <c r="A2368">
        <v>65638</v>
      </c>
      <c r="B2368" t="s">
        <v>2463</v>
      </c>
      <c r="C2368" t="s">
        <v>2779</v>
      </c>
      <c r="D2368" s="14" t="s">
        <v>2767</v>
      </c>
      <c r="E2368" s="12" t="s">
        <v>28</v>
      </c>
      <c r="F2368" s="13" t="s">
        <v>29</v>
      </c>
      <c r="G2368">
        <v>1</v>
      </c>
      <c r="H2368" t="s">
        <v>30</v>
      </c>
      <c r="I2368">
        <v>1</v>
      </c>
      <c r="J2368" s="15"/>
      <c r="K2368" s="16">
        <f>1809.05 - (1809.05 * $E$1)</f>
        <v>1809.05</v>
      </c>
      <c r="L2368" s="16">
        <f>1482.83 - (1482.83 * $E$1)</f>
        <v>1482.83</v>
      </c>
      <c r="M2368" s="1">
        <v>1809.05</v>
      </c>
      <c r="N2368" s="1">
        <v>1482.83</v>
      </c>
      <c r="O2368" s="1">
        <v>1537.69</v>
      </c>
      <c r="P2368" s="1">
        <v>1260.4100000000001</v>
      </c>
      <c r="Q2368">
        <v>0.43</v>
      </c>
      <c r="R2368">
        <v>1.6100000000000001E-3</v>
      </c>
    </row>
    <row r="2369" spans="1:18" ht="13.8" outlineLevel="2" x14ac:dyDescent="0.25">
      <c r="A2369">
        <v>65597</v>
      </c>
      <c r="B2369" t="s">
        <v>2463</v>
      </c>
      <c r="C2369" t="s">
        <v>2780</v>
      </c>
      <c r="D2369" s="14" t="s">
        <v>2767</v>
      </c>
      <c r="E2369" s="12" t="s">
        <v>28</v>
      </c>
      <c r="F2369" s="13" t="s">
        <v>29</v>
      </c>
      <c r="G2369">
        <v>1</v>
      </c>
      <c r="H2369" t="s">
        <v>30</v>
      </c>
      <c r="I2369">
        <v>1</v>
      </c>
      <c r="J2369" s="15"/>
      <c r="K2369" s="16">
        <f>1220.73 - (1220.73 * $E$1)</f>
        <v>1220.73</v>
      </c>
      <c r="L2369" s="16">
        <f>1000.6 - (1000.6 * $E$1)</f>
        <v>1000.6</v>
      </c>
      <c r="M2369" s="1">
        <v>1220.73</v>
      </c>
      <c r="N2369" s="1">
        <v>1000.6</v>
      </c>
      <c r="O2369" s="1">
        <v>1037.6199999999999</v>
      </c>
      <c r="P2369" s="1">
        <v>850.51</v>
      </c>
      <c r="Q2369">
        <v>0.16</v>
      </c>
      <c r="R2369">
        <v>1.6100000000000001E-3</v>
      </c>
    </row>
    <row r="2370" spans="1:18" ht="13.8" outlineLevel="2" x14ac:dyDescent="0.25">
      <c r="A2370">
        <v>65604</v>
      </c>
      <c r="B2370" t="s">
        <v>2463</v>
      </c>
      <c r="C2370" t="s">
        <v>2781</v>
      </c>
      <c r="D2370" s="14" t="s">
        <v>2767</v>
      </c>
      <c r="E2370" s="12" t="s">
        <v>28</v>
      </c>
      <c r="F2370" s="13" t="s">
        <v>29</v>
      </c>
      <c r="G2370">
        <v>1</v>
      </c>
      <c r="H2370" t="s">
        <v>30</v>
      </c>
      <c r="I2370">
        <v>1</v>
      </c>
      <c r="J2370" s="15"/>
      <c r="K2370" s="16">
        <f>1245.28 - (1245.28 * $E$1)</f>
        <v>1245.28</v>
      </c>
      <c r="L2370" s="16">
        <f>1020.72 - (1020.72 * $E$1)</f>
        <v>1020.72</v>
      </c>
      <c r="M2370" s="1">
        <v>1245.28</v>
      </c>
      <c r="N2370" s="1">
        <v>1020.72</v>
      </c>
      <c r="O2370" s="1">
        <v>1058.49</v>
      </c>
      <c r="P2370" s="1">
        <v>867.61</v>
      </c>
      <c r="Q2370">
        <v>0.18</v>
      </c>
      <c r="R2370">
        <v>1.6100000000000001E-3</v>
      </c>
    </row>
    <row r="2371" spans="1:18" ht="13.8" outlineLevel="2" x14ac:dyDescent="0.25">
      <c r="A2371">
        <v>65611</v>
      </c>
      <c r="B2371" t="s">
        <v>2463</v>
      </c>
      <c r="C2371" t="s">
        <v>2782</v>
      </c>
      <c r="D2371" s="14" t="s">
        <v>2767</v>
      </c>
      <c r="E2371" s="12" t="s">
        <v>28</v>
      </c>
      <c r="F2371" s="13" t="s">
        <v>29</v>
      </c>
      <c r="G2371">
        <v>1</v>
      </c>
      <c r="H2371" t="s">
        <v>30</v>
      </c>
      <c r="I2371">
        <v>1</v>
      </c>
      <c r="J2371" s="15"/>
      <c r="K2371" s="16">
        <f>1310.76 - (1310.76 * $E$1)</f>
        <v>1310.76</v>
      </c>
      <c r="L2371" s="16">
        <f>1074.39 - (1074.39 * $E$1)</f>
        <v>1074.3900000000001</v>
      </c>
      <c r="M2371" s="1">
        <v>1310.76</v>
      </c>
      <c r="N2371" s="1">
        <v>1074.3900000000001</v>
      </c>
      <c r="O2371" s="1">
        <v>1114.1400000000001</v>
      </c>
      <c r="P2371" s="1">
        <v>913.23</v>
      </c>
      <c r="Q2371">
        <v>0.22</v>
      </c>
      <c r="R2371">
        <v>1.6100000000000001E-3</v>
      </c>
    </row>
    <row r="2372" spans="1:18" ht="13.8" outlineLevel="2" x14ac:dyDescent="0.25">
      <c r="A2372">
        <v>65625</v>
      </c>
      <c r="B2372" t="s">
        <v>2463</v>
      </c>
      <c r="C2372" t="s">
        <v>2783</v>
      </c>
      <c r="D2372" s="14" t="s">
        <v>2767</v>
      </c>
      <c r="E2372" s="12" t="s">
        <v>28</v>
      </c>
      <c r="F2372" s="13" t="s">
        <v>29</v>
      </c>
      <c r="G2372">
        <v>1</v>
      </c>
      <c r="H2372" t="s">
        <v>30</v>
      </c>
      <c r="I2372">
        <v>1</v>
      </c>
      <c r="J2372" s="15"/>
      <c r="K2372" s="16">
        <f>1384 - (1384 * $E$1)</f>
        <v>1384</v>
      </c>
      <c r="L2372" s="16">
        <f>1134.43 - (1134.43 * $E$1)</f>
        <v>1134.43</v>
      </c>
      <c r="M2372" s="1">
        <v>1384</v>
      </c>
      <c r="N2372" s="1">
        <v>1134.43</v>
      </c>
      <c r="O2372" s="1">
        <v>1176.4000000000001</v>
      </c>
      <c r="P2372" s="1">
        <v>964.27</v>
      </c>
      <c r="Q2372">
        <v>0.26</v>
      </c>
      <c r="R2372">
        <v>1.6100000000000001E-3</v>
      </c>
    </row>
    <row r="2373" spans="1:18" ht="13.8" outlineLevel="2" x14ac:dyDescent="0.25">
      <c r="A2373">
        <v>65639</v>
      </c>
      <c r="B2373" t="s">
        <v>2463</v>
      </c>
      <c r="C2373" t="s">
        <v>2784</v>
      </c>
      <c r="D2373" s="14" t="s">
        <v>2767</v>
      </c>
      <c r="E2373" s="12" t="s">
        <v>28</v>
      </c>
      <c r="F2373" s="13" t="s">
        <v>29</v>
      </c>
      <c r="G2373">
        <v>1</v>
      </c>
      <c r="H2373" t="s">
        <v>30</v>
      </c>
      <c r="I2373">
        <v>1</v>
      </c>
      <c r="J2373" s="15"/>
      <c r="K2373" s="16">
        <f>1809.05 - (1809.05 * $E$1)</f>
        <v>1809.05</v>
      </c>
      <c r="L2373" s="16">
        <f>1482.83 - (1482.83 * $E$1)</f>
        <v>1482.83</v>
      </c>
      <c r="M2373" s="1">
        <v>1809.05</v>
      </c>
      <c r="N2373" s="1">
        <v>1482.83</v>
      </c>
      <c r="O2373" s="1">
        <v>1537.69</v>
      </c>
      <c r="P2373" s="1">
        <v>1260.4100000000001</v>
      </c>
      <c r="Q2373">
        <v>0.43</v>
      </c>
      <c r="R2373">
        <v>1.6100000000000001E-3</v>
      </c>
    </row>
    <row r="2374" spans="1:18" ht="13.8" outlineLevel="2" x14ac:dyDescent="0.25">
      <c r="A2374">
        <v>65605</v>
      </c>
      <c r="B2374" t="s">
        <v>2463</v>
      </c>
      <c r="C2374" t="s">
        <v>2785</v>
      </c>
      <c r="D2374" s="14" t="s">
        <v>2786</v>
      </c>
      <c r="E2374" s="12" t="s">
        <v>28</v>
      </c>
      <c r="F2374" s="13" t="s">
        <v>29</v>
      </c>
      <c r="G2374">
        <v>1</v>
      </c>
      <c r="H2374" t="s">
        <v>30</v>
      </c>
      <c r="I2374">
        <v>1</v>
      </c>
      <c r="J2374" s="15"/>
      <c r="K2374" s="16">
        <f>1459.68 - (1459.68 * $E$1)</f>
        <v>1459.68</v>
      </c>
      <c r="L2374" s="16">
        <f>1196.46 - (1196.46 * $E$1)</f>
        <v>1196.46</v>
      </c>
      <c r="M2374" s="1">
        <v>1459.68</v>
      </c>
      <c r="N2374" s="1">
        <v>1196.46</v>
      </c>
      <c r="O2374" s="1">
        <v>1240.73</v>
      </c>
      <c r="P2374" s="1">
        <v>1016.99</v>
      </c>
      <c r="Q2374">
        <v>0.18</v>
      </c>
      <c r="R2374">
        <v>1.6100000000000001E-3</v>
      </c>
    </row>
    <row r="2375" spans="1:18" ht="13.8" outlineLevel="2" x14ac:dyDescent="0.25">
      <c r="A2375">
        <v>65612</v>
      </c>
      <c r="B2375" t="s">
        <v>2463</v>
      </c>
      <c r="C2375" t="s">
        <v>2787</v>
      </c>
      <c r="D2375" s="14" t="s">
        <v>2786</v>
      </c>
      <c r="E2375" s="12" t="s">
        <v>28</v>
      </c>
      <c r="F2375" s="13" t="s">
        <v>29</v>
      </c>
      <c r="G2375">
        <v>1</v>
      </c>
      <c r="H2375" t="s">
        <v>30</v>
      </c>
      <c r="I2375">
        <v>1</v>
      </c>
      <c r="J2375" s="15"/>
      <c r="K2375" s="16">
        <f>1501.64 - (1501.64 * $E$1)</f>
        <v>1501.64</v>
      </c>
      <c r="L2375" s="16">
        <f>1230.85 - (1230.85 * $E$1)</f>
        <v>1230.8499999999999</v>
      </c>
      <c r="M2375" s="1">
        <v>1501.64</v>
      </c>
      <c r="N2375" s="1">
        <v>1230.8499999999999</v>
      </c>
      <c r="O2375" s="1">
        <v>1276.3900000000001</v>
      </c>
      <c r="P2375" s="1">
        <v>1046.22</v>
      </c>
      <c r="Q2375">
        <v>0.22</v>
      </c>
      <c r="R2375">
        <v>1.6100000000000001E-3</v>
      </c>
    </row>
    <row r="2376" spans="1:18" ht="13.8" outlineLevel="2" x14ac:dyDescent="0.25">
      <c r="A2376">
        <v>65619</v>
      </c>
      <c r="B2376" t="s">
        <v>2463</v>
      </c>
      <c r="C2376" t="s">
        <v>2788</v>
      </c>
      <c r="D2376" s="14" t="s">
        <v>2786</v>
      </c>
      <c r="E2376" s="12" t="s">
        <v>28</v>
      </c>
      <c r="F2376" s="13" t="s">
        <v>29</v>
      </c>
      <c r="G2376">
        <v>1</v>
      </c>
      <c r="H2376" t="s">
        <v>30</v>
      </c>
      <c r="I2376">
        <v>1</v>
      </c>
      <c r="J2376" s="15"/>
      <c r="K2376" s="16">
        <f>1621.17 - (1621.17 * $E$1)</f>
        <v>1621.17</v>
      </c>
      <c r="L2376" s="16">
        <f>1328.83 - (1328.83 * $E$1)</f>
        <v>1328.83</v>
      </c>
      <c r="M2376" s="1">
        <v>1621.17</v>
      </c>
      <c r="N2376" s="1">
        <v>1328.83</v>
      </c>
      <c r="O2376" s="1">
        <v>1378</v>
      </c>
      <c r="P2376" s="1">
        <v>1129.51</v>
      </c>
      <c r="Q2376">
        <v>0.23</v>
      </c>
      <c r="R2376">
        <v>1.6100000000000001E-3</v>
      </c>
    </row>
    <row r="2377" spans="1:18" ht="13.8" outlineLevel="2" x14ac:dyDescent="0.25">
      <c r="A2377">
        <v>65640</v>
      </c>
      <c r="B2377" t="s">
        <v>2463</v>
      </c>
      <c r="C2377" t="s">
        <v>2789</v>
      </c>
      <c r="D2377" s="14" t="s">
        <v>2786</v>
      </c>
      <c r="E2377" s="12" t="s">
        <v>28</v>
      </c>
      <c r="F2377" s="13" t="s">
        <v>29</v>
      </c>
      <c r="G2377">
        <v>1</v>
      </c>
      <c r="H2377" t="s">
        <v>30</v>
      </c>
      <c r="I2377">
        <v>1</v>
      </c>
      <c r="J2377" s="15"/>
      <c r="K2377" s="16">
        <f>2498.79 - (2498.79 * $E$1)</f>
        <v>2498.79</v>
      </c>
      <c r="L2377" s="16">
        <f>2048.19 - (2048.19 * $E$1)</f>
        <v>2048.19</v>
      </c>
      <c r="M2377" s="1">
        <v>2498.79</v>
      </c>
      <c r="N2377" s="1">
        <v>2048.19</v>
      </c>
      <c r="O2377" s="1">
        <v>2123.9699999999998</v>
      </c>
      <c r="P2377" s="1">
        <v>1740.96</v>
      </c>
      <c r="Q2377">
        <v>0.43</v>
      </c>
      <c r="R2377">
        <v>1.6100000000000001E-3</v>
      </c>
    </row>
    <row r="2378" spans="1:18" ht="16.5" customHeight="1" outlineLevel="1" x14ac:dyDescent="0.35">
      <c r="A2378" s="9"/>
      <c r="B2378" s="10" t="s">
        <v>2790</v>
      </c>
      <c r="C2378" s="10"/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1"/>
    </row>
    <row r="2379" spans="1:18" ht="13.8" outlineLevel="2" x14ac:dyDescent="0.25">
      <c r="A2379">
        <v>84871</v>
      </c>
      <c r="B2379" t="s">
        <v>2791</v>
      </c>
      <c r="C2379" t="s">
        <v>2792</v>
      </c>
      <c r="D2379" s="14" t="s">
        <v>2793</v>
      </c>
      <c r="E2379" s="12" t="s">
        <v>28</v>
      </c>
      <c r="F2379" s="13" t="s">
        <v>29</v>
      </c>
      <c r="G2379">
        <v>10</v>
      </c>
      <c r="H2379" t="s">
        <v>2466</v>
      </c>
      <c r="I2379">
        <v>10</v>
      </c>
      <c r="J2379" s="15"/>
      <c r="K2379" s="16">
        <f>28.71 - (28.71 * $E$1)</f>
        <v>28.71</v>
      </c>
      <c r="L2379" s="16">
        <f>23.53 - (23.53 * $E$1)</f>
        <v>23.53</v>
      </c>
      <c r="M2379" s="1">
        <v>28.71</v>
      </c>
      <c r="N2379" s="1">
        <v>23.53</v>
      </c>
      <c r="O2379" s="1">
        <v>24.4</v>
      </c>
      <c r="P2379" s="1">
        <v>20</v>
      </c>
      <c r="Q2379">
        <v>0.01</v>
      </c>
      <c r="R2379">
        <v>1.5E-5</v>
      </c>
    </row>
    <row r="2380" spans="1:18" ht="13.8" outlineLevel="2" x14ac:dyDescent="0.25">
      <c r="A2380">
        <v>74300</v>
      </c>
      <c r="B2380" t="s">
        <v>2791</v>
      </c>
      <c r="C2380" t="s">
        <v>2794</v>
      </c>
      <c r="D2380" s="14" t="s">
        <v>2793</v>
      </c>
      <c r="E2380" s="12" t="s">
        <v>28</v>
      </c>
      <c r="F2380" s="13" t="s">
        <v>29</v>
      </c>
      <c r="G2380">
        <v>10</v>
      </c>
      <c r="H2380" t="s">
        <v>2466</v>
      </c>
      <c r="I2380">
        <v>10</v>
      </c>
      <c r="J2380" s="15"/>
      <c r="K2380" s="16">
        <f>37 - (37 * $E$1)</f>
        <v>37</v>
      </c>
      <c r="L2380" s="16">
        <f>30.33 - (30.33 * $E$1)</f>
        <v>30.33</v>
      </c>
      <c r="M2380" s="1">
        <v>37</v>
      </c>
      <c r="N2380" s="1">
        <v>30.33</v>
      </c>
      <c r="O2380" s="1">
        <v>31.45</v>
      </c>
      <c r="P2380" s="1">
        <v>25.78</v>
      </c>
      <c r="Q2380">
        <v>1.06E-2</v>
      </c>
      <c r="R2380">
        <v>8.0799999999999999E-5</v>
      </c>
    </row>
    <row r="2381" spans="1:18" ht="13.8" outlineLevel="2" x14ac:dyDescent="0.25">
      <c r="A2381">
        <v>74301</v>
      </c>
      <c r="B2381" t="s">
        <v>2791</v>
      </c>
      <c r="C2381" t="s">
        <v>2795</v>
      </c>
      <c r="D2381" s="14" t="s">
        <v>2793</v>
      </c>
      <c r="E2381" s="12" t="s">
        <v>28</v>
      </c>
      <c r="F2381" s="13" t="s">
        <v>29</v>
      </c>
      <c r="G2381">
        <v>10</v>
      </c>
      <c r="H2381" t="s">
        <v>2466</v>
      </c>
      <c r="I2381">
        <v>10</v>
      </c>
      <c r="J2381" s="15"/>
      <c r="K2381" s="16">
        <f>44.9 - (44.9 * $E$1)</f>
        <v>44.9</v>
      </c>
      <c r="L2381" s="16">
        <f>36.8 - (36.8 * $E$1)</f>
        <v>36.799999999999997</v>
      </c>
      <c r="M2381" s="1">
        <v>44.9</v>
      </c>
      <c r="N2381" s="1">
        <v>36.799999999999997</v>
      </c>
      <c r="O2381" s="1">
        <v>38.159999999999997</v>
      </c>
      <c r="P2381" s="1">
        <v>31.28</v>
      </c>
      <c r="Q2381">
        <v>1.6199999999999999E-2</v>
      </c>
      <c r="R2381">
        <v>1.5300000000000001E-4</v>
      </c>
    </row>
    <row r="2382" spans="1:18" ht="13.8" outlineLevel="2" x14ac:dyDescent="0.25">
      <c r="A2382">
        <v>74302</v>
      </c>
      <c r="B2382" t="s">
        <v>2791</v>
      </c>
      <c r="C2382" t="s">
        <v>2796</v>
      </c>
      <c r="D2382" s="14" t="s">
        <v>2793</v>
      </c>
      <c r="E2382" s="12" t="s">
        <v>28</v>
      </c>
      <c r="F2382" s="13" t="s">
        <v>29</v>
      </c>
      <c r="G2382">
        <v>10</v>
      </c>
      <c r="H2382" t="s">
        <v>2466</v>
      </c>
      <c r="I2382">
        <v>10</v>
      </c>
      <c r="J2382" s="15"/>
      <c r="K2382" s="16">
        <f>67.64 - (67.64 * $E$1)</f>
        <v>67.64</v>
      </c>
      <c r="L2382" s="16">
        <f>55.44 - (55.44 * $E$1)</f>
        <v>55.44</v>
      </c>
      <c r="M2382" s="1">
        <v>67.64</v>
      </c>
      <c r="N2382" s="1">
        <v>55.44</v>
      </c>
      <c r="O2382" s="1">
        <v>57.49</v>
      </c>
      <c r="P2382" s="1">
        <v>47.12</v>
      </c>
      <c r="Q2382">
        <v>1.9800000000000002E-2</v>
      </c>
      <c r="R2382">
        <v>2.02E-4</v>
      </c>
    </row>
    <row r="2383" spans="1:18" ht="13.8" outlineLevel="2" x14ac:dyDescent="0.25">
      <c r="A2383">
        <v>74303</v>
      </c>
      <c r="B2383" t="s">
        <v>2791</v>
      </c>
      <c r="C2383" t="s">
        <v>2797</v>
      </c>
      <c r="D2383" s="14" t="s">
        <v>2793</v>
      </c>
      <c r="E2383" s="12" t="s">
        <v>28</v>
      </c>
      <c r="F2383" s="13" t="s">
        <v>29</v>
      </c>
      <c r="G2383">
        <v>10</v>
      </c>
      <c r="H2383" t="s">
        <v>2466</v>
      </c>
      <c r="I2383">
        <v>10</v>
      </c>
      <c r="J2383" s="15"/>
      <c r="K2383" s="16">
        <f>102.52 - (102.52 * $E$1)</f>
        <v>102.52</v>
      </c>
      <c r="L2383" s="16">
        <f>84.03 - (84.03 * $E$1)</f>
        <v>84.03</v>
      </c>
      <c r="M2383" s="1">
        <v>102.52</v>
      </c>
      <c r="N2383" s="1">
        <v>84.03</v>
      </c>
      <c r="O2383" s="1">
        <v>87.14</v>
      </c>
      <c r="P2383" s="1">
        <v>71.430000000000007</v>
      </c>
      <c r="Q2383">
        <v>2.7E-2</v>
      </c>
      <c r="R2383">
        <v>4.2000000000000002E-4</v>
      </c>
    </row>
    <row r="2384" spans="1:18" ht="13.8" outlineLevel="2" x14ac:dyDescent="0.25">
      <c r="A2384">
        <v>85082</v>
      </c>
      <c r="B2384" t="s">
        <v>2791</v>
      </c>
      <c r="C2384" t="s">
        <v>2798</v>
      </c>
      <c r="D2384" s="14" t="s">
        <v>2793</v>
      </c>
      <c r="E2384" s="12" t="s">
        <v>28</v>
      </c>
      <c r="F2384" s="13" t="s">
        <v>29</v>
      </c>
      <c r="G2384">
        <v>10</v>
      </c>
      <c r="H2384" t="s">
        <v>2466</v>
      </c>
      <c r="I2384">
        <v>10</v>
      </c>
      <c r="J2384" s="15"/>
      <c r="K2384" s="16">
        <f>188.45 - (188.45 * $E$1)</f>
        <v>188.45</v>
      </c>
      <c r="L2384" s="16">
        <f>154.47 - (154.47 * $E$1)</f>
        <v>154.47</v>
      </c>
      <c r="M2384" s="1">
        <v>188.45</v>
      </c>
      <c r="N2384" s="1">
        <v>154.47</v>
      </c>
      <c r="O2384" s="1">
        <v>160.19</v>
      </c>
      <c r="P2384" s="1">
        <v>131.30000000000001</v>
      </c>
      <c r="Q2384">
        <v>0.05</v>
      </c>
      <c r="R2384">
        <v>3.2000000000000003E-4</v>
      </c>
    </row>
    <row r="2385" spans="1:18" ht="13.8" outlineLevel="2" x14ac:dyDescent="0.25">
      <c r="A2385">
        <v>74305</v>
      </c>
      <c r="B2385" t="s">
        <v>2791</v>
      </c>
      <c r="C2385" t="s">
        <v>2799</v>
      </c>
      <c r="D2385" s="14" t="s">
        <v>2793</v>
      </c>
      <c r="E2385" s="12" t="s">
        <v>28</v>
      </c>
      <c r="F2385" s="13" t="s">
        <v>29</v>
      </c>
      <c r="G2385">
        <v>10</v>
      </c>
      <c r="H2385" t="s">
        <v>2466</v>
      </c>
      <c r="I2385">
        <v>10</v>
      </c>
      <c r="J2385" s="15"/>
      <c r="K2385" s="16">
        <f>281.34 - (281.34 * $E$1)</f>
        <v>281.33999999999997</v>
      </c>
      <c r="L2385" s="16">
        <f>230.61 - (230.61 * $E$1)</f>
        <v>230.61</v>
      </c>
      <c r="M2385" s="1">
        <v>281.33999999999997</v>
      </c>
      <c r="N2385" s="1">
        <v>230.61</v>
      </c>
      <c r="O2385" s="1">
        <v>239.14</v>
      </c>
      <c r="P2385" s="1">
        <v>196.02</v>
      </c>
      <c r="Q2385">
        <v>6.0600000000000001E-2</v>
      </c>
      <c r="R2385">
        <v>3.5349999999999997E-4</v>
      </c>
    </row>
    <row r="2386" spans="1:18" ht="13.8" outlineLevel="2" x14ac:dyDescent="0.25">
      <c r="A2386">
        <v>101548</v>
      </c>
      <c r="B2386" t="s">
        <v>2791</v>
      </c>
      <c r="C2386" t="s">
        <v>2800</v>
      </c>
      <c r="D2386" s="14" t="s">
        <v>2793</v>
      </c>
      <c r="E2386" s="12" t="s">
        <v>28</v>
      </c>
      <c r="F2386" s="13" t="s">
        <v>29</v>
      </c>
      <c r="G2386">
        <v>10</v>
      </c>
      <c r="H2386" t="s">
        <v>2466</v>
      </c>
      <c r="I2386">
        <v>10</v>
      </c>
      <c r="J2386" s="15"/>
      <c r="K2386" s="16">
        <f>345.21 - (345.21 * $E$1)</f>
        <v>345.21</v>
      </c>
      <c r="L2386" s="16">
        <f>282.96 - (282.96 * $E$1)</f>
        <v>282.95999999999998</v>
      </c>
      <c r="M2386" s="1">
        <v>345.21</v>
      </c>
      <c r="N2386" s="1">
        <v>282.95999999999998</v>
      </c>
      <c r="O2386" s="1">
        <v>293.43</v>
      </c>
      <c r="P2386" s="1">
        <v>240.52</v>
      </c>
      <c r="Q2386">
        <v>0.15</v>
      </c>
      <c r="R2386">
        <v>9.9639999999999993E-4</v>
      </c>
    </row>
    <row r="2387" spans="1:18" ht="13.8" outlineLevel="2" x14ac:dyDescent="0.25">
      <c r="A2387">
        <v>85083</v>
      </c>
      <c r="B2387" t="s">
        <v>2791</v>
      </c>
      <c r="C2387" t="s">
        <v>2801</v>
      </c>
      <c r="D2387" s="14" t="s">
        <v>2793</v>
      </c>
      <c r="E2387" s="12" t="s">
        <v>28</v>
      </c>
      <c r="F2387" s="13" t="s">
        <v>29</v>
      </c>
      <c r="G2387">
        <v>10</v>
      </c>
      <c r="H2387" t="s">
        <v>2466</v>
      </c>
      <c r="I2387">
        <v>10</v>
      </c>
      <c r="J2387" s="15"/>
      <c r="K2387" s="16">
        <f>411.21 - (411.21 * $E$1)</f>
        <v>411.21</v>
      </c>
      <c r="L2387" s="16">
        <f>337.06 - (337.06 * $E$1)</f>
        <v>337.06</v>
      </c>
      <c r="M2387" s="1">
        <v>411.21</v>
      </c>
      <c r="N2387" s="1">
        <v>337.06</v>
      </c>
      <c r="O2387" s="1">
        <v>349.53</v>
      </c>
      <c r="P2387" s="1">
        <v>286.5</v>
      </c>
      <c r="Q2387">
        <v>0.14000000000000001</v>
      </c>
      <c r="R2387">
        <v>2.9999999999999997E-4</v>
      </c>
    </row>
    <row r="2388" spans="1:18" ht="13.8" outlineLevel="2" x14ac:dyDescent="0.25">
      <c r="A2388">
        <v>74307</v>
      </c>
      <c r="B2388" t="s">
        <v>2791</v>
      </c>
      <c r="C2388" t="s">
        <v>2802</v>
      </c>
      <c r="D2388" s="14" t="s">
        <v>2793</v>
      </c>
      <c r="E2388" s="12" t="s">
        <v>28</v>
      </c>
      <c r="F2388" s="13" t="s">
        <v>29</v>
      </c>
      <c r="G2388">
        <v>10</v>
      </c>
      <c r="H2388" t="s">
        <v>2466</v>
      </c>
      <c r="I2388">
        <v>10</v>
      </c>
      <c r="J2388" s="15"/>
      <c r="K2388" s="16">
        <f>604.11 - (604.11 * $E$1)</f>
        <v>604.11</v>
      </c>
      <c r="L2388" s="16">
        <f>495.17 - (495.17 * $E$1)</f>
        <v>495.17</v>
      </c>
      <c r="M2388" s="1">
        <v>604.11</v>
      </c>
      <c r="N2388" s="1">
        <v>495.17</v>
      </c>
      <c r="O2388" s="1">
        <v>513.49</v>
      </c>
      <c r="P2388" s="1">
        <v>420.89</v>
      </c>
      <c r="Q2388">
        <v>0.14660000000000001</v>
      </c>
      <c r="R2388">
        <v>5.909E-4</v>
      </c>
    </row>
    <row r="2389" spans="1:18" ht="13.8" outlineLevel="2" x14ac:dyDescent="0.25">
      <c r="A2389">
        <v>84872</v>
      </c>
      <c r="B2389" t="s">
        <v>2791</v>
      </c>
      <c r="C2389" t="s">
        <v>2803</v>
      </c>
      <c r="D2389" s="14" t="s">
        <v>2793</v>
      </c>
      <c r="E2389" s="12" t="s">
        <v>28</v>
      </c>
      <c r="F2389" s="13" t="s">
        <v>29</v>
      </c>
      <c r="G2389">
        <v>10</v>
      </c>
      <c r="H2389" t="s">
        <v>2466</v>
      </c>
      <c r="I2389">
        <v>10</v>
      </c>
      <c r="J2389" s="15"/>
      <c r="K2389" s="16">
        <f>856.35 - (856.35 * $E$1)</f>
        <v>856.35</v>
      </c>
      <c r="L2389" s="16">
        <f>701.93 - (701.93 * $E$1)</f>
        <v>701.93</v>
      </c>
      <c r="M2389" s="1">
        <v>856.35</v>
      </c>
      <c r="N2389" s="1">
        <v>701.93</v>
      </c>
      <c r="O2389" s="1">
        <v>727.9</v>
      </c>
      <c r="P2389" s="1">
        <v>596.64</v>
      </c>
      <c r="Q2389">
        <v>0.157</v>
      </c>
      <c r="R2389">
        <v>2.9999999999999997E-4</v>
      </c>
    </row>
    <row r="2390" spans="1:18" ht="13.8" outlineLevel="2" x14ac:dyDescent="0.25">
      <c r="A2390">
        <v>75904</v>
      </c>
      <c r="B2390" t="s">
        <v>2791</v>
      </c>
      <c r="C2390" t="s">
        <v>2804</v>
      </c>
      <c r="D2390" s="14" t="s">
        <v>2805</v>
      </c>
      <c r="E2390" s="12" t="s">
        <v>28</v>
      </c>
      <c r="F2390" s="13" t="s">
        <v>29</v>
      </c>
      <c r="G2390">
        <v>10</v>
      </c>
      <c r="H2390" t="s">
        <v>2466</v>
      </c>
      <c r="I2390">
        <v>10</v>
      </c>
      <c r="J2390" s="15"/>
      <c r="K2390" s="16">
        <f>34.49 - (34.49 * $E$1)</f>
        <v>34.49</v>
      </c>
      <c r="L2390" s="16">
        <f>28.27 - (28.27 * $E$1)</f>
        <v>28.27</v>
      </c>
      <c r="M2390" s="1">
        <v>34.49</v>
      </c>
      <c r="N2390" s="1">
        <v>28.27</v>
      </c>
      <c r="O2390" s="1">
        <v>29.32</v>
      </c>
      <c r="P2390" s="1">
        <v>24.03</v>
      </c>
      <c r="Q2390">
        <v>0.01</v>
      </c>
      <c r="R2390">
        <v>4.0800000000000002E-5</v>
      </c>
    </row>
    <row r="2391" spans="1:18" ht="13.8" outlineLevel="2" x14ac:dyDescent="0.25">
      <c r="A2391">
        <v>59694</v>
      </c>
      <c r="B2391" t="s">
        <v>2791</v>
      </c>
      <c r="C2391" t="s">
        <v>2806</v>
      </c>
      <c r="D2391" s="14" t="s">
        <v>2805</v>
      </c>
      <c r="E2391" s="12" t="s">
        <v>28</v>
      </c>
      <c r="F2391" s="13" t="s">
        <v>29</v>
      </c>
      <c r="G2391">
        <v>10</v>
      </c>
      <c r="H2391" t="s">
        <v>2466</v>
      </c>
      <c r="I2391">
        <v>10</v>
      </c>
      <c r="J2391" s="15"/>
      <c r="K2391" s="16">
        <f>47.21 - (47.21 * $E$1)</f>
        <v>47.21</v>
      </c>
      <c r="L2391" s="16">
        <f>38.7 - (38.7 * $E$1)</f>
        <v>38.700000000000003</v>
      </c>
      <c r="M2391" s="1">
        <v>47.21</v>
      </c>
      <c r="N2391" s="1">
        <v>38.700000000000003</v>
      </c>
      <c r="O2391" s="1">
        <v>40.130000000000003</v>
      </c>
      <c r="P2391" s="1">
        <v>32.9</v>
      </c>
      <c r="Q2391">
        <v>1.6E-2</v>
      </c>
      <c r="R2391">
        <v>4.0000000000000003E-5</v>
      </c>
    </row>
    <row r="2392" spans="1:18" ht="13.8" outlineLevel="2" x14ac:dyDescent="0.25">
      <c r="A2392">
        <v>59695</v>
      </c>
      <c r="B2392" t="s">
        <v>2791</v>
      </c>
      <c r="C2392" t="s">
        <v>2807</v>
      </c>
      <c r="D2392" s="14" t="s">
        <v>2805</v>
      </c>
      <c r="E2392" s="12" t="s">
        <v>28</v>
      </c>
      <c r="F2392" s="13" t="s">
        <v>29</v>
      </c>
      <c r="G2392">
        <v>10</v>
      </c>
      <c r="H2392" t="s">
        <v>2466</v>
      </c>
      <c r="I2392">
        <v>10</v>
      </c>
      <c r="J2392" s="15"/>
      <c r="K2392" s="16">
        <f>57.41 - (57.41 * $E$1)</f>
        <v>57.41</v>
      </c>
      <c r="L2392" s="16">
        <f>47.06 - (47.06 * $E$1)</f>
        <v>47.06</v>
      </c>
      <c r="M2392" s="1">
        <v>57.41</v>
      </c>
      <c r="N2392" s="1">
        <v>47.06</v>
      </c>
      <c r="O2392" s="1">
        <v>48.8</v>
      </c>
      <c r="P2392" s="1">
        <v>40</v>
      </c>
      <c r="Q2392">
        <v>0.02</v>
      </c>
      <c r="R2392">
        <v>9.3300000000000005E-5</v>
      </c>
    </row>
    <row r="2393" spans="1:18" ht="13.8" outlineLevel="2" x14ac:dyDescent="0.25">
      <c r="A2393">
        <v>59696</v>
      </c>
      <c r="B2393" t="s">
        <v>2791</v>
      </c>
      <c r="C2393" t="s">
        <v>2808</v>
      </c>
      <c r="D2393" s="14" t="s">
        <v>2805</v>
      </c>
      <c r="E2393" s="12" t="s">
        <v>28</v>
      </c>
      <c r="F2393" s="13" t="s">
        <v>29</v>
      </c>
      <c r="G2393">
        <v>10</v>
      </c>
      <c r="H2393" t="s">
        <v>2466</v>
      </c>
      <c r="I2393">
        <v>10</v>
      </c>
      <c r="J2393" s="15"/>
      <c r="K2393" s="16">
        <f>85.75 - (85.75 * $E$1)</f>
        <v>85.75</v>
      </c>
      <c r="L2393" s="16">
        <f>70.29 - (70.29 * $E$1)</f>
        <v>70.290000000000006</v>
      </c>
      <c r="M2393" s="1">
        <v>85.75</v>
      </c>
      <c r="N2393" s="1">
        <v>70.290000000000006</v>
      </c>
      <c r="O2393" s="1">
        <v>72.89</v>
      </c>
      <c r="P2393" s="1">
        <v>59.75</v>
      </c>
      <c r="Q2393">
        <v>2.4199999999999999E-2</v>
      </c>
      <c r="R2393">
        <v>2.4240000000000001E-4</v>
      </c>
    </row>
    <row r="2394" spans="1:18" ht="13.8" outlineLevel="2" x14ac:dyDescent="0.25">
      <c r="A2394">
        <v>59697</v>
      </c>
      <c r="B2394" t="s">
        <v>2791</v>
      </c>
      <c r="C2394" t="s">
        <v>2809</v>
      </c>
      <c r="D2394" s="14" t="s">
        <v>2805</v>
      </c>
      <c r="E2394" s="12" t="s">
        <v>28</v>
      </c>
      <c r="F2394" s="13" t="s">
        <v>29</v>
      </c>
      <c r="G2394">
        <v>10</v>
      </c>
      <c r="H2394" t="s">
        <v>2466</v>
      </c>
      <c r="I2394">
        <v>10</v>
      </c>
      <c r="J2394" s="15"/>
      <c r="K2394" s="16">
        <f>133.16 - (133.16 * $E$1)</f>
        <v>133.16</v>
      </c>
      <c r="L2394" s="16">
        <f>109.15 - (109.15 * $E$1)</f>
        <v>109.15</v>
      </c>
      <c r="M2394" s="1">
        <v>133.16</v>
      </c>
      <c r="N2394" s="1">
        <v>109.15</v>
      </c>
      <c r="O2394" s="1">
        <v>113.19</v>
      </c>
      <c r="P2394" s="1">
        <v>92.78</v>
      </c>
      <c r="Q2394">
        <v>4.1599999999999998E-2</v>
      </c>
      <c r="R2394">
        <v>2.475E-4</v>
      </c>
    </row>
    <row r="2395" spans="1:18" ht="13.8" outlineLevel="2" x14ac:dyDescent="0.25">
      <c r="A2395">
        <v>85084</v>
      </c>
      <c r="B2395" t="s">
        <v>2791</v>
      </c>
      <c r="C2395" t="s">
        <v>2810</v>
      </c>
      <c r="D2395" s="14" t="s">
        <v>2805</v>
      </c>
      <c r="E2395" s="12" t="s">
        <v>28</v>
      </c>
      <c r="F2395" s="13" t="s">
        <v>29</v>
      </c>
      <c r="G2395">
        <v>10</v>
      </c>
      <c r="H2395" t="s">
        <v>2466</v>
      </c>
      <c r="I2395">
        <v>10</v>
      </c>
      <c r="J2395" s="15"/>
      <c r="K2395" s="16">
        <f>183.06 - (183.06 * $E$1)</f>
        <v>183.06</v>
      </c>
      <c r="L2395" s="16">
        <f>150.05 - (150.05 * $E$1)</f>
        <v>150.05000000000001</v>
      </c>
      <c r="M2395" s="1">
        <v>183.06</v>
      </c>
      <c r="N2395" s="1">
        <v>150.05000000000001</v>
      </c>
      <c r="O2395" s="1">
        <v>155.6</v>
      </c>
      <c r="P2395" s="1">
        <v>127.54</v>
      </c>
      <c r="Q2395">
        <v>0.04</v>
      </c>
      <c r="R2395">
        <v>1.6000000000000001E-4</v>
      </c>
    </row>
    <row r="2396" spans="1:18" ht="13.8" outlineLevel="2" x14ac:dyDescent="0.25">
      <c r="A2396">
        <v>85067</v>
      </c>
      <c r="B2396" t="s">
        <v>2791</v>
      </c>
      <c r="C2396" t="s">
        <v>2811</v>
      </c>
      <c r="D2396" s="14" t="s">
        <v>2805</v>
      </c>
      <c r="E2396" s="12" t="s">
        <v>28</v>
      </c>
      <c r="F2396" s="13" t="s">
        <v>29</v>
      </c>
      <c r="G2396">
        <v>10</v>
      </c>
      <c r="H2396" t="s">
        <v>2466</v>
      </c>
      <c r="I2396">
        <v>10</v>
      </c>
      <c r="J2396" s="15"/>
      <c r="K2396" s="16">
        <f>259.75 - (259.75 * $E$1)</f>
        <v>259.75</v>
      </c>
      <c r="L2396" s="16">
        <f>212.91 - (212.91 * $E$1)</f>
        <v>212.91</v>
      </c>
      <c r="M2396" s="1">
        <v>259.75</v>
      </c>
      <c r="N2396" s="1">
        <v>212.91</v>
      </c>
      <c r="O2396" s="1">
        <v>220.79</v>
      </c>
      <c r="P2396" s="1">
        <v>180.97</v>
      </c>
      <c r="Q2396">
        <v>0.06</v>
      </c>
      <c r="R2396">
        <v>2.7E-4</v>
      </c>
    </row>
    <row r="2397" spans="1:18" ht="13.8" outlineLevel="2" x14ac:dyDescent="0.25">
      <c r="A2397">
        <v>85085</v>
      </c>
      <c r="B2397" t="s">
        <v>2791</v>
      </c>
      <c r="C2397" t="s">
        <v>2812</v>
      </c>
      <c r="D2397" s="14" t="s">
        <v>2805</v>
      </c>
      <c r="E2397" s="12" t="s">
        <v>28</v>
      </c>
      <c r="F2397" s="13" t="s">
        <v>29</v>
      </c>
      <c r="G2397">
        <v>10</v>
      </c>
      <c r="H2397" t="s">
        <v>2466</v>
      </c>
      <c r="I2397">
        <v>10</v>
      </c>
      <c r="J2397" s="15"/>
      <c r="K2397" s="16">
        <f>389.06 - (389.06 * $E$1)</f>
        <v>389.06</v>
      </c>
      <c r="L2397" s="16">
        <f>318.9 - (318.9 * $E$1)</f>
        <v>318.89999999999998</v>
      </c>
      <c r="M2397" s="1">
        <v>389.06</v>
      </c>
      <c r="N2397" s="1">
        <v>318.89999999999998</v>
      </c>
      <c r="O2397" s="1">
        <v>330.7</v>
      </c>
      <c r="P2397" s="1">
        <v>271.07</v>
      </c>
      <c r="Q2397">
        <v>0.1</v>
      </c>
      <c r="R2397">
        <v>2.9999999999999997E-4</v>
      </c>
    </row>
    <row r="2398" spans="1:18" ht="13.8" outlineLevel="2" x14ac:dyDescent="0.25">
      <c r="A2398">
        <v>59700</v>
      </c>
      <c r="B2398" t="s">
        <v>2791</v>
      </c>
      <c r="C2398" t="s">
        <v>2813</v>
      </c>
      <c r="D2398" s="14" t="s">
        <v>2805</v>
      </c>
      <c r="E2398" s="12" t="s">
        <v>28</v>
      </c>
      <c r="F2398" s="13" t="s">
        <v>29</v>
      </c>
      <c r="G2398">
        <v>10</v>
      </c>
      <c r="H2398" t="s">
        <v>2466</v>
      </c>
      <c r="I2398">
        <v>10</v>
      </c>
      <c r="J2398" s="15"/>
      <c r="K2398" s="16">
        <f>466.14 - (466.14 * $E$1)</f>
        <v>466.14</v>
      </c>
      <c r="L2398" s="16">
        <f>382.08 - (382.08 * $E$1)</f>
        <v>382.08</v>
      </c>
      <c r="M2398" s="1">
        <v>466.14</v>
      </c>
      <c r="N2398" s="1">
        <v>382.08</v>
      </c>
      <c r="O2398" s="1">
        <v>396.22</v>
      </c>
      <c r="P2398" s="1">
        <v>324.77</v>
      </c>
      <c r="Q2398">
        <v>9.9000000000000005E-2</v>
      </c>
      <c r="R2398">
        <v>4.4999999999999999E-4</v>
      </c>
    </row>
    <row r="2399" spans="1:18" ht="13.8" outlineLevel="2" x14ac:dyDescent="0.25">
      <c r="A2399">
        <v>85069</v>
      </c>
      <c r="B2399" t="s">
        <v>2791</v>
      </c>
      <c r="C2399" t="s">
        <v>2814</v>
      </c>
      <c r="D2399" s="14" t="s">
        <v>2805</v>
      </c>
      <c r="E2399" s="12" t="s">
        <v>28</v>
      </c>
      <c r="F2399" s="13" t="s">
        <v>29</v>
      </c>
      <c r="G2399">
        <v>10</v>
      </c>
      <c r="H2399" t="s">
        <v>2466</v>
      </c>
      <c r="I2399">
        <v>10</v>
      </c>
      <c r="J2399" s="15"/>
      <c r="K2399" s="16">
        <f>559.99 - (559.99 * $E$1)</f>
        <v>559.99</v>
      </c>
      <c r="L2399" s="16">
        <f>459.01 - (459.01 * $E$1)</f>
        <v>459.01</v>
      </c>
      <c r="M2399" s="1">
        <v>559.99</v>
      </c>
      <c r="N2399" s="1">
        <v>459.01</v>
      </c>
      <c r="O2399" s="1">
        <v>475.99</v>
      </c>
      <c r="P2399" s="1">
        <v>390.16</v>
      </c>
      <c r="Q2399">
        <v>0.14000000000000001</v>
      </c>
      <c r="R2399">
        <v>3.6000000000000002E-4</v>
      </c>
    </row>
    <row r="2400" spans="1:18" ht="13.8" outlineLevel="2" x14ac:dyDescent="0.25">
      <c r="A2400">
        <v>59702</v>
      </c>
      <c r="B2400" t="s">
        <v>2791</v>
      </c>
      <c r="C2400" t="s">
        <v>2815</v>
      </c>
      <c r="D2400" s="14" t="s">
        <v>2805</v>
      </c>
      <c r="E2400" s="12" t="s">
        <v>28</v>
      </c>
      <c r="F2400" s="13" t="s">
        <v>29</v>
      </c>
      <c r="G2400">
        <v>10</v>
      </c>
      <c r="H2400" t="s">
        <v>2466</v>
      </c>
      <c r="I2400">
        <v>10</v>
      </c>
      <c r="J2400" s="15"/>
      <c r="K2400" s="16">
        <f>779.08 - (779.08 * $E$1)</f>
        <v>779.08</v>
      </c>
      <c r="L2400" s="16">
        <f>638.59 - (638.59 * $E$1)</f>
        <v>638.59</v>
      </c>
      <c r="M2400" s="1">
        <v>779.08</v>
      </c>
      <c r="N2400" s="1">
        <v>638.59</v>
      </c>
      <c r="O2400" s="1">
        <v>662.22</v>
      </c>
      <c r="P2400" s="1">
        <v>542.79999999999995</v>
      </c>
      <c r="Q2400">
        <v>0.17499999999999999</v>
      </c>
      <c r="R2400">
        <v>5.9999999999999995E-4</v>
      </c>
    </row>
    <row r="2401" spans="1:18" ht="13.8" outlineLevel="2" x14ac:dyDescent="0.25">
      <c r="A2401">
        <v>91896</v>
      </c>
      <c r="B2401" t="s">
        <v>2791</v>
      </c>
      <c r="C2401" t="s">
        <v>2816</v>
      </c>
      <c r="D2401" s="14" t="s">
        <v>2805</v>
      </c>
      <c r="E2401" s="12" t="s">
        <v>28</v>
      </c>
      <c r="F2401" s="13" t="s">
        <v>29</v>
      </c>
      <c r="G2401">
        <v>10</v>
      </c>
      <c r="H2401" t="s">
        <v>2466</v>
      </c>
      <c r="I2401">
        <v>10</v>
      </c>
      <c r="J2401" s="15"/>
      <c r="K2401" s="16">
        <f>964.35 - (964.35 * $E$1)</f>
        <v>964.35</v>
      </c>
      <c r="L2401" s="16">
        <f>790.45 - (790.45 * $E$1)</f>
        <v>790.45</v>
      </c>
      <c r="M2401" s="1">
        <v>964.35</v>
      </c>
      <c r="N2401" s="1">
        <v>790.45</v>
      </c>
      <c r="O2401" s="1">
        <v>819.7</v>
      </c>
      <c r="P2401" s="1">
        <v>671.88</v>
      </c>
      <c r="Q2401">
        <v>0.23</v>
      </c>
      <c r="R2401">
        <v>9.1149999999999998E-4</v>
      </c>
    </row>
    <row r="2402" spans="1:18" ht="13.8" outlineLevel="2" x14ac:dyDescent="0.25">
      <c r="A2402">
        <v>84873</v>
      </c>
      <c r="B2402" t="s">
        <v>2791</v>
      </c>
      <c r="C2402" t="s">
        <v>2817</v>
      </c>
      <c r="D2402" s="14" t="s">
        <v>2805</v>
      </c>
      <c r="E2402" s="12" t="s">
        <v>28</v>
      </c>
      <c r="F2402" s="13" t="s">
        <v>29</v>
      </c>
      <c r="G2402">
        <v>10</v>
      </c>
      <c r="H2402" t="s">
        <v>2466</v>
      </c>
      <c r="I2402">
        <v>10</v>
      </c>
      <c r="J2402" s="15"/>
      <c r="K2402" s="16">
        <f>1188.95 - (1188.95 * $E$1)</f>
        <v>1188.95</v>
      </c>
      <c r="L2402" s="16">
        <f>974.55 - (974.55 * $E$1)</f>
        <v>974.55</v>
      </c>
      <c r="M2402" s="1">
        <v>1188.95</v>
      </c>
      <c r="N2402" s="1">
        <v>974.55</v>
      </c>
      <c r="O2402" s="1">
        <v>1010.61</v>
      </c>
      <c r="P2402" s="1">
        <v>828.37</v>
      </c>
      <c r="Q2402">
        <v>0.24</v>
      </c>
      <c r="R2402">
        <v>4.4999999999999999E-4</v>
      </c>
    </row>
    <row r="2403" spans="1:18" ht="13.8" outlineLevel="2" x14ac:dyDescent="0.25">
      <c r="A2403">
        <v>85087</v>
      </c>
      <c r="B2403" t="s">
        <v>2791</v>
      </c>
      <c r="C2403" t="s">
        <v>2818</v>
      </c>
      <c r="D2403" s="14" t="s">
        <v>2805</v>
      </c>
      <c r="E2403" s="12" t="s">
        <v>28</v>
      </c>
      <c r="F2403" s="13" t="s">
        <v>29</v>
      </c>
      <c r="G2403">
        <v>10</v>
      </c>
      <c r="H2403" t="s">
        <v>2466</v>
      </c>
      <c r="I2403">
        <v>10</v>
      </c>
      <c r="J2403" s="15"/>
      <c r="K2403" s="16">
        <f>1525.78 - (1525.78 * $E$1)</f>
        <v>1525.78</v>
      </c>
      <c r="L2403" s="16">
        <f>1250.64 - (1250.64 * $E$1)</f>
        <v>1250.6400000000001</v>
      </c>
      <c r="M2403" s="1">
        <v>1525.78</v>
      </c>
      <c r="N2403" s="1">
        <v>1250.6400000000001</v>
      </c>
      <c r="O2403" s="1">
        <v>1296.9100000000001</v>
      </c>
      <c r="P2403" s="1">
        <v>1063.04</v>
      </c>
      <c r="Q2403">
        <v>0.28000000000000003</v>
      </c>
      <c r="R2403">
        <v>1E-3</v>
      </c>
    </row>
    <row r="2404" spans="1:18" ht="13.8" outlineLevel="2" x14ac:dyDescent="0.25">
      <c r="A2404">
        <v>91897</v>
      </c>
      <c r="B2404" t="s">
        <v>2791</v>
      </c>
      <c r="C2404" t="s">
        <v>2819</v>
      </c>
      <c r="D2404" s="14" t="s">
        <v>2805</v>
      </c>
      <c r="E2404" s="12" t="s">
        <v>28</v>
      </c>
      <c r="F2404" s="13" t="s">
        <v>29</v>
      </c>
      <c r="G2404">
        <v>10</v>
      </c>
      <c r="H2404" t="s">
        <v>2466</v>
      </c>
      <c r="I2404">
        <v>10</v>
      </c>
      <c r="J2404" s="15"/>
      <c r="K2404" s="16">
        <f>2028.07 - (2028.07 * $E$1)</f>
        <v>2028.07</v>
      </c>
      <c r="L2404" s="16">
        <f>1662.35 - (1662.35 * $E$1)</f>
        <v>1662.35</v>
      </c>
      <c r="M2404" s="1">
        <v>2028.07</v>
      </c>
      <c r="N2404" s="1">
        <v>1662.35</v>
      </c>
      <c r="O2404" s="1">
        <v>1723.86</v>
      </c>
      <c r="P2404" s="1">
        <v>1413</v>
      </c>
      <c r="Q2404">
        <v>0.52</v>
      </c>
      <c r="R2404">
        <v>3.6461000000000002E-3</v>
      </c>
    </row>
    <row r="2405" spans="1:18" ht="13.8" outlineLevel="2" x14ac:dyDescent="0.25">
      <c r="A2405">
        <v>89688</v>
      </c>
      <c r="B2405" t="s">
        <v>2791</v>
      </c>
      <c r="C2405" t="s">
        <v>2820</v>
      </c>
      <c r="D2405" s="14" t="s">
        <v>2821</v>
      </c>
      <c r="E2405" s="12" t="s">
        <v>28</v>
      </c>
      <c r="F2405" s="13" t="s">
        <v>29</v>
      </c>
      <c r="G2405">
        <v>200</v>
      </c>
      <c r="H2405" t="s">
        <v>2466</v>
      </c>
      <c r="I2405">
        <v>200</v>
      </c>
      <c r="J2405" s="15"/>
      <c r="K2405" s="16">
        <f>32.77 - (32.77 * $E$1)</f>
        <v>32.770000000000003</v>
      </c>
      <c r="L2405" s="16">
        <f>26.86 - (26.86 * $E$1)</f>
        <v>26.86</v>
      </c>
      <c r="M2405" s="1">
        <v>32.770000000000003</v>
      </c>
      <c r="N2405" s="1">
        <v>26.86</v>
      </c>
      <c r="O2405" s="1">
        <v>27.85</v>
      </c>
      <c r="P2405" s="1">
        <v>22.83</v>
      </c>
      <c r="Q2405">
        <v>1.076E-2</v>
      </c>
      <c r="R2405">
        <v>6.0749999999999999E-5</v>
      </c>
    </row>
    <row r="2406" spans="1:18" ht="13.8" outlineLevel="2" x14ac:dyDescent="0.25">
      <c r="A2406">
        <v>89689</v>
      </c>
      <c r="B2406" t="s">
        <v>2791</v>
      </c>
      <c r="C2406" t="s">
        <v>2822</v>
      </c>
      <c r="D2406" s="14" t="s">
        <v>2821</v>
      </c>
      <c r="E2406" s="12" t="s">
        <v>28</v>
      </c>
      <c r="F2406" s="13" t="s">
        <v>29</v>
      </c>
      <c r="G2406">
        <v>100</v>
      </c>
      <c r="H2406" t="s">
        <v>2466</v>
      </c>
      <c r="I2406">
        <v>100</v>
      </c>
      <c r="J2406" s="15"/>
      <c r="K2406" s="16">
        <f>44.85 - (44.85 * $E$1)</f>
        <v>44.85</v>
      </c>
      <c r="L2406" s="16">
        <f>36.76 - (36.76 * $E$1)</f>
        <v>36.76</v>
      </c>
      <c r="M2406" s="1">
        <v>44.85</v>
      </c>
      <c r="N2406" s="1">
        <v>36.76</v>
      </c>
      <c r="O2406" s="1">
        <v>38.119999999999997</v>
      </c>
      <c r="P2406" s="1">
        <v>31.25</v>
      </c>
      <c r="Q2406">
        <v>1.4579999999999999E-2</v>
      </c>
      <c r="R2406">
        <v>1.1137999999999999E-4</v>
      </c>
    </row>
    <row r="2407" spans="1:18" ht="13.8" outlineLevel="2" x14ac:dyDescent="0.25">
      <c r="A2407">
        <v>89690</v>
      </c>
      <c r="B2407" t="s">
        <v>2791</v>
      </c>
      <c r="C2407" t="s">
        <v>2823</v>
      </c>
      <c r="D2407" s="14" t="s">
        <v>2821</v>
      </c>
      <c r="E2407" s="12" t="s">
        <v>28</v>
      </c>
      <c r="F2407" s="13" t="s">
        <v>29</v>
      </c>
      <c r="G2407">
        <v>100</v>
      </c>
      <c r="H2407" t="s">
        <v>2466</v>
      </c>
      <c r="I2407">
        <v>100</v>
      </c>
      <c r="J2407" s="15"/>
      <c r="K2407" s="16">
        <f>54.55 - (54.55 * $E$1)</f>
        <v>54.55</v>
      </c>
      <c r="L2407" s="16">
        <f>44.71 - (44.71 * $E$1)</f>
        <v>44.71</v>
      </c>
      <c r="M2407" s="1">
        <v>54.55</v>
      </c>
      <c r="N2407" s="1">
        <v>44.71</v>
      </c>
      <c r="O2407" s="1">
        <v>46.36</v>
      </c>
      <c r="P2407" s="1">
        <v>38</v>
      </c>
      <c r="Q2407">
        <v>1.6119999999999999E-2</v>
      </c>
      <c r="R2407">
        <v>1.4175E-4</v>
      </c>
    </row>
    <row r="2408" spans="1:18" ht="13.8" outlineLevel="2" x14ac:dyDescent="0.25">
      <c r="A2408">
        <v>89691</v>
      </c>
      <c r="B2408" t="s">
        <v>2791</v>
      </c>
      <c r="C2408" t="s">
        <v>2824</v>
      </c>
      <c r="D2408" s="14" t="s">
        <v>2821</v>
      </c>
      <c r="E2408" s="12" t="s">
        <v>28</v>
      </c>
      <c r="F2408" s="13" t="s">
        <v>29</v>
      </c>
      <c r="G2408">
        <v>50</v>
      </c>
      <c r="H2408" t="s">
        <v>2466</v>
      </c>
      <c r="I2408">
        <v>50</v>
      </c>
      <c r="J2408" s="15"/>
      <c r="K2408" s="16">
        <f>81.46 - (81.46 * $E$1)</f>
        <v>81.459999999999994</v>
      </c>
      <c r="L2408" s="16">
        <f>66.77 - (66.77 * $E$1)</f>
        <v>66.77</v>
      </c>
      <c r="M2408" s="1">
        <v>81.459999999999994</v>
      </c>
      <c r="N2408" s="1">
        <v>66.77</v>
      </c>
      <c r="O2408" s="1">
        <v>69.239999999999995</v>
      </c>
      <c r="P2408" s="1">
        <v>56.75</v>
      </c>
      <c r="Q2408">
        <v>2.8680000000000001E-2</v>
      </c>
      <c r="R2408">
        <v>3.0375999999999998E-4</v>
      </c>
    </row>
    <row r="2409" spans="1:18" ht="13.8" outlineLevel="2" x14ac:dyDescent="0.25">
      <c r="A2409">
        <v>89692</v>
      </c>
      <c r="B2409" t="s">
        <v>2791</v>
      </c>
      <c r="C2409" t="s">
        <v>2825</v>
      </c>
      <c r="D2409" s="14" t="s">
        <v>2821</v>
      </c>
      <c r="E2409" s="12" t="s">
        <v>28</v>
      </c>
      <c r="F2409" s="13" t="s">
        <v>29</v>
      </c>
      <c r="G2409">
        <v>25</v>
      </c>
      <c r="H2409" t="s">
        <v>2466</v>
      </c>
      <c r="I2409">
        <v>25</v>
      </c>
      <c r="J2409" s="15"/>
      <c r="K2409" s="16">
        <f>126.5 - (126.5 * $E$1)</f>
        <v>126.5</v>
      </c>
      <c r="L2409" s="16">
        <f>103.69 - (103.69 * $E$1)</f>
        <v>103.69</v>
      </c>
      <c r="M2409" s="1">
        <v>126.5</v>
      </c>
      <c r="N2409" s="1">
        <v>103.69</v>
      </c>
      <c r="O2409" s="1">
        <v>107.53</v>
      </c>
      <c r="P2409" s="1">
        <v>88.14</v>
      </c>
      <c r="Q2409">
        <v>0.05</v>
      </c>
      <c r="R2409">
        <v>2.8352E-4</v>
      </c>
    </row>
    <row r="2410" spans="1:18" ht="13.8" outlineLevel="2" x14ac:dyDescent="0.25">
      <c r="A2410">
        <v>89693</v>
      </c>
      <c r="B2410" t="s">
        <v>2791</v>
      </c>
      <c r="C2410" t="s">
        <v>2826</v>
      </c>
      <c r="D2410" s="14" t="s">
        <v>2821</v>
      </c>
      <c r="E2410" s="12" t="s">
        <v>28</v>
      </c>
      <c r="F2410" s="13" t="s">
        <v>29</v>
      </c>
      <c r="G2410">
        <v>25</v>
      </c>
      <c r="H2410" t="s">
        <v>2466</v>
      </c>
      <c r="I2410">
        <v>25</v>
      </c>
      <c r="J2410" s="15"/>
      <c r="K2410" s="16">
        <f>246.77 - (246.77 * $E$1)</f>
        <v>246.77</v>
      </c>
      <c r="L2410" s="16">
        <f>202.27 - (202.27 * $E$1)</f>
        <v>202.27</v>
      </c>
      <c r="M2410" s="1">
        <v>246.77</v>
      </c>
      <c r="N2410" s="1">
        <v>202.27</v>
      </c>
      <c r="O2410" s="1">
        <v>209.75</v>
      </c>
      <c r="P2410" s="1">
        <v>171.93</v>
      </c>
      <c r="Q2410">
        <v>7.1360000000000007E-2</v>
      </c>
      <c r="R2410">
        <v>3.6452000000000001E-4</v>
      </c>
    </row>
    <row r="2411" spans="1:18" ht="13.8" outlineLevel="2" x14ac:dyDescent="0.25">
      <c r="A2411">
        <v>89694</v>
      </c>
      <c r="B2411" t="s">
        <v>2791</v>
      </c>
      <c r="C2411" t="s">
        <v>2827</v>
      </c>
      <c r="D2411" s="14" t="s">
        <v>2821</v>
      </c>
      <c r="E2411" s="12" t="s">
        <v>28</v>
      </c>
      <c r="F2411" s="13" t="s">
        <v>29</v>
      </c>
      <c r="G2411">
        <v>25</v>
      </c>
      <c r="H2411" t="s">
        <v>2466</v>
      </c>
      <c r="I2411">
        <v>25</v>
      </c>
      <c r="J2411" s="15"/>
      <c r="K2411" s="16">
        <f>369.6 - (369.6 * $E$1)</f>
        <v>369.6</v>
      </c>
      <c r="L2411" s="16">
        <f>302.95 - (302.95 * $E$1)</f>
        <v>302.95</v>
      </c>
      <c r="M2411" s="1">
        <v>369.6</v>
      </c>
      <c r="N2411" s="1">
        <v>302.95</v>
      </c>
      <c r="O2411" s="1">
        <v>314.16000000000003</v>
      </c>
      <c r="P2411" s="1">
        <v>257.51</v>
      </c>
      <c r="Q2411">
        <v>9.2079999999999995E-2</v>
      </c>
      <c r="R2411">
        <v>4.0499999999999998E-4</v>
      </c>
    </row>
    <row r="2412" spans="1:18" ht="13.8" outlineLevel="2" x14ac:dyDescent="0.25">
      <c r="A2412">
        <v>89695</v>
      </c>
      <c r="B2412" t="s">
        <v>2791</v>
      </c>
      <c r="C2412" t="s">
        <v>2828</v>
      </c>
      <c r="D2412" s="14" t="s">
        <v>2821</v>
      </c>
      <c r="E2412" s="12" t="s">
        <v>28</v>
      </c>
      <c r="F2412" s="13" t="s">
        <v>29</v>
      </c>
      <c r="G2412">
        <v>25</v>
      </c>
      <c r="H2412" t="s">
        <v>2466</v>
      </c>
      <c r="I2412">
        <v>25</v>
      </c>
      <c r="J2412" s="15"/>
      <c r="K2412" s="16">
        <f>442.84 - (442.84 * $E$1)</f>
        <v>442.84</v>
      </c>
      <c r="L2412" s="16">
        <f>362.98 - (362.98 * $E$1)</f>
        <v>362.98</v>
      </c>
      <c r="M2412" s="1">
        <v>442.84</v>
      </c>
      <c r="N2412" s="1">
        <v>362.98</v>
      </c>
      <c r="O2412" s="1">
        <v>376.41</v>
      </c>
      <c r="P2412" s="1">
        <v>308.52999999999997</v>
      </c>
      <c r="Q2412">
        <v>0.12</v>
      </c>
      <c r="R2412">
        <v>5.2652000000000005E-4</v>
      </c>
    </row>
    <row r="2413" spans="1:18" ht="13.8" outlineLevel="2" x14ac:dyDescent="0.25">
      <c r="A2413">
        <v>89696</v>
      </c>
      <c r="B2413" t="s">
        <v>2791</v>
      </c>
      <c r="C2413" t="s">
        <v>2829</v>
      </c>
      <c r="D2413" s="14" t="s">
        <v>2821</v>
      </c>
      <c r="E2413" s="12" t="s">
        <v>28</v>
      </c>
      <c r="F2413" s="13" t="s">
        <v>29</v>
      </c>
      <c r="G2413">
        <v>25</v>
      </c>
      <c r="H2413" t="s">
        <v>2466</v>
      </c>
      <c r="I2413">
        <v>25</v>
      </c>
      <c r="J2413" s="15"/>
      <c r="K2413" s="16">
        <f>531.99 - (531.99 * $E$1)</f>
        <v>531.99</v>
      </c>
      <c r="L2413" s="16">
        <f>436.06 - (436.06 * $E$1)</f>
        <v>436.06</v>
      </c>
      <c r="M2413" s="1">
        <v>531.99</v>
      </c>
      <c r="N2413" s="1">
        <v>436.06</v>
      </c>
      <c r="O2413" s="1">
        <v>452.19</v>
      </c>
      <c r="P2413" s="1">
        <v>370.65</v>
      </c>
      <c r="Q2413">
        <v>0.14312</v>
      </c>
      <c r="R2413">
        <v>6.0751999999999996E-4</v>
      </c>
    </row>
    <row r="2414" spans="1:18" ht="13.8" outlineLevel="2" x14ac:dyDescent="0.25">
      <c r="A2414">
        <v>89697</v>
      </c>
      <c r="B2414" t="s">
        <v>2791</v>
      </c>
      <c r="C2414" t="s">
        <v>2830</v>
      </c>
      <c r="D2414" s="14" t="s">
        <v>2821</v>
      </c>
      <c r="E2414" s="12" t="s">
        <v>28</v>
      </c>
      <c r="F2414" s="13" t="s">
        <v>29</v>
      </c>
      <c r="G2414">
        <v>25</v>
      </c>
      <c r="H2414" t="s">
        <v>2466</v>
      </c>
      <c r="I2414">
        <v>25</v>
      </c>
      <c r="J2414" s="15"/>
      <c r="K2414" s="16">
        <f>740.13 - (740.13 * $E$1)</f>
        <v>740.13</v>
      </c>
      <c r="L2414" s="16">
        <f>606.66 - (606.66 * $E$1)</f>
        <v>606.66</v>
      </c>
      <c r="M2414" s="1">
        <v>740.13</v>
      </c>
      <c r="N2414" s="1">
        <v>606.66</v>
      </c>
      <c r="O2414" s="1">
        <v>629.11</v>
      </c>
      <c r="P2414" s="1">
        <v>515.66</v>
      </c>
      <c r="Q2414">
        <v>0.21351999999999999</v>
      </c>
      <c r="R2414">
        <v>8.0999999999999996E-4</v>
      </c>
    </row>
    <row r="2415" spans="1:18" ht="13.8" outlineLevel="2" x14ac:dyDescent="0.25">
      <c r="A2415">
        <v>85204</v>
      </c>
      <c r="B2415" t="s">
        <v>2791</v>
      </c>
      <c r="C2415" t="s">
        <v>2831</v>
      </c>
      <c r="D2415" s="14" t="s">
        <v>2832</v>
      </c>
      <c r="E2415" s="12" t="s">
        <v>28</v>
      </c>
      <c r="F2415" s="13" t="s">
        <v>29</v>
      </c>
      <c r="G2415">
        <v>50</v>
      </c>
      <c r="H2415" t="s">
        <v>2466</v>
      </c>
      <c r="I2415">
        <v>50</v>
      </c>
      <c r="J2415" s="15"/>
      <c r="K2415" s="16">
        <f>36.78 - (36.78 * $E$1)</f>
        <v>36.78</v>
      </c>
      <c r="L2415" s="16">
        <f>30.15 - (30.15 * $E$1)</f>
        <v>30.15</v>
      </c>
      <c r="M2415" s="1">
        <v>36.78</v>
      </c>
      <c r="N2415" s="1">
        <v>30.15</v>
      </c>
      <c r="O2415" s="1">
        <v>31.27</v>
      </c>
      <c r="P2415" s="1">
        <v>25.63</v>
      </c>
      <c r="Q2415">
        <v>0.01</v>
      </c>
      <c r="R2415">
        <v>1.202E-5</v>
      </c>
    </row>
    <row r="2416" spans="1:18" ht="13.8" outlineLevel="2" x14ac:dyDescent="0.25">
      <c r="A2416">
        <v>85205</v>
      </c>
      <c r="B2416" t="s">
        <v>2791</v>
      </c>
      <c r="C2416" t="s">
        <v>2833</v>
      </c>
      <c r="D2416" s="14" t="s">
        <v>2832</v>
      </c>
      <c r="E2416" s="12" t="s">
        <v>28</v>
      </c>
      <c r="F2416" s="13" t="s">
        <v>29</v>
      </c>
      <c r="G2416">
        <v>50</v>
      </c>
      <c r="H2416" t="s">
        <v>2466</v>
      </c>
      <c r="I2416">
        <v>50</v>
      </c>
      <c r="J2416" s="15"/>
      <c r="K2416" s="16">
        <f>44.75 - (44.75 * $E$1)</f>
        <v>44.75</v>
      </c>
      <c r="L2416" s="16">
        <f>36.68 - (36.68 * $E$1)</f>
        <v>36.68</v>
      </c>
      <c r="M2416" s="1">
        <v>44.75</v>
      </c>
      <c r="N2416" s="1">
        <v>36.68</v>
      </c>
      <c r="O2416" s="1">
        <v>38.04</v>
      </c>
      <c r="P2416" s="1">
        <v>31.18</v>
      </c>
      <c r="Q2416">
        <v>1.7000000000000001E-2</v>
      </c>
      <c r="R2416">
        <v>1.202E-5</v>
      </c>
    </row>
    <row r="2417" spans="1:18" ht="13.8" outlineLevel="2" x14ac:dyDescent="0.25">
      <c r="A2417">
        <v>85206</v>
      </c>
      <c r="B2417" t="s">
        <v>2791</v>
      </c>
      <c r="C2417" t="s">
        <v>2834</v>
      </c>
      <c r="D2417" s="14" t="s">
        <v>2832</v>
      </c>
      <c r="E2417" s="12" t="s">
        <v>28</v>
      </c>
      <c r="F2417" s="13" t="s">
        <v>29</v>
      </c>
      <c r="G2417">
        <v>50</v>
      </c>
      <c r="H2417" t="s">
        <v>2466</v>
      </c>
      <c r="I2417">
        <v>50</v>
      </c>
      <c r="J2417" s="15"/>
      <c r="K2417" s="16">
        <f>67.04 - (67.04 * $E$1)</f>
        <v>67.040000000000006</v>
      </c>
      <c r="L2417" s="16">
        <f>54.95 - (54.95 * $E$1)</f>
        <v>54.95</v>
      </c>
      <c r="M2417" s="1">
        <v>67.040000000000006</v>
      </c>
      <c r="N2417" s="1">
        <v>54.95</v>
      </c>
      <c r="O2417" s="1">
        <v>56.98</v>
      </c>
      <c r="P2417" s="1">
        <v>46.71</v>
      </c>
      <c r="Q2417">
        <v>0.02</v>
      </c>
      <c r="R2417">
        <v>2.6460000000000001E-5</v>
      </c>
    </row>
    <row r="2418" spans="1:18" ht="13.8" outlineLevel="2" x14ac:dyDescent="0.25">
      <c r="A2418">
        <v>85207</v>
      </c>
      <c r="B2418" t="s">
        <v>2791</v>
      </c>
      <c r="C2418" t="s">
        <v>2835</v>
      </c>
      <c r="D2418" s="14" t="s">
        <v>2832</v>
      </c>
      <c r="E2418" s="12" t="s">
        <v>28</v>
      </c>
      <c r="F2418" s="13" t="s">
        <v>29</v>
      </c>
      <c r="G2418">
        <v>10</v>
      </c>
      <c r="H2418" t="s">
        <v>2466</v>
      </c>
      <c r="I2418">
        <v>10</v>
      </c>
      <c r="J2418" s="15"/>
      <c r="K2418" s="16">
        <f>104.01 - (104.01 * $E$1)</f>
        <v>104.01</v>
      </c>
      <c r="L2418" s="16">
        <f>85.25 - (85.25 * $E$1)</f>
        <v>85.25</v>
      </c>
      <c r="M2418" s="1">
        <v>104.01</v>
      </c>
      <c r="N2418" s="1">
        <v>85.25</v>
      </c>
      <c r="O2418" s="1">
        <v>88.4</v>
      </c>
      <c r="P2418" s="1">
        <v>72.459999999999994</v>
      </c>
      <c r="Q2418">
        <v>0.03</v>
      </c>
      <c r="R2418">
        <v>1.5750000000000001E-4</v>
      </c>
    </row>
    <row r="2419" spans="1:18" ht="13.8" outlineLevel="2" x14ac:dyDescent="0.25">
      <c r="A2419">
        <v>85208</v>
      </c>
      <c r="B2419" t="s">
        <v>2791</v>
      </c>
      <c r="C2419" t="s">
        <v>2836</v>
      </c>
      <c r="D2419" s="14" t="s">
        <v>2832</v>
      </c>
      <c r="E2419" s="12" t="s">
        <v>28</v>
      </c>
      <c r="F2419" s="13" t="s">
        <v>29</v>
      </c>
      <c r="G2419">
        <v>10</v>
      </c>
      <c r="H2419" t="s">
        <v>2466</v>
      </c>
      <c r="I2419">
        <v>10</v>
      </c>
      <c r="J2419" s="15"/>
      <c r="K2419" s="16">
        <f>142.75 - (142.75 * $E$1)</f>
        <v>142.75</v>
      </c>
      <c r="L2419" s="16">
        <f>117.01 - (117.01 * $E$1)</f>
        <v>117.01</v>
      </c>
      <c r="M2419" s="1">
        <v>142.75</v>
      </c>
      <c r="N2419" s="1">
        <v>117.01</v>
      </c>
      <c r="O2419" s="1">
        <v>121.34</v>
      </c>
      <c r="P2419" s="1">
        <v>99.46</v>
      </c>
      <c r="Q2419">
        <v>3.5000000000000003E-2</v>
      </c>
      <c r="R2419">
        <v>2.252E-4</v>
      </c>
    </row>
    <row r="2420" spans="1:18" ht="13.8" outlineLevel="2" x14ac:dyDescent="0.25">
      <c r="A2420">
        <v>85209</v>
      </c>
      <c r="B2420" t="s">
        <v>2791</v>
      </c>
      <c r="C2420" t="s">
        <v>2837</v>
      </c>
      <c r="D2420" s="14" t="s">
        <v>2832</v>
      </c>
      <c r="E2420" s="12" t="s">
        <v>28</v>
      </c>
      <c r="F2420" s="13" t="s">
        <v>29</v>
      </c>
      <c r="G2420">
        <v>10</v>
      </c>
      <c r="H2420" t="s">
        <v>2466</v>
      </c>
      <c r="I2420">
        <v>10</v>
      </c>
      <c r="J2420" s="15"/>
      <c r="K2420" s="16">
        <f>202.89 - (202.89 * $E$1)</f>
        <v>202.89</v>
      </c>
      <c r="L2420" s="16">
        <f>166.3 - (166.3 * $E$1)</f>
        <v>166.3</v>
      </c>
      <c r="M2420" s="1">
        <v>202.89</v>
      </c>
      <c r="N2420" s="1">
        <v>166.3</v>
      </c>
      <c r="O2420" s="1">
        <v>172.45</v>
      </c>
      <c r="P2420" s="1">
        <v>141.36000000000001</v>
      </c>
      <c r="Q2420">
        <v>0.05</v>
      </c>
      <c r="R2420">
        <v>3.0660000000000003E-4</v>
      </c>
    </row>
    <row r="2421" spans="1:18" ht="13.8" outlineLevel="2" x14ac:dyDescent="0.25">
      <c r="A2421">
        <v>85210</v>
      </c>
      <c r="B2421" t="s">
        <v>2791</v>
      </c>
      <c r="C2421" t="s">
        <v>2838</v>
      </c>
      <c r="D2421" s="14" t="s">
        <v>2832</v>
      </c>
      <c r="E2421" s="12" t="s">
        <v>28</v>
      </c>
      <c r="F2421" s="13" t="s">
        <v>29</v>
      </c>
      <c r="G2421">
        <v>10</v>
      </c>
      <c r="H2421" t="s">
        <v>2466</v>
      </c>
      <c r="I2421">
        <v>10</v>
      </c>
      <c r="J2421" s="15"/>
      <c r="K2421" s="16">
        <f>303.35 - (303.35 * $E$1)</f>
        <v>303.35000000000002</v>
      </c>
      <c r="L2421" s="16">
        <f>248.65 - (248.65 * $E$1)</f>
        <v>248.65</v>
      </c>
      <c r="M2421" s="1">
        <v>303.35000000000002</v>
      </c>
      <c r="N2421" s="1">
        <v>248.65</v>
      </c>
      <c r="O2421" s="1">
        <v>257.85000000000002</v>
      </c>
      <c r="P2421" s="1">
        <v>211.35</v>
      </c>
      <c r="Q2421">
        <v>6.5000000000000002E-2</v>
      </c>
      <c r="R2421">
        <v>3.7800000000000003E-4</v>
      </c>
    </row>
    <row r="2422" spans="1:18" ht="13.8" outlineLevel="2" x14ac:dyDescent="0.25">
      <c r="A2422">
        <v>85211</v>
      </c>
      <c r="B2422" t="s">
        <v>2791</v>
      </c>
      <c r="C2422" t="s">
        <v>2839</v>
      </c>
      <c r="D2422" s="14" t="s">
        <v>2832</v>
      </c>
      <c r="E2422" s="12" t="s">
        <v>28</v>
      </c>
      <c r="F2422" s="13" t="s">
        <v>29</v>
      </c>
      <c r="G2422">
        <v>10</v>
      </c>
      <c r="H2422" t="s">
        <v>2466</v>
      </c>
      <c r="I2422">
        <v>10</v>
      </c>
      <c r="J2422" s="15"/>
      <c r="K2422" s="16">
        <f>363.67 - (363.67 * $E$1)</f>
        <v>363.67</v>
      </c>
      <c r="L2422" s="16">
        <f>298.09 - (298.09 * $E$1)</f>
        <v>298.08999999999997</v>
      </c>
      <c r="M2422" s="1">
        <v>363.67</v>
      </c>
      <c r="N2422" s="1">
        <v>298.08999999999997</v>
      </c>
      <c r="O2422" s="1">
        <v>309.12</v>
      </c>
      <c r="P2422" s="1">
        <v>253.38</v>
      </c>
      <c r="Q2422">
        <v>0.09</v>
      </c>
      <c r="R2422">
        <v>5.4600000000000004E-4</v>
      </c>
    </row>
    <row r="2423" spans="1:18" ht="13.8" outlineLevel="2" x14ac:dyDescent="0.25">
      <c r="A2423">
        <v>85212</v>
      </c>
      <c r="B2423" t="s">
        <v>2791</v>
      </c>
      <c r="C2423" t="s">
        <v>2840</v>
      </c>
      <c r="D2423" s="14" t="s">
        <v>2832</v>
      </c>
      <c r="E2423" s="12" t="s">
        <v>28</v>
      </c>
      <c r="F2423" s="13" t="s">
        <v>29</v>
      </c>
      <c r="G2423">
        <v>10</v>
      </c>
      <c r="H2423" t="s">
        <v>2466</v>
      </c>
      <c r="I2423">
        <v>10</v>
      </c>
      <c r="J2423" s="15"/>
      <c r="K2423" s="16">
        <f>437.08 - (437.08 * $E$1)</f>
        <v>437.08</v>
      </c>
      <c r="L2423" s="16">
        <f>358.26 - (358.26 * $E$1)</f>
        <v>358.26</v>
      </c>
      <c r="M2423" s="1">
        <v>437.08</v>
      </c>
      <c r="N2423" s="1">
        <v>358.26</v>
      </c>
      <c r="O2423" s="1">
        <v>371.52</v>
      </c>
      <c r="P2423" s="1">
        <v>304.52</v>
      </c>
      <c r="Q2423">
        <v>0.1</v>
      </c>
      <c r="R2423">
        <v>5.4600000000000004E-4</v>
      </c>
    </row>
    <row r="2424" spans="1:18" ht="13.8" outlineLevel="2" x14ac:dyDescent="0.25">
      <c r="A2424">
        <v>85213</v>
      </c>
      <c r="B2424" t="s">
        <v>2791</v>
      </c>
      <c r="C2424" t="s">
        <v>2841</v>
      </c>
      <c r="D2424" s="14" t="s">
        <v>2832</v>
      </c>
      <c r="E2424" s="12" t="s">
        <v>28</v>
      </c>
      <c r="F2424" s="13" t="s">
        <v>29</v>
      </c>
      <c r="G2424">
        <v>10</v>
      </c>
      <c r="H2424" t="s">
        <v>2466</v>
      </c>
      <c r="I2424">
        <v>10</v>
      </c>
      <c r="J2424" s="15"/>
      <c r="K2424" s="16">
        <f>607.94 - (607.94 * $E$1)</f>
        <v>607.94000000000005</v>
      </c>
      <c r="L2424" s="16">
        <f>498.31 - (498.31 * $E$1)</f>
        <v>498.31</v>
      </c>
      <c r="M2424" s="1">
        <v>607.94000000000005</v>
      </c>
      <c r="N2424" s="1">
        <v>498.31</v>
      </c>
      <c r="O2424" s="1">
        <v>516.75</v>
      </c>
      <c r="P2424" s="1">
        <v>423.56</v>
      </c>
      <c r="Q2424">
        <v>0.15</v>
      </c>
      <c r="R2424">
        <v>8.5680000000000001E-4</v>
      </c>
    </row>
    <row r="2425" spans="1:18" ht="13.8" outlineLevel="2" x14ac:dyDescent="0.25">
      <c r="A2425">
        <v>88172</v>
      </c>
      <c r="B2425" t="s">
        <v>2791</v>
      </c>
      <c r="C2425" t="s">
        <v>2842</v>
      </c>
      <c r="D2425" s="14" t="s">
        <v>2843</v>
      </c>
      <c r="E2425" s="12" t="s">
        <v>28</v>
      </c>
      <c r="F2425" s="13" t="s">
        <v>29</v>
      </c>
      <c r="G2425">
        <v>10</v>
      </c>
      <c r="H2425" t="s">
        <v>30</v>
      </c>
      <c r="I2425">
        <v>10</v>
      </c>
      <c r="J2425" s="15"/>
      <c r="K2425" s="16">
        <f>79.93 - (79.93 * $E$1)</f>
        <v>79.930000000000007</v>
      </c>
      <c r="L2425" s="16">
        <f>65.52 - (65.52 * $E$1)</f>
        <v>65.52</v>
      </c>
      <c r="M2425" s="1">
        <v>79.930000000000007</v>
      </c>
      <c r="N2425" s="1">
        <v>65.52</v>
      </c>
      <c r="O2425" s="1">
        <v>67.94</v>
      </c>
      <c r="P2425" s="1">
        <v>55.69</v>
      </c>
      <c r="Q2425">
        <v>1.5800000000000002E-2</v>
      </c>
      <c r="R2425">
        <v>9.1799999999999995E-5</v>
      </c>
    </row>
    <row r="2426" spans="1:18" ht="13.8" outlineLevel="2" x14ac:dyDescent="0.25">
      <c r="A2426">
        <v>88173</v>
      </c>
      <c r="B2426" t="s">
        <v>2791</v>
      </c>
      <c r="C2426" t="s">
        <v>2844</v>
      </c>
      <c r="D2426" s="14" t="s">
        <v>2843</v>
      </c>
      <c r="E2426" s="12" t="s">
        <v>28</v>
      </c>
      <c r="F2426" s="13" t="s">
        <v>29</v>
      </c>
      <c r="G2426">
        <v>10</v>
      </c>
      <c r="H2426" t="s">
        <v>30</v>
      </c>
      <c r="I2426">
        <v>10</v>
      </c>
      <c r="J2426" s="15"/>
      <c r="K2426" s="16">
        <f>92.72 - (92.72 * $E$1)</f>
        <v>92.72</v>
      </c>
      <c r="L2426" s="16">
        <f>76 - (76 * $E$1)</f>
        <v>76</v>
      </c>
      <c r="M2426" s="1">
        <v>92.72</v>
      </c>
      <c r="N2426" s="1">
        <v>76</v>
      </c>
      <c r="O2426" s="1">
        <v>78.81</v>
      </c>
      <c r="P2426" s="1">
        <v>64.599999999999994</v>
      </c>
      <c r="Q2426">
        <v>2.06E-2</v>
      </c>
      <c r="R2426">
        <v>1.2239999999999999E-4</v>
      </c>
    </row>
    <row r="2427" spans="1:18" ht="13.8" outlineLevel="2" x14ac:dyDescent="0.25">
      <c r="A2427">
        <v>88174</v>
      </c>
      <c r="B2427" t="s">
        <v>2791</v>
      </c>
      <c r="C2427" t="s">
        <v>2845</v>
      </c>
      <c r="D2427" s="14" t="s">
        <v>2843</v>
      </c>
      <c r="E2427" s="12" t="s">
        <v>28</v>
      </c>
      <c r="F2427" s="13" t="s">
        <v>29</v>
      </c>
      <c r="G2427">
        <v>10</v>
      </c>
      <c r="H2427" t="s">
        <v>30</v>
      </c>
      <c r="I2427">
        <v>10</v>
      </c>
      <c r="J2427" s="15"/>
      <c r="K2427" s="16">
        <f>146.45 - (146.45 * $E$1)</f>
        <v>146.44999999999999</v>
      </c>
      <c r="L2427" s="16">
        <f>120.04 - (120.04 * $E$1)</f>
        <v>120.04</v>
      </c>
      <c r="M2427" s="1">
        <v>146.44999999999999</v>
      </c>
      <c r="N2427" s="1">
        <v>120.04</v>
      </c>
      <c r="O2427" s="1">
        <v>124.48</v>
      </c>
      <c r="P2427" s="1">
        <v>102.03</v>
      </c>
      <c r="Q2427">
        <v>3.5400000000000001E-2</v>
      </c>
      <c r="R2427">
        <v>2.04E-4</v>
      </c>
    </row>
    <row r="2428" spans="1:18" ht="13.8" outlineLevel="2" x14ac:dyDescent="0.25">
      <c r="A2428">
        <v>88175</v>
      </c>
      <c r="B2428" t="s">
        <v>2791</v>
      </c>
      <c r="C2428" t="s">
        <v>2846</v>
      </c>
      <c r="D2428" s="14" t="s">
        <v>2843</v>
      </c>
      <c r="E2428" s="12" t="s">
        <v>28</v>
      </c>
      <c r="F2428" s="13" t="s">
        <v>29</v>
      </c>
      <c r="G2428">
        <v>10</v>
      </c>
      <c r="H2428" t="s">
        <v>30</v>
      </c>
      <c r="I2428">
        <v>10</v>
      </c>
      <c r="J2428" s="15"/>
      <c r="K2428" s="16">
        <f>214.57 - (214.57 * $E$1)</f>
        <v>214.57</v>
      </c>
      <c r="L2428" s="16">
        <f>175.88 - (175.88 * $E$1)</f>
        <v>175.88</v>
      </c>
      <c r="M2428" s="1">
        <v>214.57</v>
      </c>
      <c r="N2428" s="1">
        <v>175.88</v>
      </c>
      <c r="O2428" s="1">
        <v>182.39</v>
      </c>
      <c r="P2428" s="1">
        <v>149.5</v>
      </c>
      <c r="Q2428">
        <v>5.1400000000000001E-2</v>
      </c>
      <c r="R2428">
        <v>2.7540000000000003E-4</v>
      </c>
    </row>
    <row r="2429" spans="1:18" ht="13.8" outlineLevel="2" x14ac:dyDescent="0.25">
      <c r="A2429">
        <v>88176</v>
      </c>
      <c r="B2429" t="s">
        <v>2791</v>
      </c>
      <c r="C2429" t="s">
        <v>2847</v>
      </c>
      <c r="D2429" s="14" t="s">
        <v>2843</v>
      </c>
      <c r="E2429" s="12" t="s">
        <v>28</v>
      </c>
      <c r="F2429" s="13" t="s">
        <v>29</v>
      </c>
      <c r="G2429">
        <v>10</v>
      </c>
      <c r="H2429" t="s">
        <v>30</v>
      </c>
      <c r="I2429">
        <v>10</v>
      </c>
      <c r="J2429" s="15"/>
      <c r="K2429" s="16">
        <f>355.37 - (355.37 * $E$1)</f>
        <v>355.37</v>
      </c>
      <c r="L2429" s="16">
        <f>291.29 - (291.29 * $E$1)</f>
        <v>291.29000000000002</v>
      </c>
      <c r="M2429" s="1">
        <v>355.37</v>
      </c>
      <c r="N2429" s="1">
        <v>291.29000000000002</v>
      </c>
      <c r="O2429" s="1">
        <v>302.07</v>
      </c>
      <c r="P2429" s="1">
        <v>247.6</v>
      </c>
      <c r="Q2429">
        <v>8.9800000000000005E-2</v>
      </c>
      <c r="R2429">
        <v>3.392E-4</v>
      </c>
    </row>
    <row r="2430" spans="1:18" ht="13.8" outlineLevel="2" x14ac:dyDescent="0.25">
      <c r="A2430">
        <v>88177</v>
      </c>
      <c r="B2430" t="s">
        <v>2791</v>
      </c>
      <c r="C2430" t="s">
        <v>2848</v>
      </c>
      <c r="D2430" s="14" t="s">
        <v>2843</v>
      </c>
      <c r="E2430" s="12" t="s">
        <v>28</v>
      </c>
      <c r="F2430" s="13" t="s">
        <v>29</v>
      </c>
      <c r="G2430">
        <v>10</v>
      </c>
      <c r="H2430" t="s">
        <v>30</v>
      </c>
      <c r="I2430">
        <v>10</v>
      </c>
      <c r="J2430" s="15"/>
      <c r="K2430" s="16">
        <f>533.68 - (533.68 * $E$1)</f>
        <v>533.67999999999995</v>
      </c>
      <c r="L2430" s="16">
        <f>437.44 - (437.44 * $E$1)</f>
        <v>437.44</v>
      </c>
      <c r="M2430" s="1">
        <v>533.67999999999995</v>
      </c>
      <c r="N2430" s="1">
        <v>437.44</v>
      </c>
      <c r="O2430" s="1">
        <v>453.63</v>
      </c>
      <c r="P2430" s="1">
        <v>371.82</v>
      </c>
      <c r="Q2430">
        <v>0.1164</v>
      </c>
      <c r="R2430">
        <v>5.7120000000000001E-4</v>
      </c>
    </row>
    <row r="2431" spans="1:18" ht="13.8" outlineLevel="2" x14ac:dyDescent="0.25">
      <c r="A2431">
        <v>88178</v>
      </c>
      <c r="B2431" t="s">
        <v>2791</v>
      </c>
      <c r="C2431" t="s">
        <v>2849</v>
      </c>
      <c r="D2431" s="14" t="s">
        <v>2843</v>
      </c>
      <c r="E2431" s="12" t="s">
        <v>28</v>
      </c>
      <c r="F2431" s="13" t="s">
        <v>29</v>
      </c>
      <c r="G2431">
        <v>10</v>
      </c>
      <c r="H2431" t="s">
        <v>30</v>
      </c>
      <c r="I2431">
        <v>10</v>
      </c>
      <c r="J2431" s="15"/>
      <c r="K2431" s="16">
        <f>648.04 - (648.04 * $E$1)</f>
        <v>648.04</v>
      </c>
      <c r="L2431" s="16">
        <f>531.18 - (531.18 * $E$1)</f>
        <v>531.17999999999995</v>
      </c>
      <c r="M2431" s="1">
        <v>648.04</v>
      </c>
      <c r="N2431" s="1">
        <v>531.17999999999995</v>
      </c>
      <c r="O2431" s="1">
        <v>550.83000000000004</v>
      </c>
      <c r="P2431" s="1">
        <v>451.5</v>
      </c>
      <c r="Q2431">
        <v>0.1358</v>
      </c>
      <c r="R2431">
        <v>4.3350000000000002E-4</v>
      </c>
    </row>
    <row r="2432" spans="1:18" ht="13.8" outlineLevel="2" x14ac:dyDescent="0.25">
      <c r="A2432">
        <v>88179</v>
      </c>
      <c r="B2432" t="s">
        <v>2791</v>
      </c>
      <c r="C2432" t="s">
        <v>2850</v>
      </c>
      <c r="D2432" s="14" t="s">
        <v>2843</v>
      </c>
      <c r="E2432" s="12" t="s">
        <v>28</v>
      </c>
      <c r="F2432" s="13" t="s">
        <v>29</v>
      </c>
      <c r="G2432">
        <v>10</v>
      </c>
      <c r="H2432" t="s">
        <v>30</v>
      </c>
      <c r="I2432">
        <v>10</v>
      </c>
      <c r="J2432" s="15"/>
      <c r="K2432" s="16">
        <f>731.66 - (731.66 * $E$1)</f>
        <v>731.66</v>
      </c>
      <c r="L2432" s="16">
        <f>599.72 - (599.72 * $E$1)</f>
        <v>599.72</v>
      </c>
      <c r="M2432" s="1">
        <v>731.66</v>
      </c>
      <c r="N2432" s="1">
        <v>599.72</v>
      </c>
      <c r="O2432" s="1">
        <v>621.91</v>
      </c>
      <c r="P2432" s="1">
        <v>509.76</v>
      </c>
      <c r="Q2432">
        <v>0.18</v>
      </c>
      <c r="R2432">
        <v>7.3439999999999996E-4</v>
      </c>
    </row>
    <row r="2433" spans="1:18" ht="13.8" outlineLevel="2" x14ac:dyDescent="0.25">
      <c r="A2433">
        <v>88180</v>
      </c>
      <c r="B2433" t="s">
        <v>2791</v>
      </c>
      <c r="C2433" t="s">
        <v>2851</v>
      </c>
      <c r="D2433" s="14" t="s">
        <v>2843</v>
      </c>
      <c r="E2433" s="12" t="s">
        <v>28</v>
      </c>
      <c r="F2433" s="13" t="s">
        <v>29</v>
      </c>
      <c r="G2433">
        <v>10</v>
      </c>
      <c r="H2433" t="s">
        <v>30</v>
      </c>
      <c r="I2433">
        <v>10</v>
      </c>
      <c r="J2433" s="15"/>
      <c r="K2433" s="16">
        <f>1000.96 - (1000.96 * $E$1)</f>
        <v>1000.96</v>
      </c>
      <c r="L2433" s="16">
        <f>820.46 - (820.46 * $E$1)</f>
        <v>820.46</v>
      </c>
      <c r="M2433" s="1">
        <v>1000.96</v>
      </c>
      <c r="N2433" s="1">
        <v>820.46</v>
      </c>
      <c r="O2433" s="1">
        <v>850.82</v>
      </c>
      <c r="P2433" s="1">
        <v>697.39</v>
      </c>
      <c r="Q2433">
        <v>0.2286</v>
      </c>
      <c r="R2433">
        <v>1.1016000000000001E-3</v>
      </c>
    </row>
    <row r="2434" spans="1:18" ht="13.8" outlineLevel="2" x14ac:dyDescent="0.25">
      <c r="A2434">
        <v>84857</v>
      </c>
      <c r="B2434" t="s">
        <v>2791</v>
      </c>
      <c r="C2434" t="s">
        <v>2852</v>
      </c>
      <c r="D2434" s="14" t="s">
        <v>2853</v>
      </c>
      <c r="E2434" s="12" t="s">
        <v>28</v>
      </c>
      <c r="F2434" s="13" t="s">
        <v>29</v>
      </c>
      <c r="G2434">
        <v>10</v>
      </c>
      <c r="H2434" t="s">
        <v>2466</v>
      </c>
      <c r="I2434">
        <v>10</v>
      </c>
      <c r="J2434" s="15"/>
      <c r="K2434" s="16">
        <f>40.86 - (40.86 * $E$1)</f>
        <v>40.86</v>
      </c>
      <c r="L2434" s="16">
        <f>33.49 - (33.49 * $E$1)</f>
        <v>33.49</v>
      </c>
      <c r="M2434" s="1">
        <v>40.86</v>
      </c>
      <c r="N2434" s="1">
        <v>33.49</v>
      </c>
      <c r="O2434" s="1">
        <v>34.729999999999997</v>
      </c>
      <c r="P2434" s="1">
        <v>28.47</v>
      </c>
      <c r="Q2434">
        <v>0.01</v>
      </c>
      <c r="R2434">
        <v>4.0800000000000002E-5</v>
      </c>
    </row>
    <row r="2435" spans="1:18" ht="13.8" outlineLevel="2" x14ac:dyDescent="0.25">
      <c r="A2435">
        <v>59682</v>
      </c>
      <c r="B2435" t="s">
        <v>2791</v>
      </c>
      <c r="C2435" t="s">
        <v>2854</v>
      </c>
      <c r="D2435" s="14" t="s">
        <v>2853</v>
      </c>
      <c r="E2435" s="12" t="s">
        <v>28</v>
      </c>
      <c r="F2435" s="13" t="s">
        <v>29</v>
      </c>
      <c r="G2435">
        <v>10</v>
      </c>
      <c r="H2435" t="s">
        <v>2466</v>
      </c>
      <c r="I2435">
        <v>10</v>
      </c>
      <c r="J2435" s="15"/>
      <c r="K2435" s="16">
        <f>56.08 - (56.08 * $E$1)</f>
        <v>56.08</v>
      </c>
      <c r="L2435" s="16">
        <f>45.97 - (45.97 * $E$1)</f>
        <v>45.97</v>
      </c>
      <c r="M2435" s="1">
        <v>56.08</v>
      </c>
      <c r="N2435" s="1">
        <v>45.97</v>
      </c>
      <c r="O2435" s="1">
        <v>47.67</v>
      </c>
      <c r="P2435" s="1">
        <v>39.07</v>
      </c>
      <c r="Q2435">
        <v>1.12E-2</v>
      </c>
      <c r="R2435">
        <v>7.5799999999999999E-5</v>
      </c>
    </row>
    <row r="2436" spans="1:18" ht="13.8" outlineLevel="2" x14ac:dyDescent="0.25">
      <c r="A2436">
        <v>59683</v>
      </c>
      <c r="B2436" t="s">
        <v>2791</v>
      </c>
      <c r="C2436" t="s">
        <v>2855</v>
      </c>
      <c r="D2436" s="14" t="s">
        <v>2853</v>
      </c>
      <c r="E2436" s="12" t="s">
        <v>28</v>
      </c>
      <c r="F2436" s="13" t="s">
        <v>29</v>
      </c>
      <c r="G2436">
        <v>10</v>
      </c>
      <c r="H2436" t="s">
        <v>2466</v>
      </c>
      <c r="I2436">
        <v>10</v>
      </c>
      <c r="J2436" s="15"/>
      <c r="K2436" s="16">
        <f>68.21 - (68.21 * $E$1)</f>
        <v>68.209999999999994</v>
      </c>
      <c r="L2436" s="16">
        <f>55.91 - (55.91 * $E$1)</f>
        <v>55.91</v>
      </c>
      <c r="M2436" s="1">
        <v>68.209999999999994</v>
      </c>
      <c r="N2436" s="1">
        <v>55.91</v>
      </c>
      <c r="O2436" s="1">
        <v>57.98</v>
      </c>
      <c r="P2436" s="1">
        <v>47.52</v>
      </c>
      <c r="Q2436">
        <v>1.32E-2</v>
      </c>
      <c r="R2436">
        <v>1.2789999999999999E-4</v>
      </c>
    </row>
    <row r="2437" spans="1:18" ht="13.8" outlineLevel="2" x14ac:dyDescent="0.25">
      <c r="A2437">
        <v>59685</v>
      </c>
      <c r="B2437" t="s">
        <v>2791</v>
      </c>
      <c r="C2437" t="s">
        <v>2856</v>
      </c>
      <c r="D2437" s="14" t="s">
        <v>2853</v>
      </c>
      <c r="E2437" s="12" t="s">
        <v>28</v>
      </c>
      <c r="F2437" s="13" t="s">
        <v>29</v>
      </c>
      <c r="G2437">
        <v>10</v>
      </c>
      <c r="H2437" t="s">
        <v>2466</v>
      </c>
      <c r="I2437">
        <v>10</v>
      </c>
      <c r="J2437" s="15"/>
      <c r="K2437" s="16">
        <f>100.97 - (100.97 * $E$1)</f>
        <v>100.97</v>
      </c>
      <c r="L2437" s="16">
        <f>82.76 - (82.76 * $E$1)</f>
        <v>82.76</v>
      </c>
      <c r="M2437" s="1">
        <v>100.97</v>
      </c>
      <c r="N2437" s="1">
        <v>82.76</v>
      </c>
      <c r="O2437" s="1">
        <v>85.82</v>
      </c>
      <c r="P2437" s="1">
        <v>70.349999999999994</v>
      </c>
      <c r="Q2437">
        <v>0.02</v>
      </c>
      <c r="R2437">
        <v>2.8180000000000002E-4</v>
      </c>
    </row>
    <row r="2438" spans="1:18" ht="13.8" outlineLevel="2" x14ac:dyDescent="0.25">
      <c r="A2438">
        <v>59686</v>
      </c>
      <c r="B2438" t="s">
        <v>2791</v>
      </c>
      <c r="C2438" t="s">
        <v>2857</v>
      </c>
      <c r="D2438" s="14" t="s">
        <v>2853</v>
      </c>
      <c r="E2438" s="12" t="s">
        <v>28</v>
      </c>
      <c r="F2438" s="13" t="s">
        <v>29</v>
      </c>
      <c r="G2438">
        <v>10</v>
      </c>
      <c r="H2438" t="s">
        <v>2466</v>
      </c>
      <c r="I2438">
        <v>10</v>
      </c>
      <c r="J2438" s="15"/>
      <c r="K2438" s="16">
        <f>157.62 - (157.62 * $E$1)</f>
        <v>157.62</v>
      </c>
      <c r="L2438" s="16">
        <f>129.2 - (129.2 * $E$1)</f>
        <v>129.19999999999999</v>
      </c>
      <c r="M2438" s="1">
        <v>157.62</v>
      </c>
      <c r="N2438" s="1">
        <v>129.19999999999999</v>
      </c>
      <c r="O2438" s="1">
        <v>133.97999999999999</v>
      </c>
      <c r="P2438" s="1">
        <v>109.82</v>
      </c>
      <c r="Q2438">
        <v>0.03</v>
      </c>
      <c r="R2438">
        <v>4.8959999999999997E-4</v>
      </c>
    </row>
    <row r="2439" spans="1:18" ht="13.8" outlineLevel="2" x14ac:dyDescent="0.25">
      <c r="A2439">
        <v>85066</v>
      </c>
      <c r="B2439" t="s">
        <v>2791</v>
      </c>
      <c r="C2439" t="s">
        <v>2858</v>
      </c>
      <c r="D2439" s="14" t="s">
        <v>2853</v>
      </c>
      <c r="E2439" s="12" t="s">
        <v>28</v>
      </c>
      <c r="F2439" s="13" t="s">
        <v>29</v>
      </c>
      <c r="G2439">
        <v>10</v>
      </c>
      <c r="H2439" t="s">
        <v>2466</v>
      </c>
      <c r="I2439">
        <v>10</v>
      </c>
      <c r="J2439" s="15"/>
      <c r="K2439" s="16">
        <f>300.8 - (300.8 * $E$1)</f>
        <v>300.8</v>
      </c>
      <c r="L2439" s="16">
        <f>246.56 - (246.56 * $E$1)</f>
        <v>246.56</v>
      </c>
      <c r="M2439" s="1">
        <v>300.8</v>
      </c>
      <c r="N2439" s="1">
        <v>246.56</v>
      </c>
      <c r="O2439" s="1">
        <v>255.68</v>
      </c>
      <c r="P2439" s="1">
        <v>209.58</v>
      </c>
      <c r="Q2439">
        <v>0.06</v>
      </c>
      <c r="R2439">
        <v>2.7E-4</v>
      </c>
    </row>
    <row r="2440" spans="1:18" ht="13.8" outlineLevel="2" x14ac:dyDescent="0.25">
      <c r="A2440">
        <v>85088</v>
      </c>
      <c r="B2440" t="s">
        <v>2791</v>
      </c>
      <c r="C2440" t="s">
        <v>2859</v>
      </c>
      <c r="D2440" s="14" t="s">
        <v>2853</v>
      </c>
      <c r="E2440" s="12" t="s">
        <v>28</v>
      </c>
      <c r="F2440" s="13" t="s">
        <v>29</v>
      </c>
      <c r="G2440">
        <v>10</v>
      </c>
      <c r="H2440" t="s">
        <v>2466</v>
      </c>
      <c r="I2440">
        <v>10</v>
      </c>
      <c r="J2440" s="15"/>
      <c r="K2440" s="16">
        <f>449.95 - (449.95 * $E$1)</f>
        <v>449.95</v>
      </c>
      <c r="L2440" s="16">
        <f>368.81 - (368.81 * $E$1)</f>
        <v>368.81</v>
      </c>
      <c r="M2440" s="1">
        <v>449.95</v>
      </c>
      <c r="N2440" s="1">
        <v>368.81</v>
      </c>
      <c r="O2440" s="1">
        <v>382.46</v>
      </c>
      <c r="P2440" s="1">
        <v>313.49</v>
      </c>
      <c r="Q2440">
        <v>0.08</v>
      </c>
      <c r="R2440">
        <v>4.8999999999999998E-4</v>
      </c>
    </row>
    <row r="2441" spans="1:18" ht="13.8" outlineLevel="2" x14ac:dyDescent="0.25">
      <c r="A2441">
        <v>61209</v>
      </c>
      <c r="B2441" t="s">
        <v>2791</v>
      </c>
      <c r="C2441" t="s">
        <v>2860</v>
      </c>
      <c r="D2441" s="14" t="s">
        <v>2853</v>
      </c>
      <c r="E2441" s="12" t="s">
        <v>28</v>
      </c>
      <c r="F2441" s="13" t="s">
        <v>29</v>
      </c>
      <c r="G2441">
        <v>10</v>
      </c>
      <c r="H2441" t="s">
        <v>2466</v>
      </c>
      <c r="I2441">
        <v>10</v>
      </c>
      <c r="J2441" s="15"/>
      <c r="K2441" s="16">
        <f>539.36 - (539.36 * $E$1)</f>
        <v>539.36</v>
      </c>
      <c r="L2441" s="16">
        <f>442.1 - (442.1 * $E$1)</f>
        <v>442.1</v>
      </c>
      <c r="M2441" s="1">
        <v>539.36</v>
      </c>
      <c r="N2441" s="1">
        <v>442.1</v>
      </c>
      <c r="O2441" s="1">
        <v>458.46</v>
      </c>
      <c r="P2441" s="1">
        <v>375.79</v>
      </c>
      <c r="Q2441">
        <v>8.5999999999999993E-2</v>
      </c>
      <c r="R2441">
        <v>5.775E-4</v>
      </c>
    </row>
    <row r="2442" spans="1:18" ht="13.8" outlineLevel="2" x14ac:dyDescent="0.25">
      <c r="A2442">
        <v>85068</v>
      </c>
      <c r="B2442" t="s">
        <v>2791</v>
      </c>
      <c r="C2442" t="s">
        <v>2861</v>
      </c>
      <c r="D2442" s="14" t="s">
        <v>2853</v>
      </c>
      <c r="E2442" s="12" t="s">
        <v>28</v>
      </c>
      <c r="F2442" s="13" t="s">
        <v>29</v>
      </c>
      <c r="G2442">
        <v>10</v>
      </c>
      <c r="H2442" t="s">
        <v>2466</v>
      </c>
      <c r="I2442">
        <v>10</v>
      </c>
      <c r="J2442" s="15"/>
      <c r="K2442" s="16">
        <f>674.45 - (674.45 * $E$1)</f>
        <v>674.45</v>
      </c>
      <c r="L2442" s="16">
        <f>552.83 - (552.83 * $E$1)</f>
        <v>552.83000000000004</v>
      </c>
      <c r="M2442" s="1">
        <v>674.45</v>
      </c>
      <c r="N2442" s="1">
        <v>552.83000000000004</v>
      </c>
      <c r="O2442" s="1">
        <v>573.28</v>
      </c>
      <c r="P2442" s="1">
        <v>469.91</v>
      </c>
      <c r="Q2442">
        <v>0.14000000000000001</v>
      </c>
      <c r="R2442">
        <v>3.6000000000000002E-4</v>
      </c>
    </row>
    <row r="2443" spans="1:18" ht="13.8" outlineLevel="2" x14ac:dyDescent="0.25">
      <c r="A2443">
        <v>91711</v>
      </c>
      <c r="B2443" t="s">
        <v>2791</v>
      </c>
      <c r="C2443" t="s">
        <v>2862</v>
      </c>
      <c r="D2443" s="14" t="s">
        <v>2853</v>
      </c>
      <c r="E2443" s="12" t="s">
        <v>28</v>
      </c>
      <c r="F2443" s="13" t="s">
        <v>29</v>
      </c>
      <c r="G2443">
        <v>10</v>
      </c>
      <c r="H2443" t="s">
        <v>2466</v>
      </c>
      <c r="I2443">
        <v>10</v>
      </c>
      <c r="J2443" s="15"/>
      <c r="K2443" s="16">
        <f>933.96 - (933.96 * $E$1)</f>
        <v>933.96</v>
      </c>
      <c r="L2443" s="16">
        <f>765.54 - (765.54 * $E$1)</f>
        <v>765.54</v>
      </c>
      <c r="M2443" s="1">
        <v>933.96</v>
      </c>
      <c r="N2443" s="1">
        <v>765.54</v>
      </c>
      <c r="O2443" s="1">
        <v>793.86</v>
      </c>
      <c r="P2443" s="1">
        <v>650.71</v>
      </c>
      <c r="Q2443">
        <v>0.16700000000000001</v>
      </c>
      <c r="R2443">
        <v>2.3625E-3</v>
      </c>
    </row>
    <row r="2444" spans="1:18" ht="13.8" outlineLevel="2" x14ac:dyDescent="0.25">
      <c r="A2444">
        <v>84858</v>
      </c>
      <c r="B2444" t="s">
        <v>2791</v>
      </c>
      <c r="C2444" t="s">
        <v>2863</v>
      </c>
      <c r="D2444" s="14" t="s">
        <v>2864</v>
      </c>
      <c r="E2444" s="12" t="s">
        <v>28</v>
      </c>
      <c r="F2444" s="13" t="s">
        <v>29</v>
      </c>
      <c r="G2444">
        <v>10</v>
      </c>
      <c r="H2444" t="s">
        <v>2466</v>
      </c>
      <c r="I2444">
        <v>10</v>
      </c>
      <c r="J2444" s="15"/>
      <c r="K2444" s="16">
        <f>40.86 - (40.86 * $E$1)</f>
        <v>40.86</v>
      </c>
      <c r="L2444" s="16">
        <f>33.49 - (33.49 * $E$1)</f>
        <v>33.49</v>
      </c>
      <c r="M2444" s="1">
        <v>40.86</v>
      </c>
      <c r="N2444" s="1">
        <v>33.49</v>
      </c>
      <c r="O2444" s="1">
        <v>34.729999999999997</v>
      </c>
      <c r="P2444" s="1">
        <v>28.47</v>
      </c>
      <c r="Q2444">
        <v>0.01</v>
      </c>
      <c r="R2444">
        <v>4.0800000000000002E-5</v>
      </c>
    </row>
    <row r="2445" spans="1:18" ht="13.8" outlineLevel="2" x14ac:dyDescent="0.25">
      <c r="A2445">
        <v>67232</v>
      </c>
      <c r="B2445" t="s">
        <v>2791</v>
      </c>
      <c r="C2445" t="s">
        <v>2865</v>
      </c>
      <c r="D2445" s="14" t="s">
        <v>2864</v>
      </c>
      <c r="E2445" s="12" t="s">
        <v>28</v>
      </c>
      <c r="F2445" s="13" t="s">
        <v>29</v>
      </c>
      <c r="G2445">
        <v>10</v>
      </c>
      <c r="H2445" t="s">
        <v>2466</v>
      </c>
      <c r="I2445">
        <v>10</v>
      </c>
      <c r="J2445" s="15"/>
      <c r="K2445" s="16">
        <f>56.08 - (56.08 * $E$1)</f>
        <v>56.08</v>
      </c>
      <c r="L2445" s="16">
        <f>45.97 - (45.97 * $E$1)</f>
        <v>45.97</v>
      </c>
      <c r="M2445" s="1">
        <v>56.08</v>
      </c>
      <c r="N2445" s="1">
        <v>45.97</v>
      </c>
      <c r="O2445" s="1">
        <v>47.67</v>
      </c>
      <c r="P2445" s="1">
        <v>39.07</v>
      </c>
      <c r="Q2445">
        <v>1.46E-2</v>
      </c>
      <c r="R2445">
        <v>6.0600000000000003E-5</v>
      </c>
    </row>
    <row r="2446" spans="1:18" ht="13.8" outlineLevel="2" x14ac:dyDescent="0.25">
      <c r="A2446">
        <v>67233</v>
      </c>
      <c r="B2446" t="s">
        <v>2791</v>
      </c>
      <c r="C2446" t="s">
        <v>2866</v>
      </c>
      <c r="D2446" s="14" t="s">
        <v>2864</v>
      </c>
      <c r="E2446" s="12" t="s">
        <v>28</v>
      </c>
      <c r="F2446" s="13" t="s">
        <v>29</v>
      </c>
      <c r="G2446">
        <v>10</v>
      </c>
      <c r="H2446" t="s">
        <v>2466</v>
      </c>
      <c r="I2446">
        <v>10</v>
      </c>
      <c r="J2446" s="15"/>
      <c r="K2446" s="16">
        <f>68.21 - (68.21 * $E$1)</f>
        <v>68.209999999999994</v>
      </c>
      <c r="L2446" s="16">
        <f>55.91 - (55.91 * $E$1)</f>
        <v>55.91</v>
      </c>
      <c r="M2446" s="1">
        <v>68.209999999999994</v>
      </c>
      <c r="N2446" s="1">
        <v>55.91</v>
      </c>
      <c r="O2446" s="1">
        <v>57.98</v>
      </c>
      <c r="P2446" s="1">
        <v>47.52</v>
      </c>
      <c r="Q2446">
        <v>1.61E-2</v>
      </c>
      <c r="R2446">
        <v>2.273E-4</v>
      </c>
    </row>
    <row r="2447" spans="1:18" ht="13.8" outlineLevel="2" x14ac:dyDescent="0.25">
      <c r="A2447">
        <v>67234</v>
      </c>
      <c r="B2447" t="s">
        <v>2791</v>
      </c>
      <c r="C2447" t="s">
        <v>2867</v>
      </c>
      <c r="D2447" s="14" t="s">
        <v>2864</v>
      </c>
      <c r="E2447" s="12" t="s">
        <v>28</v>
      </c>
      <c r="F2447" s="13" t="s">
        <v>29</v>
      </c>
      <c r="G2447">
        <v>10</v>
      </c>
      <c r="H2447" t="s">
        <v>2466</v>
      </c>
      <c r="I2447">
        <v>10</v>
      </c>
      <c r="J2447" s="15"/>
      <c r="K2447" s="16">
        <f>100.97 - (100.97 * $E$1)</f>
        <v>100.97</v>
      </c>
      <c r="L2447" s="16">
        <f>82.76 - (82.76 * $E$1)</f>
        <v>82.76</v>
      </c>
      <c r="M2447" s="1">
        <v>100.97</v>
      </c>
      <c r="N2447" s="1">
        <v>82.76</v>
      </c>
      <c r="O2447" s="1">
        <v>85.82</v>
      </c>
      <c r="P2447" s="1">
        <v>70.349999999999994</v>
      </c>
      <c r="Q2447">
        <v>2.3199999999999998E-2</v>
      </c>
      <c r="R2447">
        <v>2.363E-4</v>
      </c>
    </row>
    <row r="2448" spans="1:18" ht="13.8" outlineLevel="2" x14ac:dyDescent="0.25">
      <c r="A2448">
        <v>67235</v>
      </c>
      <c r="B2448" t="s">
        <v>2791</v>
      </c>
      <c r="C2448" t="s">
        <v>2868</v>
      </c>
      <c r="D2448" s="14" t="s">
        <v>2864</v>
      </c>
      <c r="E2448" s="12" t="s">
        <v>28</v>
      </c>
      <c r="F2448" s="13" t="s">
        <v>29</v>
      </c>
      <c r="G2448">
        <v>10</v>
      </c>
      <c r="H2448" t="s">
        <v>2466</v>
      </c>
      <c r="I2448">
        <v>10</v>
      </c>
      <c r="J2448" s="15"/>
      <c r="K2448" s="16">
        <f>157.62 - (157.62 * $E$1)</f>
        <v>157.62</v>
      </c>
      <c r="L2448" s="16">
        <f>129.2 - (129.2 * $E$1)</f>
        <v>129.19999999999999</v>
      </c>
      <c r="M2448" s="1">
        <v>157.62</v>
      </c>
      <c r="N2448" s="1">
        <v>129.19999999999999</v>
      </c>
      <c r="O2448" s="1">
        <v>133.97999999999999</v>
      </c>
      <c r="P2448" s="1">
        <v>109.82</v>
      </c>
      <c r="Q2448">
        <v>0.04</v>
      </c>
      <c r="R2448">
        <v>2.5970000000000002E-4</v>
      </c>
    </row>
    <row r="2449" spans="1:18" ht="13.8" outlineLevel="2" x14ac:dyDescent="0.25">
      <c r="A2449">
        <v>85064</v>
      </c>
      <c r="B2449" t="s">
        <v>2791</v>
      </c>
      <c r="C2449" t="s">
        <v>2869</v>
      </c>
      <c r="D2449" s="14" t="s">
        <v>2864</v>
      </c>
      <c r="E2449" s="12" t="s">
        <v>28</v>
      </c>
      <c r="F2449" s="13" t="s">
        <v>29</v>
      </c>
      <c r="G2449">
        <v>10</v>
      </c>
      <c r="H2449" t="s">
        <v>2466</v>
      </c>
      <c r="I2449">
        <v>10</v>
      </c>
      <c r="J2449" s="15"/>
      <c r="K2449" s="16">
        <f>300.8 - (300.8 * $E$1)</f>
        <v>300.8</v>
      </c>
      <c r="L2449" s="16">
        <f>246.56 - (246.56 * $E$1)</f>
        <v>246.56</v>
      </c>
      <c r="M2449" s="1">
        <v>300.8</v>
      </c>
      <c r="N2449" s="1">
        <v>246.56</v>
      </c>
      <c r="O2449" s="1">
        <v>255.68</v>
      </c>
      <c r="P2449" s="1">
        <v>209.58</v>
      </c>
      <c r="Q2449">
        <v>6.9000000000000006E-2</v>
      </c>
      <c r="R2449">
        <v>2.5520000000000002E-4</v>
      </c>
    </row>
    <row r="2450" spans="1:18" ht="13.8" outlineLevel="2" x14ac:dyDescent="0.25">
      <c r="A2450">
        <v>84874</v>
      </c>
      <c r="B2450" t="s">
        <v>2791</v>
      </c>
      <c r="C2450" t="s">
        <v>2870</v>
      </c>
      <c r="D2450" s="14" t="s">
        <v>2864</v>
      </c>
      <c r="E2450" s="12" t="s">
        <v>28</v>
      </c>
      <c r="F2450" s="13" t="s">
        <v>29</v>
      </c>
      <c r="G2450">
        <v>10</v>
      </c>
      <c r="H2450" t="s">
        <v>2466</v>
      </c>
      <c r="I2450">
        <v>10</v>
      </c>
      <c r="J2450" s="15"/>
      <c r="K2450" s="16">
        <f>456.12 - (456.12 * $E$1)</f>
        <v>456.12</v>
      </c>
      <c r="L2450" s="16">
        <f>373.87 - (373.87 * $E$1)</f>
        <v>373.87</v>
      </c>
      <c r="M2450" s="1">
        <v>456.12</v>
      </c>
      <c r="N2450" s="1">
        <v>373.87</v>
      </c>
      <c r="O2450" s="1">
        <v>387.7</v>
      </c>
      <c r="P2450" s="1">
        <v>317.79000000000002</v>
      </c>
      <c r="Q2450">
        <v>0.1</v>
      </c>
      <c r="R2450">
        <v>4.0000000000000002E-4</v>
      </c>
    </row>
    <row r="2451" spans="1:18" ht="13.8" outlineLevel="2" x14ac:dyDescent="0.25">
      <c r="A2451">
        <v>67237</v>
      </c>
      <c r="B2451" t="s">
        <v>2791</v>
      </c>
      <c r="C2451" t="s">
        <v>2871</v>
      </c>
      <c r="D2451" s="14" t="s">
        <v>2864</v>
      </c>
      <c r="E2451" s="12" t="s">
        <v>28</v>
      </c>
      <c r="F2451" s="13" t="s">
        <v>29</v>
      </c>
      <c r="G2451">
        <v>10</v>
      </c>
      <c r="H2451" t="s">
        <v>2466</v>
      </c>
      <c r="I2451">
        <v>10</v>
      </c>
      <c r="J2451" s="15"/>
      <c r="K2451" s="16">
        <f>539.36 - (539.36 * $E$1)</f>
        <v>539.36</v>
      </c>
      <c r="L2451" s="16">
        <f>442.1 - (442.1 * $E$1)</f>
        <v>442.1</v>
      </c>
      <c r="M2451" s="1">
        <v>539.36</v>
      </c>
      <c r="N2451" s="1">
        <v>442.1</v>
      </c>
      <c r="O2451" s="1">
        <v>458.46</v>
      </c>
      <c r="P2451" s="1">
        <v>375.79</v>
      </c>
      <c r="Q2451">
        <v>0.1038</v>
      </c>
      <c r="R2451">
        <v>4.4440000000000001E-4</v>
      </c>
    </row>
    <row r="2452" spans="1:18" ht="13.8" outlineLevel="2" x14ac:dyDescent="0.25">
      <c r="A2452">
        <v>84875</v>
      </c>
      <c r="B2452" t="s">
        <v>2791</v>
      </c>
      <c r="C2452" t="s">
        <v>2872</v>
      </c>
      <c r="D2452" s="14" t="s">
        <v>2864</v>
      </c>
      <c r="E2452" s="12" t="s">
        <v>28</v>
      </c>
      <c r="F2452" s="13" t="s">
        <v>29</v>
      </c>
      <c r="G2452">
        <v>10</v>
      </c>
      <c r="H2452" t="s">
        <v>2466</v>
      </c>
      <c r="I2452">
        <v>10</v>
      </c>
      <c r="J2452" s="15"/>
      <c r="K2452" s="16">
        <f>680.99 - (680.99 * $E$1)</f>
        <v>680.99</v>
      </c>
      <c r="L2452" s="16">
        <f>558.19 - (558.19 * $E$1)</f>
        <v>558.19000000000005</v>
      </c>
      <c r="M2452" s="1">
        <v>680.99</v>
      </c>
      <c r="N2452" s="1">
        <v>558.19000000000005</v>
      </c>
      <c r="O2452" s="1">
        <v>578.84</v>
      </c>
      <c r="P2452" s="1">
        <v>474.46</v>
      </c>
      <c r="Q2452">
        <v>0.13</v>
      </c>
      <c r="R2452">
        <v>5.5999999999999995E-4</v>
      </c>
    </row>
    <row r="2453" spans="1:18" ht="13.8" outlineLevel="2" x14ac:dyDescent="0.25">
      <c r="A2453">
        <v>106551</v>
      </c>
      <c r="B2453" t="s">
        <v>2791</v>
      </c>
      <c r="C2453" t="s">
        <v>2873</v>
      </c>
      <c r="D2453" s="14" t="s">
        <v>2864</v>
      </c>
      <c r="E2453" s="12" t="s">
        <v>28</v>
      </c>
      <c r="F2453" s="18" t="s">
        <v>1467</v>
      </c>
      <c r="G2453">
        <v>10</v>
      </c>
      <c r="H2453" t="s">
        <v>2466</v>
      </c>
      <c r="I2453">
        <v>10</v>
      </c>
      <c r="J2453" s="15"/>
      <c r="K2453" s="16">
        <f>934.9 - (934.9 * $E$1)</f>
        <v>934.9</v>
      </c>
      <c r="L2453" s="16">
        <f>766.31 - (766.31 * $E$1)</f>
        <v>766.31</v>
      </c>
      <c r="M2453" s="1">
        <v>934.9</v>
      </c>
      <c r="N2453" s="1">
        <v>766.31</v>
      </c>
      <c r="O2453" s="1">
        <v>794.66</v>
      </c>
      <c r="P2453" s="1">
        <v>651.36</v>
      </c>
      <c r="Q2453">
        <v>0.186</v>
      </c>
      <c r="R2453">
        <v>7.0699999999999995E-4</v>
      </c>
    </row>
    <row r="2454" spans="1:18" ht="13.8" outlineLevel="2" x14ac:dyDescent="0.25">
      <c r="A2454">
        <v>84859</v>
      </c>
      <c r="B2454" t="s">
        <v>2791</v>
      </c>
      <c r="C2454" t="s">
        <v>2874</v>
      </c>
      <c r="D2454" s="14" t="s">
        <v>2875</v>
      </c>
      <c r="E2454" s="12" t="s">
        <v>28</v>
      </c>
      <c r="F2454" s="13" t="s">
        <v>29</v>
      </c>
      <c r="G2454">
        <v>10</v>
      </c>
      <c r="H2454" t="s">
        <v>2466</v>
      </c>
      <c r="I2454">
        <v>10</v>
      </c>
      <c r="J2454" s="15"/>
      <c r="K2454" s="16">
        <f>40.86 - (40.86 * $E$1)</f>
        <v>40.86</v>
      </c>
      <c r="L2454" s="16">
        <f>33.49 - (33.49 * $E$1)</f>
        <v>33.49</v>
      </c>
      <c r="M2454" s="1">
        <v>40.86</v>
      </c>
      <c r="N2454" s="1">
        <v>33.49</v>
      </c>
      <c r="O2454" s="1">
        <v>34.729999999999997</v>
      </c>
      <c r="P2454" s="1">
        <v>28.47</v>
      </c>
      <c r="Q2454">
        <v>0.01</v>
      </c>
      <c r="R2454">
        <v>4.0800000000000002E-5</v>
      </c>
    </row>
    <row r="2455" spans="1:18" ht="13.8" outlineLevel="2" x14ac:dyDescent="0.25">
      <c r="A2455">
        <v>84860</v>
      </c>
      <c r="B2455" t="s">
        <v>2791</v>
      </c>
      <c r="C2455" t="s">
        <v>2876</v>
      </c>
      <c r="D2455" s="14" t="s">
        <v>2875</v>
      </c>
      <c r="E2455" s="12" t="s">
        <v>28</v>
      </c>
      <c r="F2455" s="13" t="s">
        <v>29</v>
      </c>
      <c r="G2455">
        <v>10</v>
      </c>
      <c r="H2455" t="s">
        <v>2466</v>
      </c>
      <c r="I2455">
        <v>10</v>
      </c>
      <c r="J2455" s="15"/>
      <c r="K2455" s="16">
        <f>56.45 - (56.45 * $E$1)</f>
        <v>56.45</v>
      </c>
      <c r="L2455" s="16">
        <f>46.27 - (46.27 * $E$1)</f>
        <v>46.27</v>
      </c>
      <c r="M2455" s="1">
        <v>56.45</v>
      </c>
      <c r="N2455" s="1">
        <v>46.27</v>
      </c>
      <c r="O2455" s="1">
        <v>47.98</v>
      </c>
      <c r="P2455" s="1">
        <v>39.33</v>
      </c>
      <c r="Q2455">
        <v>1.6E-2</v>
      </c>
      <c r="R2455">
        <v>4.0000000000000003E-5</v>
      </c>
    </row>
    <row r="2456" spans="1:18" ht="13.8" outlineLevel="2" x14ac:dyDescent="0.25">
      <c r="A2456">
        <v>67239</v>
      </c>
      <c r="B2456" t="s">
        <v>2791</v>
      </c>
      <c r="C2456" t="s">
        <v>2877</v>
      </c>
      <c r="D2456" s="14" t="s">
        <v>2875</v>
      </c>
      <c r="E2456" s="12" t="s">
        <v>28</v>
      </c>
      <c r="F2456" s="13" t="s">
        <v>29</v>
      </c>
      <c r="G2456">
        <v>10</v>
      </c>
      <c r="H2456" t="s">
        <v>2466</v>
      </c>
      <c r="I2456">
        <v>10</v>
      </c>
      <c r="J2456" s="15"/>
      <c r="K2456" s="16">
        <f>68.21 - (68.21 * $E$1)</f>
        <v>68.209999999999994</v>
      </c>
      <c r="L2456" s="16">
        <f>55.91 - (55.91 * $E$1)</f>
        <v>55.91</v>
      </c>
      <c r="M2456" s="1">
        <v>68.209999999999994</v>
      </c>
      <c r="N2456" s="1">
        <v>55.91</v>
      </c>
      <c r="O2456" s="1">
        <v>57.98</v>
      </c>
      <c r="P2456" s="1">
        <v>47.52</v>
      </c>
      <c r="Q2456">
        <v>1.52E-2</v>
      </c>
      <c r="R2456">
        <v>2.1210000000000001E-4</v>
      </c>
    </row>
    <row r="2457" spans="1:18" ht="13.8" outlineLevel="2" x14ac:dyDescent="0.25">
      <c r="A2457">
        <v>67240</v>
      </c>
      <c r="B2457" t="s">
        <v>2791</v>
      </c>
      <c r="C2457" t="s">
        <v>2878</v>
      </c>
      <c r="D2457" s="14" t="s">
        <v>2875</v>
      </c>
      <c r="E2457" s="12" t="s">
        <v>28</v>
      </c>
      <c r="F2457" s="13" t="s">
        <v>29</v>
      </c>
      <c r="G2457">
        <v>10</v>
      </c>
      <c r="H2457" t="s">
        <v>2466</v>
      </c>
      <c r="I2457">
        <v>10</v>
      </c>
      <c r="J2457" s="15"/>
      <c r="K2457" s="16">
        <f>100.97 - (100.97 * $E$1)</f>
        <v>100.97</v>
      </c>
      <c r="L2457" s="16">
        <f>82.76 - (82.76 * $E$1)</f>
        <v>82.76</v>
      </c>
      <c r="M2457" s="1">
        <v>100.97</v>
      </c>
      <c r="N2457" s="1">
        <v>82.76</v>
      </c>
      <c r="O2457" s="1">
        <v>85.82</v>
      </c>
      <c r="P2457" s="1">
        <v>70.349999999999994</v>
      </c>
      <c r="Q2457">
        <v>2.24E-2</v>
      </c>
      <c r="R2457">
        <v>2.8279999999999999E-4</v>
      </c>
    </row>
    <row r="2458" spans="1:18" ht="13.8" outlineLevel="2" x14ac:dyDescent="0.25">
      <c r="A2458">
        <v>67241</v>
      </c>
      <c r="B2458" t="s">
        <v>2791</v>
      </c>
      <c r="C2458" t="s">
        <v>2879</v>
      </c>
      <c r="D2458" s="14" t="s">
        <v>2875</v>
      </c>
      <c r="E2458" s="12" t="s">
        <v>28</v>
      </c>
      <c r="F2458" s="13" t="s">
        <v>29</v>
      </c>
      <c r="G2458">
        <v>10</v>
      </c>
      <c r="H2458" t="s">
        <v>2466</v>
      </c>
      <c r="I2458">
        <v>10</v>
      </c>
      <c r="J2458" s="15"/>
      <c r="K2458" s="16">
        <f>157.62 - (157.62 * $E$1)</f>
        <v>157.62</v>
      </c>
      <c r="L2458" s="16">
        <f>129.2 - (129.2 * $E$1)</f>
        <v>129.19999999999999</v>
      </c>
      <c r="M2458" s="1">
        <v>157.62</v>
      </c>
      <c r="N2458" s="1">
        <v>129.19999999999999</v>
      </c>
      <c r="O2458" s="1">
        <v>133.97999999999999</v>
      </c>
      <c r="P2458" s="1">
        <v>109.82</v>
      </c>
      <c r="Q2458">
        <v>0.04</v>
      </c>
      <c r="R2458">
        <v>2.5970000000000002E-4</v>
      </c>
    </row>
    <row r="2459" spans="1:18" ht="13.8" outlineLevel="2" x14ac:dyDescent="0.25">
      <c r="A2459">
        <v>85065</v>
      </c>
      <c r="B2459" t="s">
        <v>2791</v>
      </c>
      <c r="C2459" t="s">
        <v>2880</v>
      </c>
      <c r="D2459" s="14" t="s">
        <v>2875</v>
      </c>
      <c r="E2459" s="12" t="s">
        <v>28</v>
      </c>
      <c r="F2459" s="13" t="s">
        <v>29</v>
      </c>
      <c r="G2459">
        <v>10</v>
      </c>
      <c r="H2459" t="s">
        <v>2466</v>
      </c>
      <c r="I2459">
        <v>10</v>
      </c>
      <c r="J2459" s="15"/>
      <c r="K2459" s="16">
        <f>300.8 - (300.8 * $E$1)</f>
        <v>300.8</v>
      </c>
      <c r="L2459" s="16">
        <f>246.56 - (246.56 * $E$1)</f>
        <v>246.56</v>
      </c>
      <c r="M2459" s="1">
        <v>300.8</v>
      </c>
      <c r="N2459" s="1">
        <v>246.56</v>
      </c>
      <c r="O2459" s="1">
        <v>255.68</v>
      </c>
      <c r="P2459" s="1">
        <v>209.58</v>
      </c>
      <c r="Q2459">
        <v>0.06</v>
      </c>
      <c r="R2459">
        <v>2.7E-4</v>
      </c>
    </row>
    <row r="2460" spans="1:18" ht="13.8" outlineLevel="2" x14ac:dyDescent="0.25">
      <c r="A2460">
        <v>84876</v>
      </c>
      <c r="B2460" t="s">
        <v>2791</v>
      </c>
      <c r="C2460" t="s">
        <v>2881</v>
      </c>
      <c r="D2460" s="14" t="s">
        <v>2875</v>
      </c>
      <c r="E2460" s="12" t="s">
        <v>28</v>
      </c>
      <c r="F2460" s="13" t="s">
        <v>29</v>
      </c>
      <c r="G2460">
        <v>10</v>
      </c>
      <c r="H2460" t="s">
        <v>2466</v>
      </c>
      <c r="I2460">
        <v>10</v>
      </c>
      <c r="J2460" s="15"/>
      <c r="K2460" s="16">
        <f>469.61 - (469.61 * $E$1)</f>
        <v>469.61</v>
      </c>
      <c r="L2460" s="16">
        <f>384.93 - (384.93 * $E$1)</f>
        <v>384.93</v>
      </c>
      <c r="M2460" s="1">
        <v>469.61</v>
      </c>
      <c r="N2460" s="1">
        <v>384.93</v>
      </c>
      <c r="O2460" s="1">
        <v>399.17</v>
      </c>
      <c r="P2460" s="1">
        <v>327.19</v>
      </c>
      <c r="Q2460">
        <v>0.1</v>
      </c>
      <c r="R2460">
        <v>4.0000000000000002E-4</v>
      </c>
    </row>
    <row r="2461" spans="1:18" ht="13.8" outlineLevel="2" x14ac:dyDescent="0.25">
      <c r="A2461">
        <v>84877</v>
      </c>
      <c r="B2461" t="s">
        <v>2791</v>
      </c>
      <c r="C2461" t="s">
        <v>2882</v>
      </c>
      <c r="D2461" s="14" t="s">
        <v>2875</v>
      </c>
      <c r="E2461" s="12" t="s">
        <v>28</v>
      </c>
      <c r="F2461" s="13" t="s">
        <v>29</v>
      </c>
      <c r="G2461">
        <v>10</v>
      </c>
      <c r="H2461" t="s">
        <v>2466</v>
      </c>
      <c r="I2461">
        <v>10</v>
      </c>
      <c r="J2461" s="15"/>
      <c r="K2461" s="16">
        <f>551.7 - (551.7 * $E$1)</f>
        <v>551.70000000000005</v>
      </c>
      <c r="L2461" s="16">
        <f>452.21 - (452.21 * $E$1)</f>
        <v>452.21</v>
      </c>
      <c r="M2461" s="1">
        <v>551.70000000000005</v>
      </c>
      <c r="N2461" s="1">
        <v>452.21</v>
      </c>
      <c r="O2461" s="1">
        <v>468.94</v>
      </c>
      <c r="P2461" s="1">
        <v>384.38</v>
      </c>
      <c r="Q2461">
        <v>0.12</v>
      </c>
      <c r="R2461">
        <v>5.0000000000000001E-4</v>
      </c>
    </row>
    <row r="2462" spans="1:18" ht="13.8" outlineLevel="2" x14ac:dyDescent="0.25">
      <c r="A2462">
        <v>84878</v>
      </c>
      <c r="B2462" t="s">
        <v>2791</v>
      </c>
      <c r="C2462" t="s">
        <v>2883</v>
      </c>
      <c r="D2462" s="14" t="s">
        <v>2875</v>
      </c>
      <c r="E2462" s="12" t="s">
        <v>28</v>
      </c>
      <c r="F2462" s="13" t="s">
        <v>29</v>
      </c>
      <c r="G2462">
        <v>10</v>
      </c>
      <c r="H2462" t="s">
        <v>2466</v>
      </c>
      <c r="I2462">
        <v>10</v>
      </c>
      <c r="J2462" s="15"/>
      <c r="K2462" s="16">
        <f>680.99 - (680.99 * $E$1)</f>
        <v>680.99</v>
      </c>
      <c r="L2462" s="16">
        <f>558.19 - (558.19 * $E$1)</f>
        <v>558.19000000000005</v>
      </c>
      <c r="M2462" s="1">
        <v>680.99</v>
      </c>
      <c r="N2462" s="1">
        <v>558.19000000000005</v>
      </c>
      <c r="O2462" s="1">
        <v>578.84</v>
      </c>
      <c r="P2462" s="1">
        <v>474.46</v>
      </c>
      <c r="Q2462">
        <v>0.13</v>
      </c>
      <c r="R2462">
        <v>5.5999999999999995E-4</v>
      </c>
    </row>
    <row r="2463" spans="1:18" ht="13.8" outlineLevel="2" x14ac:dyDescent="0.25">
      <c r="A2463">
        <v>106554</v>
      </c>
      <c r="B2463" t="s">
        <v>2791</v>
      </c>
      <c r="C2463" t="s">
        <v>2884</v>
      </c>
      <c r="D2463" s="14" t="s">
        <v>2875</v>
      </c>
      <c r="E2463" s="12" t="s">
        <v>28</v>
      </c>
      <c r="F2463" s="18" t="s">
        <v>1467</v>
      </c>
      <c r="G2463">
        <v>10</v>
      </c>
      <c r="H2463" t="s">
        <v>2466</v>
      </c>
      <c r="I2463">
        <v>10</v>
      </c>
      <c r="J2463" s="15"/>
      <c r="K2463" s="16">
        <f>934.9 - (934.9 * $E$1)</f>
        <v>934.9</v>
      </c>
      <c r="L2463" s="16">
        <f>766.31 - (766.31 * $E$1)</f>
        <v>766.31</v>
      </c>
      <c r="M2463" s="1">
        <v>934.9</v>
      </c>
      <c r="N2463" s="1">
        <v>766.31</v>
      </c>
      <c r="O2463" s="1">
        <v>794.66</v>
      </c>
      <c r="P2463" s="1">
        <v>651.36</v>
      </c>
      <c r="Q2463">
        <v>0.17699999999999999</v>
      </c>
      <c r="R2463">
        <v>7.0699999999999995E-4</v>
      </c>
    </row>
    <row r="2464" spans="1:18" ht="13.8" outlineLevel="2" x14ac:dyDescent="0.25">
      <c r="A2464">
        <v>102428</v>
      </c>
      <c r="B2464" t="s">
        <v>2791</v>
      </c>
      <c r="C2464" t="s">
        <v>2885</v>
      </c>
      <c r="D2464" s="14" t="s">
        <v>2886</v>
      </c>
      <c r="E2464" s="12" t="s">
        <v>28</v>
      </c>
      <c r="F2464" s="13" t="s">
        <v>29</v>
      </c>
      <c r="G2464">
        <v>10</v>
      </c>
      <c r="H2464" t="s">
        <v>2466</v>
      </c>
      <c r="I2464">
        <v>10</v>
      </c>
      <c r="J2464" s="15"/>
      <c r="K2464" s="16">
        <f>40.86 - (40.86 * $E$1)</f>
        <v>40.86</v>
      </c>
      <c r="L2464" s="16">
        <f>33.49 - (33.49 * $E$1)</f>
        <v>33.49</v>
      </c>
      <c r="M2464" s="1">
        <v>40.86</v>
      </c>
      <c r="N2464" s="1">
        <v>33.49</v>
      </c>
      <c r="O2464" s="1">
        <v>34.729999999999997</v>
      </c>
      <c r="P2464" s="1">
        <v>28.47</v>
      </c>
      <c r="Q2464">
        <v>7.7999999999999996E-3</v>
      </c>
      <c r="R2464">
        <v>6.3800000000000006E-5</v>
      </c>
    </row>
    <row r="2465" spans="1:18" ht="13.8" outlineLevel="2" x14ac:dyDescent="0.25">
      <c r="A2465">
        <v>102430</v>
      </c>
      <c r="B2465" t="s">
        <v>2791</v>
      </c>
      <c r="C2465" t="s">
        <v>2887</v>
      </c>
      <c r="D2465" s="14" t="s">
        <v>2886</v>
      </c>
      <c r="E2465" s="12" t="s">
        <v>28</v>
      </c>
      <c r="F2465" s="13" t="s">
        <v>29</v>
      </c>
      <c r="G2465">
        <v>10</v>
      </c>
      <c r="H2465" t="s">
        <v>2466</v>
      </c>
      <c r="I2465">
        <v>10</v>
      </c>
      <c r="J2465" s="15"/>
      <c r="K2465" s="16">
        <f>56.45 - (56.45 * $E$1)</f>
        <v>56.45</v>
      </c>
      <c r="L2465" s="16">
        <f>46.27 - (46.27 * $E$1)</f>
        <v>46.27</v>
      </c>
      <c r="M2465" s="1">
        <v>56.45</v>
      </c>
      <c r="N2465" s="1">
        <v>46.27</v>
      </c>
      <c r="O2465" s="1">
        <v>47.98</v>
      </c>
      <c r="P2465" s="1">
        <v>39.33</v>
      </c>
      <c r="Q2465">
        <v>0.01</v>
      </c>
      <c r="R2465">
        <v>8.1600000000000005E-5</v>
      </c>
    </row>
    <row r="2466" spans="1:18" ht="13.8" outlineLevel="2" x14ac:dyDescent="0.25">
      <c r="A2466">
        <v>102431</v>
      </c>
      <c r="B2466" t="s">
        <v>2791</v>
      </c>
      <c r="C2466" t="s">
        <v>2888</v>
      </c>
      <c r="D2466" s="14" t="s">
        <v>2886</v>
      </c>
      <c r="E2466" s="12" t="s">
        <v>28</v>
      </c>
      <c r="F2466" s="13" t="s">
        <v>29</v>
      </c>
      <c r="G2466">
        <v>10</v>
      </c>
      <c r="H2466" t="s">
        <v>2466</v>
      </c>
      <c r="I2466">
        <v>10</v>
      </c>
      <c r="J2466" s="15"/>
      <c r="K2466" s="16">
        <f>68.21 - (68.21 * $E$1)</f>
        <v>68.209999999999994</v>
      </c>
      <c r="L2466" s="16">
        <f>55.91 - (55.91 * $E$1)</f>
        <v>55.91</v>
      </c>
      <c r="M2466" s="1">
        <v>68.209999999999994</v>
      </c>
      <c r="N2466" s="1">
        <v>55.91</v>
      </c>
      <c r="O2466" s="1">
        <v>57.98</v>
      </c>
      <c r="P2466" s="1">
        <v>47.52</v>
      </c>
      <c r="Q2466">
        <v>1.4E-2</v>
      </c>
      <c r="R2466">
        <v>1.2239999999999999E-4</v>
      </c>
    </row>
    <row r="2467" spans="1:18" ht="13.8" outlineLevel="2" x14ac:dyDescent="0.25">
      <c r="A2467">
        <v>102432</v>
      </c>
      <c r="B2467" t="s">
        <v>2791</v>
      </c>
      <c r="C2467" t="s">
        <v>2889</v>
      </c>
      <c r="D2467" s="14" t="s">
        <v>2886</v>
      </c>
      <c r="E2467" s="12" t="s">
        <v>28</v>
      </c>
      <c r="F2467" s="13" t="s">
        <v>29</v>
      </c>
      <c r="G2467">
        <v>10</v>
      </c>
      <c r="H2467" t="s">
        <v>2466</v>
      </c>
      <c r="I2467">
        <v>10</v>
      </c>
      <c r="J2467" s="15"/>
      <c r="K2467" s="16">
        <f>100.97 - (100.97 * $E$1)</f>
        <v>100.97</v>
      </c>
      <c r="L2467" s="16">
        <f>82.76 - (82.76 * $E$1)</f>
        <v>82.76</v>
      </c>
      <c r="M2467" s="1">
        <v>100.97</v>
      </c>
      <c r="N2467" s="1">
        <v>82.76</v>
      </c>
      <c r="O2467" s="1">
        <v>85.82</v>
      </c>
      <c r="P2467" s="1">
        <v>70.349999999999994</v>
      </c>
      <c r="Q2467">
        <v>2.4E-2</v>
      </c>
      <c r="R2467">
        <v>1.9890000000000001E-4</v>
      </c>
    </row>
    <row r="2468" spans="1:18" ht="13.8" outlineLevel="2" x14ac:dyDescent="0.25">
      <c r="A2468">
        <v>102433</v>
      </c>
      <c r="B2468" t="s">
        <v>2791</v>
      </c>
      <c r="C2468" t="s">
        <v>2890</v>
      </c>
      <c r="D2468" s="14" t="s">
        <v>2886</v>
      </c>
      <c r="E2468" s="12" t="s">
        <v>28</v>
      </c>
      <c r="F2468" s="13" t="s">
        <v>29</v>
      </c>
      <c r="G2468">
        <v>10</v>
      </c>
      <c r="H2468" t="s">
        <v>2466</v>
      </c>
      <c r="I2468">
        <v>10</v>
      </c>
      <c r="J2468" s="15"/>
      <c r="K2468" s="16">
        <f>157.62 - (157.62 * $E$1)</f>
        <v>157.62</v>
      </c>
      <c r="L2468" s="16">
        <f>129.2 - (129.2 * $E$1)</f>
        <v>129.19999999999999</v>
      </c>
      <c r="M2468" s="1">
        <v>157.62</v>
      </c>
      <c r="N2468" s="1">
        <v>129.19999999999999</v>
      </c>
      <c r="O2468" s="1">
        <v>133.97999999999999</v>
      </c>
      <c r="P2468" s="1">
        <v>109.82</v>
      </c>
      <c r="Q2468">
        <v>3.7999999999999999E-2</v>
      </c>
      <c r="R2468">
        <v>2.04E-4</v>
      </c>
    </row>
    <row r="2469" spans="1:18" ht="13.8" outlineLevel="2" x14ac:dyDescent="0.25">
      <c r="A2469">
        <v>102434</v>
      </c>
      <c r="B2469" t="s">
        <v>2791</v>
      </c>
      <c r="C2469" t="s">
        <v>2891</v>
      </c>
      <c r="D2469" s="14" t="s">
        <v>2886</v>
      </c>
      <c r="E2469" s="12" t="s">
        <v>28</v>
      </c>
      <c r="F2469" s="13" t="s">
        <v>29</v>
      </c>
      <c r="G2469">
        <v>10</v>
      </c>
      <c r="H2469" t="s">
        <v>2466</v>
      </c>
      <c r="I2469">
        <v>10</v>
      </c>
      <c r="J2469" s="15"/>
      <c r="K2469" s="16">
        <f>300.8 - (300.8 * $E$1)</f>
        <v>300.8</v>
      </c>
      <c r="L2469" s="16">
        <f>246.56 - (246.56 * $E$1)</f>
        <v>246.56</v>
      </c>
      <c r="M2469" s="1">
        <v>300.8</v>
      </c>
      <c r="N2469" s="1">
        <v>246.56</v>
      </c>
      <c r="O2469" s="1">
        <v>255.68</v>
      </c>
      <c r="P2469" s="1">
        <v>209.58</v>
      </c>
      <c r="Q2469">
        <v>5.7000000000000002E-2</v>
      </c>
      <c r="R2469">
        <v>3.6719999999999998E-4</v>
      </c>
    </row>
    <row r="2470" spans="1:18" ht="13.8" outlineLevel="2" x14ac:dyDescent="0.25">
      <c r="A2470">
        <v>102435</v>
      </c>
      <c r="B2470" t="s">
        <v>2791</v>
      </c>
      <c r="C2470" t="s">
        <v>2892</v>
      </c>
      <c r="D2470" s="14" t="s">
        <v>2886</v>
      </c>
      <c r="E2470" s="12" t="s">
        <v>28</v>
      </c>
      <c r="F2470" s="13" t="s">
        <v>29</v>
      </c>
      <c r="G2470">
        <v>10</v>
      </c>
      <c r="H2470" t="s">
        <v>2466</v>
      </c>
      <c r="I2470">
        <v>10</v>
      </c>
      <c r="J2470" s="15"/>
      <c r="K2470" s="16">
        <f>469.61 - (469.61 * $E$1)</f>
        <v>469.61</v>
      </c>
      <c r="L2470" s="16">
        <f>384.93 - (384.93 * $E$1)</f>
        <v>384.93</v>
      </c>
      <c r="M2470" s="1">
        <v>469.61</v>
      </c>
      <c r="N2470" s="1">
        <v>384.93</v>
      </c>
      <c r="O2470" s="1">
        <v>399.17</v>
      </c>
      <c r="P2470" s="1">
        <v>327.19</v>
      </c>
      <c r="Q2470">
        <v>7.0000000000000007E-2</v>
      </c>
      <c r="R2470">
        <v>3.2640000000000002E-4</v>
      </c>
    </row>
    <row r="2471" spans="1:18" ht="13.8" outlineLevel="2" x14ac:dyDescent="0.25">
      <c r="A2471">
        <v>102436</v>
      </c>
      <c r="B2471" t="s">
        <v>2791</v>
      </c>
      <c r="C2471" t="s">
        <v>2893</v>
      </c>
      <c r="D2471" s="14" t="s">
        <v>2886</v>
      </c>
      <c r="E2471" s="12" t="s">
        <v>28</v>
      </c>
      <c r="F2471" s="13" t="s">
        <v>29</v>
      </c>
      <c r="G2471">
        <v>10</v>
      </c>
      <c r="H2471" t="s">
        <v>2466</v>
      </c>
      <c r="I2471">
        <v>10</v>
      </c>
      <c r="J2471" s="15"/>
      <c r="K2471" s="16">
        <f>551.7 - (551.7 * $E$1)</f>
        <v>551.70000000000005</v>
      </c>
      <c r="L2471" s="16">
        <f>452.21 - (452.21 * $E$1)</f>
        <v>452.21</v>
      </c>
      <c r="M2471" s="1">
        <v>551.70000000000005</v>
      </c>
      <c r="N2471" s="1">
        <v>452.21</v>
      </c>
      <c r="O2471" s="1">
        <v>468.94</v>
      </c>
      <c r="P2471" s="1">
        <v>384.38</v>
      </c>
      <c r="Q2471">
        <v>9.4E-2</v>
      </c>
      <c r="R2471">
        <v>7.3439999999999996E-4</v>
      </c>
    </row>
    <row r="2472" spans="1:18" ht="13.8" outlineLevel="2" x14ac:dyDescent="0.25">
      <c r="A2472">
        <v>102437</v>
      </c>
      <c r="B2472" t="s">
        <v>2791</v>
      </c>
      <c r="C2472" t="s">
        <v>2894</v>
      </c>
      <c r="D2472" s="14" t="s">
        <v>2886</v>
      </c>
      <c r="E2472" s="12" t="s">
        <v>28</v>
      </c>
      <c r="F2472" s="13" t="s">
        <v>29</v>
      </c>
      <c r="G2472">
        <v>10</v>
      </c>
      <c r="H2472" t="s">
        <v>2466</v>
      </c>
      <c r="I2472">
        <v>10</v>
      </c>
      <c r="J2472" s="15"/>
      <c r="K2472" s="16">
        <f>680.99 - (680.99 * $E$1)</f>
        <v>680.99</v>
      </c>
      <c r="L2472" s="16">
        <f>558.19 - (558.19 * $E$1)</f>
        <v>558.19000000000005</v>
      </c>
      <c r="M2472" s="1">
        <v>680.99</v>
      </c>
      <c r="N2472" s="1">
        <v>558.19000000000005</v>
      </c>
      <c r="O2472" s="1">
        <v>578.84</v>
      </c>
      <c r="P2472" s="1">
        <v>474.46</v>
      </c>
      <c r="Q2472">
        <v>0.129</v>
      </c>
      <c r="R2472">
        <v>8.1599999999999999E-4</v>
      </c>
    </row>
    <row r="2473" spans="1:18" ht="13.8" outlineLevel="2" x14ac:dyDescent="0.25">
      <c r="A2473">
        <v>106555</v>
      </c>
      <c r="B2473" t="s">
        <v>2791</v>
      </c>
      <c r="C2473" t="s">
        <v>2895</v>
      </c>
      <c r="D2473" s="14" t="s">
        <v>2886</v>
      </c>
      <c r="E2473" s="12" t="s">
        <v>28</v>
      </c>
      <c r="F2473" s="18" t="s">
        <v>1467</v>
      </c>
      <c r="G2473">
        <v>10</v>
      </c>
      <c r="H2473" t="s">
        <v>2466</v>
      </c>
      <c r="I2473">
        <v>10</v>
      </c>
      <c r="J2473" s="15"/>
      <c r="K2473" s="16">
        <f>934.9 - (934.9 * $E$1)</f>
        <v>934.9</v>
      </c>
      <c r="L2473" s="16">
        <f>766.31 - (766.31 * $E$1)</f>
        <v>766.31</v>
      </c>
      <c r="M2473" s="1">
        <v>934.9</v>
      </c>
      <c r="N2473" s="1">
        <v>766.31</v>
      </c>
      <c r="O2473" s="1">
        <v>794.66</v>
      </c>
      <c r="P2473" s="1">
        <v>651.36</v>
      </c>
      <c r="Q2473">
        <v>0.17599999999999999</v>
      </c>
      <c r="R2473">
        <v>7.0699999999999995E-4</v>
      </c>
    </row>
    <row r="2474" spans="1:18" ht="13.8" outlineLevel="2" x14ac:dyDescent="0.25">
      <c r="A2474">
        <v>102411</v>
      </c>
      <c r="B2474" t="s">
        <v>2791</v>
      </c>
      <c r="C2474" t="s">
        <v>2896</v>
      </c>
      <c r="D2474" s="14" t="s">
        <v>2897</v>
      </c>
      <c r="E2474" s="12" t="s">
        <v>28</v>
      </c>
      <c r="F2474" s="13" t="s">
        <v>29</v>
      </c>
      <c r="G2474">
        <v>10</v>
      </c>
      <c r="H2474" t="s">
        <v>2466</v>
      </c>
      <c r="I2474">
        <v>10</v>
      </c>
      <c r="J2474" s="15"/>
      <c r="K2474" s="16">
        <f>40.86 - (40.86 * $E$1)</f>
        <v>40.86</v>
      </c>
      <c r="L2474" s="16">
        <f>33.49 - (33.49 * $E$1)</f>
        <v>33.49</v>
      </c>
      <c r="M2474" s="1">
        <v>40.86</v>
      </c>
      <c r="N2474" s="1">
        <v>33.49</v>
      </c>
      <c r="O2474" s="1">
        <v>34.729999999999997</v>
      </c>
      <c r="P2474" s="1">
        <v>28.47</v>
      </c>
      <c r="Q2474">
        <v>8.9999999999999993E-3</v>
      </c>
      <c r="R2474">
        <v>6.3800000000000006E-5</v>
      </c>
    </row>
    <row r="2475" spans="1:18" ht="13.8" outlineLevel="2" x14ac:dyDescent="0.25">
      <c r="A2475">
        <v>102412</v>
      </c>
      <c r="B2475" t="s">
        <v>2791</v>
      </c>
      <c r="C2475" t="s">
        <v>2898</v>
      </c>
      <c r="D2475" s="14" t="s">
        <v>2897</v>
      </c>
      <c r="E2475" s="12" t="s">
        <v>28</v>
      </c>
      <c r="F2475" s="13" t="s">
        <v>29</v>
      </c>
      <c r="G2475">
        <v>10</v>
      </c>
      <c r="H2475" t="s">
        <v>2466</v>
      </c>
      <c r="I2475">
        <v>10</v>
      </c>
      <c r="J2475" s="15"/>
      <c r="K2475" s="16">
        <f>56.45 - (56.45 * $E$1)</f>
        <v>56.45</v>
      </c>
      <c r="L2475" s="16">
        <f>46.27 - (46.27 * $E$1)</f>
        <v>46.27</v>
      </c>
      <c r="M2475" s="1">
        <v>56.45</v>
      </c>
      <c r="N2475" s="1">
        <v>46.27</v>
      </c>
      <c r="O2475" s="1">
        <v>47.98</v>
      </c>
      <c r="P2475" s="1">
        <v>39.33</v>
      </c>
      <c r="Q2475">
        <v>1.0999999999999999E-2</v>
      </c>
      <c r="R2475">
        <v>8.1600000000000005E-5</v>
      </c>
    </row>
    <row r="2476" spans="1:18" ht="13.8" outlineLevel="2" x14ac:dyDescent="0.25">
      <c r="A2476">
        <v>102413</v>
      </c>
      <c r="B2476" t="s">
        <v>2791</v>
      </c>
      <c r="C2476" t="s">
        <v>2899</v>
      </c>
      <c r="D2476" s="14" t="s">
        <v>2897</v>
      </c>
      <c r="E2476" s="12" t="s">
        <v>28</v>
      </c>
      <c r="F2476" s="13" t="s">
        <v>29</v>
      </c>
      <c r="G2476">
        <v>10</v>
      </c>
      <c r="H2476" t="s">
        <v>2466</v>
      </c>
      <c r="I2476">
        <v>10</v>
      </c>
      <c r="J2476" s="15"/>
      <c r="K2476" s="16">
        <f>68.21 - (68.21 * $E$1)</f>
        <v>68.209999999999994</v>
      </c>
      <c r="L2476" s="16">
        <f>55.91 - (55.91 * $E$1)</f>
        <v>55.91</v>
      </c>
      <c r="M2476" s="1">
        <v>68.209999999999994</v>
      </c>
      <c r="N2476" s="1">
        <v>55.91</v>
      </c>
      <c r="O2476" s="1">
        <v>57.98</v>
      </c>
      <c r="P2476" s="1">
        <v>47.52</v>
      </c>
      <c r="Q2476">
        <v>1.4999999999999999E-2</v>
      </c>
      <c r="R2476">
        <v>1.2239999999999999E-4</v>
      </c>
    </row>
    <row r="2477" spans="1:18" ht="13.8" outlineLevel="2" x14ac:dyDescent="0.25">
      <c r="A2477">
        <v>102414</v>
      </c>
      <c r="B2477" t="s">
        <v>2791</v>
      </c>
      <c r="C2477" t="s">
        <v>2900</v>
      </c>
      <c r="D2477" s="14" t="s">
        <v>2897</v>
      </c>
      <c r="E2477" s="12" t="s">
        <v>28</v>
      </c>
      <c r="F2477" s="13" t="s">
        <v>29</v>
      </c>
      <c r="G2477">
        <v>10</v>
      </c>
      <c r="H2477" t="s">
        <v>2466</v>
      </c>
      <c r="I2477">
        <v>10</v>
      </c>
      <c r="J2477" s="15"/>
      <c r="K2477" s="16">
        <f>100.97 - (100.97 * $E$1)</f>
        <v>100.97</v>
      </c>
      <c r="L2477" s="16">
        <f>82.76 - (82.76 * $E$1)</f>
        <v>82.76</v>
      </c>
      <c r="M2477" s="1">
        <v>100.97</v>
      </c>
      <c r="N2477" s="1">
        <v>82.76</v>
      </c>
      <c r="O2477" s="1">
        <v>85.82</v>
      </c>
      <c r="P2477" s="1">
        <v>70.349999999999994</v>
      </c>
      <c r="Q2477">
        <v>2.5000000000000001E-2</v>
      </c>
      <c r="R2477">
        <v>1.9890000000000001E-4</v>
      </c>
    </row>
    <row r="2478" spans="1:18" ht="13.8" outlineLevel="2" x14ac:dyDescent="0.25">
      <c r="A2478">
        <v>102415</v>
      </c>
      <c r="B2478" t="s">
        <v>2791</v>
      </c>
      <c r="C2478" t="s">
        <v>2901</v>
      </c>
      <c r="D2478" s="14" t="s">
        <v>2897</v>
      </c>
      <c r="E2478" s="12" t="s">
        <v>28</v>
      </c>
      <c r="F2478" s="13" t="s">
        <v>29</v>
      </c>
      <c r="G2478">
        <v>10</v>
      </c>
      <c r="H2478" t="s">
        <v>2466</v>
      </c>
      <c r="I2478">
        <v>10</v>
      </c>
      <c r="J2478" s="15"/>
      <c r="K2478" s="16">
        <f>157.62 - (157.62 * $E$1)</f>
        <v>157.62</v>
      </c>
      <c r="L2478" s="16">
        <f>129.2 - (129.2 * $E$1)</f>
        <v>129.19999999999999</v>
      </c>
      <c r="M2478" s="1">
        <v>157.62</v>
      </c>
      <c r="N2478" s="1">
        <v>129.19999999999999</v>
      </c>
      <c r="O2478" s="1">
        <v>133.97999999999999</v>
      </c>
      <c r="P2478" s="1">
        <v>109.82</v>
      </c>
      <c r="Q2478">
        <v>3.7999999999999999E-2</v>
      </c>
      <c r="R2478">
        <v>1.9890000000000001E-4</v>
      </c>
    </row>
    <row r="2479" spans="1:18" ht="13.8" outlineLevel="2" x14ac:dyDescent="0.25">
      <c r="A2479">
        <v>102416</v>
      </c>
      <c r="B2479" t="s">
        <v>2791</v>
      </c>
      <c r="C2479" t="s">
        <v>2902</v>
      </c>
      <c r="D2479" s="14" t="s">
        <v>2897</v>
      </c>
      <c r="E2479" s="12" t="s">
        <v>28</v>
      </c>
      <c r="F2479" s="13" t="s">
        <v>29</v>
      </c>
      <c r="G2479">
        <v>10</v>
      </c>
      <c r="H2479" t="s">
        <v>2466</v>
      </c>
      <c r="I2479">
        <v>10</v>
      </c>
      <c r="J2479" s="15"/>
      <c r="K2479" s="16">
        <f>300.8 - (300.8 * $E$1)</f>
        <v>300.8</v>
      </c>
      <c r="L2479" s="16">
        <f>246.56 - (246.56 * $E$1)</f>
        <v>246.56</v>
      </c>
      <c r="M2479" s="1">
        <v>300.8</v>
      </c>
      <c r="N2479" s="1">
        <v>246.56</v>
      </c>
      <c r="O2479" s="1">
        <v>255.68</v>
      </c>
      <c r="P2479" s="1">
        <v>209.58</v>
      </c>
      <c r="Q2479">
        <v>5.6000000000000001E-2</v>
      </c>
      <c r="R2479">
        <v>3.6719999999999998E-4</v>
      </c>
    </row>
    <row r="2480" spans="1:18" ht="13.8" outlineLevel="2" x14ac:dyDescent="0.25">
      <c r="A2480">
        <v>102417</v>
      </c>
      <c r="B2480" t="s">
        <v>2791</v>
      </c>
      <c r="C2480" t="s">
        <v>2903</v>
      </c>
      <c r="D2480" s="14" t="s">
        <v>2897</v>
      </c>
      <c r="E2480" s="12" t="s">
        <v>28</v>
      </c>
      <c r="F2480" s="13" t="s">
        <v>29</v>
      </c>
      <c r="G2480">
        <v>10</v>
      </c>
      <c r="H2480" t="s">
        <v>2466</v>
      </c>
      <c r="I2480">
        <v>10</v>
      </c>
      <c r="J2480" s="15"/>
      <c r="K2480" s="16">
        <f>469.61 - (469.61 * $E$1)</f>
        <v>469.61</v>
      </c>
      <c r="L2480" s="16">
        <f>384.93 - (384.93 * $E$1)</f>
        <v>384.93</v>
      </c>
      <c r="M2480" s="1">
        <v>469.61</v>
      </c>
      <c r="N2480" s="1">
        <v>384.93</v>
      </c>
      <c r="O2480" s="1">
        <v>399.17</v>
      </c>
      <c r="P2480" s="1">
        <v>327.19</v>
      </c>
      <c r="Q2480">
        <v>7.3999999999999996E-2</v>
      </c>
      <c r="R2480">
        <v>2.04E-4</v>
      </c>
    </row>
    <row r="2481" spans="1:18" ht="13.8" outlineLevel="2" x14ac:dyDescent="0.25">
      <c r="A2481">
        <v>102418</v>
      </c>
      <c r="B2481" t="s">
        <v>2791</v>
      </c>
      <c r="C2481" t="s">
        <v>2904</v>
      </c>
      <c r="D2481" s="14" t="s">
        <v>2897</v>
      </c>
      <c r="E2481" s="12" t="s">
        <v>28</v>
      </c>
      <c r="F2481" s="13" t="s">
        <v>29</v>
      </c>
      <c r="G2481">
        <v>10</v>
      </c>
      <c r="H2481" t="s">
        <v>2466</v>
      </c>
      <c r="I2481">
        <v>10</v>
      </c>
      <c r="J2481" s="15"/>
      <c r="K2481" s="16">
        <f>551.7 - (551.7 * $E$1)</f>
        <v>551.70000000000005</v>
      </c>
      <c r="L2481" s="16">
        <f>452.21 - (452.21 * $E$1)</f>
        <v>452.21</v>
      </c>
      <c r="M2481" s="1">
        <v>551.70000000000005</v>
      </c>
      <c r="N2481" s="1">
        <v>452.21</v>
      </c>
      <c r="O2481" s="1">
        <v>468.94</v>
      </c>
      <c r="P2481" s="1">
        <v>384.38</v>
      </c>
      <c r="Q2481">
        <v>9.2999999999999999E-2</v>
      </c>
      <c r="R2481">
        <v>4.5899999999999999E-4</v>
      </c>
    </row>
    <row r="2482" spans="1:18" ht="13.8" outlineLevel="2" x14ac:dyDescent="0.25">
      <c r="A2482">
        <v>102419</v>
      </c>
      <c r="B2482" t="s">
        <v>2791</v>
      </c>
      <c r="C2482" t="s">
        <v>2905</v>
      </c>
      <c r="D2482" s="14" t="s">
        <v>2897</v>
      </c>
      <c r="E2482" s="12" t="s">
        <v>28</v>
      </c>
      <c r="F2482" s="13" t="s">
        <v>29</v>
      </c>
      <c r="G2482">
        <v>10</v>
      </c>
      <c r="H2482" t="s">
        <v>2466</v>
      </c>
      <c r="I2482">
        <v>10</v>
      </c>
      <c r="J2482" s="15"/>
      <c r="K2482" s="16">
        <f>680.99 - (680.99 * $E$1)</f>
        <v>680.99</v>
      </c>
      <c r="L2482" s="16">
        <f>558.19 - (558.19 * $E$1)</f>
        <v>558.19000000000005</v>
      </c>
      <c r="M2482" s="1">
        <v>680.99</v>
      </c>
      <c r="N2482" s="1">
        <v>558.19000000000005</v>
      </c>
      <c r="O2482" s="1">
        <v>578.84</v>
      </c>
      <c r="P2482" s="1">
        <v>474.46</v>
      </c>
      <c r="Q2482">
        <v>0.13600000000000001</v>
      </c>
      <c r="R2482">
        <v>3.57E-4</v>
      </c>
    </row>
    <row r="2483" spans="1:18" ht="13.8" outlineLevel="2" x14ac:dyDescent="0.25">
      <c r="A2483">
        <v>106553</v>
      </c>
      <c r="B2483" t="s">
        <v>2791</v>
      </c>
      <c r="C2483" t="s">
        <v>2906</v>
      </c>
      <c r="D2483" s="14" t="s">
        <v>2897</v>
      </c>
      <c r="E2483" s="12" t="s">
        <v>28</v>
      </c>
      <c r="F2483" s="18" t="s">
        <v>1467</v>
      </c>
      <c r="G2483">
        <v>10</v>
      </c>
      <c r="H2483" t="s">
        <v>2466</v>
      </c>
      <c r="I2483">
        <v>10</v>
      </c>
      <c r="J2483" s="15"/>
      <c r="K2483" s="16">
        <f>934.9 - (934.9 * $E$1)</f>
        <v>934.9</v>
      </c>
      <c r="L2483" s="16">
        <f>766.31 - (766.31 * $E$1)</f>
        <v>766.31</v>
      </c>
      <c r="M2483" s="1">
        <v>934.9</v>
      </c>
      <c r="N2483" s="1">
        <v>766.31</v>
      </c>
      <c r="O2483" s="1">
        <v>794.66</v>
      </c>
      <c r="P2483" s="1">
        <v>651.36</v>
      </c>
      <c r="Q2483">
        <v>0.185</v>
      </c>
      <c r="R2483">
        <v>7.0699999999999995E-4</v>
      </c>
    </row>
    <row r="2484" spans="1:18" ht="13.8" outlineLevel="2" x14ac:dyDescent="0.25">
      <c r="A2484">
        <v>102420</v>
      </c>
      <c r="B2484" t="s">
        <v>2791</v>
      </c>
      <c r="C2484" t="s">
        <v>2907</v>
      </c>
      <c r="D2484" s="14" t="s">
        <v>2908</v>
      </c>
      <c r="E2484" s="12" t="s">
        <v>28</v>
      </c>
      <c r="F2484" s="13" t="s">
        <v>29</v>
      </c>
      <c r="G2484">
        <v>10</v>
      </c>
      <c r="H2484" t="s">
        <v>2466</v>
      </c>
      <c r="I2484">
        <v>10</v>
      </c>
      <c r="J2484" s="15"/>
      <c r="K2484" s="16">
        <f>40.86 - (40.86 * $E$1)</f>
        <v>40.86</v>
      </c>
      <c r="L2484" s="16">
        <f>33.49 - (33.49 * $E$1)</f>
        <v>33.49</v>
      </c>
      <c r="M2484" s="1">
        <v>40.86</v>
      </c>
      <c r="N2484" s="1">
        <v>33.49</v>
      </c>
      <c r="O2484" s="1">
        <v>34.729999999999997</v>
      </c>
      <c r="P2484" s="1">
        <v>28.47</v>
      </c>
      <c r="Q2484">
        <v>7.4999999999999997E-3</v>
      </c>
      <c r="R2484">
        <v>6.3800000000000006E-5</v>
      </c>
    </row>
    <row r="2485" spans="1:18" ht="13.8" outlineLevel="2" x14ac:dyDescent="0.25">
      <c r="A2485">
        <v>102421</v>
      </c>
      <c r="B2485" t="s">
        <v>2791</v>
      </c>
      <c r="C2485" t="s">
        <v>2909</v>
      </c>
      <c r="D2485" s="14" t="s">
        <v>2908</v>
      </c>
      <c r="E2485" s="12" t="s">
        <v>28</v>
      </c>
      <c r="F2485" s="13" t="s">
        <v>29</v>
      </c>
      <c r="G2485">
        <v>10</v>
      </c>
      <c r="H2485" t="s">
        <v>2466</v>
      </c>
      <c r="I2485">
        <v>10</v>
      </c>
      <c r="J2485" s="15"/>
      <c r="K2485" s="16">
        <f>56.45 - (56.45 * $E$1)</f>
        <v>56.45</v>
      </c>
      <c r="L2485" s="16">
        <f>46.27 - (46.27 * $E$1)</f>
        <v>46.27</v>
      </c>
      <c r="M2485" s="1">
        <v>56.45</v>
      </c>
      <c r="N2485" s="1">
        <v>46.27</v>
      </c>
      <c r="O2485" s="1">
        <v>47.98</v>
      </c>
      <c r="P2485" s="1">
        <v>39.33</v>
      </c>
      <c r="Q2485">
        <v>1.0999999999999999E-2</v>
      </c>
      <c r="R2485">
        <v>8.1600000000000005E-5</v>
      </c>
    </row>
    <row r="2486" spans="1:18" ht="13.8" outlineLevel="2" x14ac:dyDescent="0.25">
      <c r="A2486">
        <v>102422</v>
      </c>
      <c r="B2486" t="s">
        <v>2791</v>
      </c>
      <c r="C2486" t="s">
        <v>2910</v>
      </c>
      <c r="D2486" s="14" t="s">
        <v>2908</v>
      </c>
      <c r="E2486" s="12" t="s">
        <v>28</v>
      </c>
      <c r="F2486" s="13" t="s">
        <v>29</v>
      </c>
      <c r="G2486">
        <v>10</v>
      </c>
      <c r="H2486" t="s">
        <v>2466</v>
      </c>
      <c r="I2486">
        <v>10</v>
      </c>
      <c r="J2486" s="15"/>
      <c r="K2486" s="16">
        <f>68.21 - (68.21 * $E$1)</f>
        <v>68.209999999999994</v>
      </c>
      <c r="L2486" s="16">
        <f>55.91 - (55.91 * $E$1)</f>
        <v>55.91</v>
      </c>
      <c r="M2486" s="1">
        <v>68.209999999999994</v>
      </c>
      <c r="N2486" s="1">
        <v>55.91</v>
      </c>
      <c r="O2486" s="1">
        <v>57.98</v>
      </c>
      <c r="P2486" s="1">
        <v>47.52</v>
      </c>
      <c r="Q2486">
        <v>1.4E-2</v>
      </c>
      <c r="R2486">
        <v>1.2239999999999999E-4</v>
      </c>
    </row>
    <row r="2487" spans="1:18" ht="13.8" outlineLevel="2" x14ac:dyDescent="0.25">
      <c r="A2487">
        <v>102423</v>
      </c>
      <c r="B2487" t="s">
        <v>2791</v>
      </c>
      <c r="C2487" t="s">
        <v>2911</v>
      </c>
      <c r="D2487" s="14" t="s">
        <v>2908</v>
      </c>
      <c r="E2487" s="12" t="s">
        <v>28</v>
      </c>
      <c r="F2487" s="13" t="s">
        <v>29</v>
      </c>
      <c r="G2487">
        <v>10</v>
      </c>
      <c r="H2487" t="s">
        <v>2466</v>
      </c>
      <c r="I2487">
        <v>10</v>
      </c>
      <c r="J2487" s="15"/>
      <c r="K2487" s="16">
        <f>100.97 - (100.97 * $E$1)</f>
        <v>100.97</v>
      </c>
      <c r="L2487" s="16">
        <f>82.76 - (82.76 * $E$1)</f>
        <v>82.76</v>
      </c>
      <c r="M2487" s="1">
        <v>100.97</v>
      </c>
      <c r="N2487" s="1">
        <v>82.76</v>
      </c>
      <c r="O2487" s="1">
        <v>85.82</v>
      </c>
      <c r="P2487" s="1">
        <v>70.349999999999994</v>
      </c>
      <c r="Q2487">
        <v>2.1000000000000001E-2</v>
      </c>
      <c r="R2487">
        <v>1.9890000000000001E-4</v>
      </c>
    </row>
    <row r="2488" spans="1:18" ht="13.8" outlineLevel="2" x14ac:dyDescent="0.25">
      <c r="A2488">
        <v>102424</v>
      </c>
      <c r="B2488" t="s">
        <v>2791</v>
      </c>
      <c r="C2488" t="s">
        <v>2912</v>
      </c>
      <c r="D2488" s="14" t="s">
        <v>2908</v>
      </c>
      <c r="E2488" s="12" t="s">
        <v>28</v>
      </c>
      <c r="F2488" s="13" t="s">
        <v>29</v>
      </c>
      <c r="G2488">
        <v>10</v>
      </c>
      <c r="H2488" t="s">
        <v>2466</v>
      </c>
      <c r="I2488">
        <v>10</v>
      </c>
      <c r="J2488" s="15"/>
      <c r="K2488" s="16">
        <f>157.62 - (157.62 * $E$1)</f>
        <v>157.62</v>
      </c>
      <c r="L2488" s="16">
        <f>129.2 - (129.2 * $E$1)</f>
        <v>129.19999999999999</v>
      </c>
      <c r="M2488" s="1">
        <v>157.62</v>
      </c>
      <c r="N2488" s="1">
        <v>129.19999999999999</v>
      </c>
      <c r="O2488" s="1">
        <v>133.97999999999999</v>
      </c>
      <c r="P2488" s="1">
        <v>109.82</v>
      </c>
      <c r="Q2488">
        <v>3.7999999999999999E-2</v>
      </c>
      <c r="R2488">
        <v>2.04E-4</v>
      </c>
    </row>
    <row r="2489" spans="1:18" ht="13.8" outlineLevel="2" x14ac:dyDescent="0.25">
      <c r="A2489">
        <v>102425</v>
      </c>
      <c r="B2489" t="s">
        <v>2791</v>
      </c>
      <c r="C2489" t="s">
        <v>2913</v>
      </c>
      <c r="D2489" s="14" t="s">
        <v>2908</v>
      </c>
      <c r="E2489" s="12" t="s">
        <v>28</v>
      </c>
      <c r="F2489" s="13" t="s">
        <v>29</v>
      </c>
      <c r="G2489">
        <v>10</v>
      </c>
      <c r="H2489" t="s">
        <v>2466</v>
      </c>
      <c r="I2489">
        <v>10</v>
      </c>
      <c r="J2489" s="15"/>
      <c r="K2489" s="16">
        <f>300.8 - (300.8 * $E$1)</f>
        <v>300.8</v>
      </c>
      <c r="L2489" s="16">
        <f>246.56 - (246.56 * $E$1)</f>
        <v>246.56</v>
      </c>
      <c r="M2489" s="1">
        <v>300.8</v>
      </c>
      <c r="N2489" s="1">
        <v>246.56</v>
      </c>
      <c r="O2489" s="1">
        <v>255.68</v>
      </c>
      <c r="P2489" s="1">
        <v>209.58</v>
      </c>
      <c r="Q2489">
        <v>5.7000000000000002E-2</v>
      </c>
      <c r="R2489">
        <v>3.6719999999999998E-4</v>
      </c>
    </row>
    <row r="2490" spans="1:18" ht="13.8" outlineLevel="2" x14ac:dyDescent="0.25">
      <c r="A2490">
        <v>102426</v>
      </c>
      <c r="B2490" t="s">
        <v>2791</v>
      </c>
      <c r="C2490" t="s">
        <v>2914</v>
      </c>
      <c r="D2490" s="14" t="s">
        <v>2908</v>
      </c>
      <c r="E2490" s="12" t="s">
        <v>28</v>
      </c>
      <c r="F2490" s="13" t="s">
        <v>29</v>
      </c>
      <c r="G2490">
        <v>10</v>
      </c>
      <c r="H2490" t="s">
        <v>2466</v>
      </c>
      <c r="I2490">
        <v>10</v>
      </c>
      <c r="J2490" s="15"/>
      <c r="K2490" s="16">
        <f>469.61 - (469.61 * $E$1)</f>
        <v>469.61</v>
      </c>
      <c r="L2490" s="16">
        <f>384.93 - (384.93 * $E$1)</f>
        <v>384.93</v>
      </c>
      <c r="M2490" s="1">
        <v>469.61</v>
      </c>
      <c r="N2490" s="1">
        <v>384.93</v>
      </c>
      <c r="O2490" s="1">
        <v>399.17</v>
      </c>
      <c r="P2490" s="1">
        <v>327.19</v>
      </c>
      <c r="Q2490">
        <v>7.0999999999999994E-2</v>
      </c>
      <c r="R2490">
        <v>4.08E-4</v>
      </c>
    </row>
    <row r="2491" spans="1:18" ht="13.8" outlineLevel="2" x14ac:dyDescent="0.25">
      <c r="A2491">
        <v>102427</v>
      </c>
      <c r="B2491" t="s">
        <v>2791</v>
      </c>
      <c r="C2491" t="s">
        <v>2915</v>
      </c>
      <c r="D2491" s="14" t="s">
        <v>2908</v>
      </c>
      <c r="E2491" s="12" t="s">
        <v>28</v>
      </c>
      <c r="F2491" s="13" t="s">
        <v>29</v>
      </c>
      <c r="G2491">
        <v>10</v>
      </c>
      <c r="H2491" t="s">
        <v>2466</v>
      </c>
      <c r="I2491">
        <v>10</v>
      </c>
      <c r="J2491" s="15"/>
      <c r="K2491" s="16">
        <f>551.7 - (551.7 * $E$1)</f>
        <v>551.70000000000005</v>
      </c>
      <c r="L2491" s="16">
        <f>452.21 - (452.21 * $E$1)</f>
        <v>452.21</v>
      </c>
      <c r="M2491" s="1">
        <v>551.70000000000005</v>
      </c>
      <c r="N2491" s="1">
        <v>452.21</v>
      </c>
      <c r="O2491" s="1">
        <v>468.94</v>
      </c>
      <c r="P2491" s="1">
        <v>384.38</v>
      </c>
      <c r="Q2491">
        <v>9.4E-2</v>
      </c>
      <c r="R2491">
        <v>5.6099999999999998E-4</v>
      </c>
    </row>
    <row r="2492" spans="1:18" ht="13.8" outlineLevel="2" x14ac:dyDescent="0.25">
      <c r="A2492">
        <v>102429</v>
      </c>
      <c r="B2492" t="s">
        <v>2791</v>
      </c>
      <c r="C2492" t="s">
        <v>2916</v>
      </c>
      <c r="D2492" s="14" t="s">
        <v>2908</v>
      </c>
      <c r="E2492" s="12" t="s">
        <v>28</v>
      </c>
      <c r="F2492" s="13" t="s">
        <v>29</v>
      </c>
      <c r="G2492">
        <v>10</v>
      </c>
      <c r="H2492" t="s">
        <v>2466</v>
      </c>
      <c r="I2492">
        <v>10</v>
      </c>
      <c r="J2492" s="15"/>
      <c r="K2492" s="16">
        <f>680.99 - (680.99 * $E$1)</f>
        <v>680.99</v>
      </c>
      <c r="L2492" s="16">
        <f>558.19 - (558.19 * $E$1)</f>
        <v>558.19000000000005</v>
      </c>
      <c r="M2492" s="1">
        <v>680.99</v>
      </c>
      <c r="N2492" s="1">
        <v>558.19000000000005</v>
      </c>
      <c r="O2492" s="1">
        <v>578.84</v>
      </c>
      <c r="P2492" s="1">
        <v>474.46</v>
      </c>
      <c r="Q2492">
        <v>0.11600000000000001</v>
      </c>
      <c r="R2492">
        <v>2.856E-4</v>
      </c>
    </row>
    <row r="2493" spans="1:18" ht="13.8" outlineLevel="2" x14ac:dyDescent="0.25">
      <c r="A2493">
        <v>106552</v>
      </c>
      <c r="B2493" t="s">
        <v>2791</v>
      </c>
      <c r="C2493" t="s">
        <v>2917</v>
      </c>
      <c r="D2493" s="14" t="s">
        <v>2908</v>
      </c>
      <c r="E2493" s="12" t="s">
        <v>28</v>
      </c>
      <c r="F2493" s="18" t="s">
        <v>1467</v>
      </c>
      <c r="G2493">
        <v>10</v>
      </c>
      <c r="H2493" t="s">
        <v>2466</v>
      </c>
      <c r="I2493">
        <v>10</v>
      </c>
      <c r="J2493" s="15"/>
      <c r="K2493" s="16">
        <f>934.9 - (934.9 * $E$1)</f>
        <v>934.9</v>
      </c>
      <c r="L2493" s="16">
        <f>766.31 - (766.31 * $E$1)</f>
        <v>766.31</v>
      </c>
      <c r="M2493" s="1">
        <v>934.9</v>
      </c>
      <c r="N2493" s="1">
        <v>766.31</v>
      </c>
      <c r="O2493" s="1">
        <v>794.66</v>
      </c>
      <c r="P2493" s="1">
        <v>651.36</v>
      </c>
      <c r="Q2493">
        <v>0.17599999999999999</v>
      </c>
      <c r="R2493">
        <v>7.0699999999999995E-4</v>
      </c>
    </row>
    <row r="2494" spans="1:18" ht="13.8" outlineLevel="2" x14ac:dyDescent="0.25">
      <c r="A2494">
        <v>104407</v>
      </c>
      <c r="B2494" t="s">
        <v>2791</v>
      </c>
      <c r="C2494" t="s">
        <v>2918</v>
      </c>
      <c r="D2494" s="14" t="s">
        <v>2919</v>
      </c>
      <c r="E2494" s="12" t="s">
        <v>28</v>
      </c>
      <c r="F2494" s="13" t="s">
        <v>29</v>
      </c>
      <c r="G2494">
        <v>10</v>
      </c>
      <c r="H2494" t="s">
        <v>2466</v>
      </c>
      <c r="I2494">
        <v>10</v>
      </c>
      <c r="J2494" s="15"/>
      <c r="K2494" s="16">
        <f>51.03 - (51.03 * $E$1)</f>
        <v>51.03</v>
      </c>
      <c r="L2494" s="16">
        <f>41.83 - (41.83 * $E$1)</f>
        <v>41.83</v>
      </c>
      <c r="M2494" s="1">
        <v>51.03</v>
      </c>
      <c r="N2494" s="1">
        <v>41.83</v>
      </c>
      <c r="O2494" s="1">
        <v>43.38</v>
      </c>
      <c r="P2494" s="1">
        <v>35.56</v>
      </c>
      <c r="Q2494">
        <v>8.0000000000000002E-3</v>
      </c>
      <c r="R2494">
        <v>4.1600000000000002E-5</v>
      </c>
    </row>
    <row r="2495" spans="1:18" ht="13.8" outlineLevel="2" x14ac:dyDescent="0.25">
      <c r="A2495">
        <v>104408</v>
      </c>
      <c r="B2495" t="s">
        <v>2791</v>
      </c>
      <c r="C2495" t="s">
        <v>2920</v>
      </c>
      <c r="D2495" s="14" t="s">
        <v>2919</v>
      </c>
      <c r="E2495" s="12" t="s">
        <v>28</v>
      </c>
      <c r="F2495" s="13" t="s">
        <v>29</v>
      </c>
      <c r="G2495">
        <v>10</v>
      </c>
      <c r="H2495" t="s">
        <v>2466</v>
      </c>
      <c r="I2495">
        <v>10</v>
      </c>
      <c r="J2495" s="15"/>
      <c r="K2495" s="16">
        <f>81.33 - (81.33 * $E$1)</f>
        <v>81.33</v>
      </c>
      <c r="L2495" s="16">
        <f>66.66 - (66.66 * $E$1)</f>
        <v>66.66</v>
      </c>
      <c r="M2495" s="1">
        <v>81.33</v>
      </c>
      <c r="N2495" s="1">
        <v>66.66</v>
      </c>
      <c r="O2495" s="1">
        <v>69.13</v>
      </c>
      <c r="P2495" s="1">
        <v>56.66</v>
      </c>
      <c r="Q2495">
        <v>1.4E-2</v>
      </c>
      <c r="R2495">
        <v>7.7999999999999999E-5</v>
      </c>
    </row>
    <row r="2496" spans="1:18" ht="13.8" outlineLevel="2" x14ac:dyDescent="0.25">
      <c r="A2496">
        <v>104409</v>
      </c>
      <c r="B2496" t="s">
        <v>2791</v>
      </c>
      <c r="C2496" t="s">
        <v>2921</v>
      </c>
      <c r="D2496" s="14" t="s">
        <v>2919</v>
      </c>
      <c r="E2496" s="12" t="s">
        <v>28</v>
      </c>
      <c r="F2496" s="13" t="s">
        <v>29</v>
      </c>
      <c r="G2496">
        <v>10</v>
      </c>
      <c r="H2496" t="s">
        <v>2466</v>
      </c>
      <c r="I2496">
        <v>10</v>
      </c>
      <c r="J2496" s="15"/>
      <c r="K2496" s="16">
        <f>121.48 - (121.48 * $E$1)</f>
        <v>121.48</v>
      </c>
      <c r="L2496" s="16">
        <f>99.57 - (99.57 * $E$1)</f>
        <v>99.57</v>
      </c>
      <c r="M2496" s="1">
        <v>121.48</v>
      </c>
      <c r="N2496" s="1">
        <v>99.57</v>
      </c>
      <c r="O2496" s="1">
        <v>103.25</v>
      </c>
      <c r="P2496" s="1">
        <v>84.63</v>
      </c>
      <c r="Q2496">
        <v>2.4E-2</v>
      </c>
      <c r="R2496">
        <v>1.872E-4</v>
      </c>
    </row>
    <row r="2497" spans="1:18" ht="13.8" outlineLevel="2" x14ac:dyDescent="0.25">
      <c r="A2497">
        <v>104410</v>
      </c>
      <c r="B2497" t="s">
        <v>2791</v>
      </c>
      <c r="C2497" t="s">
        <v>2922</v>
      </c>
      <c r="D2497" s="14" t="s">
        <v>2919</v>
      </c>
      <c r="E2497" s="12" t="s">
        <v>28</v>
      </c>
      <c r="F2497" s="13" t="s">
        <v>29</v>
      </c>
      <c r="G2497">
        <v>10</v>
      </c>
      <c r="H2497" t="s">
        <v>2466</v>
      </c>
      <c r="I2497">
        <v>10</v>
      </c>
      <c r="J2497" s="15"/>
      <c r="K2497" s="16">
        <f>182.98 - (182.98 * $E$1)</f>
        <v>182.98</v>
      </c>
      <c r="L2497" s="16">
        <f>149.98 - (149.98 * $E$1)</f>
        <v>149.97999999999999</v>
      </c>
      <c r="M2497" s="1">
        <v>182.98</v>
      </c>
      <c r="N2497" s="1">
        <v>149.97999999999999</v>
      </c>
      <c r="O2497" s="1">
        <v>155.53</v>
      </c>
      <c r="P2497" s="1">
        <v>127.48</v>
      </c>
      <c r="Q2497">
        <v>3.6999999999999998E-2</v>
      </c>
      <c r="R2497">
        <v>1.872E-4</v>
      </c>
    </row>
    <row r="2498" spans="1:18" ht="13.8" outlineLevel="2" x14ac:dyDescent="0.25">
      <c r="A2498">
        <v>104411</v>
      </c>
      <c r="B2498" t="s">
        <v>2791</v>
      </c>
      <c r="C2498" t="s">
        <v>2923</v>
      </c>
      <c r="D2498" s="14" t="s">
        <v>2919</v>
      </c>
      <c r="E2498" s="12" t="s">
        <v>28</v>
      </c>
      <c r="F2498" s="13" t="s">
        <v>29</v>
      </c>
      <c r="G2498">
        <v>10</v>
      </c>
      <c r="H2498" t="s">
        <v>2466</v>
      </c>
      <c r="I2498">
        <v>10</v>
      </c>
      <c r="J2498" s="15"/>
      <c r="K2498" s="16">
        <f>308 - (308 * $E$1)</f>
        <v>308</v>
      </c>
      <c r="L2498" s="16">
        <f>252.46 - (252.46 * $E$1)</f>
        <v>252.46</v>
      </c>
      <c r="M2498" s="1">
        <v>308</v>
      </c>
      <c r="N2498" s="1">
        <v>252.46</v>
      </c>
      <c r="O2498" s="1">
        <v>261.8</v>
      </c>
      <c r="P2498" s="1">
        <v>214.59</v>
      </c>
      <c r="Q2498">
        <v>6.0999999999999999E-2</v>
      </c>
      <c r="R2498">
        <v>4.1599999999999997E-4</v>
      </c>
    </row>
    <row r="2499" spans="1:18" ht="13.8" outlineLevel="2" x14ac:dyDescent="0.25">
      <c r="A2499">
        <v>59672</v>
      </c>
      <c r="B2499" t="s">
        <v>2791</v>
      </c>
      <c r="C2499" t="s">
        <v>2924</v>
      </c>
      <c r="D2499" s="14" t="s">
        <v>2925</v>
      </c>
      <c r="E2499" s="12" t="s">
        <v>28</v>
      </c>
      <c r="F2499" s="13" t="s">
        <v>29</v>
      </c>
      <c r="G2499">
        <v>10</v>
      </c>
      <c r="H2499" t="s">
        <v>2466</v>
      </c>
      <c r="I2499">
        <v>10</v>
      </c>
      <c r="J2499" s="15"/>
      <c r="K2499" s="16">
        <f>51.64 - (51.64 * $E$1)</f>
        <v>51.64</v>
      </c>
      <c r="L2499" s="16">
        <f>42.33 - (42.33 * $E$1)</f>
        <v>42.33</v>
      </c>
      <c r="M2499" s="1">
        <v>51.64</v>
      </c>
      <c r="N2499" s="1">
        <v>42.33</v>
      </c>
      <c r="O2499" s="1">
        <v>43.9</v>
      </c>
      <c r="P2499" s="1">
        <v>35.979999999999997</v>
      </c>
      <c r="Q2499">
        <v>1.2999999999999999E-2</v>
      </c>
      <c r="R2499">
        <v>9.4500000000000007E-5</v>
      </c>
    </row>
    <row r="2500" spans="1:18" ht="13.8" outlineLevel="2" x14ac:dyDescent="0.25">
      <c r="A2500">
        <v>59673</v>
      </c>
      <c r="B2500" t="s">
        <v>2791</v>
      </c>
      <c r="C2500" t="s">
        <v>2926</v>
      </c>
      <c r="D2500" s="14" t="s">
        <v>2925</v>
      </c>
      <c r="E2500" s="12" t="s">
        <v>28</v>
      </c>
      <c r="F2500" s="13" t="s">
        <v>29</v>
      </c>
      <c r="G2500">
        <v>10</v>
      </c>
      <c r="H2500" t="s">
        <v>2466</v>
      </c>
      <c r="I2500">
        <v>10</v>
      </c>
      <c r="J2500" s="15"/>
      <c r="K2500" s="16">
        <f>73.03 - (73.03 * $E$1)</f>
        <v>73.03</v>
      </c>
      <c r="L2500" s="16">
        <f>59.86 - (59.86 * $E$1)</f>
        <v>59.86</v>
      </c>
      <c r="M2500" s="1">
        <v>73.03</v>
      </c>
      <c r="N2500" s="1">
        <v>59.86</v>
      </c>
      <c r="O2500" s="1">
        <v>62.07</v>
      </c>
      <c r="P2500" s="1">
        <v>50.88</v>
      </c>
      <c r="Q2500">
        <v>1.26E-2</v>
      </c>
      <c r="R2500">
        <v>1.111E-4</v>
      </c>
    </row>
    <row r="2501" spans="1:18" ht="13.8" outlineLevel="2" x14ac:dyDescent="0.25">
      <c r="A2501">
        <v>59674</v>
      </c>
      <c r="B2501" t="s">
        <v>2791</v>
      </c>
      <c r="C2501" t="s">
        <v>2927</v>
      </c>
      <c r="D2501" s="14" t="s">
        <v>2925</v>
      </c>
      <c r="E2501" s="12" t="s">
        <v>28</v>
      </c>
      <c r="F2501" s="13" t="s">
        <v>29</v>
      </c>
      <c r="G2501">
        <v>10</v>
      </c>
      <c r="H2501" t="s">
        <v>2466</v>
      </c>
      <c r="I2501">
        <v>10</v>
      </c>
      <c r="J2501" s="15"/>
      <c r="K2501" s="16">
        <f>104.25 - (104.25 * $E$1)</f>
        <v>104.25</v>
      </c>
      <c r="L2501" s="16">
        <f>85.45 - (85.45 * $E$1)</f>
        <v>85.45</v>
      </c>
      <c r="M2501" s="1">
        <v>104.25</v>
      </c>
      <c r="N2501" s="1">
        <v>85.45</v>
      </c>
      <c r="O2501" s="1">
        <v>88.61</v>
      </c>
      <c r="P2501" s="1">
        <v>72.63</v>
      </c>
      <c r="Q2501">
        <v>1.7999999999999999E-2</v>
      </c>
      <c r="R2501">
        <v>2.7809999999999998E-4</v>
      </c>
    </row>
    <row r="2502" spans="1:18" ht="13.8" outlineLevel="2" x14ac:dyDescent="0.25">
      <c r="A2502">
        <v>59675</v>
      </c>
      <c r="B2502" t="s">
        <v>2791</v>
      </c>
      <c r="C2502" t="s">
        <v>2928</v>
      </c>
      <c r="D2502" s="14" t="s">
        <v>2925</v>
      </c>
      <c r="E2502" s="12" t="s">
        <v>28</v>
      </c>
      <c r="F2502" s="13" t="s">
        <v>29</v>
      </c>
      <c r="G2502">
        <v>10</v>
      </c>
      <c r="H2502" t="s">
        <v>2466</v>
      </c>
      <c r="I2502">
        <v>10</v>
      </c>
      <c r="J2502" s="15"/>
      <c r="K2502" s="16">
        <f>153.39 - (153.39 * $E$1)</f>
        <v>153.38999999999999</v>
      </c>
      <c r="L2502" s="16">
        <f>125.73 - (125.73 * $E$1)</f>
        <v>125.73</v>
      </c>
      <c r="M2502" s="1">
        <v>153.38999999999999</v>
      </c>
      <c r="N2502" s="1">
        <v>125.73</v>
      </c>
      <c r="O2502" s="1">
        <v>130.38</v>
      </c>
      <c r="P2502" s="1">
        <v>106.87</v>
      </c>
      <c r="Q2502">
        <v>2.1999999999999999E-2</v>
      </c>
      <c r="R2502">
        <v>3.636E-4</v>
      </c>
    </row>
    <row r="2503" spans="1:18" ht="13.8" outlineLevel="2" x14ac:dyDescent="0.25">
      <c r="A2503">
        <v>59676</v>
      </c>
      <c r="B2503" t="s">
        <v>2791</v>
      </c>
      <c r="C2503" t="s">
        <v>2929</v>
      </c>
      <c r="D2503" s="14" t="s">
        <v>2925</v>
      </c>
      <c r="E2503" s="12" t="s">
        <v>28</v>
      </c>
      <c r="F2503" s="13" t="s">
        <v>29</v>
      </c>
      <c r="G2503">
        <v>10</v>
      </c>
      <c r="H2503" t="s">
        <v>2466</v>
      </c>
      <c r="I2503">
        <v>10</v>
      </c>
      <c r="J2503" s="15"/>
      <c r="K2503" s="16">
        <f>210.82 - (210.82 * $E$1)</f>
        <v>210.82</v>
      </c>
      <c r="L2503" s="16">
        <f>172.8 - (172.8 * $E$1)</f>
        <v>172.8</v>
      </c>
      <c r="M2503" s="1">
        <v>210.82</v>
      </c>
      <c r="N2503" s="1">
        <v>172.8</v>
      </c>
      <c r="O2503" s="1">
        <v>179.19</v>
      </c>
      <c r="P2503" s="1">
        <v>146.88</v>
      </c>
      <c r="Q2503">
        <v>3.5000000000000003E-2</v>
      </c>
      <c r="R2503">
        <v>6.0599999999999998E-4</v>
      </c>
    </row>
    <row r="2504" spans="1:18" ht="13.8" outlineLevel="2" x14ac:dyDescent="0.25">
      <c r="A2504">
        <v>84879</v>
      </c>
      <c r="B2504" t="s">
        <v>2791</v>
      </c>
      <c r="C2504" t="s">
        <v>2930</v>
      </c>
      <c r="D2504" s="14" t="s">
        <v>2925</v>
      </c>
      <c r="E2504" s="12" t="s">
        <v>28</v>
      </c>
      <c r="F2504" s="13" t="s">
        <v>29</v>
      </c>
      <c r="G2504">
        <v>10</v>
      </c>
      <c r="H2504" t="s">
        <v>2466</v>
      </c>
      <c r="I2504">
        <v>10</v>
      </c>
      <c r="J2504" s="15"/>
      <c r="K2504" s="16">
        <f>286.16 - (286.16 * $E$1)</f>
        <v>286.16000000000003</v>
      </c>
      <c r="L2504" s="16">
        <f>234.56 - (234.56 * $E$1)</f>
        <v>234.56</v>
      </c>
      <c r="M2504" s="1">
        <v>286.16000000000003</v>
      </c>
      <c r="N2504" s="1">
        <v>234.56</v>
      </c>
      <c r="O2504" s="1">
        <v>243.24</v>
      </c>
      <c r="P2504" s="1">
        <v>199.38</v>
      </c>
      <c r="Q2504">
        <v>0.06</v>
      </c>
      <c r="R2504">
        <v>2.4000000000000001E-4</v>
      </c>
    </row>
    <row r="2505" spans="1:18" ht="13.8" outlineLevel="2" x14ac:dyDescent="0.25">
      <c r="A2505">
        <v>59677</v>
      </c>
      <c r="B2505" t="s">
        <v>2791</v>
      </c>
      <c r="C2505" t="s">
        <v>2931</v>
      </c>
      <c r="D2505" s="14" t="s">
        <v>2925</v>
      </c>
      <c r="E2505" s="12" t="s">
        <v>28</v>
      </c>
      <c r="F2505" s="13" t="s">
        <v>29</v>
      </c>
      <c r="G2505">
        <v>10</v>
      </c>
      <c r="H2505" t="s">
        <v>2466</v>
      </c>
      <c r="I2505">
        <v>10</v>
      </c>
      <c r="J2505" s="15"/>
      <c r="K2505" s="16">
        <f>427.22 - (427.22 * $E$1)</f>
        <v>427.22</v>
      </c>
      <c r="L2505" s="16">
        <f>350.18 - (350.18 * $E$1)</f>
        <v>350.18</v>
      </c>
      <c r="M2505" s="1">
        <v>427.22</v>
      </c>
      <c r="N2505" s="1">
        <v>350.18</v>
      </c>
      <c r="O2505" s="1">
        <v>363.14</v>
      </c>
      <c r="P2505" s="1">
        <v>297.64999999999998</v>
      </c>
      <c r="Q2505">
        <v>6.0999999999999999E-2</v>
      </c>
      <c r="R2505">
        <v>7.272E-4</v>
      </c>
    </row>
    <row r="2506" spans="1:18" ht="13.8" outlineLevel="2" x14ac:dyDescent="0.25">
      <c r="A2506">
        <v>59678</v>
      </c>
      <c r="B2506" t="s">
        <v>2791</v>
      </c>
      <c r="C2506" t="s">
        <v>2932</v>
      </c>
      <c r="D2506" s="14" t="s">
        <v>2925</v>
      </c>
      <c r="E2506" s="12" t="s">
        <v>28</v>
      </c>
      <c r="F2506" s="13" t="s">
        <v>29</v>
      </c>
      <c r="G2506">
        <v>10</v>
      </c>
      <c r="H2506" t="s">
        <v>2466</v>
      </c>
      <c r="I2506">
        <v>10</v>
      </c>
      <c r="J2506" s="15"/>
      <c r="K2506" s="16">
        <f>566.92 - (566.92 * $E$1)</f>
        <v>566.91999999999996</v>
      </c>
      <c r="L2506" s="16">
        <f>464.69 - (464.69 * $E$1)</f>
        <v>464.69</v>
      </c>
      <c r="M2506" s="1">
        <v>566.91999999999996</v>
      </c>
      <c r="N2506" s="1">
        <v>464.69</v>
      </c>
      <c r="O2506" s="1">
        <v>481.88</v>
      </c>
      <c r="P2506" s="1">
        <v>394.99</v>
      </c>
      <c r="Q2506">
        <v>9.7000000000000003E-2</v>
      </c>
      <c r="R2506">
        <v>5.0500000000000002E-4</v>
      </c>
    </row>
    <row r="2507" spans="1:18" ht="13.8" outlineLevel="2" x14ac:dyDescent="0.25">
      <c r="A2507">
        <v>84880</v>
      </c>
      <c r="B2507" t="s">
        <v>2791</v>
      </c>
      <c r="C2507" t="s">
        <v>2933</v>
      </c>
      <c r="D2507" s="14" t="s">
        <v>2925</v>
      </c>
      <c r="E2507" s="12" t="s">
        <v>28</v>
      </c>
      <c r="F2507" s="13" t="s">
        <v>29</v>
      </c>
      <c r="G2507">
        <v>10</v>
      </c>
      <c r="H2507" t="s">
        <v>2466</v>
      </c>
      <c r="I2507">
        <v>10</v>
      </c>
      <c r="J2507" s="15"/>
      <c r="K2507" s="16">
        <f>778.9 - (778.9 * $E$1)</f>
        <v>778.9</v>
      </c>
      <c r="L2507" s="16">
        <f>638.44 - (638.44 * $E$1)</f>
        <v>638.44000000000005</v>
      </c>
      <c r="M2507" s="1">
        <v>778.9</v>
      </c>
      <c r="N2507" s="1">
        <v>638.44000000000005</v>
      </c>
      <c r="O2507" s="1">
        <v>662.06</v>
      </c>
      <c r="P2507" s="1">
        <v>542.66999999999996</v>
      </c>
      <c r="Q2507">
        <v>0.13</v>
      </c>
      <c r="R2507">
        <v>4.8999999999999998E-4</v>
      </c>
    </row>
    <row r="2508" spans="1:18" ht="13.8" outlineLevel="2" x14ac:dyDescent="0.25">
      <c r="A2508">
        <v>59679</v>
      </c>
      <c r="B2508" t="s">
        <v>2791</v>
      </c>
      <c r="C2508" t="s">
        <v>2934</v>
      </c>
      <c r="D2508" s="14" t="s">
        <v>2925</v>
      </c>
      <c r="E2508" s="12" t="s">
        <v>28</v>
      </c>
      <c r="F2508" s="13" t="s">
        <v>29</v>
      </c>
      <c r="G2508">
        <v>10</v>
      </c>
      <c r="H2508" t="s">
        <v>2466</v>
      </c>
      <c r="I2508">
        <v>10</v>
      </c>
      <c r="J2508" s="15"/>
      <c r="K2508" s="16">
        <f>871.96 - (871.96 * $E$1)</f>
        <v>871.96</v>
      </c>
      <c r="L2508" s="16">
        <f>714.72 - (714.72 * $E$1)</f>
        <v>714.72</v>
      </c>
      <c r="M2508" s="1">
        <v>871.96</v>
      </c>
      <c r="N2508" s="1">
        <v>714.72</v>
      </c>
      <c r="O2508" s="1">
        <v>741.16</v>
      </c>
      <c r="P2508" s="1">
        <v>607.51</v>
      </c>
      <c r="Q2508">
        <v>0.16600000000000001</v>
      </c>
      <c r="R2508">
        <v>8.0800000000000002E-4</v>
      </c>
    </row>
    <row r="2509" spans="1:18" ht="13.8" outlineLevel="2" x14ac:dyDescent="0.25">
      <c r="A2509">
        <v>84881</v>
      </c>
      <c r="B2509" t="s">
        <v>2791</v>
      </c>
      <c r="C2509" t="s">
        <v>2935</v>
      </c>
      <c r="D2509" s="14" t="s">
        <v>2925</v>
      </c>
      <c r="E2509" s="12" t="s">
        <v>28</v>
      </c>
      <c r="F2509" s="13" t="s">
        <v>29</v>
      </c>
      <c r="G2509">
        <v>10</v>
      </c>
      <c r="H2509" t="s">
        <v>2466</v>
      </c>
      <c r="I2509">
        <v>10</v>
      </c>
      <c r="J2509" s="15"/>
      <c r="K2509" s="16">
        <f>1269.5 - (1269.5 * $E$1)</f>
        <v>1269.5</v>
      </c>
      <c r="L2509" s="16">
        <f>1040.57 - (1040.57 * $E$1)</f>
        <v>1040.57</v>
      </c>
      <c r="M2509" s="1">
        <v>1269.5</v>
      </c>
      <c r="N2509" s="1">
        <v>1040.57</v>
      </c>
      <c r="O2509" s="1">
        <v>1079.07</v>
      </c>
      <c r="P2509" s="1">
        <v>884.48</v>
      </c>
      <c r="Q2509">
        <v>0.18</v>
      </c>
      <c r="R2509">
        <v>4.75E-4</v>
      </c>
    </row>
    <row r="2510" spans="1:18" ht="13.8" outlineLevel="2" x14ac:dyDescent="0.25">
      <c r="A2510">
        <v>84882</v>
      </c>
      <c r="B2510" t="s">
        <v>2791</v>
      </c>
      <c r="C2510" t="s">
        <v>2936</v>
      </c>
      <c r="D2510" s="14" t="s">
        <v>2925</v>
      </c>
      <c r="E2510" s="12" t="s">
        <v>28</v>
      </c>
      <c r="F2510" s="13" t="s">
        <v>29</v>
      </c>
      <c r="G2510">
        <v>10</v>
      </c>
      <c r="H2510" t="s">
        <v>2466</v>
      </c>
      <c r="I2510">
        <v>10</v>
      </c>
      <c r="J2510" s="15"/>
      <c r="K2510" s="16">
        <f>1691.13 - (1691.13 * $E$1)</f>
        <v>1691.13</v>
      </c>
      <c r="L2510" s="16">
        <f>1386.17 - (1386.17 * $E$1)</f>
        <v>1386.17</v>
      </c>
      <c r="M2510" s="1">
        <v>1691.13</v>
      </c>
      <c r="N2510" s="1">
        <v>1386.17</v>
      </c>
      <c r="O2510" s="1">
        <v>1437.46</v>
      </c>
      <c r="P2510" s="1">
        <v>1178.24</v>
      </c>
      <c r="Q2510">
        <v>0.23</v>
      </c>
      <c r="R2510">
        <v>7.7999999999999999E-4</v>
      </c>
    </row>
    <row r="2511" spans="1:18" ht="13.8" outlineLevel="2" x14ac:dyDescent="0.25">
      <c r="A2511">
        <v>106542</v>
      </c>
      <c r="B2511" t="s">
        <v>2791</v>
      </c>
      <c r="C2511" t="s">
        <v>2937</v>
      </c>
      <c r="D2511" s="14" t="s">
        <v>2938</v>
      </c>
      <c r="E2511" s="12" t="s">
        <v>28</v>
      </c>
      <c r="F2511" s="18" t="s">
        <v>1467</v>
      </c>
      <c r="G2511">
        <v>100</v>
      </c>
      <c r="H2511" t="s">
        <v>2466</v>
      </c>
      <c r="I2511">
        <v>100</v>
      </c>
      <c r="J2511" s="15"/>
      <c r="K2511" s="16">
        <f>51.51 - (51.51 * $E$1)</f>
        <v>51.51</v>
      </c>
      <c r="L2511" s="16">
        <f>42.22 - (42.22 * $E$1)</f>
        <v>42.22</v>
      </c>
      <c r="M2511" s="1">
        <v>51.51</v>
      </c>
      <c r="N2511" s="1">
        <v>42.22</v>
      </c>
      <c r="O2511" s="1">
        <v>43.78</v>
      </c>
      <c r="P2511" s="1">
        <v>35.89</v>
      </c>
      <c r="Q2511">
        <v>1.15E-2</v>
      </c>
      <c r="R2511">
        <v>8.4240000000000007E-5</v>
      </c>
    </row>
    <row r="2512" spans="1:18" ht="13.8" outlineLevel="2" x14ac:dyDescent="0.25">
      <c r="A2512">
        <v>106543</v>
      </c>
      <c r="B2512" t="s">
        <v>2791</v>
      </c>
      <c r="C2512" t="s">
        <v>2939</v>
      </c>
      <c r="D2512" s="14" t="s">
        <v>2938</v>
      </c>
      <c r="E2512" s="12" t="s">
        <v>28</v>
      </c>
      <c r="F2512" s="18" t="s">
        <v>1467</v>
      </c>
      <c r="G2512">
        <v>100</v>
      </c>
      <c r="H2512" t="s">
        <v>2466</v>
      </c>
      <c r="I2512">
        <v>100</v>
      </c>
      <c r="J2512" s="15"/>
      <c r="K2512" s="16">
        <f>72.85 - (72.85 * $E$1)</f>
        <v>72.849999999999994</v>
      </c>
      <c r="L2512" s="16">
        <f>59.71 - (59.71 * $E$1)</f>
        <v>59.71</v>
      </c>
      <c r="M2512" s="1">
        <v>72.849999999999994</v>
      </c>
      <c r="N2512" s="1">
        <v>59.71</v>
      </c>
      <c r="O2512" s="1">
        <v>61.92</v>
      </c>
      <c r="P2512" s="1">
        <v>50.75</v>
      </c>
      <c r="Q2512">
        <v>1.89E-2</v>
      </c>
      <c r="R2512">
        <v>1.3163000000000001E-4</v>
      </c>
    </row>
    <row r="2513" spans="1:18" ht="13.8" outlineLevel="2" x14ac:dyDescent="0.25">
      <c r="A2513">
        <v>106544</v>
      </c>
      <c r="B2513" t="s">
        <v>2791</v>
      </c>
      <c r="C2513" t="s">
        <v>2940</v>
      </c>
      <c r="D2513" s="14" t="s">
        <v>2938</v>
      </c>
      <c r="E2513" s="12" t="s">
        <v>28</v>
      </c>
      <c r="F2513" s="18" t="s">
        <v>1467</v>
      </c>
      <c r="G2513">
        <v>100</v>
      </c>
      <c r="H2513" t="s">
        <v>2466</v>
      </c>
      <c r="I2513">
        <v>100</v>
      </c>
      <c r="J2513" s="15"/>
      <c r="K2513" s="16">
        <f>103.99 - (103.99 * $E$1)</f>
        <v>103.99</v>
      </c>
      <c r="L2513" s="16">
        <f>85.24 - (85.24 * $E$1)</f>
        <v>85.24</v>
      </c>
      <c r="M2513" s="1">
        <v>103.99</v>
      </c>
      <c r="N2513" s="1">
        <v>85.24</v>
      </c>
      <c r="O2513" s="1">
        <v>88.39</v>
      </c>
      <c r="P2513" s="1">
        <v>72.45</v>
      </c>
      <c r="Q2513">
        <v>2.52E-2</v>
      </c>
      <c r="R2513">
        <v>2.1263E-4</v>
      </c>
    </row>
    <row r="2514" spans="1:18" ht="13.8" outlineLevel="2" x14ac:dyDescent="0.25">
      <c r="A2514">
        <v>106545</v>
      </c>
      <c r="B2514" t="s">
        <v>2791</v>
      </c>
      <c r="C2514" t="s">
        <v>2941</v>
      </c>
      <c r="D2514" s="14" t="s">
        <v>2938</v>
      </c>
      <c r="E2514" s="12" t="s">
        <v>28</v>
      </c>
      <c r="F2514" s="18" t="s">
        <v>1467</v>
      </c>
      <c r="G2514">
        <v>25</v>
      </c>
      <c r="H2514" t="s">
        <v>2466</v>
      </c>
      <c r="I2514">
        <v>25</v>
      </c>
      <c r="J2514" s="15"/>
      <c r="K2514" s="16">
        <f>153.01 - (153.01 * $E$1)</f>
        <v>153.01</v>
      </c>
      <c r="L2514" s="16">
        <f>125.42 - (125.42 * $E$1)</f>
        <v>125.42</v>
      </c>
      <c r="M2514" s="1">
        <v>153.01</v>
      </c>
      <c r="N2514" s="1">
        <v>125.42</v>
      </c>
      <c r="O2514" s="1">
        <v>130.06</v>
      </c>
      <c r="P2514" s="1">
        <v>106.61</v>
      </c>
      <c r="Q2514">
        <v>4.5600000000000002E-2</v>
      </c>
      <c r="R2514">
        <v>2.43E-4</v>
      </c>
    </row>
    <row r="2515" spans="1:18" ht="13.8" outlineLevel="2" x14ac:dyDescent="0.25">
      <c r="A2515">
        <v>106546</v>
      </c>
      <c r="B2515" t="s">
        <v>2791</v>
      </c>
      <c r="C2515" t="s">
        <v>2942</v>
      </c>
      <c r="D2515" s="14" t="s">
        <v>2938</v>
      </c>
      <c r="E2515" s="12" t="s">
        <v>28</v>
      </c>
      <c r="F2515" s="18" t="s">
        <v>1467</v>
      </c>
      <c r="G2515">
        <v>25</v>
      </c>
      <c r="H2515" t="s">
        <v>2466</v>
      </c>
      <c r="I2515">
        <v>25</v>
      </c>
      <c r="J2515" s="15"/>
      <c r="K2515" s="16">
        <f>210.28 - (210.28 * $E$1)</f>
        <v>210.28</v>
      </c>
      <c r="L2515" s="16">
        <f>172.36 - (172.36 * $E$1)</f>
        <v>172.36</v>
      </c>
      <c r="M2515" s="1">
        <v>210.28</v>
      </c>
      <c r="N2515" s="1">
        <v>172.36</v>
      </c>
      <c r="O2515" s="1">
        <v>178.74</v>
      </c>
      <c r="P2515" s="1">
        <v>146.51</v>
      </c>
      <c r="Q2515">
        <v>5.7200000000000001E-2</v>
      </c>
      <c r="R2515">
        <v>2.8352E-4</v>
      </c>
    </row>
    <row r="2516" spans="1:18" ht="13.8" outlineLevel="2" x14ac:dyDescent="0.25">
      <c r="A2516">
        <v>106547</v>
      </c>
      <c r="B2516" t="s">
        <v>2791</v>
      </c>
      <c r="C2516" t="s">
        <v>2943</v>
      </c>
      <c r="D2516" s="14" t="s">
        <v>2938</v>
      </c>
      <c r="E2516" s="12" t="s">
        <v>28</v>
      </c>
      <c r="F2516" s="18" t="s">
        <v>1467</v>
      </c>
      <c r="G2516">
        <v>25</v>
      </c>
      <c r="H2516" t="s">
        <v>2466</v>
      </c>
      <c r="I2516">
        <v>25</v>
      </c>
      <c r="J2516" s="15"/>
      <c r="K2516" s="16">
        <f>426.15 - (426.15 * $E$1)</f>
        <v>426.15</v>
      </c>
      <c r="L2516" s="16">
        <f>349.3 - (349.3 * $E$1)</f>
        <v>349.3</v>
      </c>
      <c r="M2516" s="1">
        <v>426.15</v>
      </c>
      <c r="N2516" s="1">
        <v>349.3</v>
      </c>
      <c r="O2516" s="1">
        <v>362.22</v>
      </c>
      <c r="P2516" s="1">
        <v>296.91000000000003</v>
      </c>
      <c r="Q2516">
        <v>8.5599999999999996E-2</v>
      </c>
      <c r="R2516">
        <v>4.86E-4</v>
      </c>
    </row>
    <row r="2517" spans="1:18" ht="13.8" outlineLevel="2" x14ac:dyDescent="0.25">
      <c r="A2517">
        <v>106548</v>
      </c>
      <c r="B2517" t="s">
        <v>2791</v>
      </c>
      <c r="C2517" t="s">
        <v>2944</v>
      </c>
      <c r="D2517" s="14" t="s">
        <v>2938</v>
      </c>
      <c r="E2517" s="12" t="s">
        <v>28</v>
      </c>
      <c r="F2517" s="18" t="s">
        <v>1467</v>
      </c>
      <c r="G2517">
        <v>25</v>
      </c>
      <c r="H2517" t="s">
        <v>2466</v>
      </c>
      <c r="I2517">
        <v>25</v>
      </c>
      <c r="J2517" s="15"/>
      <c r="K2517" s="16">
        <f>565.51 - (565.51 * $E$1)</f>
        <v>565.51</v>
      </c>
      <c r="L2517" s="16">
        <f>463.53 - (463.53 * $E$1)</f>
        <v>463.53</v>
      </c>
      <c r="M2517" s="1">
        <v>565.51</v>
      </c>
      <c r="N2517" s="1">
        <v>463.53</v>
      </c>
      <c r="O2517" s="1">
        <v>480.68</v>
      </c>
      <c r="P2517" s="1">
        <v>394</v>
      </c>
      <c r="Q2517">
        <v>0.12479999999999999</v>
      </c>
      <c r="R2517">
        <v>5.6700000000000001E-4</v>
      </c>
    </row>
    <row r="2518" spans="1:18" ht="13.8" outlineLevel="2" x14ac:dyDescent="0.25">
      <c r="A2518">
        <v>106549</v>
      </c>
      <c r="B2518" t="s">
        <v>2791</v>
      </c>
      <c r="C2518" t="s">
        <v>2945</v>
      </c>
      <c r="D2518" s="14" t="s">
        <v>2938</v>
      </c>
      <c r="E2518" s="12" t="s">
        <v>28</v>
      </c>
      <c r="F2518" s="18" t="s">
        <v>1467</v>
      </c>
      <c r="G2518">
        <v>25</v>
      </c>
      <c r="H2518" t="s">
        <v>2466</v>
      </c>
      <c r="I2518">
        <v>25</v>
      </c>
      <c r="J2518" s="15"/>
      <c r="K2518" s="16">
        <f>776.94 - (776.94 * $E$1)</f>
        <v>776.94</v>
      </c>
      <c r="L2518" s="16">
        <f>636.84 - (636.84 * $E$1)</f>
        <v>636.84</v>
      </c>
      <c r="M2518" s="1">
        <v>776.94</v>
      </c>
      <c r="N2518" s="1">
        <v>636.84</v>
      </c>
      <c r="O2518" s="1">
        <v>660.4</v>
      </c>
      <c r="P2518" s="1">
        <v>541.30999999999995</v>
      </c>
      <c r="Q2518">
        <v>0.15640000000000001</v>
      </c>
      <c r="R2518">
        <v>6.0751999999999996E-4</v>
      </c>
    </row>
    <row r="2519" spans="1:18" ht="13.8" outlineLevel="2" x14ac:dyDescent="0.25">
      <c r="A2519">
        <v>106550</v>
      </c>
      <c r="B2519" t="s">
        <v>2791</v>
      </c>
      <c r="C2519" t="s">
        <v>2946</v>
      </c>
      <c r="D2519" s="14" t="s">
        <v>2938</v>
      </c>
      <c r="E2519" s="12" t="s">
        <v>28</v>
      </c>
      <c r="F2519" s="18" t="s">
        <v>1467</v>
      </c>
      <c r="G2519">
        <v>25</v>
      </c>
      <c r="H2519" t="s">
        <v>2466</v>
      </c>
      <c r="I2519">
        <v>25</v>
      </c>
      <c r="J2519" s="15"/>
      <c r="K2519" s="16">
        <f>869.79 - (869.79 * $E$1)</f>
        <v>869.79</v>
      </c>
      <c r="L2519" s="16">
        <f>712.94 - (712.94 * $E$1)</f>
        <v>712.94</v>
      </c>
      <c r="M2519" s="1">
        <v>869.79</v>
      </c>
      <c r="N2519" s="1">
        <v>712.94</v>
      </c>
      <c r="O2519" s="1">
        <v>739.32</v>
      </c>
      <c r="P2519" s="1">
        <v>606</v>
      </c>
      <c r="Q2519">
        <v>0.19320000000000001</v>
      </c>
      <c r="R2519">
        <v>8.0999999999999996E-4</v>
      </c>
    </row>
    <row r="2520" spans="1:18" ht="13.8" outlineLevel="2" x14ac:dyDescent="0.25">
      <c r="A2520">
        <v>81254</v>
      </c>
      <c r="B2520" t="s">
        <v>2947</v>
      </c>
      <c r="C2520" t="s">
        <v>2948</v>
      </c>
      <c r="D2520" s="14" t="s">
        <v>2949</v>
      </c>
      <c r="E2520" s="12" t="s">
        <v>28</v>
      </c>
      <c r="F2520" s="13" t="s">
        <v>29</v>
      </c>
      <c r="G2520">
        <v>1</v>
      </c>
      <c r="H2520" t="s">
        <v>30</v>
      </c>
      <c r="I2520">
        <v>1</v>
      </c>
      <c r="J2520" s="15"/>
      <c r="K2520" s="16">
        <f>822.04 - (822.04 * $E$1)</f>
        <v>822.04</v>
      </c>
      <c r="L2520" s="16">
        <f>673.8 - (673.8 * $E$1)</f>
        <v>673.8</v>
      </c>
      <c r="M2520" s="1">
        <v>822.04</v>
      </c>
      <c r="N2520" s="1">
        <v>673.8</v>
      </c>
      <c r="O2520" s="1">
        <v>698.73</v>
      </c>
      <c r="P2520" s="1">
        <v>572.73</v>
      </c>
      <c r="Q2520">
        <v>0.21</v>
      </c>
      <c r="R2520">
        <v>3.9039999999999999E-3</v>
      </c>
    </row>
    <row r="2521" spans="1:18" ht="13.8" outlineLevel="2" x14ac:dyDescent="0.25">
      <c r="A2521">
        <v>81255</v>
      </c>
      <c r="B2521" t="s">
        <v>2947</v>
      </c>
      <c r="C2521" t="s">
        <v>2950</v>
      </c>
      <c r="D2521" s="14" t="s">
        <v>2949</v>
      </c>
      <c r="E2521" s="12" t="s">
        <v>28</v>
      </c>
      <c r="F2521" s="13" t="s">
        <v>29</v>
      </c>
      <c r="G2521">
        <v>1</v>
      </c>
      <c r="H2521" t="s">
        <v>30</v>
      </c>
      <c r="I2521">
        <v>1</v>
      </c>
      <c r="J2521" s="15"/>
      <c r="K2521" s="16">
        <f>1444.8 - (1444.8 * $E$1)</f>
        <v>1444.8</v>
      </c>
      <c r="L2521" s="16">
        <f>1184.26 - (1184.26 * $E$1)</f>
        <v>1184.26</v>
      </c>
      <c r="M2521" s="1">
        <v>1444.8</v>
      </c>
      <c r="N2521" s="1">
        <v>1184.26</v>
      </c>
      <c r="O2521" s="1">
        <v>1228.08</v>
      </c>
      <c r="P2521" s="1">
        <v>1006.62</v>
      </c>
      <c r="Q2521">
        <v>0.42</v>
      </c>
      <c r="R2521">
        <v>7.8079999999999998E-3</v>
      </c>
    </row>
    <row r="2522" spans="1:18" ht="13.8" outlineLevel="2" x14ac:dyDescent="0.25">
      <c r="A2522">
        <v>65764</v>
      </c>
      <c r="B2522" t="s">
        <v>2947</v>
      </c>
      <c r="C2522" t="s">
        <v>2951</v>
      </c>
      <c r="D2522" s="14" t="s">
        <v>2949</v>
      </c>
      <c r="E2522" s="12" t="s">
        <v>28</v>
      </c>
      <c r="F2522" s="13" t="s">
        <v>29</v>
      </c>
      <c r="G2522">
        <v>1</v>
      </c>
      <c r="H2522" t="s">
        <v>30</v>
      </c>
      <c r="I2522">
        <v>1</v>
      </c>
      <c r="J2522" s="15"/>
      <c r="K2522" s="16">
        <f>969.84 - (969.84 * $E$1)</f>
        <v>969.84</v>
      </c>
      <c r="L2522" s="16">
        <f>794.95 - (794.95 * $E$1)</f>
        <v>794.95</v>
      </c>
      <c r="M2522" s="1">
        <v>969.84</v>
      </c>
      <c r="N2522" s="1">
        <v>794.95</v>
      </c>
      <c r="O2522" s="1">
        <v>824.36</v>
      </c>
      <c r="P2522" s="1">
        <v>675.71</v>
      </c>
      <c r="Q2522">
        <v>0.26500000000000001</v>
      </c>
      <c r="R2522">
        <v>3.7439999999999999E-3</v>
      </c>
    </row>
    <row r="2523" spans="1:18" ht="13.8" outlineLevel="2" x14ac:dyDescent="0.25">
      <c r="A2523">
        <v>65765</v>
      </c>
      <c r="B2523" t="s">
        <v>2947</v>
      </c>
      <c r="C2523" t="s">
        <v>2952</v>
      </c>
      <c r="D2523" s="14" t="s">
        <v>2949</v>
      </c>
      <c r="E2523" s="12" t="s">
        <v>28</v>
      </c>
      <c r="F2523" s="13" t="s">
        <v>29</v>
      </c>
      <c r="G2523">
        <v>1</v>
      </c>
      <c r="H2523" t="s">
        <v>30</v>
      </c>
      <c r="I2523">
        <v>1</v>
      </c>
      <c r="J2523" s="15"/>
      <c r="K2523" s="16">
        <f>1531.64 - (1531.64 * $E$1)</f>
        <v>1531.64</v>
      </c>
      <c r="L2523" s="16">
        <f>1255.44 - (1255.44 * $E$1)</f>
        <v>1255.44</v>
      </c>
      <c r="M2523" s="1">
        <v>1531.64</v>
      </c>
      <c r="N2523" s="1">
        <v>1255.44</v>
      </c>
      <c r="O2523" s="1">
        <v>1301.8900000000001</v>
      </c>
      <c r="P2523" s="1">
        <v>1067.1199999999999</v>
      </c>
      <c r="Q2523">
        <v>0.71599999999999997</v>
      </c>
      <c r="R2523">
        <v>7.1040000000000001E-3</v>
      </c>
    </row>
    <row r="2524" spans="1:18" ht="13.8" outlineLevel="2" x14ac:dyDescent="0.25">
      <c r="A2524">
        <v>65766</v>
      </c>
      <c r="B2524" t="s">
        <v>2947</v>
      </c>
      <c r="C2524" t="s">
        <v>2953</v>
      </c>
      <c r="D2524" s="14" t="s">
        <v>2949</v>
      </c>
      <c r="E2524" s="12" t="s">
        <v>28</v>
      </c>
      <c r="F2524" s="13" t="s">
        <v>29</v>
      </c>
      <c r="G2524">
        <v>1</v>
      </c>
      <c r="H2524" t="s">
        <v>30</v>
      </c>
      <c r="I2524">
        <v>1</v>
      </c>
      <c r="J2524" s="15"/>
      <c r="K2524" s="16">
        <f>1115.03 - (1115.03 * $E$1)</f>
        <v>1115.03</v>
      </c>
      <c r="L2524" s="16">
        <f>913.96 - (913.96 * $E$1)</f>
        <v>913.96</v>
      </c>
      <c r="M2524" s="1">
        <v>1115.03</v>
      </c>
      <c r="N2524" s="1">
        <v>913.96</v>
      </c>
      <c r="O2524" s="1">
        <v>947.78</v>
      </c>
      <c r="P2524" s="1">
        <v>776.87</v>
      </c>
      <c r="Q2524">
        <v>0.42499999999999999</v>
      </c>
      <c r="R2524">
        <v>6.2399999999999999E-3</v>
      </c>
    </row>
    <row r="2525" spans="1:18" ht="13.8" outlineLevel="2" x14ac:dyDescent="0.25">
      <c r="A2525">
        <v>65767</v>
      </c>
      <c r="B2525" t="s">
        <v>2947</v>
      </c>
      <c r="C2525" t="s">
        <v>2954</v>
      </c>
      <c r="D2525" s="14" t="s">
        <v>2949</v>
      </c>
      <c r="E2525" s="12" t="s">
        <v>28</v>
      </c>
      <c r="F2525" s="13" t="s">
        <v>29</v>
      </c>
      <c r="G2525">
        <v>1</v>
      </c>
      <c r="H2525" t="s">
        <v>30</v>
      </c>
      <c r="I2525">
        <v>1</v>
      </c>
      <c r="J2525" s="15"/>
      <c r="K2525" s="16">
        <f>1857.12 - (1857.12 * $E$1)</f>
        <v>1857.12</v>
      </c>
      <c r="L2525" s="16">
        <f>1522.23 - (1522.23 * $E$1)</f>
        <v>1522.23</v>
      </c>
      <c r="M2525" s="1">
        <v>1857.12</v>
      </c>
      <c r="N2525" s="1">
        <v>1522.23</v>
      </c>
      <c r="O2525" s="1">
        <v>1578.55</v>
      </c>
      <c r="P2525" s="1">
        <v>1293.9000000000001</v>
      </c>
      <c r="Q2525">
        <v>0.83099999999999996</v>
      </c>
      <c r="R2525">
        <v>1.0919999999999999E-2</v>
      </c>
    </row>
    <row r="2526" spans="1:18" ht="13.8" outlineLevel="2" x14ac:dyDescent="0.25">
      <c r="A2526">
        <v>65768</v>
      </c>
      <c r="B2526" t="s">
        <v>2947</v>
      </c>
      <c r="C2526" t="s">
        <v>2955</v>
      </c>
      <c r="D2526" s="14" t="s">
        <v>2949</v>
      </c>
      <c r="E2526" s="12" t="s">
        <v>28</v>
      </c>
      <c r="F2526" s="13" t="s">
        <v>29</v>
      </c>
      <c r="G2526">
        <v>1</v>
      </c>
      <c r="H2526" t="s">
        <v>30</v>
      </c>
      <c r="I2526">
        <v>1</v>
      </c>
      <c r="J2526" s="15"/>
      <c r="K2526" s="16">
        <f>1183.6 - (1183.6 * $E$1)</f>
        <v>1183.5999999999999</v>
      </c>
      <c r="L2526" s="16">
        <f>970.16 - (970.16 * $E$1)</f>
        <v>970.16</v>
      </c>
      <c r="M2526" s="1">
        <v>1183.5999999999999</v>
      </c>
      <c r="N2526" s="1">
        <v>970.16</v>
      </c>
      <c r="O2526" s="1">
        <v>1006.06</v>
      </c>
      <c r="P2526" s="1">
        <v>824.64</v>
      </c>
      <c r="Q2526">
        <v>0.44900000000000001</v>
      </c>
      <c r="R2526">
        <v>6.2399999999999999E-3</v>
      </c>
    </row>
    <row r="2527" spans="1:18" ht="13.8" outlineLevel="2" x14ac:dyDescent="0.25">
      <c r="A2527">
        <v>65769</v>
      </c>
      <c r="B2527" t="s">
        <v>2947</v>
      </c>
      <c r="C2527" t="s">
        <v>2956</v>
      </c>
      <c r="D2527" s="14" t="s">
        <v>2949</v>
      </c>
      <c r="E2527" s="12" t="s">
        <v>28</v>
      </c>
      <c r="F2527" s="13" t="s">
        <v>29</v>
      </c>
      <c r="G2527">
        <v>1</v>
      </c>
      <c r="H2527" t="s">
        <v>30</v>
      </c>
      <c r="I2527">
        <v>1</v>
      </c>
      <c r="J2527" s="15"/>
      <c r="K2527" s="16">
        <f>2023.66 - (2023.66 * $E$1)</f>
        <v>2023.66</v>
      </c>
      <c r="L2527" s="16">
        <f>1658.74 - (1658.74 * $E$1)</f>
        <v>1658.74</v>
      </c>
      <c r="M2527" s="1">
        <v>2023.66</v>
      </c>
      <c r="N2527" s="1">
        <v>1658.74</v>
      </c>
      <c r="O2527" s="1">
        <v>1720.11</v>
      </c>
      <c r="P2527" s="1">
        <v>1409.93</v>
      </c>
      <c r="Q2527">
        <v>0.88</v>
      </c>
      <c r="R2527">
        <v>1.0919999999999999E-2</v>
      </c>
    </row>
    <row r="2528" spans="1:18" ht="13.8" outlineLevel="2" x14ac:dyDescent="0.25">
      <c r="A2528">
        <v>79826</v>
      </c>
      <c r="B2528" t="s">
        <v>2463</v>
      </c>
      <c r="C2528" t="s">
        <v>2957</v>
      </c>
      <c r="D2528" s="14" t="s">
        <v>2958</v>
      </c>
      <c r="E2528" s="12" t="s">
        <v>28</v>
      </c>
      <c r="F2528" s="13" t="s">
        <v>29</v>
      </c>
      <c r="G2528">
        <v>10</v>
      </c>
      <c r="H2528" t="s">
        <v>30</v>
      </c>
      <c r="I2528">
        <v>10</v>
      </c>
      <c r="J2528" s="15"/>
      <c r="K2528" s="16">
        <f>187.2 - (187.2 * $E$1)</f>
        <v>187.2</v>
      </c>
      <c r="L2528" s="16">
        <f>153.44 - (153.44 * $E$1)</f>
        <v>153.44</v>
      </c>
      <c r="M2528" s="1">
        <v>187.2</v>
      </c>
      <c r="N2528" s="1">
        <v>153.44</v>
      </c>
      <c r="O2528" s="1">
        <v>159.12</v>
      </c>
      <c r="P2528" s="1">
        <v>130.41999999999999</v>
      </c>
      <c r="Q2528">
        <v>3.4000000000000002E-2</v>
      </c>
      <c r="R2528">
        <v>2.9520000000000002E-4</v>
      </c>
    </row>
    <row r="2529" spans="1:18" ht="13.8" outlineLevel="2" x14ac:dyDescent="0.25">
      <c r="A2529">
        <v>79827</v>
      </c>
      <c r="B2529" t="s">
        <v>2463</v>
      </c>
      <c r="C2529" t="s">
        <v>2959</v>
      </c>
      <c r="D2529" s="14" t="s">
        <v>2958</v>
      </c>
      <c r="E2529" s="12" t="s">
        <v>28</v>
      </c>
      <c r="F2529" s="13" t="s">
        <v>29</v>
      </c>
      <c r="G2529">
        <v>10</v>
      </c>
      <c r="H2529" t="s">
        <v>30</v>
      </c>
      <c r="I2529">
        <v>10</v>
      </c>
      <c r="J2529" s="15"/>
      <c r="K2529" s="16">
        <f>270.85 - (270.85 * $E$1)</f>
        <v>270.85000000000002</v>
      </c>
      <c r="L2529" s="16">
        <f>222.01 - (222.01 * $E$1)</f>
        <v>222.01</v>
      </c>
      <c r="M2529" s="1">
        <v>270.85000000000002</v>
      </c>
      <c r="N2529" s="1">
        <v>222.01</v>
      </c>
      <c r="O2529" s="1">
        <v>230.22</v>
      </c>
      <c r="P2529" s="1">
        <v>188.71</v>
      </c>
      <c r="Q2529">
        <v>4.6399999999999997E-2</v>
      </c>
      <c r="R2529">
        <v>4.9200000000000003E-4</v>
      </c>
    </row>
    <row r="2530" spans="1:18" ht="13.8" outlineLevel="2" x14ac:dyDescent="0.25">
      <c r="A2530">
        <v>102101</v>
      </c>
      <c r="B2530" t="s">
        <v>2463</v>
      </c>
      <c r="C2530" t="s">
        <v>2960</v>
      </c>
      <c r="D2530" s="14" t="s">
        <v>2958</v>
      </c>
      <c r="E2530" s="12" t="s">
        <v>28</v>
      </c>
      <c r="F2530" s="13" t="s">
        <v>29</v>
      </c>
      <c r="G2530">
        <v>10</v>
      </c>
      <c r="H2530" t="s">
        <v>30</v>
      </c>
      <c r="I2530">
        <v>10</v>
      </c>
      <c r="J2530" s="15"/>
      <c r="K2530" s="16">
        <f>360.51 - (360.51 * $E$1)</f>
        <v>360.51</v>
      </c>
      <c r="L2530" s="16">
        <f>295.5 - (295.5 * $E$1)</f>
        <v>295.5</v>
      </c>
      <c r="M2530" s="1">
        <v>360.51</v>
      </c>
      <c r="N2530" s="1">
        <v>295.5</v>
      </c>
      <c r="O2530" s="1">
        <v>306.43</v>
      </c>
      <c r="P2530" s="1">
        <v>251.18</v>
      </c>
      <c r="Q2530">
        <v>0.114</v>
      </c>
      <c r="R2530">
        <v>2.52E-4</v>
      </c>
    </row>
    <row r="2531" spans="1:18" ht="13.8" outlineLevel="2" x14ac:dyDescent="0.25">
      <c r="A2531">
        <v>79828</v>
      </c>
      <c r="B2531" t="s">
        <v>2463</v>
      </c>
      <c r="C2531" t="s">
        <v>2961</v>
      </c>
      <c r="D2531" s="14" t="s">
        <v>2958</v>
      </c>
      <c r="E2531" s="12" t="s">
        <v>28</v>
      </c>
      <c r="F2531" s="13" t="s">
        <v>29</v>
      </c>
      <c r="G2531">
        <v>10</v>
      </c>
      <c r="H2531" t="s">
        <v>30</v>
      </c>
      <c r="I2531">
        <v>10</v>
      </c>
      <c r="J2531" s="15"/>
      <c r="K2531" s="16">
        <f>456.56 - (456.56 * $E$1)</f>
        <v>456.56</v>
      </c>
      <c r="L2531" s="16">
        <f>374.23 - (374.23 * $E$1)</f>
        <v>374.23</v>
      </c>
      <c r="M2531" s="1">
        <v>456.56</v>
      </c>
      <c r="N2531" s="1">
        <v>374.23</v>
      </c>
      <c r="O2531" s="1">
        <v>388.08</v>
      </c>
      <c r="P2531" s="1">
        <v>318.10000000000002</v>
      </c>
      <c r="Q2531">
        <v>0.1002</v>
      </c>
      <c r="R2531">
        <v>8.0599999999999997E-4</v>
      </c>
    </row>
    <row r="2532" spans="1:18" ht="13.8" outlineLevel="2" x14ac:dyDescent="0.25">
      <c r="A2532">
        <v>102102</v>
      </c>
      <c r="B2532" t="s">
        <v>2463</v>
      </c>
      <c r="C2532" t="s">
        <v>2962</v>
      </c>
      <c r="D2532" s="14" t="s">
        <v>2958</v>
      </c>
      <c r="E2532" s="12" t="s">
        <v>28</v>
      </c>
      <c r="F2532" s="13" t="s">
        <v>29</v>
      </c>
      <c r="G2532">
        <v>5</v>
      </c>
      <c r="H2532" t="s">
        <v>30</v>
      </c>
      <c r="I2532">
        <v>5</v>
      </c>
      <c r="J2532" s="15"/>
      <c r="K2532" s="16">
        <f>469.75 - (469.75 * $E$1)</f>
        <v>469.75</v>
      </c>
      <c r="L2532" s="16">
        <f>385.04 - (385.04 * $E$1)</f>
        <v>385.04</v>
      </c>
      <c r="M2532" s="1">
        <v>469.75</v>
      </c>
      <c r="N2532" s="1">
        <v>385.04</v>
      </c>
      <c r="O2532" s="1">
        <v>399.29</v>
      </c>
      <c r="P2532" s="1">
        <v>327.27999999999997</v>
      </c>
      <c r="Q2532">
        <v>0.13</v>
      </c>
      <c r="R2532">
        <v>1.134E-3</v>
      </c>
    </row>
    <row r="2533" spans="1:18" ht="13.8" outlineLevel="2" x14ac:dyDescent="0.25">
      <c r="A2533">
        <v>79829</v>
      </c>
      <c r="B2533" t="s">
        <v>2463</v>
      </c>
      <c r="C2533" t="s">
        <v>2963</v>
      </c>
      <c r="D2533" s="14" t="s">
        <v>2958</v>
      </c>
      <c r="E2533" s="12" t="s">
        <v>28</v>
      </c>
      <c r="F2533" s="13" t="s">
        <v>29</v>
      </c>
      <c r="G2533">
        <v>5</v>
      </c>
      <c r="H2533" t="s">
        <v>30</v>
      </c>
      <c r="I2533">
        <v>5</v>
      </c>
      <c r="J2533" s="15"/>
      <c r="K2533" s="16">
        <f>486.58 - (486.58 * $E$1)</f>
        <v>486.58</v>
      </c>
      <c r="L2533" s="16">
        <f>398.84 - (398.84 * $E$1)</f>
        <v>398.84</v>
      </c>
      <c r="M2533" s="1">
        <v>486.58</v>
      </c>
      <c r="N2533" s="1">
        <v>398.84</v>
      </c>
      <c r="O2533" s="1">
        <v>413.6</v>
      </c>
      <c r="P2533" s="1">
        <v>339.01</v>
      </c>
      <c r="Q2533">
        <v>0.12720000000000001</v>
      </c>
      <c r="R2533">
        <v>1.24E-3</v>
      </c>
    </row>
    <row r="2534" spans="1:18" ht="13.8" outlineLevel="2" x14ac:dyDescent="0.25">
      <c r="A2534">
        <v>79830</v>
      </c>
      <c r="B2534" t="s">
        <v>2463</v>
      </c>
      <c r="C2534" t="s">
        <v>2964</v>
      </c>
      <c r="D2534" s="14" t="s">
        <v>2958</v>
      </c>
      <c r="E2534" s="12" t="s">
        <v>28</v>
      </c>
      <c r="F2534" s="13" t="s">
        <v>29</v>
      </c>
      <c r="G2534">
        <v>5</v>
      </c>
      <c r="H2534" t="s">
        <v>30</v>
      </c>
      <c r="I2534">
        <v>5</v>
      </c>
      <c r="J2534" s="15"/>
      <c r="K2534" s="16">
        <f>578.67 - (578.67 * $E$1)</f>
        <v>578.66999999999996</v>
      </c>
      <c r="L2534" s="16">
        <f>474.32 - (474.32 * $E$1)</f>
        <v>474.32</v>
      </c>
      <c r="M2534" s="1">
        <v>578.66999999999996</v>
      </c>
      <c r="N2534" s="1">
        <v>474.32</v>
      </c>
      <c r="O2534" s="1">
        <v>491.87</v>
      </c>
      <c r="P2534" s="1">
        <v>403.17</v>
      </c>
      <c r="Q2534">
        <v>0.158</v>
      </c>
      <c r="R2534">
        <v>1.4147999999999999E-3</v>
      </c>
    </row>
    <row r="2535" spans="1:18" ht="13.8" outlineLevel="2" x14ac:dyDescent="0.25">
      <c r="A2535">
        <v>79203</v>
      </c>
      <c r="B2535" t="s">
        <v>2463</v>
      </c>
      <c r="C2535" t="s">
        <v>2965</v>
      </c>
      <c r="D2535" s="14" t="s">
        <v>2958</v>
      </c>
      <c r="E2535" s="12" t="s">
        <v>28</v>
      </c>
      <c r="F2535" s="13" t="s">
        <v>29</v>
      </c>
      <c r="G2535">
        <v>5</v>
      </c>
      <c r="H2535" t="s">
        <v>30</v>
      </c>
      <c r="I2535">
        <v>5</v>
      </c>
      <c r="J2535" s="15"/>
      <c r="K2535" s="16">
        <f>739.39 - (739.39 * $E$1)</f>
        <v>739.39</v>
      </c>
      <c r="L2535" s="16">
        <f>606.06 - (606.06 * $E$1)</f>
        <v>606.05999999999995</v>
      </c>
      <c r="M2535" s="1">
        <v>739.39</v>
      </c>
      <c r="N2535" s="1">
        <v>606.05999999999995</v>
      </c>
      <c r="O2535" s="1">
        <v>628.48</v>
      </c>
      <c r="P2535" s="1">
        <v>515.15</v>
      </c>
      <c r="Q2535">
        <v>0.24</v>
      </c>
      <c r="R2535">
        <v>1.3104E-3</v>
      </c>
    </row>
    <row r="2536" spans="1:18" ht="13.8" outlineLevel="2" x14ac:dyDescent="0.25">
      <c r="A2536">
        <v>79204</v>
      </c>
      <c r="B2536" t="s">
        <v>2463</v>
      </c>
      <c r="C2536" t="s">
        <v>2966</v>
      </c>
      <c r="D2536" s="14" t="s">
        <v>2958</v>
      </c>
      <c r="E2536" s="12" t="s">
        <v>28</v>
      </c>
      <c r="F2536" s="13" t="s">
        <v>29</v>
      </c>
      <c r="G2536">
        <v>5</v>
      </c>
      <c r="H2536" t="s">
        <v>30</v>
      </c>
      <c r="I2536">
        <v>5</v>
      </c>
      <c r="J2536" s="15"/>
      <c r="K2536" s="16">
        <f>1116.15 - (1116.15 * $E$1)</f>
        <v>1116.1500000000001</v>
      </c>
      <c r="L2536" s="16">
        <f>914.88 - (914.88 * $E$1)</f>
        <v>914.88</v>
      </c>
      <c r="M2536" s="1">
        <v>1116.1500000000001</v>
      </c>
      <c r="N2536" s="1">
        <v>914.88</v>
      </c>
      <c r="O2536" s="1">
        <v>948.73</v>
      </c>
      <c r="P2536" s="1">
        <v>777.65</v>
      </c>
      <c r="Q2536">
        <v>0.36</v>
      </c>
      <c r="R2536">
        <v>3.0430000000000001E-3</v>
      </c>
    </row>
    <row r="2537" spans="1:18" ht="13.8" outlineLevel="2" x14ac:dyDescent="0.25">
      <c r="A2537">
        <v>79205</v>
      </c>
      <c r="B2537" t="s">
        <v>2463</v>
      </c>
      <c r="C2537" t="s">
        <v>2967</v>
      </c>
      <c r="D2537" s="14" t="s">
        <v>2958</v>
      </c>
      <c r="E2537" s="12" t="s">
        <v>28</v>
      </c>
      <c r="F2537" s="13" t="s">
        <v>29</v>
      </c>
      <c r="G2537">
        <v>5</v>
      </c>
      <c r="H2537" t="s">
        <v>30</v>
      </c>
      <c r="I2537">
        <v>5</v>
      </c>
      <c r="J2537" s="15"/>
      <c r="K2537" s="16">
        <f>1386.53 - (1386.53 * $E$1)</f>
        <v>1386.53</v>
      </c>
      <c r="L2537" s="16">
        <f>1136.5 - (1136.5 * $E$1)</f>
        <v>1136.5</v>
      </c>
      <c r="M2537" s="1">
        <v>1386.53</v>
      </c>
      <c r="N2537" s="1">
        <v>1136.5</v>
      </c>
      <c r="O2537" s="1">
        <v>1178.55</v>
      </c>
      <c r="P2537" s="1">
        <v>966.03</v>
      </c>
      <c r="Q2537">
        <v>0.32</v>
      </c>
      <c r="R2537">
        <v>4.7580000000000001E-3</v>
      </c>
    </row>
    <row r="2538" spans="1:18" ht="13.8" outlineLevel="2" x14ac:dyDescent="0.25">
      <c r="A2538">
        <v>65392</v>
      </c>
      <c r="B2538" t="s">
        <v>2463</v>
      </c>
      <c r="C2538" t="s">
        <v>2968</v>
      </c>
      <c r="D2538" s="14" t="s">
        <v>2958</v>
      </c>
      <c r="E2538" s="12" t="s">
        <v>28</v>
      </c>
      <c r="F2538" s="13" t="s">
        <v>29</v>
      </c>
      <c r="G2538">
        <v>5</v>
      </c>
      <c r="H2538" t="s">
        <v>30</v>
      </c>
      <c r="I2538">
        <v>5</v>
      </c>
      <c r="J2538" s="15"/>
      <c r="K2538" s="16">
        <f>1803.37 - (1803.37 * $E$1)</f>
        <v>1803.37</v>
      </c>
      <c r="L2538" s="16">
        <f>1478.17 - (1478.17 * $E$1)</f>
        <v>1478.17</v>
      </c>
      <c r="M2538" s="1">
        <v>1803.37</v>
      </c>
      <c r="N2538" s="1">
        <v>1478.17</v>
      </c>
      <c r="O2538" s="1">
        <v>1532.86</v>
      </c>
      <c r="P2538" s="1">
        <v>1256.44</v>
      </c>
      <c r="Q2538">
        <v>0.7</v>
      </c>
      <c r="R2538">
        <v>4.8707999999999998E-3</v>
      </c>
    </row>
    <row r="2539" spans="1:18" ht="13.8" outlineLevel="2" x14ac:dyDescent="0.25">
      <c r="A2539">
        <v>65393</v>
      </c>
      <c r="B2539" t="s">
        <v>2463</v>
      </c>
      <c r="C2539" t="s">
        <v>2969</v>
      </c>
      <c r="D2539" s="14" t="s">
        <v>2958</v>
      </c>
      <c r="E2539" s="12" t="s">
        <v>28</v>
      </c>
      <c r="F2539" s="13" t="s">
        <v>29</v>
      </c>
      <c r="G2539">
        <v>5</v>
      </c>
      <c r="H2539" t="s">
        <v>30</v>
      </c>
      <c r="I2539">
        <v>5</v>
      </c>
      <c r="J2539" s="15"/>
      <c r="K2539" s="16">
        <f>2370.5 - (2370.5 * $E$1)</f>
        <v>2370.5</v>
      </c>
      <c r="L2539" s="16">
        <f>1943.03 - (1943.03 * $E$1)</f>
        <v>1943.03</v>
      </c>
      <c r="M2539" s="1">
        <v>2370.5</v>
      </c>
      <c r="N2539" s="1">
        <v>1943.03</v>
      </c>
      <c r="O2539" s="1">
        <v>2014.92</v>
      </c>
      <c r="P2539" s="1">
        <v>1651.58</v>
      </c>
      <c r="Q2539">
        <v>0.68</v>
      </c>
      <c r="R2539">
        <v>8.3823999999999999E-3</v>
      </c>
    </row>
    <row r="2540" spans="1:18" ht="13.8" outlineLevel="2" x14ac:dyDescent="0.25">
      <c r="A2540">
        <v>64910</v>
      </c>
      <c r="B2540" t="s">
        <v>2463</v>
      </c>
      <c r="C2540" t="s">
        <v>2970</v>
      </c>
      <c r="D2540" s="14" t="s">
        <v>2958</v>
      </c>
      <c r="E2540" s="12" t="s">
        <v>28</v>
      </c>
      <c r="F2540" s="13" t="s">
        <v>29</v>
      </c>
      <c r="G2540">
        <v>5</v>
      </c>
      <c r="H2540" t="s">
        <v>30</v>
      </c>
      <c r="I2540">
        <v>5</v>
      </c>
      <c r="J2540" s="15"/>
      <c r="K2540" s="16">
        <f>2973.69 - (2973.69 * $E$1)</f>
        <v>2973.69</v>
      </c>
      <c r="L2540" s="16">
        <f>2437.45 - (2437.45 * $E$1)</f>
        <v>2437.4499999999998</v>
      </c>
      <c r="M2540" s="1">
        <v>2973.69</v>
      </c>
      <c r="N2540" s="1">
        <v>2437.4499999999998</v>
      </c>
      <c r="O2540" s="1">
        <v>2527.64</v>
      </c>
      <c r="P2540" s="1">
        <v>2071.83</v>
      </c>
      <c r="Q2540">
        <v>0.88</v>
      </c>
      <c r="R2540">
        <v>8.6800000000000002E-3</v>
      </c>
    </row>
    <row r="2541" spans="1:18" ht="13.8" outlineLevel="2" x14ac:dyDescent="0.25">
      <c r="A2541">
        <v>81091</v>
      </c>
      <c r="B2541" t="s">
        <v>2463</v>
      </c>
      <c r="C2541" t="s">
        <v>2971</v>
      </c>
      <c r="D2541" s="14" t="s">
        <v>2958</v>
      </c>
      <c r="E2541" s="12" t="s">
        <v>28</v>
      </c>
      <c r="F2541" s="13" t="s">
        <v>29</v>
      </c>
      <c r="G2541">
        <v>5</v>
      </c>
      <c r="H2541" t="s">
        <v>30</v>
      </c>
      <c r="I2541">
        <v>5</v>
      </c>
      <c r="J2541" s="15"/>
      <c r="K2541" s="16">
        <f>3852.21 - (3852.21 * $E$1)</f>
        <v>3852.21</v>
      </c>
      <c r="L2541" s="16">
        <f>3157.55 - (3157.55 * $E$1)</f>
        <v>3157.55</v>
      </c>
      <c r="M2541" s="1">
        <v>3852.21</v>
      </c>
      <c r="N2541" s="1">
        <v>3157.55</v>
      </c>
      <c r="O2541" s="1">
        <v>3274.38</v>
      </c>
      <c r="P2541" s="1">
        <v>2683.92</v>
      </c>
      <c r="Q2541">
        <v>1.04</v>
      </c>
      <c r="R2541">
        <v>1.1709600000000001E-2</v>
      </c>
    </row>
    <row r="2542" spans="1:18" ht="13.8" outlineLevel="2" x14ac:dyDescent="0.25">
      <c r="A2542">
        <v>102103</v>
      </c>
      <c r="B2542" t="s">
        <v>2463</v>
      </c>
      <c r="C2542" t="s">
        <v>2972</v>
      </c>
      <c r="D2542" s="14" t="s">
        <v>2958</v>
      </c>
      <c r="E2542" s="12" t="s">
        <v>28</v>
      </c>
      <c r="F2542" s="13" t="s">
        <v>29</v>
      </c>
      <c r="G2542">
        <v>5</v>
      </c>
      <c r="H2542" t="s">
        <v>30</v>
      </c>
      <c r="I2542">
        <v>5</v>
      </c>
      <c r="J2542" s="15"/>
      <c r="K2542" s="16">
        <f>3910.94 - (3910.94 * $E$1)</f>
        <v>3910.94</v>
      </c>
      <c r="L2542" s="16">
        <f>3205.69 - (3205.69 * $E$1)</f>
        <v>3205.69</v>
      </c>
      <c r="M2542" s="1">
        <v>3910.94</v>
      </c>
      <c r="N2542" s="1">
        <v>3205.69</v>
      </c>
      <c r="O2542" s="1">
        <v>3324.3</v>
      </c>
      <c r="P2542" s="1">
        <v>2724.84</v>
      </c>
      <c r="Q2542">
        <v>1</v>
      </c>
      <c r="R2542">
        <v>1.3716000000000001E-2</v>
      </c>
    </row>
    <row r="2543" spans="1:18" ht="13.8" outlineLevel="2" x14ac:dyDescent="0.25">
      <c r="A2543">
        <v>64911</v>
      </c>
      <c r="B2543" t="s">
        <v>2463</v>
      </c>
      <c r="C2543" t="s">
        <v>2973</v>
      </c>
      <c r="D2543" s="14" t="s">
        <v>2958</v>
      </c>
      <c r="E2543" s="12" t="s">
        <v>28</v>
      </c>
      <c r="F2543" s="13" t="s">
        <v>29</v>
      </c>
      <c r="G2543">
        <v>5</v>
      </c>
      <c r="H2543" t="s">
        <v>30</v>
      </c>
      <c r="I2543">
        <v>5</v>
      </c>
      <c r="J2543" s="15"/>
      <c r="K2543" s="16">
        <f>4481.41 - (4481.41 * $E$1)</f>
        <v>4481.41</v>
      </c>
      <c r="L2543" s="16">
        <f>3673.29 - (3673.29 * $E$1)</f>
        <v>3673.29</v>
      </c>
      <c r="M2543" s="1">
        <v>4481.41</v>
      </c>
      <c r="N2543" s="1">
        <v>3673.29</v>
      </c>
      <c r="O2543" s="1">
        <v>3809.2</v>
      </c>
      <c r="P2543" s="1">
        <v>3122.3</v>
      </c>
      <c r="Q2543">
        <v>1.22</v>
      </c>
      <c r="R2543">
        <v>1.26198E-2</v>
      </c>
    </row>
    <row r="2544" spans="1:18" ht="13.8" outlineLevel="2" x14ac:dyDescent="0.25">
      <c r="A2544">
        <v>81092</v>
      </c>
      <c r="B2544" t="s">
        <v>2463</v>
      </c>
      <c r="C2544" t="s">
        <v>2974</v>
      </c>
      <c r="D2544" s="14" t="s">
        <v>2958</v>
      </c>
      <c r="E2544" s="12" t="s">
        <v>28</v>
      </c>
      <c r="F2544" s="13" t="s">
        <v>29</v>
      </c>
      <c r="G2544">
        <v>5</v>
      </c>
      <c r="H2544" t="s">
        <v>30</v>
      </c>
      <c r="I2544">
        <v>5</v>
      </c>
      <c r="J2544" s="15"/>
      <c r="K2544" s="16">
        <f>4759.12 - (4759.12 * $E$1)</f>
        <v>4759.12</v>
      </c>
      <c r="L2544" s="16">
        <f>3900.92 - (3900.92 * $E$1)</f>
        <v>3900.92</v>
      </c>
      <c r="M2544" s="1">
        <v>4759.12</v>
      </c>
      <c r="N2544" s="1">
        <v>3900.92</v>
      </c>
      <c r="O2544" s="1">
        <v>4045.25</v>
      </c>
      <c r="P2544" s="1">
        <v>3315.78</v>
      </c>
      <c r="Q2544">
        <v>1.36</v>
      </c>
      <c r="R2544">
        <v>1.7285600000000002E-2</v>
      </c>
    </row>
    <row r="2545" spans="1:18" ht="13.8" outlineLevel="2" x14ac:dyDescent="0.25">
      <c r="A2545">
        <v>79831</v>
      </c>
      <c r="B2545" t="s">
        <v>2463</v>
      </c>
      <c r="C2545" t="s">
        <v>2975</v>
      </c>
      <c r="D2545" s="14" t="s">
        <v>2976</v>
      </c>
      <c r="E2545" s="12" t="s">
        <v>28</v>
      </c>
      <c r="F2545" s="13" t="s">
        <v>29</v>
      </c>
      <c r="G2545">
        <v>5</v>
      </c>
      <c r="H2545" t="s">
        <v>30</v>
      </c>
      <c r="I2545">
        <v>5</v>
      </c>
      <c r="J2545" s="15"/>
      <c r="K2545" s="16">
        <f>883.04 - (883.04 * $E$1)</f>
        <v>883.04</v>
      </c>
      <c r="L2545" s="16">
        <f>723.8 - (723.8 * $E$1)</f>
        <v>723.8</v>
      </c>
      <c r="M2545" s="1">
        <v>883.04</v>
      </c>
      <c r="N2545" s="1">
        <v>723.8</v>
      </c>
      <c r="O2545" s="1">
        <v>750.58</v>
      </c>
      <c r="P2545" s="1">
        <v>615.23</v>
      </c>
      <c r="Q2545">
        <v>0.3</v>
      </c>
      <c r="R2545">
        <v>1.6103999999999999E-3</v>
      </c>
    </row>
    <row r="2546" spans="1:18" ht="13.8" outlineLevel="2" x14ac:dyDescent="0.25">
      <c r="A2546">
        <v>79832</v>
      </c>
      <c r="B2546" t="s">
        <v>2463</v>
      </c>
      <c r="C2546" t="s">
        <v>2977</v>
      </c>
      <c r="D2546" s="14" t="s">
        <v>2976</v>
      </c>
      <c r="E2546" s="12" t="s">
        <v>28</v>
      </c>
      <c r="F2546" s="13" t="s">
        <v>29</v>
      </c>
      <c r="G2546">
        <v>5</v>
      </c>
      <c r="H2546" t="s">
        <v>30</v>
      </c>
      <c r="I2546">
        <v>5</v>
      </c>
      <c r="J2546" s="15"/>
      <c r="K2546" s="16">
        <f>1024.74 - (1024.74 * $E$1)</f>
        <v>1024.74</v>
      </c>
      <c r="L2546" s="16">
        <f>839.95 - (839.95 * $E$1)</f>
        <v>839.95</v>
      </c>
      <c r="M2546" s="1">
        <v>1024.74</v>
      </c>
      <c r="N2546" s="1">
        <v>839.95</v>
      </c>
      <c r="O2546" s="1">
        <v>871.03</v>
      </c>
      <c r="P2546" s="1">
        <v>713.96</v>
      </c>
      <c r="Q2546">
        <v>0.32</v>
      </c>
      <c r="R2546">
        <v>2.1472000000000002E-3</v>
      </c>
    </row>
    <row r="2547" spans="1:18" ht="13.8" outlineLevel="2" x14ac:dyDescent="0.25">
      <c r="A2547">
        <v>79833</v>
      </c>
      <c r="B2547" t="s">
        <v>2463</v>
      </c>
      <c r="C2547" t="s">
        <v>2978</v>
      </c>
      <c r="D2547" s="14" t="s">
        <v>2976</v>
      </c>
      <c r="E2547" s="12" t="s">
        <v>28</v>
      </c>
      <c r="F2547" s="13" t="s">
        <v>29</v>
      </c>
      <c r="G2547">
        <v>5</v>
      </c>
      <c r="H2547" t="s">
        <v>30</v>
      </c>
      <c r="I2547">
        <v>5</v>
      </c>
      <c r="J2547" s="15"/>
      <c r="K2547" s="16">
        <f>1430.54 - (1430.54 * $E$1)</f>
        <v>1430.54</v>
      </c>
      <c r="L2547" s="16">
        <f>1172.57 - (1172.57 * $E$1)</f>
        <v>1172.57</v>
      </c>
      <c r="M2547" s="1">
        <v>1430.54</v>
      </c>
      <c r="N2547" s="1">
        <v>1172.57</v>
      </c>
      <c r="O2547" s="1">
        <v>1215.96</v>
      </c>
      <c r="P2547" s="1">
        <v>996.68</v>
      </c>
      <c r="Q2547">
        <v>0.5</v>
      </c>
      <c r="R2547">
        <v>3.2207999999999998E-3</v>
      </c>
    </row>
    <row r="2548" spans="1:18" ht="13.8" outlineLevel="2" x14ac:dyDescent="0.25">
      <c r="A2548">
        <v>79834</v>
      </c>
      <c r="B2548" t="s">
        <v>2463</v>
      </c>
      <c r="C2548" t="s">
        <v>2979</v>
      </c>
      <c r="D2548" s="14" t="s">
        <v>2976</v>
      </c>
      <c r="E2548" s="12" t="s">
        <v>28</v>
      </c>
      <c r="F2548" s="13" t="s">
        <v>29</v>
      </c>
      <c r="G2548">
        <v>5</v>
      </c>
      <c r="H2548" t="s">
        <v>30</v>
      </c>
      <c r="I2548">
        <v>5</v>
      </c>
      <c r="J2548" s="15"/>
      <c r="K2548" s="16">
        <f>1804.2 - (1804.2 * $E$1)</f>
        <v>1804.2</v>
      </c>
      <c r="L2548" s="16">
        <f>1478.85 - (1478.85 * $E$1)</f>
        <v>1478.85</v>
      </c>
      <c r="M2548" s="1">
        <v>1804.2</v>
      </c>
      <c r="N2548" s="1">
        <v>1478.85</v>
      </c>
      <c r="O2548" s="1">
        <v>1533.57</v>
      </c>
      <c r="P2548" s="1">
        <v>1257.02</v>
      </c>
      <c r="Q2548">
        <v>0.6</v>
      </c>
      <c r="R2548">
        <v>4.5627999999999997E-3</v>
      </c>
    </row>
    <row r="2549" spans="1:18" ht="13.8" outlineLevel="2" x14ac:dyDescent="0.25">
      <c r="A2549">
        <v>79835</v>
      </c>
      <c r="B2549" t="s">
        <v>2463</v>
      </c>
      <c r="C2549" t="s">
        <v>2980</v>
      </c>
      <c r="D2549" s="14" t="s">
        <v>2976</v>
      </c>
      <c r="E2549" s="12" t="s">
        <v>28</v>
      </c>
      <c r="F2549" s="13" t="s">
        <v>29</v>
      </c>
      <c r="G2549">
        <v>5</v>
      </c>
      <c r="H2549" t="s">
        <v>30</v>
      </c>
      <c r="I2549">
        <v>5</v>
      </c>
      <c r="J2549" s="15"/>
      <c r="K2549" s="16">
        <f>2207.59 - (2207.59 * $E$1)</f>
        <v>2207.59</v>
      </c>
      <c r="L2549" s="16">
        <f>1809.5 - (1809.5 * $E$1)</f>
        <v>1809.5</v>
      </c>
      <c r="M2549" s="1">
        <v>2207.59</v>
      </c>
      <c r="N2549" s="1">
        <v>1809.5</v>
      </c>
      <c r="O2549" s="1">
        <v>1876.45</v>
      </c>
      <c r="P2549" s="1">
        <v>1538.08</v>
      </c>
      <c r="Q2549">
        <v>0.57999999999999996</v>
      </c>
      <c r="R2549">
        <v>4.3920000000000001E-3</v>
      </c>
    </row>
    <row r="2550" spans="1:18" ht="13.8" outlineLevel="2" x14ac:dyDescent="0.25">
      <c r="A2550">
        <v>67309</v>
      </c>
      <c r="B2550" t="s">
        <v>2463</v>
      </c>
      <c r="C2550" t="s">
        <v>2981</v>
      </c>
      <c r="D2550" s="14" t="s">
        <v>2976</v>
      </c>
      <c r="E2550" s="12" t="s">
        <v>28</v>
      </c>
      <c r="F2550" s="13" t="s">
        <v>29</v>
      </c>
      <c r="G2550">
        <v>5</v>
      </c>
      <c r="H2550" t="s">
        <v>30</v>
      </c>
      <c r="I2550">
        <v>5</v>
      </c>
      <c r="J2550" s="15"/>
      <c r="K2550" s="16">
        <f>2343.85 - (2343.85 * $E$1)</f>
        <v>2343.85</v>
      </c>
      <c r="L2550" s="16">
        <f>1921.19 - (1921.19 * $E$1)</f>
        <v>1921.19</v>
      </c>
      <c r="M2550" s="1">
        <v>2343.85</v>
      </c>
      <c r="N2550" s="1">
        <v>1921.19</v>
      </c>
      <c r="O2550" s="1">
        <v>1992.27</v>
      </c>
      <c r="P2550" s="1">
        <v>1633.01</v>
      </c>
      <c r="Q2550">
        <v>0.62</v>
      </c>
      <c r="R2550">
        <v>6.7895999999999998E-3</v>
      </c>
    </row>
    <row r="2551" spans="1:18" ht="13.8" outlineLevel="2" x14ac:dyDescent="0.25">
      <c r="A2551">
        <v>67310</v>
      </c>
      <c r="B2551" t="s">
        <v>2463</v>
      </c>
      <c r="C2551" t="s">
        <v>2982</v>
      </c>
      <c r="D2551" s="14" t="s">
        <v>2976</v>
      </c>
      <c r="E2551" s="12" t="s">
        <v>28</v>
      </c>
      <c r="F2551" s="13" t="s">
        <v>29</v>
      </c>
      <c r="G2551">
        <v>5</v>
      </c>
      <c r="H2551" t="s">
        <v>30</v>
      </c>
      <c r="I2551">
        <v>5</v>
      </c>
      <c r="J2551" s="15"/>
      <c r="K2551" s="16">
        <f>2636.22 - (2636.22 * $E$1)</f>
        <v>2636.22</v>
      </c>
      <c r="L2551" s="16">
        <f>2160.84 - (2160.84 * $E$1)</f>
        <v>2160.84</v>
      </c>
      <c r="M2551" s="1">
        <v>2636.22</v>
      </c>
      <c r="N2551" s="1">
        <v>2160.84</v>
      </c>
      <c r="O2551" s="1">
        <v>2240.79</v>
      </c>
      <c r="P2551" s="1">
        <v>1836.71</v>
      </c>
      <c r="Q2551">
        <v>0.74</v>
      </c>
      <c r="R2551">
        <v>8.9899999999999997E-3</v>
      </c>
    </row>
    <row r="2552" spans="1:18" ht="13.8" outlineLevel="2" x14ac:dyDescent="0.25">
      <c r="A2552">
        <v>79178</v>
      </c>
      <c r="B2552" t="s">
        <v>2463</v>
      </c>
      <c r="C2552" t="s">
        <v>2980</v>
      </c>
      <c r="D2552" s="14" t="s">
        <v>2976</v>
      </c>
      <c r="E2552" s="12" t="s">
        <v>28</v>
      </c>
      <c r="F2552" s="13" t="s">
        <v>29</v>
      </c>
      <c r="G2552">
        <v>5</v>
      </c>
      <c r="H2552" t="s">
        <v>2466</v>
      </c>
      <c r="I2552">
        <v>5</v>
      </c>
      <c r="J2552" s="15"/>
      <c r="K2552" s="16">
        <f>1720.77 - (1720.77 * $E$1)</f>
        <v>1720.77</v>
      </c>
      <c r="L2552" s="16">
        <f>1410.47 - (1410.47 * $E$1)</f>
        <v>1410.47</v>
      </c>
      <c r="M2552" s="1">
        <v>1720.77</v>
      </c>
      <c r="N2552" s="1">
        <v>1410.47</v>
      </c>
      <c r="O2552" s="1">
        <v>1462.66</v>
      </c>
      <c r="P2552" s="1">
        <v>1198.9000000000001</v>
      </c>
      <c r="Q2552">
        <v>0.57999999999999996</v>
      </c>
      <c r="R2552">
        <v>4.3920000000000001E-3</v>
      </c>
    </row>
    <row r="2553" spans="1:18" ht="13.8" outlineLevel="2" x14ac:dyDescent="0.25">
      <c r="A2553">
        <v>65752</v>
      </c>
      <c r="B2553" t="s">
        <v>2791</v>
      </c>
      <c r="C2553" t="s">
        <v>2983</v>
      </c>
      <c r="D2553" s="14" t="s">
        <v>2984</v>
      </c>
      <c r="E2553" s="12" t="s">
        <v>28</v>
      </c>
      <c r="F2553" s="13" t="s">
        <v>29</v>
      </c>
      <c r="G2553">
        <v>5</v>
      </c>
      <c r="H2553" t="s">
        <v>30</v>
      </c>
      <c r="I2553">
        <v>5</v>
      </c>
      <c r="J2553" s="15"/>
      <c r="K2553" s="16">
        <f>897.79 - (897.79 * $E$1)</f>
        <v>897.79</v>
      </c>
      <c r="L2553" s="16">
        <f>735.89 - (735.89 * $E$1)</f>
        <v>735.89</v>
      </c>
      <c r="M2553" s="1">
        <v>897.79</v>
      </c>
      <c r="N2553" s="1">
        <v>735.89</v>
      </c>
      <c r="O2553" s="1">
        <v>763.12</v>
      </c>
      <c r="P2553" s="1">
        <v>625.51</v>
      </c>
      <c r="Q2553">
        <v>0.108</v>
      </c>
      <c r="R2553">
        <v>8.8559999999999995E-4</v>
      </c>
    </row>
    <row r="2554" spans="1:18" ht="13.8" outlineLevel="2" x14ac:dyDescent="0.25">
      <c r="A2554">
        <v>65753</v>
      </c>
      <c r="B2554" t="s">
        <v>2791</v>
      </c>
      <c r="C2554" t="s">
        <v>2985</v>
      </c>
      <c r="D2554" s="14" t="s">
        <v>2984</v>
      </c>
      <c r="E2554" s="12" t="s">
        <v>28</v>
      </c>
      <c r="F2554" s="13" t="s">
        <v>29</v>
      </c>
      <c r="G2554">
        <v>5</v>
      </c>
      <c r="H2554" t="s">
        <v>30</v>
      </c>
      <c r="I2554">
        <v>5</v>
      </c>
      <c r="J2554" s="15"/>
      <c r="K2554" s="16">
        <f>1354.87 - (1354.87 * $E$1)</f>
        <v>1354.87</v>
      </c>
      <c r="L2554" s="16">
        <f>1110.55 - (1110.55 * $E$1)</f>
        <v>1110.55</v>
      </c>
      <c r="M2554" s="1">
        <v>1354.87</v>
      </c>
      <c r="N2554" s="1">
        <v>1110.55</v>
      </c>
      <c r="O2554" s="1">
        <v>1151.6400000000001</v>
      </c>
      <c r="P2554" s="1">
        <v>943.97</v>
      </c>
      <c r="Q2554">
        <v>0.14799999999999999</v>
      </c>
      <c r="R2554">
        <v>1.6236E-3</v>
      </c>
    </row>
    <row r="2555" spans="1:18" ht="13.8" outlineLevel="2" x14ac:dyDescent="0.25">
      <c r="A2555">
        <v>81093</v>
      </c>
      <c r="B2555" t="s">
        <v>2791</v>
      </c>
      <c r="C2555" t="s">
        <v>2986</v>
      </c>
      <c r="D2555" s="14" t="s">
        <v>2984</v>
      </c>
      <c r="E2555" s="12" t="s">
        <v>28</v>
      </c>
      <c r="F2555" s="13" t="s">
        <v>29</v>
      </c>
      <c r="G2555">
        <v>5</v>
      </c>
      <c r="H2555" t="s">
        <v>30</v>
      </c>
      <c r="I2555">
        <v>5</v>
      </c>
      <c r="J2555" s="15"/>
      <c r="K2555" s="16">
        <f>1742.2 - (1742.2 * $E$1)</f>
        <v>1742.2</v>
      </c>
      <c r="L2555" s="16">
        <f>1428.03 - (1428.03 * $E$1)</f>
        <v>1428.03</v>
      </c>
      <c r="M2555" s="1">
        <v>1742.2</v>
      </c>
      <c r="N2555" s="1">
        <v>1428.03</v>
      </c>
      <c r="O2555" s="1">
        <v>1480.87</v>
      </c>
      <c r="P2555" s="1">
        <v>1213.83</v>
      </c>
      <c r="Q2555">
        <v>0.2</v>
      </c>
      <c r="R2555">
        <v>2.4156E-3</v>
      </c>
    </row>
    <row r="2556" spans="1:18" ht="13.8" outlineLevel="2" x14ac:dyDescent="0.25">
      <c r="A2556">
        <v>65754</v>
      </c>
      <c r="B2556" t="s">
        <v>2791</v>
      </c>
      <c r="C2556" t="s">
        <v>2987</v>
      </c>
      <c r="D2556" s="14" t="s">
        <v>2984</v>
      </c>
      <c r="E2556" s="12" t="s">
        <v>28</v>
      </c>
      <c r="F2556" s="13" t="s">
        <v>29</v>
      </c>
      <c r="G2556">
        <v>5</v>
      </c>
      <c r="H2556" t="s">
        <v>30</v>
      </c>
      <c r="I2556">
        <v>5</v>
      </c>
      <c r="J2556" s="15"/>
      <c r="K2556" s="16">
        <f>2756.57 - (2756.57 * $E$1)</f>
        <v>2756.57</v>
      </c>
      <c r="L2556" s="16">
        <f>2259.48 - (2259.48 * $E$1)</f>
        <v>2259.48</v>
      </c>
      <c r="M2556" s="1">
        <v>2756.57</v>
      </c>
      <c r="N2556" s="1">
        <v>2259.48</v>
      </c>
      <c r="O2556" s="1">
        <v>2343.08</v>
      </c>
      <c r="P2556" s="1">
        <v>1920.56</v>
      </c>
      <c r="Q2556">
        <v>0.29199999999999998</v>
      </c>
      <c r="R2556">
        <v>2.2385999999999999E-3</v>
      </c>
    </row>
    <row r="2557" spans="1:18" ht="13.8" outlineLevel="2" x14ac:dyDescent="0.25">
      <c r="A2557">
        <v>65755</v>
      </c>
      <c r="B2557" t="s">
        <v>2791</v>
      </c>
      <c r="C2557" t="s">
        <v>2988</v>
      </c>
      <c r="D2557" s="14" t="s">
        <v>2984</v>
      </c>
      <c r="E2557" s="12" t="s">
        <v>28</v>
      </c>
      <c r="F2557" s="13" t="s">
        <v>29</v>
      </c>
      <c r="G2557">
        <v>5</v>
      </c>
      <c r="H2557" t="s">
        <v>30</v>
      </c>
      <c r="I2557">
        <v>5</v>
      </c>
      <c r="J2557" s="15"/>
      <c r="K2557" s="16">
        <f>3537.76 - (3537.76 * $E$1)</f>
        <v>3537.76</v>
      </c>
      <c r="L2557" s="16">
        <f>2899.8 - (2899.8 * $E$1)</f>
        <v>2899.8</v>
      </c>
      <c r="M2557" s="1">
        <v>3537.76</v>
      </c>
      <c r="N2557" s="1">
        <v>2899.8</v>
      </c>
      <c r="O2557" s="1">
        <v>3007.09</v>
      </c>
      <c r="P2557" s="1">
        <v>2464.83</v>
      </c>
      <c r="Q2557">
        <v>0.40200000000000002</v>
      </c>
      <c r="R2557">
        <v>2.8782E-3</v>
      </c>
    </row>
    <row r="2558" spans="1:18" ht="13.8" outlineLevel="2" x14ac:dyDescent="0.25">
      <c r="A2558">
        <v>74104</v>
      </c>
      <c r="B2558" t="s">
        <v>2791</v>
      </c>
      <c r="C2558" t="s">
        <v>2989</v>
      </c>
      <c r="D2558" s="14" t="s">
        <v>2984</v>
      </c>
      <c r="E2558" s="12" t="s">
        <v>28</v>
      </c>
      <c r="F2558" s="13" t="s">
        <v>29</v>
      </c>
      <c r="G2558">
        <v>5</v>
      </c>
      <c r="H2558" t="s">
        <v>30</v>
      </c>
      <c r="I2558">
        <v>5</v>
      </c>
      <c r="J2558" s="15"/>
      <c r="K2558" s="16">
        <f>4520.92 - (4520.92 * $E$1)</f>
        <v>4520.92</v>
      </c>
      <c r="L2558" s="16">
        <f>3705.67 - (3705.67 * $E$1)</f>
        <v>3705.67</v>
      </c>
      <c r="M2558" s="1">
        <v>4520.92</v>
      </c>
      <c r="N2558" s="1">
        <v>3705.67</v>
      </c>
      <c r="O2558" s="1">
        <v>3842.78</v>
      </c>
      <c r="P2558" s="1">
        <v>3149.82</v>
      </c>
      <c r="Q2558">
        <v>0.48399999999999999</v>
      </c>
      <c r="R2558">
        <v>5.9040000000000004E-3</v>
      </c>
    </row>
    <row r="2559" spans="1:18" ht="13.8" outlineLevel="2" x14ac:dyDescent="0.25">
      <c r="A2559">
        <v>65757</v>
      </c>
      <c r="B2559" t="s">
        <v>2791</v>
      </c>
      <c r="C2559" t="s">
        <v>2990</v>
      </c>
      <c r="D2559" s="14" t="s">
        <v>2984</v>
      </c>
      <c r="E2559" s="12" t="s">
        <v>28</v>
      </c>
      <c r="F2559" s="13" t="s">
        <v>29</v>
      </c>
      <c r="G2559">
        <v>5</v>
      </c>
      <c r="H2559" t="s">
        <v>30</v>
      </c>
      <c r="I2559">
        <v>5</v>
      </c>
      <c r="J2559" s="15"/>
      <c r="K2559" s="16">
        <f>5596.18 - (5596.18 * $E$1)</f>
        <v>5596.18</v>
      </c>
      <c r="L2559" s="16">
        <f>4587.03 - (4587.03 * $E$1)</f>
        <v>4587.03</v>
      </c>
      <c r="M2559" s="1">
        <v>5596.18</v>
      </c>
      <c r="N2559" s="1">
        <v>4587.03</v>
      </c>
      <c r="O2559" s="1">
        <v>4756.75</v>
      </c>
      <c r="P2559" s="1">
        <v>3898.98</v>
      </c>
      <c r="Q2559">
        <v>0.68</v>
      </c>
      <c r="R2559">
        <v>6.1749999999999999E-3</v>
      </c>
    </row>
    <row r="2560" spans="1:18" ht="13.8" outlineLevel="2" x14ac:dyDescent="0.25">
      <c r="A2560">
        <v>87136</v>
      </c>
      <c r="B2560" t="s">
        <v>2791</v>
      </c>
      <c r="C2560" t="s">
        <v>2991</v>
      </c>
      <c r="D2560" s="14" t="s">
        <v>2984</v>
      </c>
      <c r="E2560" s="12" t="s">
        <v>28</v>
      </c>
      <c r="F2560" s="13" t="s">
        <v>29</v>
      </c>
      <c r="G2560">
        <v>5</v>
      </c>
      <c r="H2560" t="s">
        <v>30</v>
      </c>
      <c r="I2560">
        <v>5</v>
      </c>
      <c r="J2560" s="15"/>
      <c r="K2560" s="16">
        <f>6562.94 - (6562.94 * $E$1)</f>
        <v>6562.94</v>
      </c>
      <c r="L2560" s="16">
        <f>5379.46 - (5379.46 * $E$1)</f>
        <v>5379.46</v>
      </c>
      <c r="M2560" s="1">
        <v>6562.94</v>
      </c>
      <c r="N2560" s="1">
        <v>5379.46</v>
      </c>
      <c r="O2560" s="1">
        <v>5578.5</v>
      </c>
      <c r="P2560" s="1">
        <v>4572.54</v>
      </c>
      <c r="Q2560">
        <v>0.85</v>
      </c>
      <c r="R2560">
        <v>4.3049999999999998E-3</v>
      </c>
    </row>
    <row r="2561" spans="1:18" ht="13.8" outlineLevel="2" x14ac:dyDescent="0.25">
      <c r="A2561">
        <v>81094</v>
      </c>
      <c r="B2561" t="s">
        <v>2791</v>
      </c>
      <c r="C2561" t="s">
        <v>2992</v>
      </c>
      <c r="D2561" s="14" t="s">
        <v>2984</v>
      </c>
      <c r="E2561" s="12" t="s">
        <v>28</v>
      </c>
      <c r="F2561" s="13" t="s">
        <v>29</v>
      </c>
      <c r="G2561">
        <v>5</v>
      </c>
      <c r="H2561" t="s">
        <v>30</v>
      </c>
      <c r="I2561">
        <v>5</v>
      </c>
      <c r="J2561" s="15"/>
      <c r="K2561" s="16">
        <f>10862.26 - (10862.26 * $E$1)</f>
        <v>10862.26</v>
      </c>
      <c r="L2561" s="16">
        <f>8903.49 - (8903.49 * $E$1)</f>
        <v>8903.49</v>
      </c>
      <c r="M2561" s="1">
        <v>10862.26</v>
      </c>
      <c r="N2561" s="1">
        <v>8903.49</v>
      </c>
      <c r="O2561" s="1">
        <v>9232.92</v>
      </c>
      <c r="P2561" s="1">
        <v>7567.97</v>
      </c>
      <c r="Q2561">
        <v>1.28</v>
      </c>
      <c r="R2561">
        <v>1.2914999999999999E-2</v>
      </c>
    </row>
    <row r="2562" spans="1:18" ht="16.5" customHeight="1" outlineLevel="1" x14ac:dyDescent="0.35">
      <c r="A2562" s="9"/>
      <c r="B2562" s="10" t="s">
        <v>2993</v>
      </c>
      <c r="C2562" s="10"/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1"/>
    </row>
    <row r="2563" spans="1:18" ht="13.8" outlineLevel="2" x14ac:dyDescent="0.25">
      <c r="A2563">
        <v>73634</v>
      </c>
      <c r="B2563" t="s">
        <v>2994</v>
      </c>
      <c r="C2563" t="s">
        <v>2995</v>
      </c>
      <c r="D2563" s="14" t="s">
        <v>2996</v>
      </c>
      <c r="E2563" s="12" t="s">
        <v>28</v>
      </c>
      <c r="F2563" s="13" t="s">
        <v>29</v>
      </c>
      <c r="G2563">
        <v>1</v>
      </c>
      <c r="H2563" t="s">
        <v>30</v>
      </c>
      <c r="I2563">
        <v>1</v>
      </c>
      <c r="J2563" s="15"/>
      <c r="K2563" s="16">
        <f>108.79 - (108.79 * $E$1)</f>
        <v>108.79</v>
      </c>
      <c r="L2563" s="16">
        <f>89.17 - (89.17 * $E$1)</f>
        <v>89.17</v>
      </c>
      <c r="M2563" s="1">
        <v>108.79</v>
      </c>
      <c r="N2563" s="1">
        <v>89.17</v>
      </c>
      <c r="O2563" s="1">
        <v>92.47</v>
      </c>
      <c r="P2563" s="1">
        <v>75.790000000000006</v>
      </c>
      <c r="Q2563">
        <v>1.2999999999999999E-2</v>
      </c>
      <c r="R2563">
        <v>7.1500000000000003E-4</v>
      </c>
    </row>
    <row r="2564" spans="1:18" ht="13.8" outlineLevel="2" x14ac:dyDescent="0.25">
      <c r="A2564">
        <v>73636</v>
      </c>
      <c r="B2564" t="s">
        <v>2994</v>
      </c>
      <c r="C2564" t="s">
        <v>2997</v>
      </c>
      <c r="D2564" s="14" t="s">
        <v>2996</v>
      </c>
      <c r="E2564" s="12" t="s">
        <v>28</v>
      </c>
      <c r="F2564" s="13" t="s">
        <v>29</v>
      </c>
      <c r="G2564">
        <v>1</v>
      </c>
      <c r="H2564" t="s">
        <v>30</v>
      </c>
      <c r="I2564">
        <v>1</v>
      </c>
      <c r="J2564" s="15"/>
      <c r="K2564" s="16">
        <f>117.71 - (117.71 * $E$1)</f>
        <v>117.71</v>
      </c>
      <c r="L2564" s="16">
        <f>96.48 - (96.48 * $E$1)</f>
        <v>96.48</v>
      </c>
      <c r="M2564" s="1">
        <v>117.71</v>
      </c>
      <c r="N2564" s="1">
        <v>96.48</v>
      </c>
      <c r="O2564" s="1">
        <v>100.05</v>
      </c>
      <c r="P2564" s="1">
        <v>82.01</v>
      </c>
      <c r="Q2564">
        <v>1.7000000000000001E-2</v>
      </c>
      <c r="R2564">
        <v>7.1500000000000003E-4</v>
      </c>
    </row>
    <row r="2565" spans="1:18" ht="13.8" outlineLevel="2" x14ac:dyDescent="0.25">
      <c r="A2565">
        <v>73637</v>
      </c>
      <c r="B2565" t="s">
        <v>2994</v>
      </c>
      <c r="C2565" t="s">
        <v>2998</v>
      </c>
      <c r="D2565" s="14" t="s">
        <v>2996</v>
      </c>
      <c r="E2565" s="12" t="s">
        <v>28</v>
      </c>
      <c r="F2565" s="13" t="s">
        <v>29</v>
      </c>
      <c r="G2565">
        <v>1</v>
      </c>
      <c r="H2565" t="s">
        <v>30</v>
      </c>
      <c r="I2565">
        <v>1</v>
      </c>
      <c r="J2565" s="15"/>
      <c r="K2565" s="16">
        <f>116.95 - (116.95 * $E$1)</f>
        <v>116.95</v>
      </c>
      <c r="L2565" s="16">
        <f>95.86 - (95.86 * $E$1)</f>
        <v>95.86</v>
      </c>
      <c r="M2565" s="1">
        <v>116.95</v>
      </c>
      <c r="N2565" s="1">
        <v>95.86</v>
      </c>
      <c r="O2565" s="1">
        <v>99.41</v>
      </c>
      <c r="P2565" s="1">
        <v>81.48</v>
      </c>
      <c r="Q2565">
        <v>2.4E-2</v>
      </c>
      <c r="R2565">
        <v>7.1500000000000003E-4</v>
      </c>
    </row>
    <row r="2566" spans="1:18" ht="13.8" outlineLevel="2" x14ac:dyDescent="0.25">
      <c r="A2566">
        <v>73638</v>
      </c>
      <c r="B2566" t="s">
        <v>2994</v>
      </c>
      <c r="C2566" t="s">
        <v>2999</v>
      </c>
      <c r="D2566" s="14" t="s">
        <v>2996</v>
      </c>
      <c r="E2566" s="12" t="s">
        <v>28</v>
      </c>
      <c r="F2566" s="13" t="s">
        <v>29</v>
      </c>
      <c r="G2566">
        <v>1</v>
      </c>
      <c r="H2566" t="s">
        <v>30</v>
      </c>
      <c r="I2566">
        <v>1</v>
      </c>
      <c r="J2566" s="15"/>
      <c r="K2566" s="16">
        <f>125.72 - (125.72 * $E$1)</f>
        <v>125.72</v>
      </c>
      <c r="L2566" s="16">
        <f>103.05 - (103.05 * $E$1)</f>
        <v>103.05</v>
      </c>
      <c r="M2566" s="1">
        <v>125.72</v>
      </c>
      <c r="N2566" s="1">
        <v>103.05</v>
      </c>
      <c r="O2566" s="1">
        <v>106.86</v>
      </c>
      <c r="P2566" s="1">
        <v>87.59</v>
      </c>
      <c r="Q2566">
        <v>0.03</v>
      </c>
      <c r="R2566">
        <v>7.1500000000000003E-4</v>
      </c>
    </row>
    <row r="2567" spans="1:18" ht="13.8" outlineLevel="2" x14ac:dyDescent="0.25">
      <c r="A2567">
        <v>73641</v>
      </c>
      <c r="B2567" t="s">
        <v>2994</v>
      </c>
      <c r="C2567" t="s">
        <v>3000</v>
      </c>
      <c r="D2567" s="14" t="s">
        <v>2996</v>
      </c>
      <c r="E2567" s="12" t="s">
        <v>28</v>
      </c>
      <c r="F2567" s="13" t="s">
        <v>29</v>
      </c>
      <c r="G2567">
        <v>1</v>
      </c>
      <c r="H2567" t="s">
        <v>30</v>
      </c>
      <c r="I2567">
        <v>1</v>
      </c>
      <c r="J2567" s="15"/>
      <c r="K2567" s="16">
        <f>129.94 - (129.94 * $E$1)</f>
        <v>129.94</v>
      </c>
      <c r="L2567" s="16">
        <f>106.51 - (106.51 * $E$1)</f>
        <v>106.51</v>
      </c>
      <c r="M2567" s="1">
        <v>129.94</v>
      </c>
      <c r="N2567" s="1">
        <v>106.51</v>
      </c>
      <c r="O2567" s="1">
        <v>110.45</v>
      </c>
      <c r="P2567" s="1">
        <v>90.53</v>
      </c>
      <c r="Q2567">
        <v>3.5000000000000003E-2</v>
      </c>
      <c r="R2567">
        <v>7.1500000000000003E-4</v>
      </c>
    </row>
    <row r="2568" spans="1:18" ht="13.8" outlineLevel="2" x14ac:dyDescent="0.25">
      <c r="A2568">
        <v>73642</v>
      </c>
      <c r="B2568" t="s">
        <v>2994</v>
      </c>
      <c r="C2568" t="s">
        <v>3001</v>
      </c>
      <c r="D2568" s="14" t="s">
        <v>2996</v>
      </c>
      <c r="E2568" s="12" t="s">
        <v>28</v>
      </c>
      <c r="F2568" s="13" t="s">
        <v>29</v>
      </c>
      <c r="G2568">
        <v>1</v>
      </c>
      <c r="H2568" t="s">
        <v>30</v>
      </c>
      <c r="I2568">
        <v>1</v>
      </c>
      <c r="J2568" s="15"/>
      <c r="K2568" s="16">
        <f>166.85 - (166.85 * $E$1)</f>
        <v>166.85</v>
      </c>
      <c r="L2568" s="16">
        <f>136.76 - (136.76 * $E$1)</f>
        <v>136.76</v>
      </c>
      <c r="M2568" s="1">
        <v>166.85</v>
      </c>
      <c r="N2568" s="1">
        <v>136.76</v>
      </c>
      <c r="O2568" s="1">
        <v>141.82</v>
      </c>
      <c r="P2568" s="1">
        <v>116.25</v>
      </c>
      <c r="Q2568">
        <v>5.8999999999999997E-2</v>
      </c>
      <c r="R2568">
        <v>7.1500000000000003E-4</v>
      </c>
    </row>
    <row r="2569" spans="1:18" ht="13.8" outlineLevel="2" x14ac:dyDescent="0.25">
      <c r="A2569">
        <v>73643</v>
      </c>
      <c r="B2569" t="s">
        <v>2994</v>
      </c>
      <c r="C2569" t="s">
        <v>3002</v>
      </c>
      <c r="D2569" s="14" t="s">
        <v>2996</v>
      </c>
      <c r="E2569" s="12" t="s">
        <v>28</v>
      </c>
      <c r="F2569" s="13" t="s">
        <v>29</v>
      </c>
      <c r="G2569">
        <v>1</v>
      </c>
      <c r="H2569" t="s">
        <v>30</v>
      </c>
      <c r="I2569">
        <v>1</v>
      </c>
      <c r="J2569" s="15"/>
      <c r="K2569" s="16">
        <f>190.38 - (190.38 * $E$1)</f>
        <v>190.38</v>
      </c>
      <c r="L2569" s="16">
        <f>156.05 - (156.05 * $E$1)</f>
        <v>156.05000000000001</v>
      </c>
      <c r="M2569" s="1">
        <v>190.38</v>
      </c>
      <c r="N2569" s="1">
        <v>156.05000000000001</v>
      </c>
      <c r="O2569" s="1">
        <v>161.82</v>
      </c>
      <c r="P2569" s="1">
        <v>132.63999999999999</v>
      </c>
      <c r="Q2569">
        <v>0.05</v>
      </c>
      <c r="R2569">
        <v>1.3200000000000001E-4</v>
      </c>
    </row>
    <row r="2570" spans="1:18" ht="13.8" outlineLevel="2" x14ac:dyDescent="0.25">
      <c r="A2570">
        <v>73644</v>
      </c>
      <c r="B2570" t="s">
        <v>2994</v>
      </c>
      <c r="C2570" t="s">
        <v>3003</v>
      </c>
      <c r="D2570" s="14" t="s">
        <v>2996</v>
      </c>
      <c r="E2570" s="12" t="s">
        <v>28</v>
      </c>
      <c r="F2570" s="13" t="s">
        <v>29</v>
      </c>
      <c r="G2570">
        <v>1</v>
      </c>
      <c r="H2570" t="s">
        <v>30</v>
      </c>
      <c r="I2570">
        <v>1</v>
      </c>
      <c r="J2570" s="15"/>
      <c r="K2570" s="16">
        <f>152.78 - (152.78 * $E$1)</f>
        <v>152.78</v>
      </c>
      <c r="L2570" s="16">
        <f>125.23 - (125.23 * $E$1)</f>
        <v>125.23</v>
      </c>
      <c r="M2570" s="1">
        <v>152.78</v>
      </c>
      <c r="N2570" s="1">
        <v>125.23</v>
      </c>
      <c r="O2570" s="1">
        <v>129.86000000000001</v>
      </c>
      <c r="P2570" s="1">
        <v>106.45</v>
      </c>
      <c r="Q2570">
        <v>2.5000000000000001E-2</v>
      </c>
      <c r="R2570">
        <v>7.1500000000000003E-4</v>
      </c>
    </row>
    <row r="2571" spans="1:18" ht="13.8" outlineLevel="2" x14ac:dyDescent="0.25">
      <c r="A2571">
        <v>89786</v>
      </c>
      <c r="B2571" t="s">
        <v>2994</v>
      </c>
      <c r="C2571" t="s">
        <v>3004</v>
      </c>
      <c r="D2571" s="14" t="s">
        <v>3005</v>
      </c>
      <c r="E2571" s="12" t="s">
        <v>28</v>
      </c>
      <c r="F2571" s="13" t="s">
        <v>29</v>
      </c>
      <c r="G2571">
        <v>1</v>
      </c>
      <c r="H2571" t="s">
        <v>30</v>
      </c>
      <c r="I2571">
        <v>1</v>
      </c>
      <c r="J2571" s="15"/>
      <c r="K2571" s="16">
        <f>142.02 - (142.02 * $E$1)</f>
        <v>142.02000000000001</v>
      </c>
      <c r="L2571" s="16">
        <f>116.41 - (116.41 * $E$1)</f>
        <v>116.41</v>
      </c>
      <c r="M2571" s="1">
        <v>142.02000000000001</v>
      </c>
      <c r="N2571" s="1">
        <v>116.41</v>
      </c>
      <c r="O2571" s="1">
        <v>120.72</v>
      </c>
      <c r="P2571" s="1">
        <v>98.95</v>
      </c>
      <c r="Q2571">
        <v>3.2000000000000001E-2</v>
      </c>
      <c r="R2571">
        <v>2.8800000000000001E-4</v>
      </c>
    </row>
    <row r="2572" spans="1:18" ht="13.8" outlineLevel="2" x14ac:dyDescent="0.25">
      <c r="A2572">
        <v>73657</v>
      </c>
      <c r="B2572" t="s">
        <v>2994</v>
      </c>
      <c r="C2572" t="s">
        <v>3006</v>
      </c>
      <c r="D2572" s="14" t="s">
        <v>3005</v>
      </c>
      <c r="E2572" s="12" t="s">
        <v>28</v>
      </c>
      <c r="F2572" s="13" t="s">
        <v>29</v>
      </c>
      <c r="G2572">
        <v>1</v>
      </c>
      <c r="H2572" t="s">
        <v>30</v>
      </c>
      <c r="I2572">
        <v>1</v>
      </c>
      <c r="J2572" s="15"/>
      <c r="K2572" s="16">
        <f>189.58 - (189.58 * $E$1)</f>
        <v>189.58</v>
      </c>
      <c r="L2572" s="16">
        <f>155.39 - (155.39 * $E$1)</f>
        <v>155.38999999999999</v>
      </c>
      <c r="M2572" s="1">
        <v>189.58</v>
      </c>
      <c r="N2572" s="1">
        <v>155.38999999999999</v>
      </c>
      <c r="O2572" s="1">
        <v>161.13999999999999</v>
      </c>
      <c r="P2572" s="1">
        <v>132.08000000000001</v>
      </c>
      <c r="Q2572">
        <v>2.1999999999999999E-2</v>
      </c>
      <c r="R2572">
        <v>2.2800000000000001E-4</v>
      </c>
    </row>
    <row r="2573" spans="1:18" ht="13.8" outlineLevel="2" x14ac:dyDescent="0.25">
      <c r="A2573">
        <v>73658</v>
      </c>
      <c r="B2573" t="s">
        <v>2994</v>
      </c>
      <c r="C2573" t="s">
        <v>3007</v>
      </c>
      <c r="D2573" s="14" t="s">
        <v>3005</v>
      </c>
      <c r="E2573" s="12" t="s">
        <v>28</v>
      </c>
      <c r="F2573" s="13" t="s">
        <v>29</v>
      </c>
      <c r="G2573">
        <v>1</v>
      </c>
      <c r="H2573" t="s">
        <v>30</v>
      </c>
      <c r="I2573">
        <v>1</v>
      </c>
      <c r="J2573" s="15"/>
      <c r="K2573" s="16">
        <f>203.62 - (203.62 * $E$1)</f>
        <v>203.62</v>
      </c>
      <c r="L2573" s="16">
        <f>166.9 - (166.9 * $E$1)</f>
        <v>166.9</v>
      </c>
      <c r="M2573" s="1">
        <v>203.62</v>
      </c>
      <c r="N2573" s="1">
        <v>166.9</v>
      </c>
      <c r="O2573" s="1">
        <v>173.08</v>
      </c>
      <c r="P2573" s="1">
        <v>141.87</v>
      </c>
      <c r="Q2573">
        <v>3.2000000000000001E-2</v>
      </c>
      <c r="R2573">
        <v>4.5600000000000003E-4</v>
      </c>
    </row>
    <row r="2574" spans="1:18" ht="13.8" outlineLevel="2" x14ac:dyDescent="0.25">
      <c r="A2574">
        <v>73659</v>
      </c>
      <c r="B2574" t="s">
        <v>2994</v>
      </c>
      <c r="C2574" t="s">
        <v>3008</v>
      </c>
      <c r="D2574" s="14" t="s">
        <v>3005</v>
      </c>
      <c r="E2574" s="12" t="s">
        <v>28</v>
      </c>
      <c r="F2574" s="13" t="s">
        <v>29</v>
      </c>
      <c r="G2574">
        <v>1</v>
      </c>
      <c r="H2574" t="s">
        <v>30</v>
      </c>
      <c r="I2574">
        <v>1</v>
      </c>
      <c r="J2574" s="15"/>
      <c r="K2574" s="16">
        <f>250.04 - (250.04 * $E$1)</f>
        <v>250.04</v>
      </c>
      <c r="L2574" s="16">
        <f>204.95 - (204.95 * $E$1)</f>
        <v>204.95</v>
      </c>
      <c r="M2574" s="1">
        <v>250.04</v>
      </c>
      <c r="N2574" s="1">
        <v>204.95</v>
      </c>
      <c r="O2574" s="1">
        <v>212.53</v>
      </c>
      <c r="P2574" s="1">
        <v>174.21</v>
      </c>
      <c r="Q2574">
        <v>3.5999999999999997E-2</v>
      </c>
      <c r="R2574">
        <v>4.5600000000000003E-4</v>
      </c>
    </row>
    <row r="2575" spans="1:18" ht="13.8" outlineLevel="2" x14ac:dyDescent="0.25">
      <c r="A2575">
        <v>73660</v>
      </c>
      <c r="B2575" t="s">
        <v>2994</v>
      </c>
      <c r="C2575" t="s">
        <v>3009</v>
      </c>
      <c r="D2575" s="14" t="s">
        <v>3005</v>
      </c>
      <c r="E2575" s="12" t="s">
        <v>28</v>
      </c>
      <c r="F2575" s="13" t="s">
        <v>29</v>
      </c>
      <c r="G2575">
        <v>1</v>
      </c>
      <c r="H2575" t="s">
        <v>30</v>
      </c>
      <c r="I2575">
        <v>1</v>
      </c>
      <c r="J2575" s="15"/>
      <c r="K2575" s="16">
        <f>176.55 - (176.55 * $E$1)</f>
        <v>176.55</v>
      </c>
      <c r="L2575" s="16">
        <f>144.71 - (144.71 * $E$1)</f>
        <v>144.71</v>
      </c>
      <c r="M2575" s="1">
        <v>176.55</v>
      </c>
      <c r="N2575" s="1">
        <v>144.71</v>
      </c>
      <c r="O2575" s="1">
        <v>150.06</v>
      </c>
      <c r="P2575" s="1">
        <v>123</v>
      </c>
      <c r="Q2575">
        <v>3.2000000000000001E-2</v>
      </c>
      <c r="R2575">
        <v>4.5600000000000003E-4</v>
      </c>
    </row>
    <row r="2576" spans="1:18" ht="13.8" outlineLevel="2" x14ac:dyDescent="0.25">
      <c r="A2576">
        <v>86589</v>
      </c>
      <c r="B2576" t="s">
        <v>2994</v>
      </c>
      <c r="C2576" t="s">
        <v>3010</v>
      </c>
      <c r="D2576" s="14" t="s">
        <v>3005</v>
      </c>
      <c r="E2576" s="12" t="s">
        <v>28</v>
      </c>
      <c r="F2576" s="13" t="s">
        <v>29</v>
      </c>
      <c r="G2576">
        <v>1</v>
      </c>
      <c r="H2576" t="s">
        <v>30</v>
      </c>
      <c r="I2576">
        <v>1</v>
      </c>
      <c r="J2576" s="15"/>
      <c r="K2576" s="16">
        <f>176 - (176 * $E$1)</f>
        <v>176</v>
      </c>
      <c r="L2576" s="16">
        <f>144.26 - (144.26 * $E$1)</f>
        <v>144.26</v>
      </c>
      <c r="M2576" s="1">
        <v>176</v>
      </c>
      <c r="N2576" s="1">
        <v>144.26</v>
      </c>
      <c r="O2576" s="1">
        <v>149.6</v>
      </c>
      <c r="P2576" s="1">
        <v>122.62</v>
      </c>
      <c r="Q2576">
        <v>0.03</v>
      </c>
      <c r="R2576">
        <v>4.5600000000000003E-4</v>
      </c>
    </row>
    <row r="2577" spans="1:18" ht="13.8" outlineLevel="2" x14ac:dyDescent="0.25">
      <c r="A2577">
        <v>73662</v>
      </c>
      <c r="B2577" t="s">
        <v>2994</v>
      </c>
      <c r="C2577" t="s">
        <v>3011</v>
      </c>
      <c r="D2577" s="14" t="s">
        <v>3005</v>
      </c>
      <c r="E2577" s="12" t="s">
        <v>28</v>
      </c>
      <c r="F2577" s="13" t="s">
        <v>29</v>
      </c>
      <c r="G2577">
        <v>1</v>
      </c>
      <c r="H2577" t="s">
        <v>30</v>
      </c>
      <c r="I2577">
        <v>1</v>
      </c>
      <c r="J2577" s="15"/>
      <c r="K2577" s="16">
        <f>209.32 - (209.32 * $E$1)</f>
        <v>209.32</v>
      </c>
      <c r="L2577" s="16">
        <f>171.57 - (171.57 * $E$1)</f>
        <v>171.57</v>
      </c>
      <c r="M2577" s="1">
        <v>209.32</v>
      </c>
      <c r="N2577" s="1">
        <v>171.57</v>
      </c>
      <c r="O2577" s="1">
        <v>177.92</v>
      </c>
      <c r="P2577" s="1">
        <v>145.83000000000001</v>
      </c>
      <c r="Q2577">
        <v>0.03</v>
      </c>
      <c r="R2577">
        <v>5.9400000000000002E-4</v>
      </c>
    </row>
    <row r="2578" spans="1:18" ht="13.8" outlineLevel="2" x14ac:dyDescent="0.25">
      <c r="A2578">
        <v>89778</v>
      </c>
      <c r="B2578" t="s">
        <v>2994</v>
      </c>
      <c r="C2578" t="s">
        <v>3012</v>
      </c>
      <c r="D2578" s="14" t="s">
        <v>3005</v>
      </c>
      <c r="E2578" s="12" t="s">
        <v>28</v>
      </c>
      <c r="F2578" s="13" t="s">
        <v>29</v>
      </c>
      <c r="G2578">
        <v>1</v>
      </c>
      <c r="H2578" t="s">
        <v>30</v>
      </c>
      <c r="I2578">
        <v>1</v>
      </c>
      <c r="J2578" s="15"/>
      <c r="K2578" s="16">
        <f>215.21 - (215.21 * $E$1)</f>
        <v>215.21</v>
      </c>
      <c r="L2578" s="16">
        <f>176.4 - (176.4 * $E$1)</f>
        <v>176.4</v>
      </c>
      <c r="M2578" s="1">
        <v>215.21</v>
      </c>
      <c r="N2578" s="1">
        <v>176.4</v>
      </c>
      <c r="O2578" s="1">
        <v>182.93</v>
      </c>
      <c r="P2578" s="1">
        <v>149.94</v>
      </c>
      <c r="Q2578">
        <v>3.2000000000000001E-2</v>
      </c>
      <c r="R2578">
        <v>4.5600000000000003E-4</v>
      </c>
    </row>
    <row r="2579" spans="1:18" ht="13.8" outlineLevel="2" x14ac:dyDescent="0.25">
      <c r="A2579">
        <v>89780</v>
      </c>
      <c r="B2579" t="s">
        <v>2994</v>
      </c>
      <c r="C2579" t="s">
        <v>3013</v>
      </c>
      <c r="D2579" s="14" t="s">
        <v>3014</v>
      </c>
      <c r="E2579" s="12" t="s">
        <v>28</v>
      </c>
      <c r="F2579" s="13" t="s">
        <v>29</v>
      </c>
      <c r="G2579">
        <v>1</v>
      </c>
      <c r="H2579" t="s">
        <v>30</v>
      </c>
      <c r="I2579">
        <v>1</v>
      </c>
      <c r="J2579" s="15"/>
      <c r="K2579" s="16">
        <f>168.24 - (168.24 * $E$1)</f>
        <v>168.24</v>
      </c>
      <c r="L2579" s="16">
        <f>137.9 - (137.9 * $E$1)</f>
        <v>137.9</v>
      </c>
      <c r="M2579" s="1">
        <v>168.24</v>
      </c>
      <c r="N2579" s="1">
        <v>137.9</v>
      </c>
      <c r="O2579" s="1">
        <v>143</v>
      </c>
      <c r="P2579" s="1">
        <v>117.22</v>
      </c>
      <c r="Q2579">
        <v>0.02</v>
      </c>
      <c r="R2579">
        <v>2.4000000000000001E-4</v>
      </c>
    </row>
    <row r="2580" spans="1:18" ht="13.8" outlineLevel="2" x14ac:dyDescent="0.25">
      <c r="A2580">
        <v>89781</v>
      </c>
      <c r="B2580" t="s">
        <v>2994</v>
      </c>
      <c r="C2580" t="s">
        <v>3015</v>
      </c>
      <c r="D2580" s="14" t="s">
        <v>3014</v>
      </c>
      <c r="E2580" s="12" t="s">
        <v>28</v>
      </c>
      <c r="F2580" s="13" t="s">
        <v>29</v>
      </c>
      <c r="G2580">
        <v>1</v>
      </c>
      <c r="H2580" t="s">
        <v>30</v>
      </c>
      <c r="I2580">
        <v>1</v>
      </c>
      <c r="J2580" s="15"/>
      <c r="K2580" s="16">
        <f>183.52 - (183.52 * $E$1)</f>
        <v>183.52</v>
      </c>
      <c r="L2580" s="16">
        <f>150.43 - (150.43 * $E$1)</f>
        <v>150.43</v>
      </c>
      <c r="M2580" s="1">
        <v>183.52</v>
      </c>
      <c r="N2580" s="1">
        <v>150.43</v>
      </c>
      <c r="O2580" s="1">
        <v>156</v>
      </c>
      <c r="P2580" s="1">
        <v>127.87</v>
      </c>
      <c r="Q2580">
        <v>2.4E-2</v>
      </c>
      <c r="R2580">
        <v>4.8000000000000001E-4</v>
      </c>
    </row>
    <row r="2581" spans="1:18" ht="13.8" outlineLevel="2" x14ac:dyDescent="0.25">
      <c r="A2581">
        <v>89782</v>
      </c>
      <c r="B2581" t="s">
        <v>2994</v>
      </c>
      <c r="C2581" t="s">
        <v>3016</v>
      </c>
      <c r="D2581" s="14" t="s">
        <v>3014</v>
      </c>
      <c r="E2581" s="12" t="s">
        <v>28</v>
      </c>
      <c r="F2581" s="13" t="s">
        <v>29</v>
      </c>
      <c r="G2581">
        <v>1</v>
      </c>
      <c r="H2581" t="s">
        <v>30</v>
      </c>
      <c r="I2581">
        <v>1</v>
      </c>
      <c r="J2581" s="15"/>
      <c r="K2581" s="16">
        <f>234.87 - (234.87 * $E$1)</f>
        <v>234.87</v>
      </c>
      <c r="L2581" s="16">
        <f>192.52 - (192.52 * $E$1)</f>
        <v>192.52</v>
      </c>
      <c r="M2581" s="1">
        <v>234.87</v>
      </c>
      <c r="N2581" s="1">
        <v>192.52</v>
      </c>
      <c r="O2581" s="1">
        <v>199.64</v>
      </c>
      <c r="P2581" s="1">
        <v>163.63999999999999</v>
      </c>
      <c r="Q2581">
        <v>3.4000000000000002E-2</v>
      </c>
      <c r="R2581">
        <v>4.8000000000000001E-4</v>
      </c>
    </row>
    <row r="2582" spans="1:18" ht="13.8" outlineLevel="2" x14ac:dyDescent="0.25">
      <c r="A2582">
        <v>89783</v>
      </c>
      <c r="B2582" t="s">
        <v>2994</v>
      </c>
      <c r="C2582" t="s">
        <v>3017</v>
      </c>
      <c r="D2582" s="14" t="s">
        <v>3014</v>
      </c>
      <c r="E2582" s="12" t="s">
        <v>28</v>
      </c>
      <c r="F2582" s="13" t="s">
        <v>29</v>
      </c>
      <c r="G2582">
        <v>1</v>
      </c>
      <c r="H2582" t="s">
        <v>30</v>
      </c>
      <c r="I2582">
        <v>1</v>
      </c>
      <c r="J2582" s="15"/>
      <c r="K2582" s="16">
        <f>226.14 - (226.14 * $E$1)</f>
        <v>226.14</v>
      </c>
      <c r="L2582" s="16">
        <f>185.36 - (185.36 * $E$1)</f>
        <v>185.36</v>
      </c>
      <c r="M2582" s="1">
        <v>226.14</v>
      </c>
      <c r="N2582" s="1">
        <v>185.36</v>
      </c>
      <c r="O2582" s="1">
        <v>192.22</v>
      </c>
      <c r="P2582" s="1">
        <v>157.56</v>
      </c>
      <c r="Q2582">
        <v>3.4000000000000002E-2</v>
      </c>
      <c r="R2582">
        <v>4.8000000000000001E-4</v>
      </c>
    </row>
    <row r="2583" spans="1:18" ht="13.8" outlineLevel="2" x14ac:dyDescent="0.25">
      <c r="A2583">
        <v>89784</v>
      </c>
      <c r="B2583" t="s">
        <v>2994</v>
      </c>
      <c r="C2583" t="s">
        <v>3018</v>
      </c>
      <c r="D2583" s="14" t="s">
        <v>3014</v>
      </c>
      <c r="E2583" s="12" t="s">
        <v>28</v>
      </c>
      <c r="F2583" s="13" t="s">
        <v>29</v>
      </c>
      <c r="G2583">
        <v>1</v>
      </c>
      <c r="H2583" t="s">
        <v>30</v>
      </c>
      <c r="I2583">
        <v>1</v>
      </c>
      <c r="J2583" s="15"/>
      <c r="K2583" s="16">
        <f>182.44 - (182.44 * $E$1)</f>
        <v>182.44</v>
      </c>
      <c r="L2583" s="16">
        <f>149.54 - (149.54 * $E$1)</f>
        <v>149.54</v>
      </c>
      <c r="M2583" s="1">
        <v>182.44</v>
      </c>
      <c r="N2583" s="1">
        <v>149.54</v>
      </c>
      <c r="O2583" s="1">
        <v>155.07</v>
      </c>
      <c r="P2583" s="1">
        <v>127.11</v>
      </c>
      <c r="Q2583">
        <v>2.5999999999999999E-2</v>
      </c>
      <c r="R2583">
        <v>4.5600000000000003E-4</v>
      </c>
    </row>
    <row r="2584" spans="1:18" ht="13.8" outlineLevel="2" x14ac:dyDescent="0.25">
      <c r="A2584">
        <v>89785</v>
      </c>
      <c r="B2584" t="s">
        <v>2994</v>
      </c>
      <c r="C2584" t="s">
        <v>3019</v>
      </c>
      <c r="D2584" s="14" t="s">
        <v>3014</v>
      </c>
      <c r="E2584" s="12" t="s">
        <v>28</v>
      </c>
      <c r="F2584" s="13" t="s">
        <v>29</v>
      </c>
      <c r="G2584">
        <v>1</v>
      </c>
      <c r="H2584" t="s">
        <v>30</v>
      </c>
      <c r="I2584">
        <v>1</v>
      </c>
      <c r="J2584" s="15"/>
      <c r="K2584" s="16">
        <f>213.02 - (213.02 * $E$1)</f>
        <v>213.02</v>
      </c>
      <c r="L2584" s="16">
        <f>174.61 - (174.61 * $E$1)</f>
        <v>174.61</v>
      </c>
      <c r="M2584" s="1">
        <v>213.02</v>
      </c>
      <c r="N2584" s="1">
        <v>174.61</v>
      </c>
      <c r="O2584" s="1">
        <v>181.07</v>
      </c>
      <c r="P2584" s="1">
        <v>148.41999999999999</v>
      </c>
      <c r="Q2584">
        <v>0.03</v>
      </c>
      <c r="R2584">
        <v>2.4000000000000001E-4</v>
      </c>
    </row>
    <row r="2585" spans="1:18" ht="13.8" outlineLevel="2" x14ac:dyDescent="0.25">
      <c r="A2585">
        <v>89779</v>
      </c>
      <c r="B2585" t="s">
        <v>2994</v>
      </c>
      <c r="C2585" t="s">
        <v>3020</v>
      </c>
      <c r="D2585" s="14" t="s">
        <v>3014</v>
      </c>
      <c r="E2585" s="12" t="s">
        <v>28</v>
      </c>
      <c r="F2585" s="13" t="s">
        <v>29</v>
      </c>
      <c r="G2585">
        <v>1</v>
      </c>
      <c r="H2585" t="s">
        <v>30</v>
      </c>
      <c r="I2585">
        <v>1</v>
      </c>
      <c r="J2585" s="15"/>
      <c r="K2585" s="16">
        <f>209.75 - (209.75 * $E$1)</f>
        <v>209.75</v>
      </c>
      <c r="L2585" s="16">
        <f>171.93 - (171.93 * $E$1)</f>
        <v>171.93</v>
      </c>
      <c r="M2585" s="1">
        <v>209.75</v>
      </c>
      <c r="N2585" s="1">
        <v>171.93</v>
      </c>
      <c r="O2585" s="1">
        <v>178.29</v>
      </c>
      <c r="P2585" s="1">
        <v>146.13999999999999</v>
      </c>
      <c r="Q2585">
        <v>2.5999999999999999E-2</v>
      </c>
      <c r="R2585">
        <v>4.8000000000000001E-4</v>
      </c>
    </row>
    <row r="2586" spans="1:18" ht="13.8" outlineLevel="2" x14ac:dyDescent="0.25">
      <c r="A2586">
        <v>73645</v>
      </c>
      <c r="B2586" t="s">
        <v>2994</v>
      </c>
      <c r="C2586" t="s">
        <v>3021</v>
      </c>
      <c r="D2586" s="14" t="s">
        <v>3022</v>
      </c>
      <c r="E2586" s="12" t="s">
        <v>28</v>
      </c>
      <c r="F2586" s="13" t="s">
        <v>29</v>
      </c>
      <c r="G2586">
        <v>1</v>
      </c>
      <c r="H2586" t="s">
        <v>30</v>
      </c>
      <c r="I2586">
        <v>1</v>
      </c>
      <c r="J2586" s="15"/>
      <c r="K2586" s="16">
        <f>93.84 - (93.84 * $E$1)</f>
        <v>93.84</v>
      </c>
      <c r="L2586" s="16">
        <f>76.92 - (76.92 * $E$1)</f>
        <v>76.92</v>
      </c>
      <c r="M2586" s="1">
        <v>93.84</v>
      </c>
      <c r="N2586" s="1">
        <v>76.92</v>
      </c>
      <c r="O2586" s="1">
        <v>79.77</v>
      </c>
      <c r="P2586" s="1">
        <v>65.38</v>
      </c>
      <c r="Q2586">
        <v>8.0000000000000002E-3</v>
      </c>
      <c r="R2586">
        <v>7.1500000000000003E-4</v>
      </c>
    </row>
    <row r="2587" spans="1:18" ht="13.8" outlineLevel="2" x14ac:dyDescent="0.25">
      <c r="A2587">
        <v>73646</v>
      </c>
      <c r="B2587" t="s">
        <v>2994</v>
      </c>
      <c r="C2587" t="s">
        <v>3023</v>
      </c>
      <c r="D2587" s="14" t="s">
        <v>3022</v>
      </c>
      <c r="E2587" s="12" t="s">
        <v>28</v>
      </c>
      <c r="F2587" s="13" t="s">
        <v>29</v>
      </c>
      <c r="G2587">
        <v>1</v>
      </c>
      <c r="H2587" t="s">
        <v>30</v>
      </c>
      <c r="I2587">
        <v>1</v>
      </c>
      <c r="J2587" s="15"/>
      <c r="K2587" s="16">
        <f>99.83 - (99.83 * $E$1)</f>
        <v>99.83</v>
      </c>
      <c r="L2587" s="16">
        <f>81.83 - (81.83 * $E$1)</f>
        <v>81.83</v>
      </c>
      <c r="M2587" s="1">
        <v>99.83</v>
      </c>
      <c r="N2587" s="1">
        <v>81.83</v>
      </c>
      <c r="O2587" s="1">
        <v>84.86</v>
      </c>
      <c r="P2587" s="1">
        <v>69.56</v>
      </c>
      <c r="Q2587">
        <v>0.01</v>
      </c>
      <c r="R2587">
        <v>7.1500000000000003E-4</v>
      </c>
    </row>
    <row r="2588" spans="1:18" ht="13.8" outlineLevel="2" x14ac:dyDescent="0.25">
      <c r="A2588">
        <v>73647</v>
      </c>
      <c r="B2588" t="s">
        <v>2994</v>
      </c>
      <c r="C2588" t="s">
        <v>3024</v>
      </c>
      <c r="D2588" s="14" t="s">
        <v>3022</v>
      </c>
      <c r="E2588" s="12" t="s">
        <v>28</v>
      </c>
      <c r="F2588" s="13" t="s">
        <v>29</v>
      </c>
      <c r="G2588">
        <v>1</v>
      </c>
      <c r="H2588" t="s">
        <v>30</v>
      </c>
      <c r="I2588">
        <v>1</v>
      </c>
      <c r="J2588" s="15"/>
      <c r="K2588" s="16">
        <f>106.03 - (106.03 * $E$1)</f>
        <v>106.03</v>
      </c>
      <c r="L2588" s="16">
        <f>86.91 - (86.91 * $E$1)</f>
        <v>86.91</v>
      </c>
      <c r="M2588" s="1">
        <v>106.03</v>
      </c>
      <c r="N2588" s="1">
        <v>86.91</v>
      </c>
      <c r="O2588" s="1">
        <v>90.13</v>
      </c>
      <c r="P2588" s="1">
        <v>73.87</v>
      </c>
      <c r="Q2588">
        <v>1.2999999999999999E-2</v>
      </c>
      <c r="R2588">
        <v>7.1500000000000003E-4</v>
      </c>
    </row>
    <row r="2589" spans="1:18" ht="13.8" outlineLevel="2" x14ac:dyDescent="0.25">
      <c r="A2589">
        <v>73648</v>
      </c>
      <c r="B2589" t="s">
        <v>2994</v>
      </c>
      <c r="C2589" t="s">
        <v>3025</v>
      </c>
      <c r="D2589" s="14" t="s">
        <v>3022</v>
      </c>
      <c r="E2589" s="12" t="s">
        <v>28</v>
      </c>
      <c r="F2589" s="13" t="s">
        <v>29</v>
      </c>
      <c r="G2589">
        <v>1</v>
      </c>
      <c r="H2589" t="s">
        <v>30</v>
      </c>
      <c r="I2589">
        <v>1</v>
      </c>
      <c r="J2589" s="15"/>
      <c r="K2589" s="16">
        <f>119.97 - (119.97 * $E$1)</f>
        <v>119.97</v>
      </c>
      <c r="L2589" s="16">
        <f>98.34 - (98.34 * $E$1)</f>
        <v>98.34</v>
      </c>
      <c r="M2589" s="1">
        <v>119.97</v>
      </c>
      <c r="N2589" s="1">
        <v>98.34</v>
      </c>
      <c r="O2589" s="1">
        <v>101.98</v>
      </c>
      <c r="P2589" s="1">
        <v>83.59</v>
      </c>
      <c r="Q2589">
        <v>1.4999999999999999E-2</v>
      </c>
      <c r="R2589">
        <v>7.1500000000000003E-4</v>
      </c>
    </row>
    <row r="2590" spans="1:18" ht="13.8" outlineLevel="2" x14ac:dyDescent="0.25">
      <c r="A2590">
        <v>73649</v>
      </c>
      <c r="B2590" t="s">
        <v>2994</v>
      </c>
      <c r="C2590" t="s">
        <v>3026</v>
      </c>
      <c r="D2590" s="14" t="s">
        <v>3022</v>
      </c>
      <c r="E2590" s="12" t="s">
        <v>28</v>
      </c>
      <c r="F2590" s="13" t="s">
        <v>29</v>
      </c>
      <c r="G2590">
        <v>1</v>
      </c>
      <c r="H2590" t="s">
        <v>30</v>
      </c>
      <c r="I2590">
        <v>1</v>
      </c>
      <c r="J2590" s="15"/>
      <c r="K2590" s="16">
        <f>119.01 - (119.01 * $E$1)</f>
        <v>119.01</v>
      </c>
      <c r="L2590" s="16">
        <f>97.55 - (97.55 * $E$1)</f>
        <v>97.55</v>
      </c>
      <c r="M2590" s="1">
        <v>119.01</v>
      </c>
      <c r="N2590" s="1">
        <v>97.55</v>
      </c>
      <c r="O2590" s="1">
        <v>101.16</v>
      </c>
      <c r="P2590" s="1">
        <v>82.92</v>
      </c>
      <c r="Q2590">
        <v>1.7000000000000001E-2</v>
      </c>
      <c r="R2590">
        <v>7.1500000000000003E-4</v>
      </c>
    </row>
    <row r="2591" spans="1:18" ht="13.8" outlineLevel="2" x14ac:dyDescent="0.25">
      <c r="A2591">
        <v>73650</v>
      </c>
      <c r="B2591" t="s">
        <v>2994</v>
      </c>
      <c r="C2591" t="s">
        <v>3027</v>
      </c>
      <c r="D2591" s="14" t="s">
        <v>3022</v>
      </c>
      <c r="E2591" s="12" t="s">
        <v>28</v>
      </c>
      <c r="F2591" s="13" t="s">
        <v>29</v>
      </c>
      <c r="G2591">
        <v>1</v>
      </c>
      <c r="H2591" t="s">
        <v>30</v>
      </c>
      <c r="I2591">
        <v>1</v>
      </c>
      <c r="J2591" s="15"/>
      <c r="K2591" s="16">
        <f>113.41 - (113.41 * $E$1)</f>
        <v>113.41</v>
      </c>
      <c r="L2591" s="16">
        <f>92.96 - (92.96 * $E$1)</f>
        <v>92.96</v>
      </c>
      <c r="M2591" s="1">
        <v>113.41</v>
      </c>
      <c r="N2591" s="1">
        <v>92.96</v>
      </c>
      <c r="O2591" s="1">
        <v>96.4</v>
      </c>
      <c r="P2591" s="1">
        <v>79.02</v>
      </c>
      <c r="Q2591">
        <v>2.4E-2</v>
      </c>
      <c r="R2591">
        <v>7.1500000000000003E-4</v>
      </c>
    </row>
    <row r="2592" spans="1:18" ht="13.8" outlineLevel="2" x14ac:dyDescent="0.25">
      <c r="A2592">
        <v>73651</v>
      </c>
      <c r="B2592" t="s">
        <v>2994</v>
      </c>
      <c r="C2592" t="s">
        <v>3028</v>
      </c>
      <c r="D2592" s="14" t="s">
        <v>3022</v>
      </c>
      <c r="E2592" s="12" t="s">
        <v>28</v>
      </c>
      <c r="F2592" s="13" t="s">
        <v>29</v>
      </c>
      <c r="G2592">
        <v>1</v>
      </c>
      <c r="H2592" t="s">
        <v>30</v>
      </c>
      <c r="I2592">
        <v>1</v>
      </c>
      <c r="J2592" s="15"/>
      <c r="K2592" s="16">
        <f>121.27 - (121.27 * $E$1)</f>
        <v>121.27</v>
      </c>
      <c r="L2592" s="16">
        <f>99.4 - (99.4 * $E$1)</f>
        <v>99.4</v>
      </c>
      <c r="M2592" s="1">
        <v>121.27</v>
      </c>
      <c r="N2592" s="1">
        <v>99.4</v>
      </c>
      <c r="O2592" s="1">
        <v>103.08</v>
      </c>
      <c r="P2592" s="1">
        <v>84.49</v>
      </c>
      <c r="Q2592">
        <v>0.03</v>
      </c>
      <c r="R2592">
        <v>7.1500000000000003E-4</v>
      </c>
    </row>
    <row r="2593" spans="1:18" ht="13.8" outlineLevel="2" x14ac:dyDescent="0.25">
      <c r="A2593">
        <v>73652</v>
      </c>
      <c r="B2593" t="s">
        <v>2994</v>
      </c>
      <c r="C2593" t="s">
        <v>3029</v>
      </c>
      <c r="D2593" s="14" t="s">
        <v>3022</v>
      </c>
      <c r="E2593" s="12" t="s">
        <v>28</v>
      </c>
      <c r="F2593" s="13" t="s">
        <v>29</v>
      </c>
      <c r="G2593">
        <v>1</v>
      </c>
      <c r="H2593" t="s">
        <v>30</v>
      </c>
      <c r="I2593">
        <v>1</v>
      </c>
      <c r="J2593" s="15"/>
      <c r="K2593" s="16">
        <f>126.44 - (126.44 * $E$1)</f>
        <v>126.44</v>
      </c>
      <c r="L2593" s="16">
        <f>103.64 - (103.64 * $E$1)</f>
        <v>103.64</v>
      </c>
      <c r="M2593" s="1">
        <v>126.44</v>
      </c>
      <c r="N2593" s="1">
        <v>103.64</v>
      </c>
      <c r="O2593" s="1">
        <v>107.47</v>
      </c>
      <c r="P2593" s="1">
        <v>88.09</v>
      </c>
      <c r="Q2593">
        <v>3.5000000000000003E-2</v>
      </c>
      <c r="R2593">
        <v>7.1500000000000003E-4</v>
      </c>
    </row>
    <row r="2594" spans="1:18" ht="13.8" outlineLevel="2" x14ac:dyDescent="0.25">
      <c r="A2594">
        <v>73653</v>
      </c>
      <c r="B2594" t="s">
        <v>2994</v>
      </c>
      <c r="C2594" t="s">
        <v>3030</v>
      </c>
      <c r="D2594" s="14" t="s">
        <v>3022</v>
      </c>
      <c r="E2594" s="12" t="s">
        <v>28</v>
      </c>
      <c r="F2594" s="13" t="s">
        <v>29</v>
      </c>
      <c r="G2594">
        <v>1</v>
      </c>
      <c r="H2594" t="s">
        <v>30</v>
      </c>
      <c r="I2594">
        <v>1</v>
      </c>
      <c r="J2594" s="15"/>
      <c r="K2594" s="16">
        <f>170.75 - (170.75 * $E$1)</f>
        <v>170.75</v>
      </c>
      <c r="L2594" s="16">
        <f>139.96 - (139.96 * $E$1)</f>
        <v>139.96</v>
      </c>
      <c r="M2594" s="1">
        <v>170.75</v>
      </c>
      <c r="N2594" s="1">
        <v>139.96</v>
      </c>
      <c r="O2594" s="1">
        <v>145.13999999999999</v>
      </c>
      <c r="P2594" s="1">
        <v>118.97</v>
      </c>
      <c r="Q2594">
        <v>5.8999999999999997E-2</v>
      </c>
      <c r="R2594">
        <v>7.1500000000000003E-4</v>
      </c>
    </row>
    <row r="2595" spans="1:18" ht="13.8" outlineLevel="2" x14ac:dyDescent="0.25">
      <c r="A2595">
        <v>73654</v>
      </c>
      <c r="B2595" t="s">
        <v>2994</v>
      </c>
      <c r="C2595" t="s">
        <v>3031</v>
      </c>
      <c r="D2595" s="14" t="s">
        <v>3022</v>
      </c>
      <c r="E2595" s="12" t="s">
        <v>28</v>
      </c>
      <c r="F2595" s="13" t="s">
        <v>29</v>
      </c>
      <c r="G2595">
        <v>1</v>
      </c>
      <c r="H2595" t="s">
        <v>30</v>
      </c>
      <c r="I2595">
        <v>1</v>
      </c>
      <c r="J2595" s="15"/>
      <c r="K2595" s="16">
        <f>186.53 - (186.53 * $E$1)</f>
        <v>186.53</v>
      </c>
      <c r="L2595" s="16">
        <f>152.89 - (152.89 * $E$1)</f>
        <v>152.88999999999999</v>
      </c>
      <c r="M2595" s="1">
        <v>186.53</v>
      </c>
      <c r="N2595" s="1">
        <v>152.88999999999999</v>
      </c>
      <c r="O2595" s="1">
        <v>158.55000000000001</v>
      </c>
      <c r="P2595" s="1">
        <v>129.96</v>
      </c>
      <c r="Q2595">
        <v>7.3999999999999996E-2</v>
      </c>
      <c r="R2595">
        <v>7.1500000000000003E-4</v>
      </c>
    </row>
    <row r="2596" spans="1:18" ht="13.8" outlineLevel="2" x14ac:dyDescent="0.25">
      <c r="A2596">
        <v>73655</v>
      </c>
      <c r="B2596" t="s">
        <v>2994</v>
      </c>
      <c r="C2596" t="s">
        <v>3032</v>
      </c>
      <c r="D2596" s="14" t="s">
        <v>3022</v>
      </c>
      <c r="E2596" s="12" t="s">
        <v>28</v>
      </c>
      <c r="F2596" s="13" t="s">
        <v>29</v>
      </c>
      <c r="G2596">
        <v>1</v>
      </c>
      <c r="H2596" t="s">
        <v>30</v>
      </c>
      <c r="I2596">
        <v>1</v>
      </c>
      <c r="J2596" s="15"/>
      <c r="K2596" s="16">
        <f>149.78 - (149.78 * $E$1)</f>
        <v>149.78</v>
      </c>
      <c r="L2596" s="16">
        <f>122.77 - (122.77 * $E$1)</f>
        <v>122.77</v>
      </c>
      <c r="M2596" s="1">
        <v>149.78</v>
      </c>
      <c r="N2596" s="1">
        <v>122.77</v>
      </c>
      <c r="O2596" s="1">
        <v>127.31</v>
      </c>
      <c r="P2596" s="1">
        <v>104.35</v>
      </c>
      <c r="Q2596">
        <v>2.5000000000000001E-2</v>
      </c>
      <c r="R2596">
        <v>7.1500000000000003E-4</v>
      </c>
    </row>
    <row r="2597" spans="1:18" ht="13.8" outlineLevel="2" x14ac:dyDescent="0.25">
      <c r="A2597">
        <v>87312</v>
      </c>
      <c r="B2597" t="s">
        <v>2994</v>
      </c>
      <c r="C2597" t="s">
        <v>3033</v>
      </c>
      <c r="D2597" s="14" t="s">
        <v>3033</v>
      </c>
      <c r="E2597" s="12" t="s">
        <v>28</v>
      </c>
      <c r="F2597" s="13" t="s">
        <v>29</v>
      </c>
      <c r="G2597">
        <v>1</v>
      </c>
      <c r="H2597" t="s">
        <v>30</v>
      </c>
      <c r="I2597">
        <v>1</v>
      </c>
      <c r="J2597" s="15"/>
      <c r="K2597" s="16">
        <f>168.76 - (168.76 * $E$1)</f>
        <v>168.76</v>
      </c>
      <c r="L2597" s="16">
        <f>138.33 - (138.33 * $E$1)</f>
        <v>138.33000000000001</v>
      </c>
      <c r="M2597" s="1">
        <v>168.76</v>
      </c>
      <c r="N2597" s="1">
        <v>138.33000000000001</v>
      </c>
      <c r="O2597" s="1">
        <v>143.44999999999999</v>
      </c>
      <c r="P2597" s="1">
        <v>117.58</v>
      </c>
      <c r="Q2597">
        <v>2.0400000000000001E-2</v>
      </c>
      <c r="R2597">
        <v>1.46E-4</v>
      </c>
    </row>
    <row r="2598" spans="1:18" ht="13.8" outlineLevel="2" x14ac:dyDescent="0.25">
      <c r="A2598">
        <v>87313</v>
      </c>
      <c r="B2598" t="s">
        <v>2994</v>
      </c>
      <c r="C2598" t="s">
        <v>3034</v>
      </c>
      <c r="D2598" s="14" t="s">
        <v>3034</v>
      </c>
      <c r="E2598" s="12" t="s">
        <v>28</v>
      </c>
      <c r="F2598" s="13" t="s">
        <v>29</v>
      </c>
      <c r="G2598">
        <v>1</v>
      </c>
      <c r="H2598" t="s">
        <v>30</v>
      </c>
      <c r="I2598">
        <v>1</v>
      </c>
      <c r="J2598" s="15"/>
      <c r="K2598" s="16">
        <f>171.34 - (171.34 * $E$1)</f>
        <v>171.34</v>
      </c>
      <c r="L2598" s="16">
        <f>140.44 - (140.44 * $E$1)</f>
        <v>140.44</v>
      </c>
      <c r="M2598" s="1">
        <v>171.34</v>
      </c>
      <c r="N2598" s="1">
        <v>140.44</v>
      </c>
      <c r="O2598" s="1">
        <v>145.63999999999999</v>
      </c>
      <c r="P2598" s="1">
        <v>119.37</v>
      </c>
      <c r="Q2598">
        <v>2.9000000000000001E-2</v>
      </c>
      <c r="R2598">
        <v>2.3000000000000001E-4</v>
      </c>
    </row>
    <row r="2599" spans="1:18" ht="13.8" outlineLevel="2" x14ac:dyDescent="0.25">
      <c r="A2599">
        <v>87314</v>
      </c>
      <c r="B2599" t="s">
        <v>2994</v>
      </c>
      <c r="C2599" t="s">
        <v>3035</v>
      </c>
      <c r="D2599" s="14" t="s">
        <v>3035</v>
      </c>
      <c r="E2599" s="12" t="s">
        <v>28</v>
      </c>
      <c r="F2599" s="13" t="s">
        <v>29</v>
      </c>
      <c r="G2599">
        <v>1</v>
      </c>
      <c r="H2599" t="s">
        <v>30</v>
      </c>
      <c r="I2599">
        <v>1</v>
      </c>
      <c r="J2599" s="15"/>
      <c r="K2599" s="16">
        <f>215.49 - (215.49 * $E$1)</f>
        <v>215.49</v>
      </c>
      <c r="L2599" s="16">
        <f>176.63 - (176.63 * $E$1)</f>
        <v>176.63</v>
      </c>
      <c r="M2599" s="1">
        <v>215.49</v>
      </c>
      <c r="N2599" s="1">
        <v>176.63</v>
      </c>
      <c r="O2599" s="1">
        <v>183.17</v>
      </c>
      <c r="P2599" s="1">
        <v>150.13999999999999</v>
      </c>
      <c r="Q2599">
        <v>3.5999999999999997E-2</v>
      </c>
      <c r="R2599">
        <v>6.8400000000000004E-4</v>
      </c>
    </row>
    <row r="2600" spans="1:18" ht="13.8" outlineLevel="2" x14ac:dyDescent="0.25">
      <c r="A2600">
        <v>85291</v>
      </c>
      <c r="B2600" t="s">
        <v>2994</v>
      </c>
      <c r="C2600" t="s">
        <v>3036</v>
      </c>
      <c r="D2600" s="14" t="s">
        <v>3037</v>
      </c>
      <c r="E2600" s="12" t="s">
        <v>28</v>
      </c>
      <c r="F2600" s="13" t="s">
        <v>29</v>
      </c>
      <c r="G2600">
        <v>1</v>
      </c>
      <c r="H2600" t="s">
        <v>30</v>
      </c>
      <c r="I2600">
        <v>1</v>
      </c>
      <c r="J2600" s="15"/>
      <c r="K2600" s="16">
        <f>1196.61 - (1196.61 * $E$1)</f>
        <v>1196.6099999999999</v>
      </c>
      <c r="L2600" s="16">
        <f>980.83 - (980.83 * $E$1)</f>
        <v>980.83</v>
      </c>
      <c r="M2600" s="1">
        <v>1196.6099999999999</v>
      </c>
      <c r="N2600" s="1">
        <v>980.83</v>
      </c>
      <c r="O2600" s="1">
        <v>1017.12</v>
      </c>
      <c r="P2600" s="1">
        <v>833.71</v>
      </c>
      <c r="Q2600">
        <v>0.22</v>
      </c>
      <c r="R2600">
        <v>3.7079999999999999E-3</v>
      </c>
    </row>
    <row r="2601" spans="1:18" ht="13.8" outlineLevel="2" x14ac:dyDescent="0.25">
      <c r="A2601">
        <v>85292</v>
      </c>
      <c r="B2601" t="s">
        <v>2994</v>
      </c>
      <c r="C2601" t="s">
        <v>3038</v>
      </c>
      <c r="D2601" s="14" t="s">
        <v>3037</v>
      </c>
      <c r="E2601" s="12" t="s">
        <v>28</v>
      </c>
      <c r="F2601" s="13" t="s">
        <v>29</v>
      </c>
      <c r="G2601">
        <v>1</v>
      </c>
      <c r="H2601" t="s">
        <v>30</v>
      </c>
      <c r="I2601">
        <v>1</v>
      </c>
      <c r="J2601" s="15"/>
      <c r="K2601" s="16">
        <f>587.2 - (587.2 * $E$1)</f>
        <v>587.20000000000005</v>
      </c>
      <c r="L2601" s="16">
        <f>481.31 - (481.31 * $E$1)</f>
        <v>481.31</v>
      </c>
      <c r="M2601" s="1">
        <v>587.20000000000005</v>
      </c>
      <c r="N2601" s="1">
        <v>481.31</v>
      </c>
      <c r="O2601" s="1">
        <v>499.12</v>
      </c>
      <c r="P2601" s="1">
        <v>409.11</v>
      </c>
      <c r="Q2601">
        <v>0.13</v>
      </c>
      <c r="R2601">
        <v>1.6479999999999999E-3</v>
      </c>
    </row>
    <row r="2602" spans="1:18" ht="13.8" outlineLevel="2" x14ac:dyDescent="0.25">
      <c r="A2602">
        <v>85293</v>
      </c>
      <c r="B2602" t="s">
        <v>2994</v>
      </c>
      <c r="C2602" t="s">
        <v>3039</v>
      </c>
      <c r="D2602" s="14" t="s">
        <v>3037</v>
      </c>
      <c r="E2602" s="12" t="s">
        <v>28</v>
      </c>
      <c r="F2602" s="13" t="s">
        <v>29</v>
      </c>
      <c r="G2602">
        <v>1</v>
      </c>
      <c r="H2602" t="s">
        <v>30</v>
      </c>
      <c r="I2602">
        <v>1</v>
      </c>
      <c r="J2602" s="15"/>
      <c r="K2602" s="16">
        <f>643.73 - (643.73 * $E$1)</f>
        <v>643.73</v>
      </c>
      <c r="L2602" s="16">
        <f>527.65 - (527.65 * $E$1)</f>
        <v>527.65</v>
      </c>
      <c r="M2602" s="1">
        <v>643.73</v>
      </c>
      <c r="N2602" s="1">
        <v>527.65</v>
      </c>
      <c r="O2602" s="1">
        <v>547.16999999999996</v>
      </c>
      <c r="P2602" s="1">
        <v>448.5</v>
      </c>
      <c r="Q2602">
        <v>0.16</v>
      </c>
      <c r="R2602">
        <v>8.1599999999999999E-4</v>
      </c>
    </row>
    <row r="2603" spans="1:18" ht="13.8" outlineLevel="2" x14ac:dyDescent="0.25">
      <c r="A2603">
        <v>85294</v>
      </c>
      <c r="B2603" t="s">
        <v>2994</v>
      </c>
      <c r="C2603" t="s">
        <v>3040</v>
      </c>
      <c r="D2603" s="14" t="s">
        <v>3037</v>
      </c>
      <c r="E2603" s="12" t="s">
        <v>28</v>
      </c>
      <c r="F2603" s="13" t="s">
        <v>29</v>
      </c>
      <c r="G2603">
        <v>1</v>
      </c>
      <c r="H2603" t="s">
        <v>30</v>
      </c>
      <c r="I2603">
        <v>1</v>
      </c>
      <c r="J2603" s="15"/>
      <c r="K2603" s="16">
        <f>740.34 - (740.34 * $E$1)</f>
        <v>740.34</v>
      </c>
      <c r="L2603" s="16">
        <f>606.84 - (606.84 * $E$1)</f>
        <v>606.84</v>
      </c>
      <c r="M2603" s="1">
        <v>740.34</v>
      </c>
      <c r="N2603" s="1">
        <v>606.84</v>
      </c>
      <c r="O2603" s="1">
        <v>629.29</v>
      </c>
      <c r="P2603" s="1">
        <v>515.80999999999995</v>
      </c>
      <c r="Q2603">
        <v>0.24</v>
      </c>
      <c r="R2603">
        <v>1.224E-3</v>
      </c>
    </row>
    <row r="2604" spans="1:18" ht="13.8" outlineLevel="2" x14ac:dyDescent="0.25">
      <c r="A2604">
        <v>85295</v>
      </c>
      <c r="B2604" t="s">
        <v>2994</v>
      </c>
      <c r="C2604" t="s">
        <v>3041</v>
      </c>
      <c r="D2604" s="14" t="s">
        <v>3037</v>
      </c>
      <c r="E2604" s="12" t="s">
        <v>28</v>
      </c>
      <c r="F2604" s="13" t="s">
        <v>29</v>
      </c>
      <c r="G2604">
        <v>1</v>
      </c>
      <c r="H2604" t="s">
        <v>30</v>
      </c>
      <c r="I2604">
        <v>1</v>
      </c>
      <c r="J2604" s="15"/>
      <c r="K2604" s="16">
        <f>791.5 - (791.5 * $E$1)</f>
        <v>791.5</v>
      </c>
      <c r="L2604" s="16">
        <f>648.77 - (648.77 * $E$1)</f>
        <v>648.77</v>
      </c>
      <c r="M2604" s="1">
        <v>791.5</v>
      </c>
      <c r="N2604" s="1">
        <v>648.77</v>
      </c>
      <c r="O2604" s="1">
        <v>672.77</v>
      </c>
      <c r="P2604" s="1">
        <v>551.45000000000005</v>
      </c>
      <c r="Q2604">
        <v>0.32</v>
      </c>
      <c r="R2604">
        <v>1.872E-3</v>
      </c>
    </row>
    <row r="2605" spans="1:18" ht="13.8" outlineLevel="2" x14ac:dyDescent="0.25">
      <c r="A2605">
        <v>85387</v>
      </c>
      <c r="B2605" t="s">
        <v>2994</v>
      </c>
      <c r="C2605" t="s">
        <v>3042</v>
      </c>
      <c r="D2605" s="14" t="s">
        <v>3037</v>
      </c>
      <c r="E2605" s="12" t="s">
        <v>28</v>
      </c>
      <c r="F2605" s="13" t="s">
        <v>29</v>
      </c>
      <c r="G2605">
        <v>1</v>
      </c>
      <c r="H2605" t="s">
        <v>30</v>
      </c>
      <c r="I2605">
        <v>1</v>
      </c>
      <c r="J2605" s="15"/>
      <c r="K2605" s="16">
        <f>639.88 - (639.88 * $E$1)</f>
        <v>639.88</v>
      </c>
      <c r="L2605" s="16">
        <f>524.49 - (524.49 * $E$1)</f>
        <v>524.49</v>
      </c>
      <c r="M2605" s="1">
        <v>639.88</v>
      </c>
      <c r="N2605" s="1">
        <v>524.49</v>
      </c>
      <c r="O2605" s="1">
        <v>543.9</v>
      </c>
      <c r="P2605" s="1">
        <v>445.82</v>
      </c>
      <c r="Q2605">
        <v>0.17</v>
      </c>
      <c r="R2605">
        <v>6.1200000000000002E-4</v>
      </c>
    </row>
    <row r="2606" spans="1:18" ht="13.8" outlineLevel="2" x14ac:dyDescent="0.25">
      <c r="A2606">
        <v>85296</v>
      </c>
      <c r="B2606" t="s">
        <v>2994</v>
      </c>
      <c r="C2606" t="s">
        <v>3043</v>
      </c>
      <c r="D2606" s="14" t="s">
        <v>3037</v>
      </c>
      <c r="E2606" s="12" t="s">
        <v>28</v>
      </c>
      <c r="F2606" s="13" t="s">
        <v>29</v>
      </c>
      <c r="G2606">
        <v>1</v>
      </c>
      <c r="H2606" t="s">
        <v>30</v>
      </c>
      <c r="I2606">
        <v>1</v>
      </c>
      <c r="J2606" s="15"/>
      <c r="K2606" s="16">
        <f>780.82 - (780.82 * $E$1)</f>
        <v>780.82</v>
      </c>
      <c r="L2606" s="16">
        <f>640.02 - (640.02 * $E$1)</f>
        <v>640.02</v>
      </c>
      <c r="M2606" s="1">
        <v>780.82</v>
      </c>
      <c r="N2606" s="1">
        <v>640.02</v>
      </c>
      <c r="O2606" s="1">
        <v>663.7</v>
      </c>
      <c r="P2606" s="1">
        <v>544.02</v>
      </c>
      <c r="Q2606">
        <v>0.33</v>
      </c>
      <c r="R2606">
        <v>1.155E-3</v>
      </c>
    </row>
    <row r="2607" spans="1:18" ht="13.8" outlineLevel="2" x14ac:dyDescent="0.25">
      <c r="A2607">
        <v>85297</v>
      </c>
      <c r="B2607" t="s">
        <v>2994</v>
      </c>
      <c r="C2607" t="s">
        <v>3044</v>
      </c>
      <c r="D2607" s="14" t="s">
        <v>3037</v>
      </c>
      <c r="E2607" s="12" t="s">
        <v>28</v>
      </c>
      <c r="F2607" s="13" t="s">
        <v>29</v>
      </c>
      <c r="G2607">
        <v>1</v>
      </c>
      <c r="H2607" t="s">
        <v>30</v>
      </c>
      <c r="I2607">
        <v>1</v>
      </c>
      <c r="J2607" s="15"/>
      <c r="K2607" s="16">
        <f>557.54 - (557.54 * $E$1)</f>
        <v>557.54</v>
      </c>
      <c r="L2607" s="16">
        <f>457 - (457 * $E$1)</f>
        <v>457</v>
      </c>
      <c r="M2607" s="1">
        <v>557.54</v>
      </c>
      <c r="N2607" s="1">
        <v>457</v>
      </c>
      <c r="O2607" s="1">
        <v>473.91</v>
      </c>
      <c r="P2607" s="1">
        <v>388.45</v>
      </c>
      <c r="Q2607">
        <v>0.2</v>
      </c>
      <c r="R2607">
        <v>6.1200000000000002E-4</v>
      </c>
    </row>
    <row r="2608" spans="1:18" ht="13.8" outlineLevel="2" x14ac:dyDescent="0.25">
      <c r="A2608">
        <v>85298</v>
      </c>
      <c r="B2608" t="s">
        <v>2994</v>
      </c>
      <c r="C2608" t="s">
        <v>3045</v>
      </c>
      <c r="D2608" s="14" t="s">
        <v>3037</v>
      </c>
      <c r="E2608" s="12" t="s">
        <v>28</v>
      </c>
      <c r="F2608" s="13" t="s">
        <v>29</v>
      </c>
      <c r="G2608">
        <v>1</v>
      </c>
      <c r="H2608" t="s">
        <v>30</v>
      </c>
      <c r="I2608">
        <v>1</v>
      </c>
      <c r="J2608" s="15"/>
      <c r="K2608" s="16">
        <f>649.69 - (649.69 * $E$1)</f>
        <v>649.69000000000005</v>
      </c>
      <c r="L2608" s="16">
        <f>532.53 - (532.53 * $E$1)</f>
        <v>532.53</v>
      </c>
      <c r="M2608" s="1">
        <v>649.69000000000005</v>
      </c>
      <c r="N2608" s="1">
        <v>532.53</v>
      </c>
      <c r="O2608" s="1">
        <v>552.23</v>
      </c>
      <c r="P2608" s="1">
        <v>452.65</v>
      </c>
      <c r="Q2608">
        <v>0.2</v>
      </c>
      <c r="R2608">
        <v>6.1200000000000002E-4</v>
      </c>
    </row>
    <row r="2609" spans="1:18" ht="13.8" outlineLevel="2" x14ac:dyDescent="0.25">
      <c r="A2609">
        <v>85299</v>
      </c>
      <c r="B2609" t="s">
        <v>2994</v>
      </c>
      <c r="C2609" t="s">
        <v>3046</v>
      </c>
      <c r="D2609" s="14" t="s">
        <v>3037</v>
      </c>
      <c r="E2609" s="12" t="s">
        <v>28</v>
      </c>
      <c r="F2609" s="13" t="s">
        <v>29</v>
      </c>
      <c r="G2609">
        <v>1</v>
      </c>
      <c r="H2609" t="s">
        <v>30</v>
      </c>
      <c r="I2609">
        <v>1</v>
      </c>
      <c r="J2609" s="15"/>
      <c r="K2609" s="16">
        <f>874.09 - (874.09 * $E$1)</f>
        <v>874.09</v>
      </c>
      <c r="L2609" s="16">
        <f>716.47 - (716.47 * $E$1)</f>
        <v>716.47</v>
      </c>
      <c r="M2609" s="1">
        <v>874.09</v>
      </c>
      <c r="N2609" s="1">
        <v>716.47</v>
      </c>
      <c r="O2609" s="1">
        <v>742.98</v>
      </c>
      <c r="P2609" s="1">
        <v>609</v>
      </c>
      <c r="Q2609">
        <v>0.28999999999999998</v>
      </c>
      <c r="R2609">
        <v>7.1400000000000001E-4</v>
      </c>
    </row>
    <row r="2610" spans="1:18" ht="13.8" outlineLevel="2" x14ac:dyDescent="0.25">
      <c r="A2610">
        <v>85300</v>
      </c>
      <c r="B2610" t="s">
        <v>2994</v>
      </c>
      <c r="C2610" t="s">
        <v>3047</v>
      </c>
      <c r="D2610" s="14" t="s">
        <v>3037</v>
      </c>
      <c r="E2610" s="12" t="s">
        <v>28</v>
      </c>
      <c r="F2610" s="13" t="s">
        <v>29</v>
      </c>
      <c r="G2610">
        <v>1</v>
      </c>
      <c r="H2610" t="s">
        <v>30</v>
      </c>
      <c r="I2610">
        <v>1</v>
      </c>
      <c r="J2610" s="15"/>
      <c r="K2610" s="16">
        <f>1345.28 - (1345.28 * $E$1)</f>
        <v>1345.28</v>
      </c>
      <c r="L2610" s="16">
        <f>1102.69 - (1102.69 * $E$1)</f>
        <v>1102.69</v>
      </c>
      <c r="M2610" s="1">
        <v>1345.28</v>
      </c>
      <c r="N2610" s="1">
        <v>1102.69</v>
      </c>
      <c r="O2610" s="1">
        <v>1143.49</v>
      </c>
      <c r="P2610" s="1">
        <v>937.29</v>
      </c>
      <c r="Q2610">
        <v>0.28999999999999998</v>
      </c>
      <c r="R2610">
        <v>7.1400000000000001E-4</v>
      </c>
    </row>
    <row r="2611" spans="1:18" ht="13.8" outlineLevel="2" x14ac:dyDescent="0.25">
      <c r="A2611">
        <v>85195</v>
      </c>
      <c r="B2611" t="s">
        <v>2994</v>
      </c>
      <c r="C2611" t="s">
        <v>3048</v>
      </c>
      <c r="D2611" s="14" t="s">
        <v>3049</v>
      </c>
      <c r="E2611" s="12" t="s">
        <v>28</v>
      </c>
      <c r="F2611" s="13" t="s">
        <v>29</v>
      </c>
      <c r="G2611">
        <v>1</v>
      </c>
      <c r="H2611" t="s">
        <v>30</v>
      </c>
      <c r="I2611">
        <v>1</v>
      </c>
      <c r="J2611" s="15"/>
      <c r="K2611" s="16">
        <f>1032.68 - (1032.68 * $E$1)</f>
        <v>1032.68</v>
      </c>
      <c r="L2611" s="16">
        <f>846.46 - (846.46 * $E$1)</f>
        <v>846.46</v>
      </c>
      <c r="M2611" s="1">
        <v>1032.68</v>
      </c>
      <c r="N2611" s="1">
        <v>846.46</v>
      </c>
      <c r="O2611" s="1">
        <v>877.78</v>
      </c>
      <c r="P2611" s="1">
        <v>719.49</v>
      </c>
      <c r="Q2611">
        <v>0.218</v>
      </c>
      <c r="R2611">
        <v>1.1969999999999999E-3</v>
      </c>
    </row>
    <row r="2612" spans="1:18" ht="13.8" outlineLevel="2" x14ac:dyDescent="0.25">
      <c r="A2612">
        <v>85196</v>
      </c>
      <c r="B2612" t="s">
        <v>2994</v>
      </c>
      <c r="C2612" t="s">
        <v>3050</v>
      </c>
      <c r="D2612" s="14" t="s">
        <v>3051</v>
      </c>
      <c r="E2612" s="12" t="s">
        <v>28</v>
      </c>
      <c r="F2612" s="13" t="s">
        <v>29</v>
      </c>
      <c r="G2612">
        <v>1</v>
      </c>
      <c r="H2612" t="s">
        <v>30</v>
      </c>
      <c r="I2612">
        <v>1</v>
      </c>
      <c r="J2612" s="15"/>
      <c r="K2612" s="16">
        <f>1249.04 - (1249.04 * $E$1)</f>
        <v>1249.04</v>
      </c>
      <c r="L2612" s="16">
        <f>1023.8 - (1023.8 * $E$1)</f>
        <v>1023.8</v>
      </c>
      <c r="M2612" s="1">
        <v>1249.04</v>
      </c>
      <c r="N2612" s="1">
        <v>1023.8</v>
      </c>
      <c r="O2612" s="1">
        <v>1061.68</v>
      </c>
      <c r="P2612" s="1">
        <v>870.23</v>
      </c>
      <c r="Q2612">
        <v>0.22</v>
      </c>
      <c r="R2612">
        <v>1.1969999999999999E-3</v>
      </c>
    </row>
    <row r="2613" spans="1:18" ht="13.8" outlineLevel="2" x14ac:dyDescent="0.25">
      <c r="A2613">
        <v>85197</v>
      </c>
      <c r="B2613" t="s">
        <v>2994</v>
      </c>
      <c r="C2613" t="s">
        <v>3052</v>
      </c>
      <c r="D2613" s="14" t="s">
        <v>3053</v>
      </c>
      <c r="E2613" s="12" t="s">
        <v>28</v>
      </c>
      <c r="F2613" s="13" t="s">
        <v>29</v>
      </c>
      <c r="G2613">
        <v>1</v>
      </c>
      <c r="H2613" t="s">
        <v>30</v>
      </c>
      <c r="I2613">
        <v>1</v>
      </c>
      <c r="J2613" s="15"/>
      <c r="K2613" s="16">
        <f>1131.49 - (1131.49 * $E$1)</f>
        <v>1131.49</v>
      </c>
      <c r="L2613" s="16">
        <f>927.45 - (927.45 * $E$1)</f>
        <v>927.45</v>
      </c>
      <c r="M2613" s="1">
        <v>1131.49</v>
      </c>
      <c r="N2613" s="1">
        <v>927.45</v>
      </c>
      <c r="O2613" s="1">
        <v>961.77</v>
      </c>
      <c r="P2613" s="1">
        <v>788.33</v>
      </c>
      <c r="Q2613">
        <v>0.224</v>
      </c>
      <c r="R2613">
        <v>1.1969999999999999E-3</v>
      </c>
    </row>
    <row r="2614" spans="1:18" ht="13.8" outlineLevel="2" x14ac:dyDescent="0.25">
      <c r="A2614">
        <v>85191</v>
      </c>
      <c r="B2614" t="s">
        <v>2994</v>
      </c>
      <c r="C2614" t="s">
        <v>3054</v>
      </c>
      <c r="D2614" s="14" t="s">
        <v>3055</v>
      </c>
      <c r="E2614" s="12" t="s">
        <v>28</v>
      </c>
      <c r="F2614" s="13" t="s">
        <v>29</v>
      </c>
      <c r="G2614">
        <v>1</v>
      </c>
      <c r="H2614" t="s">
        <v>30</v>
      </c>
      <c r="I2614">
        <v>1</v>
      </c>
      <c r="J2614" s="15"/>
      <c r="K2614" s="16">
        <f>1044.94 - (1044.94 * $E$1)</f>
        <v>1044.94</v>
      </c>
      <c r="L2614" s="16">
        <f>856.51 - (856.51 * $E$1)</f>
        <v>856.51</v>
      </c>
      <c r="M2614" s="1">
        <v>1044.94</v>
      </c>
      <c r="N2614" s="1">
        <v>856.51</v>
      </c>
      <c r="O2614" s="1">
        <v>888.2</v>
      </c>
      <c r="P2614" s="1">
        <v>728.03</v>
      </c>
      <c r="Q2614">
        <v>0.248</v>
      </c>
      <c r="R2614">
        <v>1.2999999999999999E-3</v>
      </c>
    </row>
    <row r="2615" spans="1:18" ht="13.8" outlineLevel="2" x14ac:dyDescent="0.25">
      <c r="A2615">
        <v>85192</v>
      </c>
      <c r="B2615" t="s">
        <v>2994</v>
      </c>
      <c r="C2615" t="s">
        <v>3056</v>
      </c>
      <c r="D2615" s="14" t="s">
        <v>3057</v>
      </c>
      <c r="E2615" s="12" t="s">
        <v>28</v>
      </c>
      <c r="F2615" s="13" t="s">
        <v>29</v>
      </c>
      <c r="G2615">
        <v>1</v>
      </c>
      <c r="H2615" t="s">
        <v>30</v>
      </c>
      <c r="I2615">
        <v>1</v>
      </c>
      <c r="J2615" s="15"/>
      <c r="K2615" s="16">
        <f>1160.23 - (1160.23 * $E$1)</f>
        <v>1160.23</v>
      </c>
      <c r="L2615" s="16">
        <f>951.01 - (951.01 * $E$1)</f>
        <v>951.01</v>
      </c>
      <c r="M2615" s="1">
        <v>1160.23</v>
      </c>
      <c r="N2615" s="1">
        <v>951.01</v>
      </c>
      <c r="O2615" s="1">
        <v>986.2</v>
      </c>
      <c r="P2615" s="1">
        <v>808.36</v>
      </c>
      <c r="Q2615">
        <v>0.252</v>
      </c>
      <c r="R2615">
        <v>1.2999999999999999E-3</v>
      </c>
    </row>
    <row r="2616" spans="1:18" ht="13.8" outlineLevel="2" x14ac:dyDescent="0.25">
      <c r="A2616">
        <v>85193</v>
      </c>
      <c r="B2616" t="s">
        <v>2994</v>
      </c>
      <c r="C2616" t="s">
        <v>3058</v>
      </c>
      <c r="D2616" s="14" t="s">
        <v>3059</v>
      </c>
      <c r="E2616" s="12" t="s">
        <v>28</v>
      </c>
      <c r="F2616" s="13" t="s">
        <v>29</v>
      </c>
      <c r="G2616">
        <v>1</v>
      </c>
      <c r="H2616" t="s">
        <v>30</v>
      </c>
      <c r="I2616">
        <v>1</v>
      </c>
      <c r="J2616" s="15"/>
      <c r="K2616" s="16">
        <f>1272.22 - (1272.22 * $E$1)</f>
        <v>1272.22</v>
      </c>
      <c r="L2616" s="16">
        <f>1042.8 - (1042.8 * $E$1)</f>
        <v>1042.8</v>
      </c>
      <c r="M2616" s="1">
        <v>1272.22</v>
      </c>
      <c r="N2616" s="1">
        <v>1042.8</v>
      </c>
      <c r="O2616" s="1">
        <v>1081.3800000000001</v>
      </c>
      <c r="P2616" s="1">
        <v>886.38</v>
      </c>
      <c r="Q2616">
        <v>0.26600000000000001</v>
      </c>
      <c r="R2616">
        <v>1.2999999999999999E-3</v>
      </c>
    </row>
    <row r="2617" spans="1:18" ht="13.8" outlineLevel="2" x14ac:dyDescent="0.25">
      <c r="A2617">
        <v>85194</v>
      </c>
      <c r="B2617" t="s">
        <v>2994</v>
      </c>
      <c r="C2617" t="s">
        <v>3060</v>
      </c>
      <c r="D2617" s="14" t="s">
        <v>3061</v>
      </c>
      <c r="E2617" s="12" t="s">
        <v>28</v>
      </c>
      <c r="F2617" s="13" t="s">
        <v>29</v>
      </c>
      <c r="G2617">
        <v>1</v>
      </c>
      <c r="H2617" t="s">
        <v>30</v>
      </c>
      <c r="I2617">
        <v>1</v>
      </c>
      <c r="J2617" s="15"/>
      <c r="K2617" s="16">
        <f>1216.12 - (1216.12 * $E$1)</f>
        <v>1216.1199999999999</v>
      </c>
      <c r="L2617" s="16">
        <f>996.82 - (996.82 * $E$1)</f>
        <v>996.82</v>
      </c>
      <c r="M2617" s="1">
        <v>1216.1199999999999</v>
      </c>
      <c r="N2617" s="1">
        <v>996.82</v>
      </c>
      <c r="O2617" s="1">
        <v>1033.7</v>
      </c>
      <c r="P2617" s="1">
        <v>847.3</v>
      </c>
      <c r="Q2617">
        <v>0.24399999999999999</v>
      </c>
      <c r="R2617">
        <v>1.2999999999999999E-3</v>
      </c>
    </row>
    <row r="2618" spans="1:18" ht="13.8" outlineLevel="2" x14ac:dyDescent="0.25">
      <c r="A2618">
        <v>86582</v>
      </c>
      <c r="B2618" t="s">
        <v>2994</v>
      </c>
      <c r="C2618" t="s">
        <v>3062</v>
      </c>
      <c r="D2618" s="14" t="s">
        <v>3063</v>
      </c>
      <c r="E2618" s="12" t="s">
        <v>28</v>
      </c>
      <c r="F2618" s="13" t="s">
        <v>29</v>
      </c>
      <c r="G2618">
        <v>1</v>
      </c>
      <c r="H2618" t="s">
        <v>30</v>
      </c>
      <c r="I2618">
        <v>1</v>
      </c>
      <c r="J2618" s="15"/>
      <c r="K2618" s="16">
        <f>1220.66 - (1220.66 * $E$1)</f>
        <v>1220.6600000000001</v>
      </c>
      <c r="L2618" s="16">
        <f>1000.54 - (1000.54 * $E$1)</f>
        <v>1000.54</v>
      </c>
      <c r="M2618" s="1">
        <v>1220.6600000000001</v>
      </c>
      <c r="N2618" s="1">
        <v>1000.54</v>
      </c>
      <c r="O2618" s="1">
        <v>1037.56</v>
      </c>
      <c r="P2618" s="1">
        <v>850.46</v>
      </c>
      <c r="Q2618">
        <v>0.3</v>
      </c>
      <c r="R2618">
        <v>1.3929999999999999E-3</v>
      </c>
    </row>
    <row r="2619" spans="1:18" ht="13.8" outlineLevel="2" x14ac:dyDescent="0.25">
      <c r="A2619">
        <v>86583</v>
      </c>
      <c r="B2619" t="s">
        <v>2994</v>
      </c>
      <c r="C2619" t="s">
        <v>3064</v>
      </c>
      <c r="D2619" s="14" t="s">
        <v>3065</v>
      </c>
      <c r="E2619" s="12" t="s">
        <v>28</v>
      </c>
      <c r="F2619" s="13" t="s">
        <v>29</v>
      </c>
      <c r="G2619">
        <v>1</v>
      </c>
      <c r="H2619" t="s">
        <v>30</v>
      </c>
      <c r="I2619">
        <v>1</v>
      </c>
      <c r="J2619" s="15"/>
      <c r="K2619" s="16">
        <f>1276.14 - (1276.14 * $E$1)</f>
        <v>1276.1400000000001</v>
      </c>
      <c r="L2619" s="16">
        <f>1046.02 - (1046.02 * $E$1)</f>
        <v>1046.02</v>
      </c>
      <c r="M2619" s="1">
        <v>1276.1400000000001</v>
      </c>
      <c r="N2619" s="1">
        <v>1046.02</v>
      </c>
      <c r="O2619" s="1">
        <v>1084.72</v>
      </c>
      <c r="P2619" s="1">
        <v>889.12</v>
      </c>
      <c r="Q2619">
        <v>0.3</v>
      </c>
      <c r="R2619">
        <v>1.3929999999999999E-3</v>
      </c>
    </row>
    <row r="2620" spans="1:18" ht="13.8" outlineLevel="2" x14ac:dyDescent="0.25">
      <c r="A2620">
        <v>86821</v>
      </c>
      <c r="B2620" t="s">
        <v>2994</v>
      </c>
      <c r="C2620" t="s">
        <v>3066</v>
      </c>
      <c r="D2620" s="14" t="s">
        <v>3067</v>
      </c>
      <c r="E2620" s="12" t="s">
        <v>28</v>
      </c>
      <c r="F2620" s="13" t="s">
        <v>29</v>
      </c>
      <c r="G2620">
        <v>1</v>
      </c>
      <c r="H2620" t="s">
        <v>30</v>
      </c>
      <c r="I2620">
        <v>1</v>
      </c>
      <c r="J2620" s="15"/>
      <c r="K2620" s="16">
        <f>1258.15 - (1258.15 * $E$1)</f>
        <v>1258.1500000000001</v>
      </c>
      <c r="L2620" s="16">
        <f>1031.27 - (1031.27 * $E$1)</f>
        <v>1031.27</v>
      </c>
      <c r="M2620" s="1">
        <v>1258.1500000000001</v>
      </c>
      <c r="N2620" s="1">
        <v>1031.27</v>
      </c>
      <c r="O2620" s="1">
        <v>1069.43</v>
      </c>
      <c r="P2620" s="1">
        <v>876.58</v>
      </c>
      <c r="Q2620">
        <v>0.3</v>
      </c>
      <c r="R2620">
        <v>1.3929999999999999E-3</v>
      </c>
    </row>
    <row r="2621" spans="1:18" ht="13.8" outlineLevel="2" x14ac:dyDescent="0.25">
      <c r="A2621">
        <v>86822</v>
      </c>
      <c r="B2621" t="s">
        <v>2994</v>
      </c>
      <c r="C2621" t="s">
        <v>3068</v>
      </c>
      <c r="D2621" s="14" t="s">
        <v>3069</v>
      </c>
      <c r="E2621" s="12" t="s">
        <v>28</v>
      </c>
      <c r="F2621" s="13" t="s">
        <v>29</v>
      </c>
      <c r="G2621">
        <v>1</v>
      </c>
      <c r="H2621" t="s">
        <v>30</v>
      </c>
      <c r="I2621">
        <v>1</v>
      </c>
      <c r="J2621" s="15"/>
      <c r="K2621" s="16">
        <f>1176.6 - (1176.6 * $E$1)</f>
        <v>1176.5999999999999</v>
      </c>
      <c r="L2621" s="16">
        <f>964.43 - (964.43 * $E$1)</f>
        <v>964.43</v>
      </c>
      <c r="M2621" s="1">
        <v>1176.5999999999999</v>
      </c>
      <c r="N2621" s="1">
        <v>964.43</v>
      </c>
      <c r="O2621" s="1">
        <v>1000.11</v>
      </c>
      <c r="P2621" s="1">
        <v>819.77</v>
      </c>
      <c r="Q2621">
        <v>0.3</v>
      </c>
      <c r="R2621">
        <v>1.3929999999999999E-3</v>
      </c>
    </row>
    <row r="2622" spans="1:18" ht="16.5" customHeight="1" outlineLevel="1" x14ac:dyDescent="0.35">
      <c r="A2622" s="9"/>
      <c r="B2622" s="10" t="s">
        <v>3070</v>
      </c>
      <c r="C2622" s="10"/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1"/>
    </row>
    <row r="2623" spans="1:18" ht="13.8" outlineLevel="2" x14ac:dyDescent="0.25">
      <c r="A2623">
        <v>73720</v>
      </c>
      <c r="B2623" t="s">
        <v>2463</v>
      </c>
      <c r="C2623" t="s">
        <v>3071</v>
      </c>
      <c r="D2623" s="14" t="s">
        <v>3072</v>
      </c>
      <c r="E2623" s="12" t="s">
        <v>28</v>
      </c>
      <c r="F2623" s="13" t="s">
        <v>29</v>
      </c>
      <c r="G2623">
        <v>10</v>
      </c>
      <c r="H2623" t="s">
        <v>2466</v>
      </c>
      <c r="I2623">
        <v>10</v>
      </c>
      <c r="J2623" s="15"/>
      <c r="K2623" s="16">
        <f>356.45 - (356.45 * $E$1)</f>
        <v>356.45</v>
      </c>
      <c r="L2623" s="16">
        <f>292.17 - (292.17 * $E$1)</f>
        <v>292.17</v>
      </c>
      <c r="M2623" s="1">
        <v>356.45</v>
      </c>
      <c r="N2623" s="1">
        <v>292.17</v>
      </c>
      <c r="O2623" s="1">
        <v>302.98</v>
      </c>
      <c r="P2623" s="1">
        <v>248.34</v>
      </c>
      <c r="Q2623">
        <v>0.107</v>
      </c>
      <c r="R2623">
        <v>1.5359999999999999E-4</v>
      </c>
    </row>
    <row r="2624" spans="1:18" ht="13.8" outlineLevel="2" x14ac:dyDescent="0.25">
      <c r="A2624">
        <v>59680</v>
      </c>
      <c r="B2624" t="s">
        <v>2463</v>
      </c>
      <c r="C2624" t="s">
        <v>3073</v>
      </c>
      <c r="D2624" s="14" t="s">
        <v>3072</v>
      </c>
      <c r="E2624" s="12" t="s">
        <v>28</v>
      </c>
      <c r="F2624" s="13" t="s">
        <v>29</v>
      </c>
      <c r="G2624">
        <v>10</v>
      </c>
      <c r="H2624" t="s">
        <v>2466</v>
      </c>
      <c r="I2624">
        <v>10</v>
      </c>
      <c r="J2624" s="15"/>
      <c r="K2624" s="16">
        <f>535.35 - (535.35 * $E$1)</f>
        <v>535.35</v>
      </c>
      <c r="L2624" s="16">
        <f>438.81 - (438.81 * $E$1)</f>
        <v>438.81</v>
      </c>
      <c r="M2624" s="1">
        <v>535.35</v>
      </c>
      <c r="N2624" s="1">
        <v>438.81</v>
      </c>
      <c r="O2624" s="1">
        <v>455.05</v>
      </c>
      <c r="P2624" s="1">
        <v>372.99</v>
      </c>
      <c r="Q2624">
        <v>0.17</v>
      </c>
      <c r="R2624">
        <v>2.6009999999999998E-4</v>
      </c>
    </row>
    <row r="2625" spans="1:18" ht="13.8" outlineLevel="2" x14ac:dyDescent="0.25">
      <c r="A2625">
        <v>73721</v>
      </c>
      <c r="B2625" t="s">
        <v>2463</v>
      </c>
      <c r="C2625" t="s">
        <v>3074</v>
      </c>
      <c r="D2625" s="14" t="s">
        <v>3072</v>
      </c>
      <c r="E2625" s="12" t="s">
        <v>28</v>
      </c>
      <c r="F2625" s="13" t="s">
        <v>29</v>
      </c>
      <c r="G2625">
        <v>10</v>
      </c>
      <c r="H2625" t="s">
        <v>2466</v>
      </c>
      <c r="I2625">
        <v>10</v>
      </c>
      <c r="J2625" s="15"/>
      <c r="K2625" s="16">
        <f>815.66 - (815.66 * $E$1)</f>
        <v>815.66</v>
      </c>
      <c r="L2625" s="16">
        <f>668.57 - (668.57 * $E$1)</f>
        <v>668.57</v>
      </c>
      <c r="M2625" s="1">
        <v>815.66</v>
      </c>
      <c r="N2625" s="1">
        <v>668.57</v>
      </c>
      <c r="O2625" s="1">
        <v>693.31</v>
      </c>
      <c r="P2625" s="1">
        <v>568.28</v>
      </c>
      <c r="Q2625">
        <v>0.26</v>
      </c>
      <c r="R2625">
        <v>4.2119999999999999E-4</v>
      </c>
    </row>
    <row r="2626" spans="1:18" ht="13.8" outlineLevel="2" x14ac:dyDescent="0.25">
      <c r="A2626">
        <v>59690</v>
      </c>
      <c r="B2626" t="s">
        <v>2463</v>
      </c>
      <c r="C2626" t="s">
        <v>3075</v>
      </c>
      <c r="D2626" s="14" t="s">
        <v>3072</v>
      </c>
      <c r="E2626" s="12" t="s">
        <v>28</v>
      </c>
      <c r="F2626" s="13" t="s">
        <v>29</v>
      </c>
      <c r="G2626">
        <v>10</v>
      </c>
      <c r="H2626" t="s">
        <v>2466</v>
      </c>
      <c r="I2626">
        <v>10</v>
      </c>
      <c r="J2626" s="15"/>
      <c r="K2626" s="16">
        <f>1076.3 - (1076.3 * $E$1)</f>
        <v>1076.3</v>
      </c>
      <c r="L2626" s="16">
        <f>882.21 - (882.21 * $E$1)</f>
        <v>882.21</v>
      </c>
      <c r="M2626" s="1">
        <v>1076.3</v>
      </c>
      <c r="N2626" s="1">
        <v>882.21</v>
      </c>
      <c r="O2626" s="1">
        <v>914.85</v>
      </c>
      <c r="P2626" s="1">
        <v>749.88</v>
      </c>
      <c r="Q2626">
        <v>0.36</v>
      </c>
      <c r="R2626">
        <v>5.2019999999999996E-4</v>
      </c>
    </row>
    <row r="2627" spans="1:18" ht="13.8" outlineLevel="2" x14ac:dyDescent="0.25">
      <c r="A2627">
        <v>84892</v>
      </c>
      <c r="B2627" t="s">
        <v>2463</v>
      </c>
      <c r="C2627" t="s">
        <v>3076</v>
      </c>
      <c r="D2627" s="14" t="s">
        <v>3072</v>
      </c>
      <c r="E2627" s="12" t="s">
        <v>28</v>
      </c>
      <c r="F2627" s="13" t="s">
        <v>29</v>
      </c>
      <c r="G2627">
        <v>10</v>
      </c>
      <c r="H2627" t="s">
        <v>2466</v>
      </c>
      <c r="I2627">
        <v>10</v>
      </c>
      <c r="J2627" s="15"/>
      <c r="K2627" s="16">
        <f>1585.18 - (1585.18 * $E$1)</f>
        <v>1585.18</v>
      </c>
      <c r="L2627" s="16">
        <f>1299.33 - (1299.33 * $E$1)</f>
        <v>1299.33</v>
      </c>
      <c r="M2627" s="1">
        <v>1585.18</v>
      </c>
      <c r="N2627" s="1">
        <v>1299.33</v>
      </c>
      <c r="O2627" s="1">
        <v>1347.41</v>
      </c>
      <c r="P2627" s="1">
        <v>1104.43</v>
      </c>
      <c r="Q2627">
        <v>0.39300000000000002</v>
      </c>
      <c r="R2627">
        <v>8.0000000000000004E-4</v>
      </c>
    </row>
    <row r="2628" spans="1:18" ht="13.8" outlineLevel="2" x14ac:dyDescent="0.25">
      <c r="A2628">
        <v>73722</v>
      </c>
      <c r="B2628" t="s">
        <v>2463</v>
      </c>
      <c r="C2628" t="s">
        <v>3077</v>
      </c>
      <c r="D2628" s="14" t="s">
        <v>3072</v>
      </c>
      <c r="E2628" s="12" t="s">
        <v>28</v>
      </c>
      <c r="F2628" s="13" t="s">
        <v>29</v>
      </c>
      <c r="G2628">
        <v>10</v>
      </c>
      <c r="H2628" t="s">
        <v>2466</v>
      </c>
      <c r="I2628">
        <v>10</v>
      </c>
      <c r="J2628" s="15"/>
      <c r="K2628" s="16">
        <f>1819.72 - (1819.72 * $E$1)</f>
        <v>1819.72</v>
      </c>
      <c r="L2628" s="16">
        <f>1491.57 - (1491.57 * $E$1)</f>
        <v>1491.57</v>
      </c>
      <c r="M2628" s="1">
        <v>1819.72</v>
      </c>
      <c r="N2628" s="1">
        <v>1491.57</v>
      </c>
      <c r="O2628" s="1">
        <v>1546.76</v>
      </c>
      <c r="P2628" s="1">
        <v>1267.83</v>
      </c>
      <c r="Q2628">
        <v>0.47</v>
      </c>
      <c r="R2628">
        <v>1.0399999999999999E-3</v>
      </c>
    </row>
    <row r="2629" spans="1:18" ht="13.8" outlineLevel="2" x14ac:dyDescent="0.25">
      <c r="A2629">
        <v>84893</v>
      </c>
      <c r="B2629" t="s">
        <v>2463</v>
      </c>
      <c r="C2629" t="s">
        <v>3078</v>
      </c>
      <c r="D2629" s="14" t="s">
        <v>3072</v>
      </c>
      <c r="E2629" s="12" t="s">
        <v>28</v>
      </c>
      <c r="F2629" s="13" t="s">
        <v>29</v>
      </c>
      <c r="G2629">
        <v>10</v>
      </c>
      <c r="H2629" t="s">
        <v>2466</v>
      </c>
      <c r="I2629">
        <v>10</v>
      </c>
      <c r="J2629" s="15"/>
      <c r="K2629" s="16">
        <f>356.45 - (356.45 * $E$1)</f>
        <v>356.45</v>
      </c>
      <c r="L2629" s="16">
        <f>292.17 - (292.17 * $E$1)</f>
        <v>292.17</v>
      </c>
      <c r="M2629" s="1">
        <v>356.45</v>
      </c>
      <c r="N2629" s="1">
        <v>292.17</v>
      </c>
      <c r="O2629" s="1">
        <v>302.98</v>
      </c>
      <c r="P2629" s="1">
        <v>248.34</v>
      </c>
      <c r="Q2629">
        <v>0.104</v>
      </c>
      <c r="R2629">
        <v>1.9440000000000001E-4</v>
      </c>
    </row>
    <row r="2630" spans="1:18" ht="13.8" outlineLevel="2" x14ac:dyDescent="0.25">
      <c r="A2630">
        <v>84894</v>
      </c>
      <c r="B2630" t="s">
        <v>2463</v>
      </c>
      <c r="C2630" t="s">
        <v>3079</v>
      </c>
      <c r="D2630" s="14" t="s">
        <v>3072</v>
      </c>
      <c r="E2630" s="12" t="s">
        <v>28</v>
      </c>
      <c r="F2630" s="13" t="s">
        <v>29</v>
      </c>
      <c r="G2630">
        <v>10</v>
      </c>
      <c r="H2630" t="s">
        <v>2466</v>
      </c>
      <c r="I2630">
        <v>10</v>
      </c>
      <c r="J2630" s="15"/>
      <c r="K2630" s="16">
        <f>535.35 - (535.35 * $E$1)</f>
        <v>535.35</v>
      </c>
      <c r="L2630" s="16">
        <f>438.81 - (438.81 * $E$1)</f>
        <v>438.81</v>
      </c>
      <c r="M2630" s="1">
        <v>535.35</v>
      </c>
      <c r="N2630" s="1">
        <v>438.81</v>
      </c>
      <c r="O2630" s="1">
        <v>455.05</v>
      </c>
      <c r="P2630" s="1">
        <v>372.99</v>
      </c>
      <c r="Q2630">
        <v>0.21299999999999999</v>
      </c>
      <c r="R2630">
        <v>3.2489999999999998E-4</v>
      </c>
    </row>
    <row r="2631" spans="1:18" ht="13.8" outlineLevel="2" x14ac:dyDescent="0.25">
      <c r="A2631">
        <v>84895</v>
      </c>
      <c r="B2631" t="s">
        <v>2463</v>
      </c>
      <c r="C2631" t="s">
        <v>3080</v>
      </c>
      <c r="D2631" s="14" t="s">
        <v>3072</v>
      </c>
      <c r="E2631" s="12" t="s">
        <v>28</v>
      </c>
      <c r="F2631" s="13" t="s">
        <v>29</v>
      </c>
      <c r="G2631">
        <v>10</v>
      </c>
      <c r="H2631" t="s">
        <v>2466</v>
      </c>
      <c r="I2631">
        <v>10</v>
      </c>
      <c r="J2631" s="15"/>
      <c r="K2631" s="16">
        <f>815.66 - (815.66 * $E$1)</f>
        <v>815.66</v>
      </c>
      <c r="L2631" s="16">
        <f>668.57 - (668.57 * $E$1)</f>
        <v>668.57</v>
      </c>
      <c r="M2631" s="1">
        <v>815.66</v>
      </c>
      <c r="N2631" s="1">
        <v>668.57</v>
      </c>
      <c r="O2631" s="1">
        <v>693.31</v>
      </c>
      <c r="P2631" s="1">
        <v>568.28</v>
      </c>
      <c r="Q2631">
        <v>0.25600000000000001</v>
      </c>
      <c r="R2631">
        <v>5.733E-4</v>
      </c>
    </row>
    <row r="2632" spans="1:18" ht="13.8" outlineLevel="2" x14ac:dyDescent="0.25">
      <c r="A2632">
        <v>84896</v>
      </c>
      <c r="B2632" t="s">
        <v>2463</v>
      </c>
      <c r="C2632" t="s">
        <v>3081</v>
      </c>
      <c r="D2632" s="14" t="s">
        <v>3072</v>
      </c>
      <c r="E2632" s="12" t="s">
        <v>28</v>
      </c>
      <c r="F2632" s="13" t="s">
        <v>29</v>
      </c>
      <c r="G2632">
        <v>10</v>
      </c>
      <c r="H2632" t="s">
        <v>2466</v>
      </c>
      <c r="I2632">
        <v>10</v>
      </c>
      <c r="J2632" s="15"/>
      <c r="K2632" s="16">
        <f>1076.3 - (1076.3 * $E$1)</f>
        <v>1076.3</v>
      </c>
      <c r="L2632" s="16">
        <f>882.21 - (882.21 * $E$1)</f>
        <v>882.21</v>
      </c>
      <c r="M2632" s="1">
        <v>1076.3</v>
      </c>
      <c r="N2632" s="1">
        <v>882.21</v>
      </c>
      <c r="O2632" s="1">
        <v>914.85</v>
      </c>
      <c r="P2632" s="1">
        <v>749.88</v>
      </c>
      <c r="Q2632">
        <v>0.38300000000000001</v>
      </c>
      <c r="R2632">
        <v>7.2000000000000005E-4</v>
      </c>
    </row>
    <row r="2633" spans="1:18" ht="13.8" outlineLevel="2" x14ac:dyDescent="0.25">
      <c r="A2633">
        <v>84897</v>
      </c>
      <c r="B2633" t="s">
        <v>2463</v>
      </c>
      <c r="C2633" t="s">
        <v>3082</v>
      </c>
      <c r="D2633" s="14" t="s">
        <v>3072</v>
      </c>
      <c r="E2633" s="12" t="s">
        <v>28</v>
      </c>
      <c r="F2633" s="13" t="s">
        <v>29</v>
      </c>
      <c r="G2633">
        <v>10</v>
      </c>
      <c r="H2633" t="s">
        <v>2466</v>
      </c>
      <c r="I2633">
        <v>10</v>
      </c>
      <c r="J2633" s="15"/>
      <c r="K2633" s="16">
        <f>1585.18 - (1585.18 * $E$1)</f>
        <v>1585.18</v>
      </c>
      <c r="L2633" s="16">
        <f>1299.33 - (1299.33 * $E$1)</f>
        <v>1299.33</v>
      </c>
      <c r="M2633" s="1">
        <v>1585.18</v>
      </c>
      <c r="N2633" s="1">
        <v>1299.33</v>
      </c>
      <c r="O2633" s="1">
        <v>1347.41</v>
      </c>
      <c r="P2633" s="1">
        <v>1104.43</v>
      </c>
      <c r="Q2633">
        <v>0.39300000000000002</v>
      </c>
      <c r="R2633">
        <v>8.0000000000000004E-4</v>
      </c>
    </row>
    <row r="2634" spans="1:18" ht="13.8" outlineLevel="2" x14ac:dyDescent="0.25">
      <c r="A2634">
        <v>84898</v>
      </c>
      <c r="B2634" t="s">
        <v>2463</v>
      </c>
      <c r="C2634" t="s">
        <v>3083</v>
      </c>
      <c r="D2634" s="14" t="s">
        <v>3072</v>
      </c>
      <c r="E2634" s="12" t="s">
        <v>28</v>
      </c>
      <c r="F2634" s="13" t="s">
        <v>29</v>
      </c>
      <c r="G2634">
        <v>10</v>
      </c>
      <c r="H2634" t="s">
        <v>2466</v>
      </c>
      <c r="I2634">
        <v>10</v>
      </c>
      <c r="J2634" s="15"/>
      <c r="K2634" s="16">
        <f>1819.72 - (1819.72 * $E$1)</f>
        <v>1819.72</v>
      </c>
      <c r="L2634" s="16">
        <f>1491.57 - (1491.57 * $E$1)</f>
        <v>1491.57</v>
      </c>
      <c r="M2634" s="1">
        <v>1819.72</v>
      </c>
      <c r="N2634" s="1">
        <v>1491.57</v>
      </c>
      <c r="O2634" s="1">
        <v>1546.76</v>
      </c>
      <c r="P2634" s="1">
        <v>1267.83</v>
      </c>
      <c r="Q2634">
        <v>0.90700000000000003</v>
      </c>
      <c r="R2634">
        <v>1.08E-3</v>
      </c>
    </row>
    <row r="2635" spans="1:18" ht="13.8" outlineLevel="2" x14ac:dyDescent="0.25">
      <c r="A2635">
        <v>84899</v>
      </c>
      <c r="B2635" t="s">
        <v>2463</v>
      </c>
      <c r="C2635" t="s">
        <v>3084</v>
      </c>
      <c r="D2635" s="14" t="s">
        <v>3072</v>
      </c>
      <c r="E2635" s="12" t="s">
        <v>28</v>
      </c>
      <c r="F2635" s="13" t="s">
        <v>29</v>
      </c>
      <c r="G2635">
        <v>10</v>
      </c>
      <c r="H2635" t="s">
        <v>2466</v>
      </c>
      <c r="I2635">
        <v>10</v>
      </c>
      <c r="J2635" s="15"/>
      <c r="K2635" s="16">
        <f>356.45 - (356.45 * $E$1)</f>
        <v>356.45</v>
      </c>
      <c r="L2635" s="16">
        <f>292.17 - (292.17 * $E$1)</f>
        <v>292.17</v>
      </c>
      <c r="M2635" s="1">
        <v>356.45</v>
      </c>
      <c r="N2635" s="1">
        <v>292.17</v>
      </c>
      <c r="O2635" s="1">
        <v>302.98</v>
      </c>
      <c r="P2635" s="1">
        <v>248.34</v>
      </c>
      <c r="Q2635">
        <v>0.104</v>
      </c>
      <c r="R2635">
        <v>1.9440000000000001E-4</v>
      </c>
    </row>
    <row r="2636" spans="1:18" ht="13.8" outlineLevel="2" x14ac:dyDescent="0.25">
      <c r="A2636">
        <v>84900</v>
      </c>
      <c r="B2636" t="s">
        <v>2463</v>
      </c>
      <c r="C2636" t="s">
        <v>3085</v>
      </c>
      <c r="D2636" s="14" t="s">
        <v>3072</v>
      </c>
      <c r="E2636" s="12" t="s">
        <v>28</v>
      </c>
      <c r="F2636" s="13" t="s">
        <v>29</v>
      </c>
      <c r="G2636">
        <v>10</v>
      </c>
      <c r="H2636" t="s">
        <v>2466</v>
      </c>
      <c r="I2636">
        <v>10</v>
      </c>
      <c r="J2636" s="15"/>
      <c r="K2636" s="16">
        <f>535.35 - (535.35 * $E$1)</f>
        <v>535.35</v>
      </c>
      <c r="L2636" s="16">
        <f>438.81 - (438.81 * $E$1)</f>
        <v>438.81</v>
      </c>
      <c r="M2636" s="1">
        <v>535.35</v>
      </c>
      <c r="N2636" s="1">
        <v>438.81</v>
      </c>
      <c r="O2636" s="1">
        <v>455.05</v>
      </c>
      <c r="P2636" s="1">
        <v>372.99</v>
      </c>
      <c r="Q2636">
        <v>0.21299999999999999</v>
      </c>
      <c r="R2636">
        <v>3.2489999999999998E-4</v>
      </c>
    </row>
    <row r="2637" spans="1:18" ht="13.8" outlineLevel="2" x14ac:dyDescent="0.25">
      <c r="A2637">
        <v>84901</v>
      </c>
      <c r="B2637" t="s">
        <v>2463</v>
      </c>
      <c r="C2637" t="s">
        <v>3086</v>
      </c>
      <c r="D2637" s="14" t="s">
        <v>3072</v>
      </c>
      <c r="E2637" s="12" t="s">
        <v>28</v>
      </c>
      <c r="F2637" s="13" t="s">
        <v>29</v>
      </c>
      <c r="G2637">
        <v>10</v>
      </c>
      <c r="H2637" t="s">
        <v>2466</v>
      </c>
      <c r="I2637">
        <v>10</v>
      </c>
      <c r="J2637" s="15"/>
      <c r="K2637" s="16">
        <f>815.66 - (815.66 * $E$1)</f>
        <v>815.66</v>
      </c>
      <c r="L2637" s="16">
        <f>668.57 - (668.57 * $E$1)</f>
        <v>668.57</v>
      </c>
      <c r="M2637" s="1">
        <v>815.66</v>
      </c>
      <c r="N2637" s="1">
        <v>668.57</v>
      </c>
      <c r="O2637" s="1">
        <v>693.31</v>
      </c>
      <c r="P2637" s="1">
        <v>568.28</v>
      </c>
      <c r="Q2637">
        <v>0.25600000000000001</v>
      </c>
      <c r="R2637">
        <v>5.733E-4</v>
      </c>
    </row>
    <row r="2638" spans="1:18" ht="13.8" outlineLevel="2" x14ac:dyDescent="0.25">
      <c r="A2638">
        <v>84902</v>
      </c>
      <c r="B2638" t="s">
        <v>2463</v>
      </c>
      <c r="C2638" t="s">
        <v>3087</v>
      </c>
      <c r="D2638" s="14" t="s">
        <v>3072</v>
      </c>
      <c r="E2638" s="12" t="s">
        <v>28</v>
      </c>
      <c r="F2638" s="13" t="s">
        <v>29</v>
      </c>
      <c r="G2638">
        <v>10</v>
      </c>
      <c r="H2638" t="s">
        <v>2466</v>
      </c>
      <c r="I2638">
        <v>10</v>
      </c>
      <c r="J2638" s="15"/>
      <c r="K2638" s="16">
        <f>1076.3 - (1076.3 * $E$1)</f>
        <v>1076.3</v>
      </c>
      <c r="L2638" s="16">
        <f>882.21 - (882.21 * $E$1)</f>
        <v>882.21</v>
      </c>
      <c r="M2638" s="1">
        <v>1076.3</v>
      </c>
      <c r="N2638" s="1">
        <v>882.21</v>
      </c>
      <c r="O2638" s="1">
        <v>914.85</v>
      </c>
      <c r="P2638" s="1">
        <v>749.88</v>
      </c>
      <c r="Q2638">
        <v>0.38300000000000001</v>
      </c>
      <c r="R2638">
        <v>7.2000000000000005E-4</v>
      </c>
    </row>
    <row r="2639" spans="1:18" ht="13.8" outlineLevel="2" x14ac:dyDescent="0.25">
      <c r="A2639">
        <v>84903</v>
      </c>
      <c r="B2639" t="s">
        <v>2463</v>
      </c>
      <c r="C2639" t="s">
        <v>3088</v>
      </c>
      <c r="D2639" s="14" t="s">
        <v>3072</v>
      </c>
      <c r="E2639" s="12" t="s">
        <v>28</v>
      </c>
      <c r="F2639" s="13" t="s">
        <v>29</v>
      </c>
      <c r="G2639">
        <v>10</v>
      </c>
      <c r="H2639" t="s">
        <v>2466</v>
      </c>
      <c r="I2639">
        <v>10</v>
      </c>
      <c r="J2639" s="15"/>
      <c r="K2639" s="16">
        <f>1585.18 - (1585.18 * $E$1)</f>
        <v>1585.18</v>
      </c>
      <c r="L2639" s="16">
        <f>1299.33 - (1299.33 * $E$1)</f>
        <v>1299.33</v>
      </c>
      <c r="M2639" s="1">
        <v>1585.18</v>
      </c>
      <c r="N2639" s="1">
        <v>1299.33</v>
      </c>
      <c r="O2639" s="1">
        <v>1347.41</v>
      </c>
      <c r="P2639" s="1">
        <v>1104.43</v>
      </c>
      <c r="Q2639">
        <v>0.39300000000000002</v>
      </c>
      <c r="R2639">
        <v>8.0000000000000004E-4</v>
      </c>
    </row>
    <row r="2640" spans="1:18" ht="13.8" outlineLevel="2" x14ac:dyDescent="0.25">
      <c r="A2640">
        <v>84904</v>
      </c>
      <c r="B2640" t="s">
        <v>2463</v>
      </c>
      <c r="C2640" t="s">
        <v>3089</v>
      </c>
      <c r="D2640" s="14" t="s">
        <v>3072</v>
      </c>
      <c r="E2640" s="12" t="s">
        <v>28</v>
      </c>
      <c r="F2640" s="13" t="s">
        <v>29</v>
      </c>
      <c r="G2640">
        <v>10</v>
      </c>
      <c r="H2640" t="s">
        <v>2466</v>
      </c>
      <c r="I2640">
        <v>10</v>
      </c>
      <c r="J2640" s="15"/>
      <c r="K2640" s="16">
        <f>1819.72 - (1819.72 * $E$1)</f>
        <v>1819.72</v>
      </c>
      <c r="L2640" s="16">
        <f>1491.57 - (1491.57 * $E$1)</f>
        <v>1491.57</v>
      </c>
      <c r="M2640" s="1">
        <v>1819.72</v>
      </c>
      <c r="N2640" s="1">
        <v>1491.57</v>
      </c>
      <c r="O2640" s="1">
        <v>1546.76</v>
      </c>
      <c r="P2640" s="1">
        <v>1267.83</v>
      </c>
      <c r="Q2640">
        <v>0.90700000000000003</v>
      </c>
      <c r="R2640">
        <v>1.08E-3</v>
      </c>
    </row>
    <row r="2641" spans="1:18" ht="13.8" outlineLevel="2" x14ac:dyDescent="0.25">
      <c r="A2641">
        <v>73723</v>
      </c>
      <c r="B2641" t="s">
        <v>2463</v>
      </c>
      <c r="C2641" t="s">
        <v>3090</v>
      </c>
      <c r="D2641" s="14" t="s">
        <v>3091</v>
      </c>
      <c r="E2641" s="12" t="s">
        <v>28</v>
      </c>
      <c r="F2641" s="13" t="s">
        <v>29</v>
      </c>
      <c r="G2641">
        <v>10</v>
      </c>
      <c r="H2641" t="s">
        <v>2466</v>
      </c>
      <c r="I2641">
        <v>10</v>
      </c>
      <c r="J2641" s="15"/>
      <c r="K2641" s="16">
        <f>611.34 - (611.34 * $E$1)</f>
        <v>611.34</v>
      </c>
      <c r="L2641" s="16">
        <f>501.1 - (501.1 * $E$1)</f>
        <v>501.1</v>
      </c>
      <c r="M2641" s="1">
        <v>611.34</v>
      </c>
      <c r="N2641" s="1">
        <v>501.1</v>
      </c>
      <c r="O2641" s="1">
        <v>519.64</v>
      </c>
      <c r="P2641" s="1">
        <v>425.94</v>
      </c>
      <c r="Q2641">
        <v>0.24</v>
      </c>
      <c r="R2641">
        <v>3.6549999999999999E-4</v>
      </c>
    </row>
    <row r="2642" spans="1:18" ht="13.8" outlineLevel="2" x14ac:dyDescent="0.25">
      <c r="A2642">
        <v>73725</v>
      </c>
      <c r="B2642" t="s">
        <v>2463</v>
      </c>
      <c r="C2642" t="s">
        <v>3092</v>
      </c>
      <c r="D2642" s="14" t="s">
        <v>3091</v>
      </c>
      <c r="E2642" s="12" t="s">
        <v>28</v>
      </c>
      <c r="F2642" s="13" t="s">
        <v>29</v>
      </c>
      <c r="G2642">
        <v>10</v>
      </c>
      <c r="H2642" t="s">
        <v>2466</v>
      </c>
      <c r="I2642">
        <v>10</v>
      </c>
      <c r="J2642" s="15"/>
      <c r="K2642" s="16">
        <f>906.34 - (906.34 * $E$1)</f>
        <v>906.34</v>
      </c>
      <c r="L2642" s="16">
        <f>742.9 - (742.9 * $E$1)</f>
        <v>742.9</v>
      </c>
      <c r="M2642" s="1">
        <v>906.34</v>
      </c>
      <c r="N2642" s="1">
        <v>742.9</v>
      </c>
      <c r="O2642" s="1">
        <v>770.39</v>
      </c>
      <c r="P2642" s="1">
        <v>631.47</v>
      </c>
      <c r="Q2642">
        <v>0.3</v>
      </c>
      <c r="R2642">
        <v>3.968E-4</v>
      </c>
    </row>
    <row r="2643" spans="1:18" ht="13.8" outlineLevel="2" x14ac:dyDescent="0.25">
      <c r="A2643">
        <v>73726</v>
      </c>
      <c r="B2643" t="s">
        <v>2463</v>
      </c>
      <c r="C2643" t="s">
        <v>3093</v>
      </c>
      <c r="D2643" s="14" t="s">
        <v>3091</v>
      </c>
      <c r="E2643" s="12" t="s">
        <v>28</v>
      </c>
      <c r="F2643" s="13" t="s">
        <v>29</v>
      </c>
      <c r="G2643">
        <v>10</v>
      </c>
      <c r="H2643" t="s">
        <v>2466</v>
      </c>
      <c r="I2643">
        <v>10</v>
      </c>
      <c r="J2643" s="15"/>
      <c r="K2643" s="16">
        <f>1278.69 - (1278.69 * $E$1)</f>
        <v>1278.69</v>
      </c>
      <c r="L2643" s="16">
        <f>1048.11 - (1048.11 * $E$1)</f>
        <v>1048.1099999999999</v>
      </c>
      <c r="M2643" s="1">
        <v>1278.69</v>
      </c>
      <c r="N2643" s="1">
        <v>1048.1099999999999</v>
      </c>
      <c r="O2643" s="1">
        <v>1086.8900000000001</v>
      </c>
      <c r="P2643" s="1">
        <v>890.89</v>
      </c>
      <c r="Q2643">
        <v>0.39</v>
      </c>
      <c r="R2643">
        <v>5.8080000000000002E-4</v>
      </c>
    </row>
    <row r="2644" spans="1:18" ht="13.8" outlineLevel="2" x14ac:dyDescent="0.25">
      <c r="A2644">
        <v>65761</v>
      </c>
      <c r="B2644" t="s">
        <v>2463</v>
      </c>
      <c r="C2644" t="s">
        <v>3094</v>
      </c>
      <c r="D2644" s="14" t="s">
        <v>3091</v>
      </c>
      <c r="E2644" s="12" t="s">
        <v>28</v>
      </c>
      <c r="F2644" s="13" t="s">
        <v>29</v>
      </c>
      <c r="G2644">
        <v>10</v>
      </c>
      <c r="H2644" t="s">
        <v>2466</v>
      </c>
      <c r="I2644">
        <v>10</v>
      </c>
      <c r="J2644" s="15"/>
      <c r="K2644" s="16">
        <f>1969.64 - (1969.64 * $E$1)</f>
        <v>1969.64</v>
      </c>
      <c r="L2644" s="16">
        <f>1614.46 - (1614.46 * $E$1)</f>
        <v>1614.46</v>
      </c>
      <c r="M2644" s="1">
        <v>1969.64</v>
      </c>
      <c r="N2644" s="1">
        <v>1614.46</v>
      </c>
      <c r="O2644" s="1">
        <v>1674.2</v>
      </c>
      <c r="P2644" s="1">
        <v>1372.29</v>
      </c>
      <c r="Q2644">
        <v>0.70099999999999996</v>
      </c>
      <c r="R2644">
        <v>1.1492E-3</v>
      </c>
    </row>
    <row r="2645" spans="1:18" ht="13.8" outlineLevel="2" x14ac:dyDescent="0.25">
      <c r="A2645">
        <v>73728</v>
      </c>
      <c r="B2645" t="s">
        <v>2463</v>
      </c>
      <c r="C2645" t="s">
        <v>3095</v>
      </c>
      <c r="D2645" s="14" t="s">
        <v>3091</v>
      </c>
      <c r="E2645" s="12" t="s">
        <v>28</v>
      </c>
      <c r="F2645" s="13" t="s">
        <v>29</v>
      </c>
      <c r="G2645">
        <v>10</v>
      </c>
      <c r="H2645" t="s">
        <v>2466</v>
      </c>
      <c r="I2645">
        <v>10</v>
      </c>
      <c r="J2645" s="15"/>
      <c r="K2645" s="16">
        <f>3012.12 - (3012.12 * $E$1)</f>
        <v>3012.12</v>
      </c>
      <c r="L2645" s="16">
        <f>2468.95 - (2468.95 * $E$1)</f>
        <v>2468.9499999999998</v>
      </c>
      <c r="M2645" s="1">
        <v>3012.12</v>
      </c>
      <c r="N2645" s="1">
        <v>2468.9499999999998</v>
      </c>
      <c r="O2645" s="1">
        <v>2560.3000000000002</v>
      </c>
      <c r="P2645" s="1">
        <v>2098.61</v>
      </c>
      <c r="Q2645">
        <v>1.1000000000000001</v>
      </c>
      <c r="R2645">
        <v>1.8527999999999999E-3</v>
      </c>
    </row>
    <row r="2646" spans="1:18" ht="13.8" outlineLevel="2" x14ac:dyDescent="0.25">
      <c r="A2646">
        <v>67299</v>
      </c>
      <c r="B2646" t="s">
        <v>2463</v>
      </c>
      <c r="C2646" t="s">
        <v>3096</v>
      </c>
      <c r="D2646" s="14" t="s">
        <v>3097</v>
      </c>
      <c r="E2646" s="12" t="s">
        <v>28</v>
      </c>
      <c r="F2646" s="13" t="s">
        <v>29</v>
      </c>
      <c r="G2646">
        <v>10</v>
      </c>
      <c r="H2646" t="s">
        <v>2466</v>
      </c>
      <c r="I2646">
        <v>10</v>
      </c>
      <c r="J2646" s="15"/>
      <c r="K2646" s="16">
        <f>273.43 - (273.43 * $E$1)</f>
        <v>273.43</v>
      </c>
      <c r="L2646" s="16">
        <f>224.12 - (224.12 * $E$1)</f>
        <v>224.12</v>
      </c>
      <c r="M2646" s="1">
        <v>273.43</v>
      </c>
      <c r="N2646" s="1">
        <v>224.12</v>
      </c>
      <c r="O2646" s="1">
        <v>232.41</v>
      </c>
      <c r="P2646" s="1">
        <v>190.5</v>
      </c>
      <c r="Q2646">
        <v>7.0000000000000007E-2</v>
      </c>
      <c r="R2646">
        <v>9.3599999999999998E-4</v>
      </c>
    </row>
    <row r="2647" spans="1:18" ht="13.8" outlineLevel="2" x14ac:dyDescent="0.25">
      <c r="A2647">
        <v>81329</v>
      </c>
      <c r="B2647" t="s">
        <v>2463</v>
      </c>
      <c r="C2647" t="s">
        <v>3098</v>
      </c>
      <c r="D2647" s="14" t="s">
        <v>3097</v>
      </c>
      <c r="E2647" s="12" t="s">
        <v>28</v>
      </c>
      <c r="F2647" s="13" t="s">
        <v>29</v>
      </c>
      <c r="G2647">
        <v>10</v>
      </c>
      <c r="H2647" t="s">
        <v>2466</v>
      </c>
      <c r="I2647">
        <v>10</v>
      </c>
      <c r="J2647" s="15"/>
      <c r="K2647" s="16">
        <f>322.53 - (322.53 * $E$1)</f>
        <v>322.52999999999997</v>
      </c>
      <c r="L2647" s="16">
        <f>264.37 - (264.37 * $E$1)</f>
        <v>264.37</v>
      </c>
      <c r="M2647" s="1">
        <v>322.52999999999997</v>
      </c>
      <c r="N2647" s="1">
        <v>264.37</v>
      </c>
      <c r="O2647" s="1">
        <v>274.14999999999998</v>
      </c>
      <c r="P2647" s="1">
        <v>224.71</v>
      </c>
      <c r="Q2647">
        <v>0.08</v>
      </c>
      <c r="R2647">
        <v>1.4E-3</v>
      </c>
    </row>
    <row r="2648" spans="1:18" ht="13.8" outlineLevel="2" x14ac:dyDescent="0.25">
      <c r="A2648">
        <v>81330</v>
      </c>
      <c r="B2648" t="s">
        <v>2463</v>
      </c>
      <c r="C2648" t="s">
        <v>3099</v>
      </c>
      <c r="D2648" s="14" t="s">
        <v>3097</v>
      </c>
      <c r="E2648" s="12" t="s">
        <v>28</v>
      </c>
      <c r="F2648" s="13" t="s">
        <v>29</v>
      </c>
      <c r="G2648">
        <v>10</v>
      </c>
      <c r="H2648" t="s">
        <v>2466</v>
      </c>
      <c r="I2648">
        <v>10</v>
      </c>
      <c r="J2648" s="15"/>
      <c r="K2648" s="16">
        <f>463.53 - (463.53 * $E$1)</f>
        <v>463.53</v>
      </c>
      <c r="L2648" s="16">
        <f>379.94 - (379.94 * $E$1)</f>
        <v>379.94</v>
      </c>
      <c r="M2648" s="1">
        <v>463.53</v>
      </c>
      <c r="N2648" s="1">
        <v>379.94</v>
      </c>
      <c r="O2648" s="1">
        <v>394</v>
      </c>
      <c r="P2648" s="1">
        <v>322.95</v>
      </c>
      <c r="Q2648">
        <v>0.13</v>
      </c>
      <c r="R2648">
        <v>1.4E-3</v>
      </c>
    </row>
    <row r="2649" spans="1:18" ht="13.8" outlineLevel="2" x14ac:dyDescent="0.25">
      <c r="A2649">
        <v>81331</v>
      </c>
      <c r="B2649" t="s">
        <v>2463</v>
      </c>
      <c r="C2649" t="s">
        <v>3100</v>
      </c>
      <c r="D2649" s="14" t="s">
        <v>3097</v>
      </c>
      <c r="E2649" s="12" t="s">
        <v>28</v>
      </c>
      <c r="F2649" s="13" t="s">
        <v>29</v>
      </c>
      <c r="G2649">
        <v>5</v>
      </c>
      <c r="H2649" t="s">
        <v>2466</v>
      </c>
      <c r="I2649">
        <v>5</v>
      </c>
      <c r="J2649" s="15"/>
      <c r="K2649" s="16">
        <f>690.37 - (690.37 * $E$1)</f>
        <v>690.37</v>
      </c>
      <c r="L2649" s="16">
        <f>565.88 - (565.88 * $E$1)</f>
        <v>565.88</v>
      </c>
      <c r="M2649" s="1">
        <v>690.37</v>
      </c>
      <c r="N2649" s="1">
        <v>565.88</v>
      </c>
      <c r="O2649" s="1">
        <v>586.82000000000005</v>
      </c>
      <c r="P2649" s="1">
        <v>481</v>
      </c>
      <c r="Q2649">
        <v>0.18</v>
      </c>
      <c r="R2649">
        <v>3.5000000000000001E-3</v>
      </c>
    </row>
    <row r="2650" spans="1:18" ht="13.8" outlineLevel="2" x14ac:dyDescent="0.25">
      <c r="A2650">
        <v>73981</v>
      </c>
      <c r="B2650" t="s">
        <v>2463</v>
      </c>
      <c r="C2650" t="s">
        <v>3101</v>
      </c>
      <c r="D2650" s="14" t="s">
        <v>3102</v>
      </c>
      <c r="E2650" s="12" t="s">
        <v>28</v>
      </c>
      <c r="F2650" s="13" t="s">
        <v>29</v>
      </c>
      <c r="G2650">
        <v>10</v>
      </c>
      <c r="H2650" t="s">
        <v>2466</v>
      </c>
      <c r="I2650">
        <v>10</v>
      </c>
      <c r="J2650" s="15"/>
      <c r="K2650" s="16">
        <f>475.01 - (475.01 * $E$1)</f>
        <v>475.01</v>
      </c>
      <c r="L2650" s="16">
        <f>389.35 - (389.35 * $E$1)</f>
        <v>389.35</v>
      </c>
      <c r="M2650" s="1">
        <v>475.01</v>
      </c>
      <c r="N2650" s="1">
        <v>389.35</v>
      </c>
      <c r="O2650" s="1">
        <v>403.76</v>
      </c>
      <c r="P2650" s="1">
        <v>330.95</v>
      </c>
      <c r="Q2650">
        <v>0.08</v>
      </c>
      <c r="R2650">
        <v>9.3599999999999998E-4</v>
      </c>
    </row>
    <row r="2651" spans="1:18" ht="13.8" outlineLevel="2" x14ac:dyDescent="0.25">
      <c r="A2651">
        <v>81332</v>
      </c>
      <c r="B2651" t="s">
        <v>2463</v>
      </c>
      <c r="C2651" t="s">
        <v>3103</v>
      </c>
      <c r="D2651" s="14" t="s">
        <v>3102</v>
      </c>
      <c r="E2651" s="12" t="s">
        <v>28</v>
      </c>
      <c r="F2651" s="13" t="s">
        <v>29</v>
      </c>
      <c r="G2651">
        <v>10</v>
      </c>
      <c r="H2651" t="s">
        <v>2466</v>
      </c>
      <c r="I2651">
        <v>10</v>
      </c>
      <c r="J2651" s="15"/>
      <c r="K2651" s="16">
        <f>518.55 - (518.55 * $E$1)</f>
        <v>518.54999999999995</v>
      </c>
      <c r="L2651" s="16">
        <f>425.04 - (425.04 * $E$1)</f>
        <v>425.04</v>
      </c>
      <c r="M2651" s="1">
        <v>518.54999999999995</v>
      </c>
      <c r="N2651" s="1">
        <v>425.04</v>
      </c>
      <c r="O2651" s="1">
        <v>440.77</v>
      </c>
      <c r="P2651" s="1">
        <v>361.28</v>
      </c>
      <c r="Q2651">
        <v>0.11</v>
      </c>
      <c r="R2651">
        <v>1.4E-3</v>
      </c>
    </row>
    <row r="2652" spans="1:18" ht="13.8" outlineLevel="2" x14ac:dyDescent="0.25">
      <c r="A2652">
        <v>81333</v>
      </c>
      <c r="B2652" t="s">
        <v>2463</v>
      </c>
      <c r="C2652" t="s">
        <v>3104</v>
      </c>
      <c r="D2652" s="14" t="s">
        <v>3102</v>
      </c>
      <c r="E2652" s="12" t="s">
        <v>28</v>
      </c>
      <c r="F2652" s="13" t="s">
        <v>29</v>
      </c>
      <c r="G2652">
        <v>10</v>
      </c>
      <c r="H2652" t="s">
        <v>2466</v>
      </c>
      <c r="I2652">
        <v>10</v>
      </c>
      <c r="J2652" s="15"/>
      <c r="K2652" s="16">
        <f>762.67 - (762.67 * $E$1)</f>
        <v>762.67</v>
      </c>
      <c r="L2652" s="16">
        <f>625.14 - (625.14 * $E$1)</f>
        <v>625.14</v>
      </c>
      <c r="M2652" s="1">
        <v>762.67</v>
      </c>
      <c r="N2652" s="1">
        <v>625.14</v>
      </c>
      <c r="O2652" s="1">
        <v>648.27</v>
      </c>
      <c r="P2652" s="1">
        <v>531.37</v>
      </c>
      <c r="Q2652">
        <v>0.19</v>
      </c>
      <c r="R2652">
        <v>1.6000000000000001E-3</v>
      </c>
    </row>
    <row r="2653" spans="1:18" ht="13.8" outlineLevel="2" x14ac:dyDescent="0.25">
      <c r="A2653">
        <v>81334</v>
      </c>
      <c r="B2653" t="s">
        <v>2463</v>
      </c>
      <c r="C2653" t="s">
        <v>3105</v>
      </c>
      <c r="D2653" s="14" t="s">
        <v>3102</v>
      </c>
      <c r="E2653" s="12" t="s">
        <v>28</v>
      </c>
      <c r="F2653" s="13" t="s">
        <v>29</v>
      </c>
      <c r="G2653">
        <v>5</v>
      </c>
      <c r="H2653" t="s">
        <v>2466</v>
      </c>
      <c r="I2653">
        <v>5</v>
      </c>
      <c r="J2653" s="15"/>
      <c r="K2653" s="16">
        <f>1020.79 - (1020.79 * $E$1)</f>
        <v>1020.79</v>
      </c>
      <c r="L2653" s="16">
        <f>836.71 - (836.71 * $E$1)</f>
        <v>836.71</v>
      </c>
      <c r="M2653" s="1">
        <v>1020.79</v>
      </c>
      <c r="N2653" s="1">
        <v>836.71</v>
      </c>
      <c r="O2653" s="1">
        <v>867.67</v>
      </c>
      <c r="P2653" s="1">
        <v>711.2</v>
      </c>
      <c r="Q2653">
        <v>0.2</v>
      </c>
      <c r="R2653">
        <v>3.2000000000000002E-3</v>
      </c>
    </row>
    <row r="2654" spans="1:18" ht="16.5" customHeight="1" outlineLevel="1" x14ac:dyDescent="0.35">
      <c r="A2654" s="9"/>
      <c r="B2654" s="10" t="s">
        <v>3106</v>
      </c>
      <c r="C2654" s="10"/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1"/>
    </row>
    <row r="2655" spans="1:18" ht="13.8" outlineLevel="2" x14ac:dyDescent="0.25">
      <c r="A2655">
        <v>88181</v>
      </c>
      <c r="B2655" t="s">
        <v>2791</v>
      </c>
      <c r="C2655" t="s">
        <v>3107</v>
      </c>
      <c r="D2655" s="14" t="s">
        <v>3108</v>
      </c>
      <c r="E2655" s="12" t="s">
        <v>28</v>
      </c>
      <c r="F2655" s="13" t="s">
        <v>29</v>
      </c>
      <c r="G2655">
        <v>50</v>
      </c>
      <c r="H2655" t="s">
        <v>30</v>
      </c>
      <c r="I2655">
        <v>50</v>
      </c>
      <c r="J2655" s="15"/>
      <c r="K2655" s="16">
        <f>135.1 - (135.1 * $E$1)</f>
        <v>135.1</v>
      </c>
      <c r="L2655" s="16">
        <f>110.74 - (110.74 * $E$1)</f>
        <v>110.74</v>
      </c>
      <c r="M2655" s="1">
        <v>135.1</v>
      </c>
      <c r="N2655" s="1">
        <v>110.74</v>
      </c>
      <c r="O2655" s="1">
        <v>114.84</v>
      </c>
      <c r="P2655" s="1">
        <v>94.13</v>
      </c>
      <c r="Q2655">
        <v>1.9199999999999998E-2</v>
      </c>
      <c r="R2655">
        <v>1.5616E-4</v>
      </c>
    </row>
    <row r="2656" spans="1:18" ht="13.8" outlineLevel="2" x14ac:dyDescent="0.25">
      <c r="A2656">
        <v>88182</v>
      </c>
      <c r="B2656" t="s">
        <v>2791</v>
      </c>
      <c r="C2656" t="s">
        <v>3109</v>
      </c>
      <c r="D2656" s="14" t="s">
        <v>3108</v>
      </c>
      <c r="E2656" s="12" t="s">
        <v>28</v>
      </c>
      <c r="F2656" s="13" t="s">
        <v>29</v>
      </c>
      <c r="G2656">
        <v>25</v>
      </c>
      <c r="H2656" t="s">
        <v>30</v>
      </c>
      <c r="I2656">
        <v>25</v>
      </c>
      <c r="J2656" s="15"/>
      <c r="K2656" s="16">
        <f>166.69 - (166.69 * $E$1)</f>
        <v>166.69</v>
      </c>
      <c r="L2656" s="16">
        <f>136.63 - (136.63 * $E$1)</f>
        <v>136.63</v>
      </c>
      <c r="M2656" s="1">
        <v>166.69</v>
      </c>
      <c r="N2656" s="1">
        <v>136.63</v>
      </c>
      <c r="O2656" s="1">
        <v>141.69</v>
      </c>
      <c r="P2656" s="1">
        <v>116.14</v>
      </c>
      <c r="Q2656">
        <v>2.1919999999999999E-2</v>
      </c>
      <c r="R2656">
        <v>1.6103999999999999E-4</v>
      </c>
    </row>
    <row r="2657" spans="1:18" ht="13.8" outlineLevel="2" x14ac:dyDescent="0.25">
      <c r="A2657">
        <v>88183</v>
      </c>
      <c r="B2657" t="s">
        <v>2791</v>
      </c>
      <c r="C2657" t="s">
        <v>3110</v>
      </c>
      <c r="D2657" s="14" t="s">
        <v>3108</v>
      </c>
      <c r="E2657" s="12" t="s">
        <v>28</v>
      </c>
      <c r="F2657" s="13" t="s">
        <v>29</v>
      </c>
      <c r="G2657">
        <v>10</v>
      </c>
      <c r="H2657" t="s">
        <v>30</v>
      </c>
      <c r="I2657">
        <v>10</v>
      </c>
      <c r="J2657" s="15"/>
      <c r="K2657" s="16">
        <f>274.56 - (274.56 * $E$1)</f>
        <v>274.56</v>
      </c>
      <c r="L2657" s="16">
        <f>225.05 - (225.05 * $E$1)</f>
        <v>225.05</v>
      </c>
      <c r="M2657" s="1">
        <v>274.56</v>
      </c>
      <c r="N2657" s="1">
        <v>225.05</v>
      </c>
      <c r="O2657" s="1">
        <v>233.38</v>
      </c>
      <c r="P2657" s="1">
        <v>191.29</v>
      </c>
      <c r="Q2657">
        <v>4.2000000000000003E-2</v>
      </c>
      <c r="R2657">
        <v>4.392E-4</v>
      </c>
    </row>
    <row r="2658" spans="1:18" ht="13.8" outlineLevel="2" x14ac:dyDescent="0.25">
      <c r="A2658">
        <v>65155</v>
      </c>
      <c r="B2658" t="s">
        <v>2463</v>
      </c>
      <c r="C2658" t="s">
        <v>3111</v>
      </c>
      <c r="D2658" s="14" t="s">
        <v>3112</v>
      </c>
      <c r="E2658" s="12" t="s">
        <v>28</v>
      </c>
      <c r="F2658" s="13" t="s">
        <v>29</v>
      </c>
      <c r="G2658">
        <v>100</v>
      </c>
      <c r="H2658" t="s">
        <v>2466</v>
      </c>
      <c r="I2658">
        <v>100</v>
      </c>
      <c r="J2658" s="15"/>
      <c r="K2658" s="16">
        <f>39.93 - (39.93 * $E$1)</f>
        <v>39.93</v>
      </c>
      <c r="L2658" s="16">
        <f>32.73 - (32.73 * $E$1)</f>
        <v>32.729999999999997</v>
      </c>
      <c r="M2658" s="1">
        <v>39.93</v>
      </c>
      <c r="N2658" s="1">
        <v>32.729999999999997</v>
      </c>
      <c r="O2658" s="1">
        <v>33.94</v>
      </c>
      <c r="P2658" s="1">
        <v>27.82</v>
      </c>
      <c r="Q2658">
        <v>1.6279999999999999E-2</v>
      </c>
      <c r="R2658">
        <v>4.8399999999999997E-5</v>
      </c>
    </row>
    <row r="2659" spans="1:18" ht="13.8" outlineLevel="2" x14ac:dyDescent="0.25">
      <c r="A2659">
        <v>65156</v>
      </c>
      <c r="B2659" t="s">
        <v>2463</v>
      </c>
      <c r="C2659" t="s">
        <v>3113</v>
      </c>
      <c r="D2659" s="14" t="s">
        <v>3112</v>
      </c>
      <c r="E2659" s="12" t="s">
        <v>28</v>
      </c>
      <c r="F2659" s="13" t="s">
        <v>29</v>
      </c>
      <c r="G2659">
        <v>100</v>
      </c>
      <c r="H2659" t="s">
        <v>2466</v>
      </c>
      <c r="I2659">
        <v>100</v>
      </c>
      <c r="J2659" s="15"/>
      <c r="K2659" s="16">
        <f>55.17 - (55.17 * $E$1)</f>
        <v>55.17</v>
      </c>
      <c r="L2659" s="16">
        <f>45.22 - (45.22 * $E$1)</f>
        <v>45.22</v>
      </c>
      <c r="M2659" s="1">
        <v>55.17</v>
      </c>
      <c r="N2659" s="1">
        <v>45.22</v>
      </c>
      <c r="O2659" s="1">
        <v>46.89</v>
      </c>
      <c r="P2659" s="1">
        <v>38.44</v>
      </c>
      <c r="Q2659">
        <v>1.7999999999999999E-2</v>
      </c>
      <c r="R2659">
        <v>6.0749999999999999E-5</v>
      </c>
    </row>
    <row r="2660" spans="1:18" ht="13.8" outlineLevel="2" x14ac:dyDescent="0.25">
      <c r="A2660">
        <v>83631</v>
      </c>
      <c r="B2660" t="s">
        <v>2463</v>
      </c>
      <c r="C2660" t="s">
        <v>3114</v>
      </c>
      <c r="D2660" s="14" t="s">
        <v>3115</v>
      </c>
      <c r="E2660" s="12" t="s">
        <v>28</v>
      </c>
      <c r="F2660" s="13" t="s">
        <v>29</v>
      </c>
      <c r="G2660">
        <v>100</v>
      </c>
      <c r="H2660" t="s">
        <v>2466</v>
      </c>
      <c r="I2660">
        <v>100</v>
      </c>
      <c r="J2660" s="15"/>
      <c r="K2660" s="16">
        <f>13.55 - (13.55 * $E$1)</f>
        <v>13.55</v>
      </c>
      <c r="L2660" s="16">
        <f>11.11 - (11.11 * $E$1)</f>
        <v>11.11</v>
      </c>
      <c r="M2660" s="1">
        <v>13.55</v>
      </c>
      <c r="N2660" s="1">
        <v>11.11</v>
      </c>
      <c r="O2660" s="1">
        <v>11.52</v>
      </c>
      <c r="P2660" s="1">
        <v>9.44</v>
      </c>
      <c r="Q2660">
        <v>6.0000000000000001E-3</v>
      </c>
      <c r="R2660">
        <v>5.4450000000000002E-5</v>
      </c>
    </row>
    <row r="2661" spans="1:18" ht="13.8" outlineLevel="2" x14ac:dyDescent="0.25">
      <c r="A2661">
        <v>83632</v>
      </c>
      <c r="B2661" t="s">
        <v>2463</v>
      </c>
      <c r="C2661" t="s">
        <v>3116</v>
      </c>
      <c r="D2661" s="14" t="s">
        <v>3115</v>
      </c>
      <c r="E2661" s="12" t="s">
        <v>28</v>
      </c>
      <c r="F2661" s="13" t="s">
        <v>29</v>
      </c>
      <c r="G2661">
        <v>100</v>
      </c>
      <c r="H2661" t="s">
        <v>2466</v>
      </c>
      <c r="I2661">
        <v>100</v>
      </c>
      <c r="J2661" s="15"/>
      <c r="K2661" s="16">
        <f>19.04 - (19.04 * $E$1)</f>
        <v>19.04</v>
      </c>
      <c r="L2661" s="16">
        <f>15.61 - (15.61 * $E$1)</f>
        <v>15.61</v>
      </c>
      <c r="M2661" s="1">
        <v>19.04</v>
      </c>
      <c r="N2661" s="1">
        <v>15.61</v>
      </c>
      <c r="O2661" s="1">
        <v>16.190000000000001</v>
      </c>
      <c r="P2661" s="1">
        <v>13.27</v>
      </c>
      <c r="Q2661">
        <v>7.0000000000000001E-3</v>
      </c>
      <c r="R2661">
        <v>6.5339999999999994E-5</v>
      </c>
    </row>
    <row r="2662" spans="1:18" ht="13.8" outlineLevel="2" x14ac:dyDescent="0.25">
      <c r="A2662">
        <v>83633</v>
      </c>
      <c r="B2662" t="s">
        <v>2463</v>
      </c>
      <c r="C2662" t="s">
        <v>3117</v>
      </c>
      <c r="D2662" s="14" t="s">
        <v>3115</v>
      </c>
      <c r="E2662" s="12" t="s">
        <v>28</v>
      </c>
      <c r="F2662" s="13" t="s">
        <v>29</v>
      </c>
      <c r="G2662">
        <v>50</v>
      </c>
      <c r="H2662" t="s">
        <v>2466</v>
      </c>
      <c r="I2662">
        <v>50</v>
      </c>
      <c r="J2662" s="15"/>
      <c r="K2662" s="16">
        <f>19.07 - (19.07 * $E$1)</f>
        <v>19.07</v>
      </c>
      <c r="L2662" s="16">
        <f>15.63 - (15.63 * $E$1)</f>
        <v>15.63</v>
      </c>
      <c r="M2662" s="1">
        <v>19.07</v>
      </c>
      <c r="N2662" s="1">
        <v>15.63</v>
      </c>
      <c r="O2662" s="1">
        <v>16.21</v>
      </c>
      <c r="P2662" s="1">
        <v>13.29</v>
      </c>
      <c r="Q2662">
        <v>0.01</v>
      </c>
      <c r="R2662">
        <v>6.0980000000000002E-5</v>
      </c>
    </row>
    <row r="2663" spans="1:18" ht="13.8" outlineLevel="2" x14ac:dyDescent="0.25">
      <c r="A2663">
        <v>83639</v>
      </c>
      <c r="B2663" t="s">
        <v>2463</v>
      </c>
      <c r="C2663" t="s">
        <v>3118</v>
      </c>
      <c r="D2663" s="14" t="s">
        <v>3115</v>
      </c>
      <c r="E2663" s="12" t="s">
        <v>28</v>
      </c>
      <c r="F2663" s="13" t="s">
        <v>29</v>
      </c>
      <c r="G2663">
        <v>25</v>
      </c>
      <c r="H2663" t="s">
        <v>2466</v>
      </c>
      <c r="I2663">
        <v>25</v>
      </c>
      <c r="J2663" s="15"/>
      <c r="K2663" s="16">
        <f>140.82 - (140.82 * $E$1)</f>
        <v>140.82</v>
      </c>
      <c r="L2663" s="16">
        <f>115.43 - (115.43 * $E$1)</f>
        <v>115.43</v>
      </c>
      <c r="M2663" s="1">
        <v>140.82</v>
      </c>
      <c r="N2663" s="1">
        <v>115.43</v>
      </c>
      <c r="O2663" s="1">
        <v>119.7</v>
      </c>
      <c r="P2663" s="1">
        <v>98.12</v>
      </c>
      <c r="Q2663">
        <v>5.6000000000000001E-2</v>
      </c>
      <c r="R2663">
        <v>1.1768E-4</v>
      </c>
    </row>
    <row r="2664" spans="1:18" ht="13.8" outlineLevel="2" x14ac:dyDescent="0.25">
      <c r="A2664">
        <v>83640</v>
      </c>
      <c r="B2664" t="s">
        <v>2463</v>
      </c>
      <c r="C2664" t="s">
        <v>3119</v>
      </c>
      <c r="D2664" s="14" t="s">
        <v>3115</v>
      </c>
      <c r="E2664" s="12" t="s">
        <v>28</v>
      </c>
      <c r="F2664" s="13" t="s">
        <v>29</v>
      </c>
      <c r="G2664">
        <v>10</v>
      </c>
      <c r="H2664" t="s">
        <v>2466</v>
      </c>
      <c r="I2664">
        <v>10</v>
      </c>
      <c r="J2664" s="15"/>
      <c r="K2664" s="16">
        <f>269.02 - (269.02 * $E$1)</f>
        <v>269.02</v>
      </c>
      <c r="L2664" s="16">
        <f>220.51 - (220.51 * $E$1)</f>
        <v>220.51</v>
      </c>
      <c r="M2664" s="1">
        <v>269.02</v>
      </c>
      <c r="N2664" s="1">
        <v>220.51</v>
      </c>
      <c r="O2664" s="1">
        <v>228.67</v>
      </c>
      <c r="P2664" s="1">
        <v>187.43</v>
      </c>
      <c r="Q2664">
        <v>0.12</v>
      </c>
      <c r="R2664">
        <v>2.9930000000000001E-4</v>
      </c>
    </row>
    <row r="2665" spans="1:18" ht="13.8" outlineLevel="2" x14ac:dyDescent="0.25">
      <c r="A2665">
        <v>83641</v>
      </c>
      <c r="B2665" t="s">
        <v>2463</v>
      </c>
      <c r="C2665" t="s">
        <v>3120</v>
      </c>
      <c r="D2665" s="14" t="s">
        <v>3115</v>
      </c>
      <c r="E2665" s="12" t="s">
        <v>28</v>
      </c>
      <c r="F2665" s="13" t="s">
        <v>29</v>
      </c>
      <c r="G2665">
        <v>10</v>
      </c>
      <c r="H2665" t="s">
        <v>2466</v>
      </c>
      <c r="I2665">
        <v>10</v>
      </c>
      <c r="J2665" s="15"/>
      <c r="K2665" s="16">
        <f>359.58 - (359.58 * $E$1)</f>
        <v>359.58</v>
      </c>
      <c r="L2665" s="16">
        <f>294.74 - (294.74 * $E$1)</f>
        <v>294.74</v>
      </c>
      <c r="M2665" s="1">
        <v>359.58</v>
      </c>
      <c r="N2665" s="1">
        <v>294.74</v>
      </c>
      <c r="O2665" s="1">
        <v>305.64999999999998</v>
      </c>
      <c r="P2665" s="1">
        <v>250.53</v>
      </c>
      <c r="Q2665">
        <v>0.22</v>
      </c>
      <c r="R2665">
        <v>4.6930000000000002E-4</v>
      </c>
    </row>
    <row r="2666" spans="1:18" ht="13.8" outlineLevel="2" x14ac:dyDescent="0.25">
      <c r="A2666">
        <v>83642</v>
      </c>
      <c r="B2666" t="s">
        <v>2463</v>
      </c>
      <c r="C2666" t="s">
        <v>3121</v>
      </c>
      <c r="D2666" s="14" t="s">
        <v>3115</v>
      </c>
      <c r="E2666" s="12" t="s">
        <v>28</v>
      </c>
      <c r="F2666" s="13" t="s">
        <v>29</v>
      </c>
      <c r="G2666">
        <v>10</v>
      </c>
      <c r="H2666" t="s">
        <v>2466</v>
      </c>
      <c r="I2666">
        <v>10</v>
      </c>
      <c r="J2666" s="15"/>
      <c r="K2666" s="16">
        <f>467.14 - (467.14 * $E$1)</f>
        <v>467.14</v>
      </c>
      <c r="L2666" s="16">
        <f>382.9 - (382.9 * $E$1)</f>
        <v>382.9</v>
      </c>
      <c r="M2666" s="1">
        <v>467.14</v>
      </c>
      <c r="N2666" s="1">
        <v>382.9</v>
      </c>
      <c r="O2666" s="1">
        <v>397.07</v>
      </c>
      <c r="P2666" s="1">
        <v>325.47000000000003</v>
      </c>
      <c r="Q2666">
        <v>0.27</v>
      </c>
      <c r="R2666">
        <v>6.2739999999999996E-4</v>
      </c>
    </row>
    <row r="2667" spans="1:18" ht="13.8" outlineLevel="2" x14ac:dyDescent="0.25">
      <c r="A2667">
        <v>84888</v>
      </c>
      <c r="B2667" t="s">
        <v>2463</v>
      </c>
      <c r="C2667" t="s">
        <v>3122</v>
      </c>
      <c r="D2667" s="14" t="s">
        <v>3123</v>
      </c>
      <c r="E2667" s="12" t="s">
        <v>28</v>
      </c>
      <c r="F2667" s="13" t="s">
        <v>29</v>
      </c>
      <c r="G2667">
        <v>200</v>
      </c>
      <c r="H2667" t="s">
        <v>2466</v>
      </c>
      <c r="I2667">
        <v>200</v>
      </c>
      <c r="J2667" s="15"/>
      <c r="K2667" s="16">
        <f>112.98 - (112.98 * $E$1)</f>
        <v>112.98</v>
      </c>
      <c r="L2667" s="16">
        <f>92.61 - (92.61 * $E$1)</f>
        <v>92.61</v>
      </c>
      <c r="M2667" s="1">
        <v>112.98</v>
      </c>
      <c r="N2667" s="1">
        <v>92.61</v>
      </c>
      <c r="O2667" s="1">
        <v>96.04</v>
      </c>
      <c r="P2667" s="1">
        <v>78.72</v>
      </c>
      <c r="Q2667">
        <v>8.0000000000000002E-3</v>
      </c>
      <c r="R2667">
        <v>5.1839999999999998E-5</v>
      </c>
    </row>
    <row r="2668" spans="1:18" ht="13.8" outlineLevel="2" x14ac:dyDescent="0.25">
      <c r="A2668">
        <v>75445</v>
      </c>
      <c r="B2668" t="s">
        <v>2463</v>
      </c>
      <c r="C2668" t="s">
        <v>3124</v>
      </c>
      <c r="D2668" s="14" t="s">
        <v>3123</v>
      </c>
      <c r="E2668" s="12" t="s">
        <v>28</v>
      </c>
      <c r="F2668" s="13" t="s">
        <v>29</v>
      </c>
      <c r="G2668">
        <v>100</v>
      </c>
      <c r="H2668" t="s">
        <v>2466</v>
      </c>
      <c r="I2668">
        <v>100</v>
      </c>
      <c r="J2668" s="15"/>
      <c r="K2668" s="16">
        <f>164.3 - (164.3 * $E$1)</f>
        <v>164.3</v>
      </c>
      <c r="L2668" s="16">
        <f>134.67 - (134.67 * $E$1)</f>
        <v>134.66999999999999</v>
      </c>
      <c r="M2668" s="1">
        <v>164.3</v>
      </c>
      <c r="N2668" s="1">
        <v>134.66999999999999</v>
      </c>
      <c r="O2668" s="1">
        <v>139.65</v>
      </c>
      <c r="P2668" s="1">
        <v>114.47</v>
      </c>
      <c r="Q2668">
        <v>1.2999999999999999E-2</v>
      </c>
      <c r="R2668">
        <v>1.0648E-4</v>
      </c>
    </row>
    <row r="2669" spans="1:18" ht="13.8" outlineLevel="2" x14ac:dyDescent="0.25">
      <c r="A2669">
        <v>75446</v>
      </c>
      <c r="B2669" t="s">
        <v>2463</v>
      </c>
      <c r="C2669" t="s">
        <v>3125</v>
      </c>
      <c r="D2669" s="14" t="s">
        <v>3123</v>
      </c>
      <c r="E2669" s="12" t="s">
        <v>28</v>
      </c>
      <c r="F2669" s="13" t="s">
        <v>29</v>
      </c>
      <c r="G2669">
        <v>100</v>
      </c>
      <c r="H2669" t="s">
        <v>2466</v>
      </c>
      <c r="I2669">
        <v>100</v>
      </c>
      <c r="J2669" s="15"/>
      <c r="K2669" s="16">
        <f>221.1 - (221.1 * $E$1)</f>
        <v>221.1</v>
      </c>
      <c r="L2669" s="16">
        <f>181.23 - (181.23 * $E$1)</f>
        <v>181.23</v>
      </c>
      <c r="M2669" s="1">
        <v>221.1</v>
      </c>
      <c r="N2669" s="1">
        <v>181.23</v>
      </c>
      <c r="O2669" s="1">
        <v>187.94</v>
      </c>
      <c r="P2669" s="1">
        <v>154.05000000000001</v>
      </c>
      <c r="Q2669">
        <v>1.6E-2</v>
      </c>
      <c r="R2669">
        <v>1.3552E-4</v>
      </c>
    </row>
    <row r="2670" spans="1:18" ht="13.8" outlineLevel="2" x14ac:dyDescent="0.25">
      <c r="A2670">
        <v>75447</v>
      </c>
      <c r="B2670" t="s">
        <v>2463</v>
      </c>
      <c r="C2670" t="s">
        <v>3126</v>
      </c>
      <c r="D2670" s="14" t="s">
        <v>3123</v>
      </c>
      <c r="E2670" s="12" t="s">
        <v>28</v>
      </c>
      <c r="F2670" s="13" t="s">
        <v>29</v>
      </c>
      <c r="G2670">
        <v>50</v>
      </c>
      <c r="H2670" t="s">
        <v>2466</v>
      </c>
      <c r="I2670">
        <v>50</v>
      </c>
      <c r="J2670" s="15"/>
      <c r="K2670" s="16">
        <f>357 - (357 * $E$1)</f>
        <v>357</v>
      </c>
      <c r="L2670" s="16">
        <f>292.62 - (292.62 * $E$1)</f>
        <v>292.62</v>
      </c>
      <c r="M2670" s="1">
        <v>357</v>
      </c>
      <c r="N2670" s="1">
        <v>292.62</v>
      </c>
      <c r="O2670" s="1">
        <v>303.45</v>
      </c>
      <c r="P2670" s="1">
        <v>248.73</v>
      </c>
      <c r="Q2670">
        <v>2.8000000000000001E-2</v>
      </c>
      <c r="R2670">
        <v>2.9040000000000001E-4</v>
      </c>
    </row>
    <row r="2671" spans="1:18" ht="13.8" outlineLevel="2" x14ac:dyDescent="0.25">
      <c r="A2671">
        <v>75448</v>
      </c>
      <c r="B2671" t="s">
        <v>2463</v>
      </c>
      <c r="C2671" t="s">
        <v>3127</v>
      </c>
      <c r="D2671" s="14" t="s">
        <v>3123</v>
      </c>
      <c r="E2671" s="12" t="s">
        <v>28</v>
      </c>
      <c r="F2671" s="13" t="s">
        <v>29</v>
      </c>
      <c r="G2671">
        <v>50</v>
      </c>
      <c r="H2671" t="s">
        <v>2466</v>
      </c>
      <c r="I2671">
        <v>50</v>
      </c>
      <c r="J2671" s="15"/>
      <c r="K2671" s="16">
        <f>541.18 - (541.18 * $E$1)</f>
        <v>541.17999999999995</v>
      </c>
      <c r="L2671" s="16">
        <f>443.59 - (443.59 * $E$1)</f>
        <v>443.59</v>
      </c>
      <c r="M2671" s="1">
        <v>541.17999999999995</v>
      </c>
      <c r="N2671" s="1">
        <v>443.59</v>
      </c>
      <c r="O2671" s="1">
        <v>460</v>
      </c>
      <c r="P2671" s="1">
        <v>377.05</v>
      </c>
      <c r="Q2671">
        <v>4.3999999999999997E-2</v>
      </c>
      <c r="R2671">
        <v>1.7424000000000001E-4</v>
      </c>
    </row>
    <row r="2672" spans="1:18" ht="13.8" outlineLevel="2" x14ac:dyDescent="0.25">
      <c r="A2672">
        <v>75449</v>
      </c>
      <c r="B2672" t="s">
        <v>2463</v>
      </c>
      <c r="C2672" t="s">
        <v>3128</v>
      </c>
      <c r="D2672" s="14" t="s">
        <v>3123</v>
      </c>
      <c r="E2672" s="12" t="s">
        <v>28</v>
      </c>
      <c r="F2672" s="13" t="s">
        <v>29</v>
      </c>
      <c r="G2672">
        <v>30</v>
      </c>
      <c r="H2672" t="s">
        <v>2466</v>
      </c>
      <c r="I2672">
        <v>30</v>
      </c>
      <c r="J2672" s="15"/>
      <c r="K2672" s="16">
        <f>858.83 - (858.83 * $E$1)</f>
        <v>858.83</v>
      </c>
      <c r="L2672" s="16">
        <f>703.96 - (703.96 * $E$1)</f>
        <v>703.96</v>
      </c>
      <c r="M2672" s="1">
        <v>858.83</v>
      </c>
      <c r="N2672" s="1">
        <v>703.96</v>
      </c>
      <c r="O2672" s="1">
        <v>730.01</v>
      </c>
      <c r="P2672" s="1">
        <v>598.37</v>
      </c>
      <c r="Q2672">
        <v>7.0000000000000007E-2</v>
      </c>
      <c r="R2672">
        <v>3.2266666666666999E-4</v>
      </c>
    </row>
    <row r="2673" spans="1:18" ht="13.8" outlineLevel="2" x14ac:dyDescent="0.25">
      <c r="A2673">
        <v>84889</v>
      </c>
      <c r="B2673" t="s">
        <v>2463</v>
      </c>
      <c r="C2673" t="s">
        <v>3129</v>
      </c>
      <c r="D2673" s="14" t="s">
        <v>3123</v>
      </c>
      <c r="E2673" s="12" t="s">
        <v>28</v>
      </c>
      <c r="F2673" s="13" t="s">
        <v>29</v>
      </c>
      <c r="G2673">
        <v>30</v>
      </c>
      <c r="H2673" t="s">
        <v>2466</v>
      </c>
      <c r="I2673">
        <v>30</v>
      </c>
      <c r="J2673" s="15"/>
      <c r="K2673" s="16">
        <f>1541.38 - (1541.38 * $E$1)</f>
        <v>1541.38</v>
      </c>
      <c r="L2673" s="16">
        <f>1263.43 - (1263.43 * $E$1)</f>
        <v>1263.43</v>
      </c>
      <c r="M2673" s="1">
        <v>1541.38</v>
      </c>
      <c r="N2673" s="1">
        <v>1263.43</v>
      </c>
      <c r="O2673" s="1">
        <v>1310.18</v>
      </c>
      <c r="P2673" s="1">
        <v>1073.92</v>
      </c>
      <c r="Q2673">
        <v>0.11333333333333</v>
      </c>
      <c r="R2673">
        <v>3.8880000000000002E-4</v>
      </c>
    </row>
    <row r="2674" spans="1:18" ht="13.8" outlineLevel="2" x14ac:dyDescent="0.25">
      <c r="A2674">
        <v>84890</v>
      </c>
      <c r="B2674" t="s">
        <v>2463</v>
      </c>
      <c r="C2674" t="s">
        <v>3130</v>
      </c>
      <c r="D2674" s="14" t="s">
        <v>3123</v>
      </c>
      <c r="E2674" s="12" t="s">
        <v>28</v>
      </c>
      <c r="F2674" s="13" t="s">
        <v>29</v>
      </c>
      <c r="G2674">
        <v>30</v>
      </c>
      <c r="H2674" t="s">
        <v>2466</v>
      </c>
      <c r="I2674">
        <v>30</v>
      </c>
      <c r="J2674" s="15"/>
      <c r="K2674" s="16">
        <f>3062.3 - (3062.3 * $E$1)</f>
        <v>3062.3</v>
      </c>
      <c r="L2674" s="16">
        <f>2510.08 - (2510.08 * $E$1)</f>
        <v>2510.08</v>
      </c>
      <c r="M2674" s="1">
        <v>3062.3</v>
      </c>
      <c r="N2674" s="1">
        <v>2510.08</v>
      </c>
      <c r="O2674" s="1">
        <v>2602.9499999999998</v>
      </c>
      <c r="P2674" s="1">
        <v>2133.5700000000002</v>
      </c>
      <c r="Q2674">
        <v>0.24399999999999999</v>
      </c>
      <c r="R2674">
        <v>3.8880000000000002E-4</v>
      </c>
    </row>
    <row r="2675" spans="1:18" ht="13.8" outlineLevel="2" x14ac:dyDescent="0.25">
      <c r="A2675">
        <v>84891</v>
      </c>
      <c r="B2675" t="s">
        <v>2463</v>
      </c>
      <c r="C2675" t="s">
        <v>3131</v>
      </c>
      <c r="D2675" s="14" t="s">
        <v>3123</v>
      </c>
      <c r="E2675" s="12" t="s">
        <v>28</v>
      </c>
      <c r="F2675" s="13" t="s">
        <v>29</v>
      </c>
      <c r="G2675">
        <v>15</v>
      </c>
      <c r="H2675" t="s">
        <v>2466</v>
      </c>
      <c r="I2675">
        <v>15</v>
      </c>
      <c r="J2675" s="15"/>
      <c r="K2675" s="16">
        <f>4968.6 - (4968.6 * $E$1)</f>
        <v>4968.6000000000004</v>
      </c>
      <c r="L2675" s="16">
        <f>4072.62 - (4072.62 * $E$1)</f>
        <v>4072.62</v>
      </c>
      <c r="M2675" s="1">
        <v>4968.6000000000004</v>
      </c>
      <c r="N2675" s="1">
        <v>4072.62</v>
      </c>
      <c r="O2675" s="1">
        <v>4223.3100000000004</v>
      </c>
      <c r="P2675" s="1">
        <v>3461.73</v>
      </c>
      <c r="Q2675">
        <v>0.37866666666666998</v>
      </c>
      <c r="R2675">
        <v>7.7760000000000004E-4</v>
      </c>
    </row>
    <row r="2676" spans="1:18" ht="13.8" outlineLevel="2" x14ac:dyDescent="0.25">
      <c r="A2676">
        <v>104418</v>
      </c>
      <c r="B2676" t="s">
        <v>2463</v>
      </c>
      <c r="C2676" t="s">
        <v>3132</v>
      </c>
      <c r="D2676" s="14" t="s">
        <v>3133</v>
      </c>
      <c r="E2676" s="12" t="s">
        <v>28</v>
      </c>
      <c r="F2676" s="13" t="s">
        <v>29</v>
      </c>
      <c r="G2676">
        <v>200</v>
      </c>
      <c r="H2676" t="s">
        <v>2466</v>
      </c>
      <c r="I2676">
        <v>200</v>
      </c>
      <c r="J2676" s="15"/>
      <c r="K2676" s="16">
        <f>34.05 - (34.05 * $E$1)</f>
        <v>34.049999999999997</v>
      </c>
      <c r="L2676" s="16">
        <f>27.91 - (27.91 * $E$1)</f>
        <v>27.91</v>
      </c>
      <c r="M2676" s="1">
        <v>34.049999999999997</v>
      </c>
      <c r="N2676" s="1">
        <v>27.91</v>
      </c>
      <c r="O2676" s="1">
        <v>28.94</v>
      </c>
      <c r="P2676" s="1">
        <v>23.72</v>
      </c>
      <c r="Q2676">
        <v>4.3499999999999997E-3</v>
      </c>
      <c r="R2676">
        <v>3.0375E-5</v>
      </c>
    </row>
    <row r="2677" spans="1:18" ht="13.8" outlineLevel="2" x14ac:dyDescent="0.25">
      <c r="A2677">
        <v>104419</v>
      </c>
      <c r="B2677" t="s">
        <v>2463</v>
      </c>
      <c r="C2677" t="s">
        <v>3134</v>
      </c>
      <c r="D2677" s="14" t="s">
        <v>3133</v>
      </c>
      <c r="E2677" s="12" t="s">
        <v>28</v>
      </c>
      <c r="F2677" s="13" t="s">
        <v>29</v>
      </c>
      <c r="G2677">
        <v>200</v>
      </c>
      <c r="H2677" t="s">
        <v>2466</v>
      </c>
      <c r="I2677">
        <v>200</v>
      </c>
      <c r="J2677" s="15"/>
      <c r="K2677" s="16">
        <f>53.36 - (53.36 * $E$1)</f>
        <v>53.36</v>
      </c>
      <c r="L2677" s="16">
        <f>43.74 - (43.74 * $E$1)</f>
        <v>43.74</v>
      </c>
      <c r="M2677" s="1">
        <v>53.36</v>
      </c>
      <c r="N2677" s="1">
        <v>43.74</v>
      </c>
      <c r="O2677" s="1">
        <v>45.36</v>
      </c>
      <c r="P2677" s="1">
        <v>37.18</v>
      </c>
      <c r="Q2677">
        <v>7.0000000000000001E-3</v>
      </c>
      <c r="R2677">
        <v>6.0749999999999999E-5</v>
      </c>
    </row>
    <row r="2678" spans="1:18" ht="13.8" outlineLevel="2" x14ac:dyDescent="0.25">
      <c r="A2678">
        <v>104420</v>
      </c>
      <c r="B2678" t="s">
        <v>2463</v>
      </c>
      <c r="C2678" t="s">
        <v>3135</v>
      </c>
      <c r="D2678" s="14" t="s">
        <v>3133</v>
      </c>
      <c r="E2678" s="12" t="s">
        <v>28</v>
      </c>
      <c r="F2678" s="13" t="s">
        <v>29</v>
      </c>
      <c r="G2678">
        <v>100</v>
      </c>
      <c r="H2678" t="s">
        <v>2466</v>
      </c>
      <c r="I2678">
        <v>100</v>
      </c>
      <c r="J2678" s="15"/>
      <c r="K2678" s="16">
        <f>73.19 - (73.19 * $E$1)</f>
        <v>73.19</v>
      </c>
      <c r="L2678" s="16">
        <f>59.99 - (59.99 * $E$1)</f>
        <v>59.99</v>
      </c>
      <c r="M2678" s="1">
        <v>73.19</v>
      </c>
      <c r="N2678" s="1">
        <v>59.99</v>
      </c>
      <c r="O2678" s="1">
        <v>62.21</v>
      </c>
      <c r="P2678" s="1">
        <v>50.99</v>
      </c>
      <c r="Q2678">
        <v>1.11E-2</v>
      </c>
      <c r="R2678">
        <v>1.1137999999999999E-4</v>
      </c>
    </row>
    <row r="2679" spans="1:18" ht="13.8" outlineLevel="2" x14ac:dyDescent="0.25">
      <c r="A2679">
        <v>104421</v>
      </c>
      <c r="B2679" t="s">
        <v>2463</v>
      </c>
      <c r="C2679" t="s">
        <v>3136</v>
      </c>
      <c r="D2679" s="14" t="s">
        <v>3133</v>
      </c>
      <c r="E2679" s="12" t="s">
        <v>28</v>
      </c>
      <c r="F2679" s="13" t="s">
        <v>29</v>
      </c>
      <c r="G2679">
        <v>100</v>
      </c>
      <c r="H2679" t="s">
        <v>2466</v>
      </c>
      <c r="I2679">
        <v>100</v>
      </c>
      <c r="J2679" s="15"/>
      <c r="K2679" s="16">
        <f>94.84 - (94.84 * $E$1)</f>
        <v>94.84</v>
      </c>
      <c r="L2679" s="16">
        <f>77.74 - (77.74 * $E$1)</f>
        <v>77.739999999999995</v>
      </c>
      <c r="M2679" s="1">
        <v>94.84</v>
      </c>
      <c r="N2679" s="1">
        <v>77.739999999999995</v>
      </c>
      <c r="O2679" s="1">
        <v>80.62</v>
      </c>
      <c r="P2679" s="1">
        <v>66.08</v>
      </c>
      <c r="Q2679">
        <v>1.6899999999999998E-2</v>
      </c>
      <c r="R2679">
        <v>5.0630000000000001E-5</v>
      </c>
    </row>
    <row r="2680" spans="1:18" ht="13.8" outlineLevel="2" x14ac:dyDescent="0.25">
      <c r="A2680">
        <v>79912</v>
      </c>
      <c r="B2680" t="s">
        <v>2463</v>
      </c>
      <c r="C2680" t="s">
        <v>3137</v>
      </c>
      <c r="D2680" s="14" t="s">
        <v>3133</v>
      </c>
      <c r="E2680" s="12" t="s">
        <v>28</v>
      </c>
      <c r="F2680" s="13" t="s">
        <v>29</v>
      </c>
      <c r="G2680">
        <v>10</v>
      </c>
      <c r="H2680" t="s">
        <v>30</v>
      </c>
      <c r="I2680">
        <v>10</v>
      </c>
      <c r="J2680" s="15"/>
      <c r="K2680" s="16">
        <f>381.35 - (381.35 * $E$1)</f>
        <v>381.35</v>
      </c>
      <c r="L2680" s="16">
        <f>312.58 - (312.58 * $E$1)</f>
        <v>312.58</v>
      </c>
      <c r="M2680" s="1">
        <v>381.35</v>
      </c>
      <c r="N2680" s="1">
        <v>312.58</v>
      </c>
      <c r="O2680" s="1">
        <v>324.14999999999998</v>
      </c>
      <c r="P2680" s="1">
        <v>265.69</v>
      </c>
      <c r="Q2680">
        <v>0.02</v>
      </c>
      <c r="R2680">
        <v>5.9999999999999997E-7</v>
      </c>
    </row>
    <row r="2681" spans="1:18" ht="13.8" outlineLevel="2" x14ac:dyDescent="0.25">
      <c r="A2681">
        <v>104422</v>
      </c>
      <c r="B2681" t="s">
        <v>2463</v>
      </c>
      <c r="C2681" t="s">
        <v>3138</v>
      </c>
      <c r="D2681" s="14" t="s">
        <v>3133</v>
      </c>
      <c r="E2681" s="12" t="s">
        <v>28</v>
      </c>
      <c r="F2681" s="13" t="s">
        <v>29</v>
      </c>
      <c r="G2681">
        <v>100</v>
      </c>
      <c r="H2681" t="s">
        <v>2466</v>
      </c>
      <c r="I2681">
        <v>100</v>
      </c>
      <c r="J2681" s="15"/>
      <c r="K2681" s="16">
        <f>294.79 - (294.79 * $E$1)</f>
        <v>294.79000000000002</v>
      </c>
      <c r="L2681" s="16">
        <f>241.63 - (241.63 * $E$1)</f>
        <v>241.63</v>
      </c>
      <c r="M2681" s="1">
        <v>294.79000000000002</v>
      </c>
      <c r="N2681" s="1">
        <v>241.63</v>
      </c>
      <c r="O2681" s="1">
        <v>250.57</v>
      </c>
      <c r="P2681" s="1">
        <v>205.39</v>
      </c>
      <c r="Q2681">
        <v>4.2299999999999997E-2</v>
      </c>
      <c r="R2681">
        <v>9.1130000000000003E-5</v>
      </c>
    </row>
    <row r="2682" spans="1:18" ht="13.8" outlineLevel="2" x14ac:dyDescent="0.25">
      <c r="A2682">
        <v>104423</v>
      </c>
      <c r="B2682" t="s">
        <v>2463</v>
      </c>
      <c r="C2682" t="s">
        <v>3139</v>
      </c>
      <c r="D2682" s="14" t="s">
        <v>3133</v>
      </c>
      <c r="E2682" s="12" t="s">
        <v>28</v>
      </c>
      <c r="F2682" s="13" t="s">
        <v>29</v>
      </c>
      <c r="G2682">
        <v>50</v>
      </c>
      <c r="H2682" t="s">
        <v>2466</v>
      </c>
      <c r="I2682">
        <v>50</v>
      </c>
      <c r="J2682" s="15"/>
      <c r="K2682" s="16">
        <f>579.4 - (579.4 * $E$1)</f>
        <v>579.4</v>
      </c>
      <c r="L2682" s="16">
        <f>474.92 - (474.92 * $E$1)</f>
        <v>474.92</v>
      </c>
      <c r="M2682" s="1">
        <v>579.4</v>
      </c>
      <c r="N2682" s="1">
        <v>474.92</v>
      </c>
      <c r="O2682" s="1">
        <v>492.49</v>
      </c>
      <c r="P2682" s="1">
        <v>403.68</v>
      </c>
      <c r="Q2682">
        <v>6.3600000000000004E-2</v>
      </c>
      <c r="R2682">
        <v>2.2275999999999999E-4</v>
      </c>
    </row>
    <row r="2683" spans="1:18" ht="13.8" outlineLevel="2" x14ac:dyDescent="0.25">
      <c r="A2683">
        <v>104424</v>
      </c>
      <c r="B2683" t="s">
        <v>2463</v>
      </c>
      <c r="C2683" t="s">
        <v>3140</v>
      </c>
      <c r="D2683" s="14" t="s">
        <v>3133</v>
      </c>
      <c r="E2683" s="12" t="s">
        <v>28</v>
      </c>
      <c r="F2683" s="13" t="s">
        <v>29</v>
      </c>
      <c r="G2683">
        <v>50</v>
      </c>
      <c r="H2683" t="s">
        <v>2466</v>
      </c>
      <c r="I2683">
        <v>50</v>
      </c>
      <c r="J2683" s="15"/>
      <c r="K2683" s="16">
        <f>823.37 - (823.37 * $E$1)</f>
        <v>823.37</v>
      </c>
      <c r="L2683" s="16">
        <f>674.89 - (674.89 * $E$1)</f>
        <v>674.89</v>
      </c>
      <c r="M2683" s="1">
        <v>823.37</v>
      </c>
      <c r="N2683" s="1">
        <v>674.89</v>
      </c>
      <c r="O2683" s="1">
        <v>699.86</v>
      </c>
      <c r="P2683" s="1">
        <v>573.66</v>
      </c>
      <c r="Q2683">
        <v>8.0600000000000005E-2</v>
      </c>
      <c r="R2683">
        <v>2.8350000000000001E-4</v>
      </c>
    </row>
    <row r="2684" spans="1:18" ht="13.8" outlineLevel="2" x14ac:dyDescent="0.25">
      <c r="A2684">
        <v>75440</v>
      </c>
      <c r="B2684" t="s">
        <v>2463</v>
      </c>
      <c r="C2684" t="s">
        <v>3141</v>
      </c>
      <c r="D2684" s="14" t="s">
        <v>3142</v>
      </c>
      <c r="E2684" s="12" t="s">
        <v>28</v>
      </c>
      <c r="F2684" s="13" t="s">
        <v>29</v>
      </c>
      <c r="G2684">
        <v>10</v>
      </c>
      <c r="H2684" t="s">
        <v>30</v>
      </c>
      <c r="I2684">
        <v>10</v>
      </c>
      <c r="J2684" s="15"/>
      <c r="K2684" s="16">
        <f>158.01 - (158.01 * $E$1)</f>
        <v>158.01</v>
      </c>
      <c r="L2684" s="16">
        <f>129.52 - (129.52 * $E$1)</f>
        <v>129.52000000000001</v>
      </c>
      <c r="M2684" s="1">
        <v>158.01</v>
      </c>
      <c r="N2684" s="1">
        <v>129.52000000000001</v>
      </c>
      <c r="O2684" s="1">
        <v>134.31</v>
      </c>
      <c r="P2684" s="1">
        <v>110.09</v>
      </c>
      <c r="Q2684">
        <v>6.1000000000000004E-3</v>
      </c>
      <c r="R2684">
        <v>5.9500000000000003E-5</v>
      </c>
    </row>
    <row r="2685" spans="1:18" ht="13.8" outlineLevel="2" x14ac:dyDescent="0.25">
      <c r="A2685">
        <v>75441</v>
      </c>
      <c r="B2685" t="s">
        <v>2463</v>
      </c>
      <c r="C2685" t="s">
        <v>3143</v>
      </c>
      <c r="D2685" s="14" t="s">
        <v>3142</v>
      </c>
      <c r="E2685" s="12" t="s">
        <v>28</v>
      </c>
      <c r="F2685" s="13" t="s">
        <v>29</v>
      </c>
      <c r="G2685">
        <v>10</v>
      </c>
      <c r="H2685" t="s">
        <v>30</v>
      </c>
      <c r="I2685">
        <v>10</v>
      </c>
      <c r="J2685" s="15"/>
      <c r="K2685" s="16">
        <f>182.1 - (182.1 * $E$1)</f>
        <v>182.1</v>
      </c>
      <c r="L2685" s="16">
        <f>149.26 - (149.26 * $E$1)</f>
        <v>149.26</v>
      </c>
      <c r="M2685" s="1">
        <v>182.1</v>
      </c>
      <c r="N2685" s="1">
        <v>149.26</v>
      </c>
      <c r="O2685" s="1">
        <v>154.78</v>
      </c>
      <c r="P2685" s="1">
        <v>126.87</v>
      </c>
      <c r="Q2685">
        <v>6.7999999999999996E-3</v>
      </c>
      <c r="R2685">
        <v>7.4400000000000006E-5</v>
      </c>
    </row>
    <row r="2686" spans="1:18" ht="13.8" outlineLevel="2" x14ac:dyDescent="0.25">
      <c r="A2686">
        <v>75442</v>
      </c>
      <c r="B2686" t="s">
        <v>2463</v>
      </c>
      <c r="C2686" t="s">
        <v>3144</v>
      </c>
      <c r="D2686" s="14" t="s">
        <v>3142</v>
      </c>
      <c r="E2686" s="12" t="s">
        <v>28</v>
      </c>
      <c r="F2686" s="13" t="s">
        <v>29</v>
      </c>
      <c r="G2686">
        <v>10</v>
      </c>
      <c r="H2686" t="s">
        <v>30</v>
      </c>
      <c r="I2686">
        <v>10</v>
      </c>
      <c r="J2686" s="15"/>
      <c r="K2686" s="16">
        <f>238.75 - (238.75 * $E$1)</f>
        <v>238.75</v>
      </c>
      <c r="L2686" s="16">
        <f>195.7 - (195.7 * $E$1)</f>
        <v>195.7</v>
      </c>
      <c r="M2686" s="1">
        <v>238.75</v>
      </c>
      <c r="N2686" s="1">
        <v>195.7</v>
      </c>
      <c r="O2686" s="1">
        <v>202.94</v>
      </c>
      <c r="P2686" s="1">
        <v>166.35</v>
      </c>
      <c r="Q2686">
        <v>9.1999999999999998E-3</v>
      </c>
      <c r="R2686">
        <v>7.4400000000000006E-5</v>
      </c>
    </row>
    <row r="2687" spans="1:18" ht="13.8" outlineLevel="2" x14ac:dyDescent="0.25">
      <c r="A2687">
        <v>75443</v>
      </c>
      <c r="B2687" t="s">
        <v>2463</v>
      </c>
      <c r="C2687" t="s">
        <v>3145</v>
      </c>
      <c r="D2687" s="14" t="s">
        <v>3142</v>
      </c>
      <c r="E2687" s="12" t="s">
        <v>28</v>
      </c>
      <c r="F2687" s="13" t="s">
        <v>29</v>
      </c>
      <c r="G2687">
        <v>10</v>
      </c>
      <c r="H2687" t="s">
        <v>30</v>
      </c>
      <c r="I2687">
        <v>10</v>
      </c>
      <c r="J2687" s="15"/>
      <c r="K2687" s="16">
        <f>414.87 - (414.87 * $E$1)</f>
        <v>414.87</v>
      </c>
      <c r="L2687" s="16">
        <f>340.06 - (340.06 * $E$1)</f>
        <v>340.06</v>
      </c>
      <c r="M2687" s="1">
        <v>414.87</v>
      </c>
      <c r="N2687" s="1">
        <v>340.06</v>
      </c>
      <c r="O2687" s="1">
        <v>352.64</v>
      </c>
      <c r="P2687" s="1">
        <v>289.05</v>
      </c>
      <c r="Q2687">
        <v>1.34E-2</v>
      </c>
      <c r="R2687">
        <v>9.6700000000000006E-5</v>
      </c>
    </row>
    <row r="2688" spans="1:18" ht="13.8" outlineLevel="2" x14ac:dyDescent="0.25">
      <c r="A2688">
        <v>75444</v>
      </c>
      <c r="B2688" t="s">
        <v>2463</v>
      </c>
      <c r="C2688" t="s">
        <v>3146</v>
      </c>
      <c r="D2688" s="14" t="s">
        <v>3142</v>
      </c>
      <c r="E2688" s="12" t="s">
        <v>28</v>
      </c>
      <c r="F2688" s="13" t="s">
        <v>29</v>
      </c>
      <c r="G2688">
        <v>10</v>
      </c>
      <c r="H2688" t="s">
        <v>30</v>
      </c>
      <c r="I2688">
        <v>10</v>
      </c>
      <c r="J2688" s="15"/>
      <c r="K2688" s="16">
        <f>599.86 - (599.86 * $E$1)</f>
        <v>599.86</v>
      </c>
      <c r="L2688" s="16">
        <f>491.69 - (491.69 * $E$1)</f>
        <v>491.69</v>
      </c>
      <c r="M2688" s="1">
        <v>599.86</v>
      </c>
      <c r="N2688" s="1">
        <v>491.69</v>
      </c>
      <c r="O2688" s="1">
        <v>509.88</v>
      </c>
      <c r="P2688" s="1">
        <v>417.94</v>
      </c>
      <c r="Q2688">
        <v>1.4200000000000001E-2</v>
      </c>
      <c r="R2688">
        <v>1.395E-4</v>
      </c>
    </row>
    <row r="2689" spans="1:18" ht="13.8" outlineLevel="2" x14ac:dyDescent="0.25">
      <c r="A2689">
        <v>84884</v>
      </c>
      <c r="B2689" t="s">
        <v>2463</v>
      </c>
      <c r="C2689" t="s">
        <v>3147</v>
      </c>
      <c r="D2689" s="14" t="s">
        <v>3142</v>
      </c>
      <c r="E2689" s="12" t="s">
        <v>28</v>
      </c>
      <c r="F2689" s="13" t="s">
        <v>29</v>
      </c>
      <c r="G2689">
        <v>10</v>
      </c>
      <c r="H2689" t="s">
        <v>30</v>
      </c>
      <c r="I2689">
        <v>10</v>
      </c>
      <c r="J2689" s="15"/>
      <c r="K2689" s="16">
        <f>1021.31 - (1021.31 * $E$1)</f>
        <v>1021.31</v>
      </c>
      <c r="L2689" s="16">
        <f>837.14 - (837.14 * $E$1)</f>
        <v>837.14</v>
      </c>
      <c r="M2689" s="1">
        <v>1021.31</v>
      </c>
      <c r="N2689" s="1">
        <v>837.14</v>
      </c>
      <c r="O2689" s="1">
        <v>868.11</v>
      </c>
      <c r="P2689" s="1">
        <v>711.57</v>
      </c>
      <c r="Q2689">
        <v>3.1E-2</v>
      </c>
      <c r="R2689">
        <v>2.52E-4</v>
      </c>
    </row>
    <row r="2690" spans="1:18" ht="13.8" outlineLevel="2" x14ac:dyDescent="0.25">
      <c r="A2690">
        <v>84885</v>
      </c>
      <c r="B2690" t="s">
        <v>2463</v>
      </c>
      <c r="C2690" t="s">
        <v>3148</v>
      </c>
      <c r="D2690" s="14" t="s">
        <v>3142</v>
      </c>
      <c r="E2690" s="12" t="s">
        <v>28</v>
      </c>
      <c r="F2690" s="13" t="s">
        <v>29</v>
      </c>
      <c r="G2690">
        <v>10</v>
      </c>
      <c r="H2690" t="s">
        <v>30</v>
      </c>
      <c r="I2690">
        <v>10</v>
      </c>
      <c r="J2690" s="15"/>
      <c r="K2690" s="16">
        <f>1483.79 - (1483.79 * $E$1)</f>
        <v>1483.79</v>
      </c>
      <c r="L2690" s="16">
        <f>1216.22 - (1216.22 * $E$1)</f>
        <v>1216.22</v>
      </c>
      <c r="M2690" s="1">
        <v>1483.79</v>
      </c>
      <c r="N2690" s="1">
        <v>1216.22</v>
      </c>
      <c r="O2690" s="1">
        <v>1261.22</v>
      </c>
      <c r="P2690" s="1">
        <v>1033.79</v>
      </c>
      <c r="Q2690">
        <v>4.53E-2</v>
      </c>
      <c r="R2690">
        <v>3.4019999999999998E-4</v>
      </c>
    </row>
    <row r="2691" spans="1:18" ht="13.8" outlineLevel="2" x14ac:dyDescent="0.25">
      <c r="A2691">
        <v>91838</v>
      </c>
      <c r="B2691" t="s">
        <v>2463</v>
      </c>
      <c r="C2691" t="s">
        <v>3149</v>
      </c>
      <c r="D2691" s="14" t="s">
        <v>3150</v>
      </c>
      <c r="E2691" s="12" t="s">
        <v>28</v>
      </c>
      <c r="F2691" s="13" t="s">
        <v>29</v>
      </c>
      <c r="G2691">
        <v>10</v>
      </c>
      <c r="H2691" t="s">
        <v>30</v>
      </c>
      <c r="I2691">
        <v>10</v>
      </c>
      <c r="J2691" s="15"/>
      <c r="K2691" s="16">
        <f>405.32 - (405.32 * $E$1)</f>
        <v>405.32</v>
      </c>
      <c r="L2691" s="16">
        <f>332.23 - (332.23 * $E$1)</f>
        <v>332.23</v>
      </c>
      <c r="M2691" s="1">
        <v>405.32</v>
      </c>
      <c r="N2691" s="1">
        <v>332.23</v>
      </c>
      <c r="O2691" s="1">
        <v>344.52</v>
      </c>
      <c r="P2691" s="1">
        <v>282.39999999999998</v>
      </c>
      <c r="Q2691">
        <v>0.1</v>
      </c>
      <c r="R2691">
        <v>4.0800000000000002E-5</v>
      </c>
    </row>
    <row r="2692" spans="1:18" ht="13.8" outlineLevel="2" x14ac:dyDescent="0.25">
      <c r="A2692">
        <v>79915</v>
      </c>
      <c r="B2692" t="s">
        <v>2463</v>
      </c>
      <c r="C2692" t="s">
        <v>3151</v>
      </c>
      <c r="D2692" s="14" t="s">
        <v>3150</v>
      </c>
      <c r="E2692" s="12" t="s">
        <v>28</v>
      </c>
      <c r="F2692" s="13" t="s">
        <v>29</v>
      </c>
      <c r="G2692">
        <v>10</v>
      </c>
      <c r="H2692" t="s">
        <v>30</v>
      </c>
      <c r="I2692">
        <v>10</v>
      </c>
      <c r="J2692" s="15"/>
      <c r="K2692" s="16">
        <f>681.19 - (681.19 * $E$1)</f>
        <v>681.19</v>
      </c>
      <c r="L2692" s="16">
        <f>558.35 - (558.35 * $E$1)</f>
        <v>558.35</v>
      </c>
      <c r="M2692" s="1">
        <v>681.19</v>
      </c>
      <c r="N2692" s="1">
        <v>558.35</v>
      </c>
      <c r="O2692" s="1">
        <v>579.01</v>
      </c>
      <c r="P2692" s="1">
        <v>474.6</v>
      </c>
      <c r="Q2692">
        <v>0.02</v>
      </c>
      <c r="R2692">
        <v>1.1999999999999999E-6</v>
      </c>
    </row>
    <row r="2693" spans="1:18" ht="13.8" outlineLevel="2" x14ac:dyDescent="0.25">
      <c r="A2693">
        <v>79916</v>
      </c>
      <c r="B2693" t="s">
        <v>2463</v>
      </c>
      <c r="C2693" t="s">
        <v>3152</v>
      </c>
      <c r="D2693" s="14" t="s">
        <v>3150</v>
      </c>
      <c r="E2693" s="12" t="s">
        <v>28</v>
      </c>
      <c r="F2693" s="13" t="s">
        <v>29</v>
      </c>
      <c r="G2693">
        <v>10</v>
      </c>
      <c r="H2693" t="s">
        <v>30</v>
      </c>
      <c r="I2693">
        <v>10</v>
      </c>
      <c r="J2693" s="15"/>
      <c r="K2693" s="16">
        <f>801.82 - (801.82 * $E$1)</f>
        <v>801.82</v>
      </c>
      <c r="L2693" s="16">
        <f>657.23 - (657.23 * $E$1)</f>
        <v>657.23</v>
      </c>
      <c r="M2693" s="1">
        <v>801.82</v>
      </c>
      <c r="N2693" s="1">
        <v>657.23</v>
      </c>
      <c r="O2693" s="1">
        <v>681.55</v>
      </c>
      <c r="P2693" s="1">
        <v>558.65</v>
      </c>
      <c r="Q2693">
        <v>0.03</v>
      </c>
      <c r="R2693">
        <v>1.1999999999999999E-6</v>
      </c>
    </row>
    <row r="2694" spans="1:18" ht="13.8" outlineLevel="2" x14ac:dyDescent="0.25">
      <c r="A2694">
        <v>79917</v>
      </c>
      <c r="B2694" t="s">
        <v>2463</v>
      </c>
      <c r="C2694" t="s">
        <v>3153</v>
      </c>
      <c r="D2694" s="14" t="s">
        <v>3150</v>
      </c>
      <c r="E2694" s="12" t="s">
        <v>28</v>
      </c>
      <c r="F2694" s="13" t="s">
        <v>29</v>
      </c>
      <c r="G2694">
        <v>10</v>
      </c>
      <c r="H2694" t="s">
        <v>30</v>
      </c>
      <c r="I2694">
        <v>10</v>
      </c>
      <c r="J2694" s="15"/>
      <c r="K2694" s="16">
        <f>1108.02 - (1108.02 * $E$1)</f>
        <v>1108.02</v>
      </c>
      <c r="L2694" s="16">
        <f>908.21 - (908.21 * $E$1)</f>
        <v>908.21</v>
      </c>
      <c r="M2694" s="1">
        <v>1108.02</v>
      </c>
      <c r="N2694" s="1">
        <v>908.21</v>
      </c>
      <c r="O2694" s="1">
        <v>941.81</v>
      </c>
      <c r="P2694" s="1">
        <v>771.98</v>
      </c>
      <c r="Q2694">
        <v>0.04</v>
      </c>
      <c r="R2694">
        <v>3.9360000000000003E-4</v>
      </c>
    </row>
    <row r="2695" spans="1:18" ht="13.8" outlineLevel="2" x14ac:dyDescent="0.25">
      <c r="A2695">
        <v>79918</v>
      </c>
      <c r="B2695" t="s">
        <v>2463</v>
      </c>
      <c r="C2695" t="s">
        <v>3154</v>
      </c>
      <c r="D2695" s="14" t="s">
        <v>3150</v>
      </c>
      <c r="E2695" s="12" t="s">
        <v>28</v>
      </c>
      <c r="F2695" s="13" t="s">
        <v>29</v>
      </c>
      <c r="G2695">
        <v>10</v>
      </c>
      <c r="H2695" t="s">
        <v>30</v>
      </c>
      <c r="I2695">
        <v>10</v>
      </c>
      <c r="J2695" s="15"/>
      <c r="K2695" s="16">
        <f>1664.35 - (1664.35 * $E$1)</f>
        <v>1664.35</v>
      </c>
      <c r="L2695" s="16">
        <f>1364.22 - (1364.22 * $E$1)</f>
        <v>1364.22</v>
      </c>
      <c r="M2695" s="1">
        <v>1664.35</v>
      </c>
      <c r="N2695" s="1">
        <v>1364.22</v>
      </c>
      <c r="O2695" s="1">
        <v>1414.7</v>
      </c>
      <c r="P2695" s="1">
        <v>1159.5899999999999</v>
      </c>
      <c r="Q2695">
        <v>5.1999999999999998E-2</v>
      </c>
      <c r="R2695">
        <v>9.8400000000000007E-5</v>
      </c>
    </row>
    <row r="2696" spans="1:18" ht="13.8" outlineLevel="2" x14ac:dyDescent="0.25">
      <c r="A2696">
        <v>84886</v>
      </c>
      <c r="B2696" t="s">
        <v>2463</v>
      </c>
      <c r="C2696" t="s">
        <v>3155</v>
      </c>
      <c r="D2696" s="14" t="s">
        <v>3150</v>
      </c>
      <c r="E2696" s="12" t="s">
        <v>28</v>
      </c>
      <c r="F2696" s="13" t="s">
        <v>29</v>
      </c>
      <c r="G2696">
        <v>10</v>
      </c>
      <c r="H2696" t="s">
        <v>30</v>
      </c>
      <c r="I2696">
        <v>10</v>
      </c>
      <c r="J2696" s="15"/>
      <c r="K2696" s="16">
        <f>3178.97 - (3178.97 * $E$1)</f>
        <v>3178.97</v>
      </c>
      <c r="L2696" s="16">
        <f>2605.71 - (2605.71 * $E$1)</f>
        <v>2605.71</v>
      </c>
      <c r="M2696" s="1">
        <v>3178.97</v>
      </c>
      <c r="N2696" s="1">
        <v>2605.71</v>
      </c>
      <c r="O2696" s="1">
        <v>2702.12</v>
      </c>
      <c r="P2696" s="1">
        <v>2214.85</v>
      </c>
      <c r="Q2696">
        <v>3.1E-2</v>
      </c>
      <c r="R2696">
        <v>2.52E-4</v>
      </c>
    </row>
    <row r="2697" spans="1:18" ht="13.8" outlineLevel="2" x14ac:dyDescent="0.25">
      <c r="A2697">
        <v>84887</v>
      </c>
      <c r="B2697" t="s">
        <v>2463</v>
      </c>
      <c r="C2697" t="s">
        <v>3156</v>
      </c>
      <c r="D2697" s="14" t="s">
        <v>3150</v>
      </c>
      <c r="E2697" s="12" t="s">
        <v>28</v>
      </c>
      <c r="F2697" s="13" t="s">
        <v>29</v>
      </c>
      <c r="G2697">
        <v>10</v>
      </c>
      <c r="H2697" t="s">
        <v>30</v>
      </c>
      <c r="I2697">
        <v>10</v>
      </c>
      <c r="J2697" s="15"/>
      <c r="K2697" s="16">
        <f>5067.03 - (5067.03 * $E$1)</f>
        <v>5067.03</v>
      </c>
      <c r="L2697" s="16">
        <f>4153.3 - (4153.3 * $E$1)</f>
        <v>4153.3</v>
      </c>
      <c r="M2697" s="1">
        <v>5067.03</v>
      </c>
      <c r="N2697" s="1">
        <v>4153.3</v>
      </c>
      <c r="O2697" s="1">
        <v>4306.97</v>
      </c>
      <c r="P2697" s="1">
        <v>3530.31</v>
      </c>
      <c r="Q2697">
        <v>4.4999999999999998E-2</v>
      </c>
      <c r="R2697">
        <v>3.4019999999999998E-4</v>
      </c>
    </row>
    <row r="2698" spans="1:18" ht="13.8" outlineLevel="2" x14ac:dyDescent="0.25">
      <c r="A2698">
        <v>91836</v>
      </c>
      <c r="B2698" t="s">
        <v>2463</v>
      </c>
      <c r="C2698" t="s">
        <v>3157</v>
      </c>
      <c r="D2698" s="14" t="s">
        <v>3158</v>
      </c>
      <c r="E2698" s="12" t="s">
        <v>28</v>
      </c>
      <c r="F2698" s="13" t="s">
        <v>29</v>
      </c>
      <c r="G2698">
        <v>200</v>
      </c>
      <c r="H2698" t="s">
        <v>2466</v>
      </c>
      <c r="I2698">
        <v>200</v>
      </c>
      <c r="J2698" s="15"/>
      <c r="K2698" s="16">
        <f>370.89 - (370.89 * $E$1)</f>
        <v>370.89</v>
      </c>
      <c r="L2698" s="16">
        <f>304.01 - (304.01 * $E$1)</f>
        <v>304.01</v>
      </c>
      <c r="M2698" s="1">
        <v>370.89</v>
      </c>
      <c r="N2698" s="1">
        <v>304.01</v>
      </c>
      <c r="O2698" s="1">
        <v>315.26</v>
      </c>
      <c r="P2698" s="1">
        <v>258.41000000000003</v>
      </c>
      <c r="Q2698">
        <v>0.01</v>
      </c>
      <c r="R2698">
        <v>5.0624999999999997E-5</v>
      </c>
    </row>
    <row r="2699" spans="1:18" ht="13.8" outlineLevel="2" x14ac:dyDescent="0.25">
      <c r="A2699">
        <v>91837</v>
      </c>
      <c r="B2699" t="s">
        <v>2463</v>
      </c>
      <c r="C2699" t="s">
        <v>3159</v>
      </c>
      <c r="D2699" s="14" t="s">
        <v>3158</v>
      </c>
      <c r="E2699" s="12" t="s">
        <v>28</v>
      </c>
      <c r="F2699" s="13" t="s">
        <v>29</v>
      </c>
      <c r="G2699">
        <v>100</v>
      </c>
      <c r="H2699" t="s">
        <v>2466</v>
      </c>
      <c r="I2699">
        <v>100</v>
      </c>
      <c r="J2699" s="15"/>
      <c r="K2699" s="16">
        <f>627.41 - (627.41 * $E$1)</f>
        <v>627.41</v>
      </c>
      <c r="L2699" s="16">
        <f>514.27 - (514.27 * $E$1)</f>
        <v>514.27</v>
      </c>
      <c r="M2699" s="1">
        <v>627.41</v>
      </c>
      <c r="N2699" s="1">
        <v>514.27</v>
      </c>
      <c r="O2699" s="1">
        <v>533.29999999999995</v>
      </c>
      <c r="P2699" s="1">
        <v>437.13</v>
      </c>
      <c r="Q2699">
        <v>0.02</v>
      </c>
      <c r="R2699">
        <v>1.0124999999999999E-4</v>
      </c>
    </row>
    <row r="2700" spans="1:18" ht="13.8" outlineLevel="2" x14ac:dyDescent="0.25">
      <c r="A2700">
        <v>90734</v>
      </c>
      <c r="B2700" t="s">
        <v>2463</v>
      </c>
      <c r="C2700" t="s">
        <v>3160</v>
      </c>
      <c r="D2700" s="14" t="s">
        <v>3158</v>
      </c>
      <c r="E2700" s="12" t="s">
        <v>28</v>
      </c>
      <c r="F2700" s="13" t="s">
        <v>29</v>
      </c>
      <c r="G2700">
        <v>100</v>
      </c>
      <c r="H2700" t="s">
        <v>2466</v>
      </c>
      <c r="I2700">
        <v>100</v>
      </c>
      <c r="J2700" s="15"/>
      <c r="K2700" s="16">
        <f>737.34 - (737.34 * $E$1)</f>
        <v>737.34</v>
      </c>
      <c r="L2700" s="16">
        <f>604.38 - (604.38 * $E$1)</f>
        <v>604.38</v>
      </c>
      <c r="M2700" s="1">
        <v>737.34</v>
      </c>
      <c r="N2700" s="1">
        <v>604.38</v>
      </c>
      <c r="O2700" s="1">
        <v>626.74</v>
      </c>
      <c r="P2700" s="1">
        <v>513.72</v>
      </c>
      <c r="Q2700">
        <v>2.5000000000000001E-2</v>
      </c>
      <c r="R2700">
        <v>1.4175E-4</v>
      </c>
    </row>
    <row r="2701" spans="1:18" ht="13.8" outlineLevel="2" x14ac:dyDescent="0.25">
      <c r="A2701">
        <v>90735</v>
      </c>
      <c r="B2701" t="s">
        <v>2463</v>
      </c>
      <c r="C2701" t="s">
        <v>3161</v>
      </c>
      <c r="D2701" s="14" t="s">
        <v>3158</v>
      </c>
      <c r="E2701" s="12" t="s">
        <v>28</v>
      </c>
      <c r="F2701" s="13" t="s">
        <v>29</v>
      </c>
      <c r="G2701">
        <v>50</v>
      </c>
      <c r="H2701" t="s">
        <v>2466</v>
      </c>
      <c r="I2701">
        <v>50</v>
      </c>
      <c r="J2701" s="15"/>
      <c r="K2701" s="16">
        <f>1012.75 - (1012.75 * $E$1)</f>
        <v>1012.75</v>
      </c>
      <c r="L2701" s="16">
        <f>830.12 - (830.12 * $E$1)</f>
        <v>830.12</v>
      </c>
      <c r="M2701" s="1">
        <v>1012.75</v>
      </c>
      <c r="N2701" s="1">
        <v>830.12</v>
      </c>
      <c r="O2701" s="1">
        <v>860.83</v>
      </c>
      <c r="P2701" s="1">
        <v>705.6</v>
      </c>
      <c r="Q2701">
        <v>0.04</v>
      </c>
      <c r="R2701">
        <v>2.8350000000000001E-4</v>
      </c>
    </row>
    <row r="2702" spans="1:18" ht="13.8" outlineLevel="2" x14ac:dyDescent="0.25">
      <c r="A2702">
        <v>90736</v>
      </c>
      <c r="B2702" t="s">
        <v>2463</v>
      </c>
      <c r="C2702" t="s">
        <v>3162</v>
      </c>
      <c r="D2702" s="14" t="s">
        <v>3158</v>
      </c>
      <c r="E2702" s="12" t="s">
        <v>28</v>
      </c>
      <c r="F2702" s="13" t="s">
        <v>29</v>
      </c>
      <c r="G2702">
        <v>50</v>
      </c>
      <c r="H2702" t="s">
        <v>2466</v>
      </c>
      <c r="I2702">
        <v>50</v>
      </c>
      <c r="J2702" s="15"/>
      <c r="K2702" s="16">
        <f>1524.67 - (1524.67 * $E$1)</f>
        <v>1524.67</v>
      </c>
      <c r="L2702" s="16">
        <f>1249.73 - (1249.73 * $E$1)</f>
        <v>1249.73</v>
      </c>
      <c r="M2702" s="1">
        <v>1524.67</v>
      </c>
      <c r="N2702" s="1">
        <v>1249.73</v>
      </c>
      <c r="O2702" s="1">
        <v>1295.97</v>
      </c>
      <c r="P2702" s="1">
        <v>1062.27</v>
      </c>
      <c r="Q2702">
        <v>3.5999999999999997E-2</v>
      </c>
      <c r="R2702">
        <v>1.215E-4</v>
      </c>
    </row>
    <row r="2703" spans="1:18" ht="13.8" outlineLevel="2" x14ac:dyDescent="0.25">
      <c r="A2703">
        <v>102667</v>
      </c>
      <c r="B2703" t="s">
        <v>2463</v>
      </c>
      <c r="C2703" t="s">
        <v>3163</v>
      </c>
      <c r="D2703" s="14" t="s">
        <v>3164</v>
      </c>
      <c r="E2703" s="12" t="s">
        <v>28</v>
      </c>
      <c r="F2703" s="13" t="s">
        <v>29</v>
      </c>
      <c r="G2703">
        <v>100</v>
      </c>
      <c r="H2703" t="s">
        <v>2466</v>
      </c>
      <c r="I2703">
        <v>100</v>
      </c>
      <c r="J2703" s="15"/>
      <c r="K2703" s="16">
        <f>16.69 - (16.69 * $E$1)</f>
        <v>16.690000000000001</v>
      </c>
      <c r="L2703" s="16">
        <f>13.68 - (13.68 * $E$1)</f>
        <v>13.68</v>
      </c>
      <c r="M2703" s="1">
        <v>16.690000000000001</v>
      </c>
      <c r="N2703" s="1">
        <v>13.68</v>
      </c>
      <c r="O2703" s="1">
        <v>14.19</v>
      </c>
      <c r="P2703" s="1">
        <v>11.63</v>
      </c>
      <c r="Q2703">
        <v>5.5999999999999999E-3</v>
      </c>
      <c r="R2703">
        <v>2.5919999999999999E-5</v>
      </c>
    </row>
    <row r="2704" spans="1:18" ht="13.8" outlineLevel="2" x14ac:dyDescent="0.25">
      <c r="A2704">
        <v>102668</v>
      </c>
      <c r="B2704" t="s">
        <v>2463</v>
      </c>
      <c r="C2704" t="s">
        <v>3165</v>
      </c>
      <c r="D2704" s="14" t="s">
        <v>3164</v>
      </c>
      <c r="E2704" s="12" t="s">
        <v>28</v>
      </c>
      <c r="F2704" s="13" t="s">
        <v>29</v>
      </c>
      <c r="G2704">
        <v>100</v>
      </c>
      <c r="H2704" t="s">
        <v>2466</v>
      </c>
      <c r="I2704">
        <v>100</v>
      </c>
      <c r="J2704" s="15"/>
      <c r="K2704" s="16">
        <f>25.88 - (25.88 * $E$1)</f>
        <v>25.88</v>
      </c>
      <c r="L2704" s="16">
        <f>21.21 - (21.21 * $E$1)</f>
        <v>21.21</v>
      </c>
      <c r="M2704" s="1">
        <v>25.88</v>
      </c>
      <c r="N2704" s="1">
        <v>21.21</v>
      </c>
      <c r="O2704" s="1">
        <v>21.99</v>
      </c>
      <c r="P2704" s="1">
        <v>18.03</v>
      </c>
      <c r="Q2704">
        <v>1.03E-2</v>
      </c>
      <c r="R2704">
        <v>5.0630000000000001E-5</v>
      </c>
    </row>
    <row r="2705" spans="1:18" ht="13.8" outlineLevel="2" x14ac:dyDescent="0.25">
      <c r="A2705">
        <v>89571</v>
      </c>
      <c r="B2705" t="s">
        <v>2463</v>
      </c>
      <c r="C2705" t="s">
        <v>3166</v>
      </c>
      <c r="D2705" s="14" t="s">
        <v>3164</v>
      </c>
      <c r="E2705" s="12" t="s">
        <v>28</v>
      </c>
      <c r="F2705" s="13" t="s">
        <v>29</v>
      </c>
      <c r="G2705">
        <v>50</v>
      </c>
      <c r="H2705" t="s">
        <v>2466</v>
      </c>
      <c r="I2705">
        <v>50</v>
      </c>
      <c r="J2705" s="15"/>
      <c r="K2705" s="16">
        <f>31.1 - (31.1 * $E$1)</f>
        <v>31.1</v>
      </c>
      <c r="L2705" s="16">
        <f>25.49 - (25.49 * $E$1)</f>
        <v>25.49</v>
      </c>
      <c r="M2705" s="1">
        <v>31.1</v>
      </c>
      <c r="N2705" s="1">
        <v>25.49</v>
      </c>
      <c r="O2705" s="1">
        <v>26.43</v>
      </c>
      <c r="P2705" s="1">
        <v>21.67</v>
      </c>
      <c r="Q2705">
        <v>1.44E-2</v>
      </c>
      <c r="R2705">
        <v>5.1839999999999998E-5</v>
      </c>
    </row>
    <row r="2706" spans="1:18" ht="33.75" customHeight="1" x14ac:dyDescent="0.35">
      <c r="A2706" s="9"/>
      <c r="B2706" s="10" t="s">
        <v>3167</v>
      </c>
      <c r="C2706" s="10"/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1"/>
    </row>
    <row r="2707" spans="1:18" ht="13.8" outlineLevel="1" x14ac:dyDescent="0.25">
      <c r="A2707">
        <v>90804</v>
      </c>
      <c r="B2707" t="s">
        <v>3168</v>
      </c>
      <c r="C2707" t="s">
        <v>3169</v>
      </c>
      <c r="D2707" s="14" t="s">
        <v>3170</v>
      </c>
      <c r="E2707" s="12" t="s">
        <v>28</v>
      </c>
      <c r="F2707" s="13" t="s">
        <v>29</v>
      </c>
      <c r="G2707">
        <v>1</v>
      </c>
      <c r="H2707" t="s">
        <v>30</v>
      </c>
      <c r="I2707">
        <v>10</v>
      </c>
      <c r="J2707" s="15"/>
      <c r="K2707" s="16">
        <f t="shared" ref="K2707:K2712" si="0">73.97 - (73.97 * $E$1)</f>
        <v>73.97</v>
      </c>
      <c r="L2707" s="16">
        <f t="shared" ref="L2707:L2712" si="1">60.63 - (60.63 * $E$1)</f>
        <v>60.63</v>
      </c>
      <c r="M2707" s="1">
        <v>73.97</v>
      </c>
      <c r="N2707" s="1">
        <v>60.63</v>
      </c>
      <c r="O2707" s="1">
        <v>62.87</v>
      </c>
      <c r="P2707" s="1">
        <v>51.54</v>
      </c>
      <c r="Q2707">
        <v>0.09</v>
      </c>
      <c r="R2707">
        <v>9.7999999999999997E-5</v>
      </c>
    </row>
    <row r="2708" spans="1:18" ht="13.8" outlineLevel="1" x14ac:dyDescent="0.25">
      <c r="A2708">
        <v>90805</v>
      </c>
      <c r="B2708" t="s">
        <v>3168</v>
      </c>
      <c r="C2708" t="s">
        <v>3171</v>
      </c>
      <c r="D2708" s="14" t="s">
        <v>3170</v>
      </c>
      <c r="E2708" s="12" t="s">
        <v>28</v>
      </c>
      <c r="F2708" s="13" t="s">
        <v>29</v>
      </c>
      <c r="G2708">
        <v>1</v>
      </c>
      <c r="H2708" t="s">
        <v>30</v>
      </c>
      <c r="I2708">
        <v>10</v>
      </c>
      <c r="J2708" s="15"/>
      <c r="K2708" s="16">
        <f t="shared" si="0"/>
        <v>73.97</v>
      </c>
      <c r="L2708" s="16">
        <f t="shared" si="1"/>
        <v>60.63</v>
      </c>
      <c r="M2708" s="1">
        <v>73.97</v>
      </c>
      <c r="N2708" s="1">
        <v>60.63</v>
      </c>
      <c r="O2708" s="1">
        <v>62.87</v>
      </c>
      <c r="P2708" s="1">
        <v>51.54</v>
      </c>
      <c r="Q2708">
        <v>0.09</v>
      </c>
      <c r="R2708">
        <v>9.7999999999999997E-5</v>
      </c>
    </row>
    <row r="2709" spans="1:18" ht="13.8" outlineLevel="1" x14ac:dyDescent="0.25">
      <c r="A2709">
        <v>90806</v>
      </c>
      <c r="B2709" t="s">
        <v>3168</v>
      </c>
      <c r="C2709" t="s">
        <v>3172</v>
      </c>
      <c r="D2709" s="14" t="s">
        <v>3170</v>
      </c>
      <c r="E2709" s="12" t="s">
        <v>28</v>
      </c>
      <c r="F2709" s="13" t="s">
        <v>29</v>
      </c>
      <c r="G2709">
        <v>1</v>
      </c>
      <c r="H2709" t="s">
        <v>30</v>
      </c>
      <c r="I2709">
        <v>10</v>
      </c>
      <c r="J2709" s="15"/>
      <c r="K2709" s="16">
        <f t="shared" si="0"/>
        <v>73.97</v>
      </c>
      <c r="L2709" s="16">
        <f t="shared" si="1"/>
        <v>60.63</v>
      </c>
      <c r="M2709" s="1">
        <v>73.97</v>
      </c>
      <c r="N2709" s="1">
        <v>60.63</v>
      </c>
      <c r="O2709" s="1">
        <v>62.87</v>
      </c>
      <c r="P2709" s="1">
        <v>51.54</v>
      </c>
      <c r="Q2709">
        <v>0.09</v>
      </c>
      <c r="R2709">
        <v>9.7999999999999997E-5</v>
      </c>
    </row>
    <row r="2710" spans="1:18" ht="13.8" outlineLevel="1" x14ac:dyDescent="0.25">
      <c r="A2710">
        <v>90807</v>
      </c>
      <c r="B2710" t="s">
        <v>3168</v>
      </c>
      <c r="C2710" t="s">
        <v>3173</v>
      </c>
      <c r="D2710" s="14" t="s">
        <v>3170</v>
      </c>
      <c r="E2710" s="12" t="s">
        <v>28</v>
      </c>
      <c r="F2710" s="13" t="s">
        <v>29</v>
      </c>
      <c r="G2710">
        <v>1</v>
      </c>
      <c r="H2710" t="s">
        <v>30</v>
      </c>
      <c r="I2710">
        <v>10</v>
      </c>
      <c r="J2710" s="15"/>
      <c r="K2710" s="16">
        <f t="shared" si="0"/>
        <v>73.97</v>
      </c>
      <c r="L2710" s="16">
        <f t="shared" si="1"/>
        <v>60.63</v>
      </c>
      <c r="M2710" s="1">
        <v>73.97</v>
      </c>
      <c r="N2710" s="1">
        <v>60.63</v>
      </c>
      <c r="O2710" s="1">
        <v>62.87</v>
      </c>
      <c r="P2710" s="1">
        <v>51.54</v>
      </c>
      <c r="Q2710">
        <v>0.09</v>
      </c>
      <c r="R2710">
        <v>9.7999999999999997E-5</v>
      </c>
    </row>
    <row r="2711" spans="1:18" ht="13.8" outlineLevel="1" x14ac:dyDescent="0.25">
      <c r="A2711">
        <v>90808</v>
      </c>
      <c r="B2711" t="s">
        <v>3168</v>
      </c>
      <c r="C2711" t="s">
        <v>3174</v>
      </c>
      <c r="D2711" s="14" t="s">
        <v>3170</v>
      </c>
      <c r="E2711" s="12" t="s">
        <v>28</v>
      </c>
      <c r="F2711" s="13" t="s">
        <v>29</v>
      </c>
      <c r="G2711">
        <v>1</v>
      </c>
      <c r="H2711" t="s">
        <v>30</v>
      </c>
      <c r="I2711">
        <v>10</v>
      </c>
      <c r="J2711" s="15"/>
      <c r="K2711" s="16">
        <f t="shared" si="0"/>
        <v>73.97</v>
      </c>
      <c r="L2711" s="16">
        <f t="shared" si="1"/>
        <v>60.63</v>
      </c>
      <c r="M2711" s="1">
        <v>73.97</v>
      </c>
      <c r="N2711" s="1">
        <v>60.63</v>
      </c>
      <c r="O2711" s="1">
        <v>62.87</v>
      </c>
      <c r="P2711" s="1">
        <v>51.54</v>
      </c>
      <c r="Q2711">
        <v>0.09</v>
      </c>
      <c r="R2711">
        <v>9.7999999999999997E-5</v>
      </c>
    </row>
    <row r="2712" spans="1:18" ht="13.8" outlineLevel="1" x14ac:dyDescent="0.25">
      <c r="A2712">
        <v>90809</v>
      </c>
      <c r="B2712" t="s">
        <v>3168</v>
      </c>
      <c r="C2712" t="s">
        <v>3175</v>
      </c>
      <c r="D2712" s="14" t="s">
        <v>3170</v>
      </c>
      <c r="E2712" s="12" t="s">
        <v>28</v>
      </c>
      <c r="F2712" s="13" t="s">
        <v>29</v>
      </c>
      <c r="G2712">
        <v>1</v>
      </c>
      <c r="H2712" t="s">
        <v>30</v>
      </c>
      <c r="I2712">
        <v>10</v>
      </c>
      <c r="J2712" s="15"/>
      <c r="K2712" s="16">
        <f t="shared" si="0"/>
        <v>73.97</v>
      </c>
      <c r="L2712" s="16">
        <f t="shared" si="1"/>
        <v>60.63</v>
      </c>
      <c r="M2712" s="1">
        <v>73.97</v>
      </c>
      <c r="N2712" s="1">
        <v>60.63</v>
      </c>
      <c r="O2712" s="1">
        <v>62.87</v>
      </c>
      <c r="P2712" s="1">
        <v>51.54</v>
      </c>
      <c r="Q2712">
        <v>0.09</v>
      </c>
      <c r="R2712">
        <v>9.7999999999999997E-5</v>
      </c>
    </row>
    <row r="2713" spans="1:18" ht="13.8" outlineLevel="1" x14ac:dyDescent="0.25">
      <c r="A2713">
        <v>90810</v>
      </c>
      <c r="B2713" t="s">
        <v>3168</v>
      </c>
      <c r="C2713" t="s">
        <v>3176</v>
      </c>
      <c r="D2713" s="14" t="s">
        <v>3170</v>
      </c>
      <c r="E2713" s="12" t="s">
        <v>28</v>
      </c>
      <c r="F2713" s="13" t="s">
        <v>29</v>
      </c>
      <c r="G2713">
        <v>1</v>
      </c>
      <c r="H2713" t="s">
        <v>30</v>
      </c>
      <c r="I2713">
        <v>10</v>
      </c>
      <c r="J2713" s="15"/>
      <c r="K2713" s="16">
        <f>81.87 - (81.87 * $E$1)</f>
        <v>81.87</v>
      </c>
      <c r="L2713" s="16">
        <f>67.11 - (67.11 * $E$1)</f>
        <v>67.11</v>
      </c>
      <c r="M2713" s="1">
        <v>81.87</v>
      </c>
      <c r="N2713" s="1">
        <v>67.11</v>
      </c>
      <c r="O2713" s="1">
        <v>69.59</v>
      </c>
      <c r="P2713" s="1">
        <v>57.04</v>
      </c>
      <c r="Q2713">
        <v>0.09</v>
      </c>
      <c r="R2713">
        <v>9.7999999999999997E-5</v>
      </c>
    </row>
    <row r="2714" spans="1:18" ht="13.8" outlineLevel="1" x14ac:dyDescent="0.25">
      <c r="A2714">
        <v>90811</v>
      </c>
      <c r="B2714" t="s">
        <v>3168</v>
      </c>
      <c r="C2714" t="s">
        <v>3177</v>
      </c>
      <c r="D2714" s="14" t="s">
        <v>3178</v>
      </c>
      <c r="E2714" s="12" t="s">
        <v>28</v>
      </c>
      <c r="F2714" s="13" t="s">
        <v>29</v>
      </c>
      <c r="G2714">
        <v>1</v>
      </c>
      <c r="H2714" t="s">
        <v>30</v>
      </c>
      <c r="I2714">
        <v>10</v>
      </c>
      <c r="J2714" s="15"/>
      <c r="K2714" s="16">
        <f t="shared" ref="K2714:K2719" si="2">92.01 - (92.01 * $E$1)</f>
        <v>92.01</v>
      </c>
      <c r="L2714" s="16">
        <f t="shared" ref="L2714:L2719" si="3">75.42 - (75.42 * $E$1)</f>
        <v>75.42</v>
      </c>
      <c r="M2714" s="1">
        <v>92.01</v>
      </c>
      <c r="N2714" s="1">
        <v>75.42</v>
      </c>
      <c r="O2714" s="1">
        <v>78.209999999999994</v>
      </c>
      <c r="P2714" s="1">
        <v>64.11</v>
      </c>
      <c r="Q2714">
        <v>0.1</v>
      </c>
      <c r="R2714">
        <v>9.7999999999999997E-5</v>
      </c>
    </row>
    <row r="2715" spans="1:18" ht="13.8" outlineLevel="1" x14ac:dyDescent="0.25">
      <c r="A2715">
        <v>90812</v>
      </c>
      <c r="B2715" t="s">
        <v>3168</v>
      </c>
      <c r="C2715" t="s">
        <v>3179</v>
      </c>
      <c r="D2715" s="14" t="s">
        <v>3178</v>
      </c>
      <c r="E2715" s="12" t="s">
        <v>28</v>
      </c>
      <c r="F2715" s="13" t="s">
        <v>29</v>
      </c>
      <c r="G2715">
        <v>1</v>
      </c>
      <c r="H2715" t="s">
        <v>30</v>
      </c>
      <c r="I2715">
        <v>10</v>
      </c>
      <c r="J2715" s="15"/>
      <c r="K2715" s="16">
        <f t="shared" si="2"/>
        <v>92.01</v>
      </c>
      <c r="L2715" s="16">
        <f t="shared" si="3"/>
        <v>75.42</v>
      </c>
      <c r="M2715" s="1">
        <v>92.01</v>
      </c>
      <c r="N2715" s="1">
        <v>75.42</v>
      </c>
      <c r="O2715" s="1">
        <v>78.209999999999994</v>
      </c>
      <c r="P2715" s="1">
        <v>64.11</v>
      </c>
      <c r="Q2715">
        <v>0.1</v>
      </c>
      <c r="R2715">
        <v>9.7999999999999997E-5</v>
      </c>
    </row>
    <row r="2716" spans="1:18" ht="13.8" outlineLevel="1" x14ac:dyDescent="0.25">
      <c r="A2716">
        <v>90813</v>
      </c>
      <c r="B2716" t="s">
        <v>3168</v>
      </c>
      <c r="C2716" t="s">
        <v>3180</v>
      </c>
      <c r="D2716" s="14" t="s">
        <v>3178</v>
      </c>
      <c r="E2716" s="12" t="s">
        <v>28</v>
      </c>
      <c r="F2716" s="13" t="s">
        <v>29</v>
      </c>
      <c r="G2716">
        <v>1</v>
      </c>
      <c r="H2716" t="s">
        <v>30</v>
      </c>
      <c r="I2716">
        <v>10</v>
      </c>
      <c r="J2716" s="15"/>
      <c r="K2716" s="16">
        <f t="shared" si="2"/>
        <v>92.01</v>
      </c>
      <c r="L2716" s="16">
        <f t="shared" si="3"/>
        <v>75.42</v>
      </c>
      <c r="M2716" s="1">
        <v>92.01</v>
      </c>
      <c r="N2716" s="1">
        <v>75.42</v>
      </c>
      <c r="O2716" s="1">
        <v>78.209999999999994</v>
      </c>
      <c r="P2716" s="1">
        <v>64.11</v>
      </c>
      <c r="Q2716">
        <v>0.1</v>
      </c>
      <c r="R2716">
        <v>9.7999999999999997E-5</v>
      </c>
    </row>
    <row r="2717" spans="1:18" ht="13.8" outlineLevel="1" x14ac:dyDescent="0.25">
      <c r="A2717">
        <v>90814</v>
      </c>
      <c r="B2717" t="s">
        <v>3168</v>
      </c>
      <c r="C2717" t="s">
        <v>3181</v>
      </c>
      <c r="D2717" s="14" t="s">
        <v>3178</v>
      </c>
      <c r="E2717" s="12" t="s">
        <v>28</v>
      </c>
      <c r="F2717" s="13" t="s">
        <v>29</v>
      </c>
      <c r="G2717">
        <v>1</v>
      </c>
      <c r="H2717" t="s">
        <v>30</v>
      </c>
      <c r="I2717">
        <v>10</v>
      </c>
      <c r="J2717" s="15"/>
      <c r="K2717" s="16">
        <f t="shared" si="2"/>
        <v>92.01</v>
      </c>
      <c r="L2717" s="16">
        <f t="shared" si="3"/>
        <v>75.42</v>
      </c>
      <c r="M2717" s="1">
        <v>92.01</v>
      </c>
      <c r="N2717" s="1">
        <v>75.42</v>
      </c>
      <c r="O2717" s="1">
        <v>78.209999999999994</v>
      </c>
      <c r="P2717" s="1">
        <v>64.11</v>
      </c>
      <c r="Q2717">
        <v>0.1</v>
      </c>
      <c r="R2717">
        <v>9.7999999999999997E-5</v>
      </c>
    </row>
    <row r="2718" spans="1:18" ht="13.8" outlineLevel="1" x14ac:dyDescent="0.25">
      <c r="A2718">
        <v>90815</v>
      </c>
      <c r="B2718" t="s">
        <v>3168</v>
      </c>
      <c r="C2718" t="s">
        <v>3182</v>
      </c>
      <c r="D2718" s="14" t="s">
        <v>3178</v>
      </c>
      <c r="E2718" s="12" t="s">
        <v>28</v>
      </c>
      <c r="F2718" s="13" t="s">
        <v>29</v>
      </c>
      <c r="G2718">
        <v>1</v>
      </c>
      <c r="H2718" t="s">
        <v>30</v>
      </c>
      <c r="I2718">
        <v>10</v>
      </c>
      <c r="J2718" s="15"/>
      <c r="K2718" s="16">
        <f t="shared" si="2"/>
        <v>92.01</v>
      </c>
      <c r="L2718" s="16">
        <f t="shared" si="3"/>
        <v>75.42</v>
      </c>
      <c r="M2718" s="1">
        <v>92.01</v>
      </c>
      <c r="N2718" s="1">
        <v>75.42</v>
      </c>
      <c r="O2718" s="1">
        <v>78.209999999999994</v>
      </c>
      <c r="P2718" s="1">
        <v>64.11</v>
      </c>
      <c r="Q2718">
        <v>0.1</v>
      </c>
      <c r="R2718">
        <v>9.7999999999999997E-5</v>
      </c>
    </row>
    <row r="2719" spans="1:18" ht="13.8" outlineLevel="1" x14ac:dyDescent="0.25">
      <c r="A2719">
        <v>90816</v>
      </c>
      <c r="B2719" t="s">
        <v>3168</v>
      </c>
      <c r="C2719" t="s">
        <v>3183</v>
      </c>
      <c r="D2719" s="14" t="s">
        <v>3178</v>
      </c>
      <c r="E2719" s="12" t="s">
        <v>28</v>
      </c>
      <c r="F2719" s="13" t="s">
        <v>29</v>
      </c>
      <c r="G2719">
        <v>1</v>
      </c>
      <c r="H2719" t="s">
        <v>30</v>
      </c>
      <c r="I2719">
        <v>10</v>
      </c>
      <c r="J2719" s="15"/>
      <c r="K2719" s="16">
        <f t="shared" si="2"/>
        <v>92.01</v>
      </c>
      <c r="L2719" s="16">
        <f t="shared" si="3"/>
        <v>75.42</v>
      </c>
      <c r="M2719" s="1">
        <v>92.01</v>
      </c>
      <c r="N2719" s="1">
        <v>75.42</v>
      </c>
      <c r="O2719" s="1">
        <v>78.209999999999994</v>
      </c>
      <c r="P2719" s="1">
        <v>64.11</v>
      </c>
      <c r="Q2719">
        <v>0.1</v>
      </c>
      <c r="R2719">
        <v>9.7999999999999997E-5</v>
      </c>
    </row>
    <row r="2720" spans="1:18" ht="13.8" outlineLevel="1" x14ac:dyDescent="0.25">
      <c r="A2720">
        <v>90824</v>
      </c>
      <c r="B2720" t="s">
        <v>3168</v>
      </c>
      <c r="C2720" t="s">
        <v>3184</v>
      </c>
      <c r="D2720" s="14" t="s">
        <v>3178</v>
      </c>
      <c r="E2720" s="12" t="s">
        <v>28</v>
      </c>
      <c r="F2720" s="13" t="s">
        <v>29</v>
      </c>
      <c r="G2720">
        <v>1</v>
      </c>
      <c r="H2720" t="s">
        <v>30</v>
      </c>
      <c r="I2720">
        <v>10</v>
      </c>
      <c r="J2720" s="15"/>
      <c r="K2720" s="16">
        <f>102.58 - (102.58 * $E$1)</f>
        <v>102.58</v>
      </c>
      <c r="L2720" s="16">
        <f>84.08 - (84.08 * $E$1)</f>
        <v>84.08</v>
      </c>
      <c r="M2720" s="1">
        <v>102.58</v>
      </c>
      <c r="N2720" s="1">
        <v>84.08</v>
      </c>
      <c r="O2720" s="1">
        <v>87.19</v>
      </c>
      <c r="P2720" s="1">
        <v>71.47</v>
      </c>
      <c r="Q2720">
        <v>0.1</v>
      </c>
      <c r="R2720">
        <v>9.7999999999999997E-5</v>
      </c>
    </row>
    <row r="2721" spans="1:18" ht="13.8" outlineLevel="1" x14ac:dyDescent="0.25">
      <c r="A2721">
        <v>71231</v>
      </c>
      <c r="B2721" t="s">
        <v>3168</v>
      </c>
      <c r="C2721" t="s">
        <v>3185</v>
      </c>
      <c r="D2721" s="14" t="s">
        <v>3186</v>
      </c>
      <c r="E2721" s="12" t="s">
        <v>28</v>
      </c>
      <c r="F2721" s="13" t="s">
        <v>29</v>
      </c>
      <c r="G2721">
        <v>1</v>
      </c>
      <c r="H2721" t="s">
        <v>30</v>
      </c>
      <c r="I2721">
        <v>10</v>
      </c>
      <c r="J2721" s="15"/>
      <c r="K2721" s="16">
        <f t="shared" ref="K2721:K2727" si="4">100 - (100 * $E$1)</f>
        <v>100</v>
      </c>
      <c r="L2721" s="16">
        <f t="shared" ref="L2721:L2727" si="5">81.97 - (81.97 * $E$1)</f>
        <v>81.97</v>
      </c>
      <c r="M2721" s="1">
        <v>100</v>
      </c>
      <c r="N2721" s="1">
        <v>81.97</v>
      </c>
      <c r="O2721" s="1">
        <v>85</v>
      </c>
      <c r="P2721" s="1">
        <v>69.67</v>
      </c>
      <c r="Q2721">
        <v>7.0000000000000007E-2</v>
      </c>
      <c r="R2721">
        <v>9.7999999999999997E-5</v>
      </c>
    </row>
    <row r="2722" spans="1:18" ht="13.8" outlineLevel="1" x14ac:dyDescent="0.25">
      <c r="A2722">
        <v>71232</v>
      </c>
      <c r="B2722" t="s">
        <v>3168</v>
      </c>
      <c r="C2722" t="s">
        <v>3187</v>
      </c>
      <c r="D2722" s="14" t="s">
        <v>3186</v>
      </c>
      <c r="E2722" s="12" t="s">
        <v>28</v>
      </c>
      <c r="F2722" s="13" t="s">
        <v>29</v>
      </c>
      <c r="G2722">
        <v>1</v>
      </c>
      <c r="H2722" t="s">
        <v>30</v>
      </c>
      <c r="I2722">
        <v>10</v>
      </c>
      <c r="J2722" s="15"/>
      <c r="K2722" s="16">
        <f t="shared" si="4"/>
        <v>100</v>
      </c>
      <c r="L2722" s="16">
        <f t="shared" si="5"/>
        <v>81.97</v>
      </c>
      <c r="M2722" s="1">
        <v>100</v>
      </c>
      <c r="N2722" s="1">
        <v>81.97</v>
      </c>
      <c r="O2722" s="1">
        <v>85</v>
      </c>
      <c r="P2722" s="1">
        <v>69.67</v>
      </c>
      <c r="Q2722">
        <v>7.0000000000000007E-2</v>
      </c>
      <c r="R2722">
        <v>9.7999999999999997E-5</v>
      </c>
    </row>
    <row r="2723" spans="1:18" ht="13.8" outlineLevel="1" x14ac:dyDescent="0.25">
      <c r="A2723">
        <v>71233</v>
      </c>
      <c r="B2723" t="s">
        <v>3168</v>
      </c>
      <c r="C2723" t="s">
        <v>3188</v>
      </c>
      <c r="D2723" s="14" t="s">
        <v>3186</v>
      </c>
      <c r="E2723" s="12" t="s">
        <v>28</v>
      </c>
      <c r="F2723" s="13" t="s">
        <v>29</v>
      </c>
      <c r="G2723">
        <v>1</v>
      </c>
      <c r="H2723" t="s">
        <v>30</v>
      </c>
      <c r="I2723">
        <v>10</v>
      </c>
      <c r="J2723" s="15"/>
      <c r="K2723" s="16">
        <f t="shared" si="4"/>
        <v>100</v>
      </c>
      <c r="L2723" s="16">
        <f t="shared" si="5"/>
        <v>81.97</v>
      </c>
      <c r="M2723" s="1">
        <v>100</v>
      </c>
      <c r="N2723" s="1">
        <v>81.97</v>
      </c>
      <c r="O2723" s="1">
        <v>85</v>
      </c>
      <c r="P2723" s="1">
        <v>69.67</v>
      </c>
      <c r="Q2723">
        <v>7.0000000000000007E-2</v>
      </c>
      <c r="R2723">
        <v>9.7999999999999997E-5</v>
      </c>
    </row>
    <row r="2724" spans="1:18" ht="13.8" outlineLevel="1" x14ac:dyDescent="0.25">
      <c r="A2724">
        <v>71234</v>
      </c>
      <c r="B2724" t="s">
        <v>3168</v>
      </c>
      <c r="C2724" t="s">
        <v>3189</v>
      </c>
      <c r="D2724" s="14" t="s">
        <v>3186</v>
      </c>
      <c r="E2724" s="12" t="s">
        <v>28</v>
      </c>
      <c r="F2724" s="13" t="s">
        <v>29</v>
      </c>
      <c r="G2724">
        <v>1</v>
      </c>
      <c r="H2724" t="s">
        <v>30</v>
      </c>
      <c r="I2724">
        <v>10</v>
      </c>
      <c r="J2724" s="15"/>
      <c r="K2724" s="16">
        <f t="shared" si="4"/>
        <v>100</v>
      </c>
      <c r="L2724" s="16">
        <f t="shared" si="5"/>
        <v>81.97</v>
      </c>
      <c r="M2724" s="1">
        <v>100</v>
      </c>
      <c r="N2724" s="1">
        <v>81.97</v>
      </c>
      <c r="O2724" s="1">
        <v>85</v>
      </c>
      <c r="P2724" s="1">
        <v>69.67</v>
      </c>
      <c r="Q2724">
        <v>7.0000000000000007E-2</v>
      </c>
      <c r="R2724">
        <v>9.7999999999999997E-5</v>
      </c>
    </row>
    <row r="2725" spans="1:18" ht="13.8" outlineLevel="1" x14ac:dyDescent="0.25">
      <c r="A2725">
        <v>71235</v>
      </c>
      <c r="B2725" t="s">
        <v>3168</v>
      </c>
      <c r="C2725" t="s">
        <v>3190</v>
      </c>
      <c r="D2725" s="14" t="s">
        <v>3186</v>
      </c>
      <c r="E2725" s="12" t="s">
        <v>28</v>
      </c>
      <c r="F2725" s="13" t="s">
        <v>29</v>
      </c>
      <c r="G2725">
        <v>1</v>
      </c>
      <c r="H2725" t="s">
        <v>30</v>
      </c>
      <c r="I2725">
        <v>10</v>
      </c>
      <c r="J2725" s="15"/>
      <c r="K2725" s="16">
        <f t="shared" si="4"/>
        <v>100</v>
      </c>
      <c r="L2725" s="16">
        <f t="shared" si="5"/>
        <v>81.97</v>
      </c>
      <c r="M2725" s="1">
        <v>100</v>
      </c>
      <c r="N2725" s="1">
        <v>81.97</v>
      </c>
      <c r="O2725" s="1">
        <v>85</v>
      </c>
      <c r="P2725" s="1">
        <v>69.67</v>
      </c>
      <c r="Q2725">
        <v>7.0000000000000007E-2</v>
      </c>
      <c r="R2725">
        <v>9.7999999999999997E-5</v>
      </c>
    </row>
    <row r="2726" spans="1:18" ht="13.8" outlineLevel="1" x14ac:dyDescent="0.25">
      <c r="A2726">
        <v>71236</v>
      </c>
      <c r="B2726" t="s">
        <v>3168</v>
      </c>
      <c r="C2726" t="s">
        <v>3191</v>
      </c>
      <c r="D2726" s="14" t="s">
        <v>3186</v>
      </c>
      <c r="E2726" s="12" t="s">
        <v>28</v>
      </c>
      <c r="F2726" s="13" t="s">
        <v>29</v>
      </c>
      <c r="G2726">
        <v>1</v>
      </c>
      <c r="H2726" t="s">
        <v>30</v>
      </c>
      <c r="I2726">
        <v>10</v>
      </c>
      <c r="J2726" s="15"/>
      <c r="K2726" s="16">
        <f t="shared" si="4"/>
        <v>100</v>
      </c>
      <c r="L2726" s="16">
        <f t="shared" si="5"/>
        <v>81.97</v>
      </c>
      <c r="M2726" s="1">
        <v>100</v>
      </c>
      <c r="N2726" s="1">
        <v>81.97</v>
      </c>
      <c r="O2726" s="1">
        <v>85</v>
      </c>
      <c r="P2726" s="1">
        <v>69.67</v>
      </c>
      <c r="Q2726">
        <v>7.0000000000000007E-2</v>
      </c>
      <c r="R2726">
        <v>9.7999999999999997E-5</v>
      </c>
    </row>
    <row r="2727" spans="1:18" ht="13.8" outlineLevel="1" x14ac:dyDescent="0.25">
      <c r="A2727">
        <v>90817</v>
      </c>
      <c r="B2727" t="s">
        <v>3168</v>
      </c>
      <c r="C2727" t="s">
        <v>3192</v>
      </c>
      <c r="D2727" s="14" t="s">
        <v>3186</v>
      </c>
      <c r="E2727" s="12" t="s">
        <v>28</v>
      </c>
      <c r="F2727" s="13" t="s">
        <v>29</v>
      </c>
      <c r="G2727">
        <v>1</v>
      </c>
      <c r="H2727" t="s">
        <v>30</v>
      </c>
      <c r="I2727">
        <v>10</v>
      </c>
      <c r="J2727" s="15"/>
      <c r="K2727" s="16">
        <f t="shared" si="4"/>
        <v>100</v>
      </c>
      <c r="L2727" s="16">
        <f t="shared" si="5"/>
        <v>81.97</v>
      </c>
      <c r="M2727" s="1">
        <v>100</v>
      </c>
      <c r="N2727" s="1">
        <v>81.97</v>
      </c>
      <c r="O2727" s="1">
        <v>85</v>
      </c>
      <c r="P2727" s="1">
        <v>69.67</v>
      </c>
      <c r="Q2727">
        <v>7.0000000000000007E-2</v>
      </c>
      <c r="R2727">
        <v>9.7999999999999997E-5</v>
      </c>
    </row>
    <row r="2728" spans="1:18" ht="13.8" outlineLevel="1" x14ac:dyDescent="0.25">
      <c r="A2728">
        <v>71237</v>
      </c>
      <c r="B2728" t="s">
        <v>3168</v>
      </c>
      <c r="C2728" t="s">
        <v>3193</v>
      </c>
      <c r="D2728" s="14" t="s">
        <v>3186</v>
      </c>
      <c r="E2728" s="12" t="s">
        <v>28</v>
      </c>
      <c r="F2728" s="13" t="s">
        <v>29</v>
      </c>
      <c r="G2728">
        <v>1</v>
      </c>
      <c r="H2728" t="s">
        <v>30</v>
      </c>
      <c r="I2728">
        <v>10</v>
      </c>
      <c r="J2728" s="15"/>
      <c r="K2728" s="16">
        <f>110.56 - (110.56 * $E$1)</f>
        <v>110.56</v>
      </c>
      <c r="L2728" s="16">
        <f>90.62 - (90.62 * $E$1)</f>
        <v>90.62</v>
      </c>
      <c r="M2728" s="1">
        <v>110.56</v>
      </c>
      <c r="N2728" s="1">
        <v>90.62</v>
      </c>
      <c r="O2728" s="1">
        <v>93.97</v>
      </c>
      <c r="P2728" s="1">
        <v>77.03</v>
      </c>
      <c r="Q2728">
        <v>7.0000000000000007E-2</v>
      </c>
      <c r="R2728">
        <v>9.7999999999999997E-5</v>
      </c>
    </row>
    <row r="2729" spans="1:18" ht="13.8" outlineLevel="1" x14ac:dyDescent="0.25">
      <c r="A2729">
        <v>71240</v>
      </c>
      <c r="B2729" t="s">
        <v>3168</v>
      </c>
      <c r="C2729" t="s">
        <v>3194</v>
      </c>
      <c r="D2729" s="14" t="s">
        <v>3195</v>
      </c>
      <c r="E2729" s="12" t="s">
        <v>28</v>
      </c>
      <c r="F2729" s="13" t="s">
        <v>29</v>
      </c>
      <c r="G2729">
        <v>1</v>
      </c>
      <c r="H2729" t="s">
        <v>30</v>
      </c>
      <c r="I2729">
        <v>10</v>
      </c>
      <c r="J2729" s="15"/>
      <c r="K2729" s="16">
        <f t="shared" ref="K2729:K2735" si="6">112.65 - (112.65 * $E$1)</f>
        <v>112.65</v>
      </c>
      <c r="L2729" s="16">
        <f t="shared" ref="L2729:L2735" si="7">92.34 - (92.34 * $E$1)</f>
        <v>92.34</v>
      </c>
      <c r="M2729" s="1">
        <v>112.65</v>
      </c>
      <c r="N2729" s="1">
        <v>92.34</v>
      </c>
      <c r="O2729" s="1">
        <v>95.76</v>
      </c>
      <c r="P2729" s="1">
        <v>78.489999999999995</v>
      </c>
      <c r="Q2729">
        <v>0.09</v>
      </c>
      <c r="R2729">
        <v>1.2799999999999999E-4</v>
      </c>
    </row>
    <row r="2730" spans="1:18" ht="13.8" outlineLevel="1" x14ac:dyDescent="0.25">
      <c r="A2730">
        <v>71239</v>
      </c>
      <c r="B2730" t="s">
        <v>3168</v>
      </c>
      <c r="C2730" t="s">
        <v>3196</v>
      </c>
      <c r="D2730" s="14" t="s">
        <v>3195</v>
      </c>
      <c r="E2730" s="12" t="s">
        <v>28</v>
      </c>
      <c r="F2730" s="13" t="s">
        <v>29</v>
      </c>
      <c r="G2730">
        <v>1</v>
      </c>
      <c r="H2730" t="s">
        <v>30</v>
      </c>
      <c r="I2730">
        <v>10</v>
      </c>
      <c r="J2730" s="15"/>
      <c r="K2730" s="16">
        <f t="shared" si="6"/>
        <v>112.65</v>
      </c>
      <c r="L2730" s="16">
        <f t="shared" si="7"/>
        <v>92.34</v>
      </c>
      <c r="M2730" s="1">
        <v>112.65</v>
      </c>
      <c r="N2730" s="1">
        <v>92.34</v>
      </c>
      <c r="O2730" s="1">
        <v>95.76</v>
      </c>
      <c r="P2730" s="1">
        <v>78.489999999999995</v>
      </c>
      <c r="Q2730">
        <v>0.09</v>
      </c>
      <c r="R2730">
        <v>1.2799999999999999E-4</v>
      </c>
    </row>
    <row r="2731" spans="1:18" ht="13.8" outlineLevel="1" x14ac:dyDescent="0.25">
      <c r="A2731">
        <v>90818</v>
      </c>
      <c r="B2731" t="s">
        <v>3168</v>
      </c>
      <c r="C2731" t="s">
        <v>3197</v>
      </c>
      <c r="D2731" s="14" t="s">
        <v>3195</v>
      </c>
      <c r="E2731" s="12" t="s">
        <v>28</v>
      </c>
      <c r="F2731" s="13" t="s">
        <v>29</v>
      </c>
      <c r="G2731">
        <v>1</v>
      </c>
      <c r="H2731" t="s">
        <v>30</v>
      </c>
      <c r="I2731">
        <v>10</v>
      </c>
      <c r="J2731" s="15"/>
      <c r="K2731" s="16">
        <f t="shared" si="6"/>
        <v>112.65</v>
      </c>
      <c r="L2731" s="16">
        <f t="shared" si="7"/>
        <v>92.34</v>
      </c>
      <c r="M2731" s="1">
        <v>112.65</v>
      </c>
      <c r="N2731" s="1">
        <v>92.34</v>
      </c>
      <c r="O2731" s="1">
        <v>95.76</v>
      </c>
      <c r="P2731" s="1">
        <v>78.489999999999995</v>
      </c>
      <c r="Q2731">
        <v>0.1</v>
      </c>
      <c r="R2731">
        <v>1.2799999999999999E-4</v>
      </c>
    </row>
    <row r="2732" spans="1:18" ht="13.8" outlineLevel="1" x14ac:dyDescent="0.25">
      <c r="A2732">
        <v>90819</v>
      </c>
      <c r="B2732" t="s">
        <v>3168</v>
      </c>
      <c r="C2732" t="s">
        <v>3198</v>
      </c>
      <c r="D2732" s="14" t="s">
        <v>3195</v>
      </c>
      <c r="E2732" s="12" t="s">
        <v>28</v>
      </c>
      <c r="F2732" s="13" t="s">
        <v>29</v>
      </c>
      <c r="G2732">
        <v>1</v>
      </c>
      <c r="H2732" t="s">
        <v>30</v>
      </c>
      <c r="I2732">
        <v>10</v>
      </c>
      <c r="J2732" s="15"/>
      <c r="K2732" s="16">
        <f t="shared" si="6"/>
        <v>112.65</v>
      </c>
      <c r="L2732" s="16">
        <f t="shared" si="7"/>
        <v>92.34</v>
      </c>
      <c r="M2732" s="1">
        <v>112.65</v>
      </c>
      <c r="N2732" s="1">
        <v>92.34</v>
      </c>
      <c r="O2732" s="1">
        <v>95.76</v>
      </c>
      <c r="P2732" s="1">
        <v>78.489999999999995</v>
      </c>
      <c r="Q2732">
        <v>0.1</v>
      </c>
      <c r="R2732">
        <v>1.2799999999999999E-4</v>
      </c>
    </row>
    <row r="2733" spans="1:18" ht="13.8" outlineLevel="1" x14ac:dyDescent="0.25">
      <c r="A2733">
        <v>90820</v>
      </c>
      <c r="B2733" t="s">
        <v>3168</v>
      </c>
      <c r="C2733" t="s">
        <v>3199</v>
      </c>
      <c r="D2733" s="14" t="s">
        <v>3195</v>
      </c>
      <c r="E2733" s="12" t="s">
        <v>28</v>
      </c>
      <c r="F2733" s="13" t="s">
        <v>29</v>
      </c>
      <c r="G2733">
        <v>1</v>
      </c>
      <c r="H2733" t="s">
        <v>30</v>
      </c>
      <c r="I2733">
        <v>10</v>
      </c>
      <c r="J2733" s="15"/>
      <c r="K2733" s="16">
        <f t="shared" si="6"/>
        <v>112.65</v>
      </c>
      <c r="L2733" s="16">
        <f t="shared" si="7"/>
        <v>92.34</v>
      </c>
      <c r="M2733" s="1">
        <v>112.65</v>
      </c>
      <c r="N2733" s="1">
        <v>92.34</v>
      </c>
      <c r="O2733" s="1">
        <v>95.76</v>
      </c>
      <c r="P2733" s="1">
        <v>78.489999999999995</v>
      </c>
      <c r="Q2733">
        <v>0.1</v>
      </c>
      <c r="R2733">
        <v>1.2799999999999999E-4</v>
      </c>
    </row>
    <row r="2734" spans="1:18" ht="13.8" outlineLevel="1" x14ac:dyDescent="0.25">
      <c r="A2734">
        <v>90821</v>
      </c>
      <c r="B2734" t="s">
        <v>3168</v>
      </c>
      <c r="C2734" t="s">
        <v>3200</v>
      </c>
      <c r="D2734" s="14" t="s">
        <v>3195</v>
      </c>
      <c r="E2734" s="12" t="s">
        <v>28</v>
      </c>
      <c r="F2734" s="13" t="s">
        <v>29</v>
      </c>
      <c r="G2734">
        <v>1</v>
      </c>
      <c r="H2734" t="s">
        <v>30</v>
      </c>
      <c r="I2734">
        <v>10</v>
      </c>
      <c r="J2734" s="15"/>
      <c r="K2734" s="16">
        <f t="shared" si="6"/>
        <v>112.65</v>
      </c>
      <c r="L2734" s="16">
        <f t="shared" si="7"/>
        <v>92.34</v>
      </c>
      <c r="M2734" s="1">
        <v>112.65</v>
      </c>
      <c r="N2734" s="1">
        <v>92.34</v>
      </c>
      <c r="O2734" s="1">
        <v>95.76</v>
      </c>
      <c r="P2734" s="1">
        <v>78.489999999999995</v>
      </c>
      <c r="Q2734">
        <v>0.1</v>
      </c>
      <c r="R2734">
        <v>1.2799999999999999E-4</v>
      </c>
    </row>
    <row r="2735" spans="1:18" ht="13.8" outlineLevel="1" x14ac:dyDescent="0.25">
      <c r="A2735">
        <v>90822</v>
      </c>
      <c r="B2735" t="s">
        <v>3168</v>
      </c>
      <c r="C2735" t="s">
        <v>3201</v>
      </c>
      <c r="D2735" s="14" t="s">
        <v>3195</v>
      </c>
      <c r="E2735" s="12" t="s">
        <v>28</v>
      </c>
      <c r="F2735" s="13" t="s">
        <v>29</v>
      </c>
      <c r="G2735">
        <v>1</v>
      </c>
      <c r="H2735" t="s">
        <v>30</v>
      </c>
      <c r="I2735">
        <v>10</v>
      </c>
      <c r="J2735" s="15"/>
      <c r="K2735" s="16">
        <f t="shared" si="6"/>
        <v>112.65</v>
      </c>
      <c r="L2735" s="16">
        <f t="shared" si="7"/>
        <v>92.34</v>
      </c>
      <c r="M2735" s="1">
        <v>112.65</v>
      </c>
      <c r="N2735" s="1">
        <v>92.34</v>
      </c>
      <c r="O2735" s="1">
        <v>95.76</v>
      </c>
      <c r="P2735" s="1">
        <v>78.489999999999995</v>
      </c>
      <c r="Q2735">
        <v>0.1</v>
      </c>
      <c r="R2735">
        <v>1.2799999999999999E-4</v>
      </c>
    </row>
    <row r="2736" spans="1:18" ht="13.8" outlineLevel="1" x14ac:dyDescent="0.25">
      <c r="A2736">
        <v>90823</v>
      </c>
      <c r="B2736" t="s">
        <v>3168</v>
      </c>
      <c r="C2736" t="s">
        <v>3202</v>
      </c>
      <c r="D2736" s="14" t="s">
        <v>3195</v>
      </c>
      <c r="E2736" s="12" t="s">
        <v>28</v>
      </c>
      <c r="F2736" s="13" t="s">
        <v>29</v>
      </c>
      <c r="G2736">
        <v>1</v>
      </c>
      <c r="H2736" t="s">
        <v>30</v>
      </c>
      <c r="I2736">
        <v>10</v>
      </c>
      <c r="J2736" s="15"/>
      <c r="K2736" s="16">
        <f>124.64 - (124.64 * $E$1)</f>
        <v>124.64</v>
      </c>
      <c r="L2736" s="16">
        <f>102.16 - (102.16 * $E$1)</f>
        <v>102.16</v>
      </c>
      <c r="M2736" s="1">
        <v>124.64</v>
      </c>
      <c r="N2736" s="1">
        <v>102.16</v>
      </c>
      <c r="O2736" s="1">
        <v>105.94</v>
      </c>
      <c r="P2736" s="1">
        <v>86.84</v>
      </c>
      <c r="Q2736">
        <v>0.1</v>
      </c>
      <c r="R2736">
        <v>1.2799999999999999E-4</v>
      </c>
    </row>
    <row r="2737" spans="1:18" ht="13.8" outlineLevel="1" x14ac:dyDescent="0.25">
      <c r="A2737">
        <v>71242</v>
      </c>
      <c r="B2737" t="s">
        <v>3168</v>
      </c>
      <c r="C2737" t="s">
        <v>3203</v>
      </c>
      <c r="D2737" s="14" t="s">
        <v>3204</v>
      </c>
      <c r="E2737" s="12" t="s">
        <v>28</v>
      </c>
      <c r="F2737" s="13" t="s">
        <v>29</v>
      </c>
      <c r="G2737">
        <v>1</v>
      </c>
      <c r="H2737" t="s">
        <v>30</v>
      </c>
      <c r="I2737">
        <v>10</v>
      </c>
      <c r="J2737" s="15"/>
      <c r="K2737" s="16">
        <f>83.11 - (83.11 * $E$1)</f>
        <v>83.11</v>
      </c>
      <c r="L2737" s="16">
        <f>68.12 - (68.12 * $E$1)</f>
        <v>68.12</v>
      </c>
      <c r="M2737" s="1">
        <v>83.11</v>
      </c>
      <c r="N2737" s="1">
        <v>68.12</v>
      </c>
      <c r="O2737" s="1">
        <v>70.64</v>
      </c>
      <c r="P2737" s="1">
        <v>57.9</v>
      </c>
      <c r="Q2737">
        <v>0.09</v>
      </c>
      <c r="R2737">
        <v>1.54E-4</v>
      </c>
    </row>
    <row r="2738" spans="1:18" ht="13.8" outlineLevel="1" x14ac:dyDescent="0.25">
      <c r="A2738">
        <v>91603</v>
      </c>
      <c r="B2738" t="s">
        <v>3205</v>
      </c>
      <c r="C2738" t="s">
        <v>3206</v>
      </c>
      <c r="D2738" s="14" t="s">
        <v>3207</v>
      </c>
      <c r="E2738" s="12" t="s">
        <v>28</v>
      </c>
      <c r="F2738" s="13" t="s">
        <v>29</v>
      </c>
      <c r="G2738">
        <v>1</v>
      </c>
      <c r="H2738" t="s">
        <v>2364</v>
      </c>
      <c r="I2738">
        <v>1</v>
      </c>
      <c r="J2738" s="15"/>
      <c r="K2738" s="16">
        <f>186.89 - (186.89 * $E$1)</f>
        <v>186.89</v>
      </c>
      <c r="L2738" s="16">
        <f>153.19 - (153.19 * $E$1)</f>
        <v>153.19</v>
      </c>
      <c r="M2738" s="1">
        <v>186.89</v>
      </c>
      <c r="N2738" s="1">
        <v>153.19</v>
      </c>
      <c r="O2738" s="1">
        <v>158.86000000000001</v>
      </c>
      <c r="P2738" s="1">
        <v>130.21</v>
      </c>
      <c r="Q2738">
        <v>0.13700000000000001</v>
      </c>
      <c r="R2738">
        <v>1.16E-4</v>
      </c>
    </row>
    <row r="2739" spans="1:18" ht="13.8" outlineLevel="1" x14ac:dyDescent="0.25">
      <c r="A2739">
        <v>91604</v>
      </c>
      <c r="B2739" t="s">
        <v>3205</v>
      </c>
      <c r="C2739" t="s">
        <v>3208</v>
      </c>
      <c r="D2739" s="14" t="s">
        <v>3207</v>
      </c>
      <c r="E2739" s="12" t="s">
        <v>28</v>
      </c>
      <c r="F2739" s="13" t="s">
        <v>29</v>
      </c>
      <c r="G2739">
        <v>1</v>
      </c>
      <c r="H2739" t="s">
        <v>2364</v>
      </c>
      <c r="I2739">
        <v>1</v>
      </c>
      <c r="J2739" s="15"/>
      <c r="K2739" s="16">
        <f>232.01 - (232.01 * $E$1)</f>
        <v>232.01</v>
      </c>
      <c r="L2739" s="16">
        <f>190.17 - (190.17 * $E$1)</f>
        <v>190.17</v>
      </c>
      <c r="M2739" s="1">
        <v>232.01</v>
      </c>
      <c r="N2739" s="1">
        <v>190.17</v>
      </c>
      <c r="O2739" s="1">
        <v>197.21</v>
      </c>
      <c r="P2739" s="1">
        <v>161.63999999999999</v>
      </c>
      <c r="Q2739">
        <v>0.16700000000000001</v>
      </c>
      <c r="R2739">
        <v>1.5200000000000001E-4</v>
      </c>
    </row>
    <row r="2740" spans="1:18" ht="13.8" outlineLevel="1" x14ac:dyDescent="0.25">
      <c r="A2740">
        <v>59319</v>
      </c>
      <c r="B2740" t="s">
        <v>3209</v>
      </c>
      <c r="C2740" t="s">
        <v>3210</v>
      </c>
      <c r="D2740" s="14" t="s">
        <v>3211</v>
      </c>
      <c r="E2740" s="12" t="s">
        <v>28</v>
      </c>
      <c r="F2740" s="13" t="s">
        <v>29</v>
      </c>
      <c r="G2740">
        <v>1</v>
      </c>
      <c r="H2740" t="s">
        <v>2364</v>
      </c>
      <c r="I2740">
        <v>1</v>
      </c>
      <c r="J2740" s="15"/>
      <c r="K2740" s="16">
        <f>465.11 - (465.11 * $E$1)</f>
        <v>465.11</v>
      </c>
      <c r="L2740" s="16">
        <f>381.24 - (381.24 * $E$1)</f>
        <v>381.24</v>
      </c>
      <c r="M2740" s="1">
        <v>465.11</v>
      </c>
      <c r="N2740" s="1">
        <v>381.24</v>
      </c>
      <c r="O2740" s="1">
        <v>395.35</v>
      </c>
      <c r="P2740" s="1">
        <v>324.05</v>
      </c>
      <c r="Q2740">
        <v>7.1999999999999995E-2</v>
      </c>
      <c r="R2740">
        <v>1.54E-4</v>
      </c>
    </row>
    <row r="2741" spans="1:18" ht="13.8" outlineLevel="1" x14ac:dyDescent="0.25">
      <c r="A2741">
        <v>81981</v>
      </c>
      <c r="B2741" t="s">
        <v>3212</v>
      </c>
      <c r="C2741" t="s">
        <v>3213</v>
      </c>
      <c r="D2741" s="14" t="s">
        <v>3214</v>
      </c>
      <c r="E2741" s="12" t="s">
        <v>28</v>
      </c>
      <c r="F2741" s="13" t="s">
        <v>29</v>
      </c>
      <c r="G2741">
        <v>8</v>
      </c>
      <c r="H2741" t="s">
        <v>2364</v>
      </c>
      <c r="I2741">
        <v>8</v>
      </c>
      <c r="J2741" s="15"/>
      <c r="K2741" s="16">
        <f>222.35 - (222.35 * $E$1)</f>
        <v>222.35</v>
      </c>
      <c r="L2741" s="16">
        <f>182.25 - (182.25 * $E$1)</f>
        <v>182.25</v>
      </c>
      <c r="M2741" s="1">
        <v>222.35</v>
      </c>
      <c r="N2741" s="1">
        <v>182.25</v>
      </c>
      <c r="O2741" s="1">
        <v>188.99</v>
      </c>
      <c r="P2741" s="1">
        <v>154.91</v>
      </c>
      <c r="Q2741">
        <v>0.378</v>
      </c>
      <c r="R2741">
        <v>8.1999999999999998E-4</v>
      </c>
    </row>
    <row r="2742" spans="1:18" ht="13.8" outlineLevel="1" x14ac:dyDescent="0.25">
      <c r="A2742">
        <v>81982</v>
      </c>
      <c r="B2742" t="s">
        <v>3212</v>
      </c>
      <c r="C2742" t="s">
        <v>3215</v>
      </c>
      <c r="D2742" s="14" t="s">
        <v>3214</v>
      </c>
      <c r="E2742" s="12" t="s">
        <v>28</v>
      </c>
      <c r="F2742" s="13" t="s">
        <v>29</v>
      </c>
      <c r="G2742">
        <v>5</v>
      </c>
      <c r="H2742" t="s">
        <v>2364</v>
      </c>
      <c r="I2742">
        <v>5</v>
      </c>
      <c r="J2742" s="15"/>
      <c r="K2742" s="16">
        <f>333.5 - (333.5 * $E$1)</f>
        <v>333.5</v>
      </c>
      <c r="L2742" s="16">
        <f>273.36 - (273.36 * $E$1)</f>
        <v>273.36</v>
      </c>
      <c r="M2742" s="1">
        <v>333.5</v>
      </c>
      <c r="N2742" s="1">
        <v>273.36</v>
      </c>
      <c r="O2742" s="1">
        <v>283.47000000000003</v>
      </c>
      <c r="P2742" s="1">
        <v>232.36</v>
      </c>
      <c r="Q2742">
        <v>0.56999999999999995</v>
      </c>
      <c r="R2742">
        <v>1.1999999999999999E-3</v>
      </c>
    </row>
    <row r="2743" spans="1:18" ht="13.8" outlineLevel="1" x14ac:dyDescent="0.25">
      <c r="A2743">
        <v>81983</v>
      </c>
      <c r="B2743" t="s">
        <v>3212</v>
      </c>
      <c r="C2743" t="s">
        <v>3216</v>
      </c>
      <c r="D2743" s="14" t="s">
        <v>3214</v>
      </c>
      <c r="E2743" s="12" t="s">
        <v>28</v>
      </c>
      <c r="F2743" s="13" t="s">
        <v>29</v>
      </c>
      <c r="G2743">
        <v>5</v>
      </c>
      <c r="H2743" t="s">
        <v>2364</v>
      </c>
      <c r="I2743">
        <v>5</v>
      </c>
      <c r="J2743" s="15"/>
      <c r="K2743" s="16">
        <f>470.09 - (470.09 * $E$1)</f>
        <v>470.09</v>
      </c>
      <c r="L2743" s="16">
        <f>385.32 - (385.32 * $E$1)</f>
        <v>385.32</v>
      </c>
      <c r="M2743" s="1">
        <v>470.09</v>
      </c>
      <c r="N2743" s="1">
        <v>385.32</v>
      </c>
      <c r="O2743" s="1">
        <v>399.58</v>
      </c>
      <c r="P2743" s="1">
        <v>327.52</v>
      </c>
      <c r="Q2743">
        <v>0.77700000000000002</v>
      </c>
      <c r="R2743">
        <v>1.47E-3</v>
      </c>
    </row>
    <row r="2744" spans="1:18" ht="13.8" outlineLevel="1" x14ac:dyDescent="0.25">
      <c r="A2744">
        <v>81968</v>
      </c>
      <c r="B2744" t="s">
        <v>3217</v>
      </c>
      <c r="C2744" t="s">
        <v>3218</v>
      </c>
      <c r="D2744" s="14" t="s">
        <v>3219</v>
      </c>
      <c r="E2744" s="12" t="s">
        <v>28</v>
      </c>
      <c r="F2744" s="13" t="s">
        <v>29</v>
      </c>
      <c r="H2744" t="s">
        <v>2364</v>
      </c>
      <c r="I2744">
        <v>1</v>
      </c>
      <c r="J2744" s="15"/>
      <c r="K2744" s="16">
        <f>1521.43 - (1521.43 * $E$1)</f>
        <v>1521.43</v>
      </c>
      <c r="L2744" s="16">
        <f>1247.07 - (1247.07 * $E$1)</f>
        <v>1247.07</v>
      </c>
      <c r="M2744" s="1">
        <v>1521.43</v>
      </c>
      <c r="N2744" s="1">
        <v>1247.07</v>
      </c>
      <c r="O2744" s="1">
        <v>1293.21</v>
      </c>
      <c r="P2744" s="1">
        <v>1060.01</v>
      </c>
    </row>
    <row r="2745" spans="1:18" ht="13.8" outlineLevel="1" x14ac:dyDescent="0.25">
      <c r="A2745">
        <v>81969</v>
      </c>
      <c r="B2745" t="s">
        <v>3217</v>
      </c>
      <c r="C2745" t="s">
        <v>3220</v>
      </c>
      <c r="D2745" s="14" t="s">
        <v>3219</v>
      </c>
      <c r="E2745" s="12" t="s">
        <v>28</v>
      </c>
      <c r="F2745" s="13" t="s">
        <v>29</v>
      </c>
      <c r="H2745" t="s">
        <v>2364</v>
      </c>
      <c r="I2745">
        <v>1</v>
      </c>
      <c r="J2745" s="15"/>
      <c r="K2745" s="16">
        <f>2536.79 - (2536.79 * $E$1)</f>
        <v>2536.79</v>
      </c>
      <c r="L2745" s="16">
        <f>2079.34 - (2079.34 * $E$1)</f>
        <v>2079.34</v>
      </c>
      <c r="M2745" s="1">
        <v>2536.79</v>
      </c>
      <c r="N2745" s="1">
        <v>2079.34</v>
      </c>
      <c r="O2745" s="1">
        <v>2156.2800000000002</v>
      </c>
      <c r="P2745" s="1">
        <v>1767.44</v>
      </c>
    </row>
    <row r="2746" spans="1:18" ht="13.8" outlineLevel="1" x14ac:dyDescent="0.25">
      <c r="A2746">
        <v>81970</v>
      </c>
      <c r="B2746" t="s">
        <v>3217</v>
      </c>
      <c r="C2746" t="s">
        <v>3221</v>
      </c>
      <c r="D2746" s="14" t="s">
        <v>3219</v>
      </c>
      <c r="E2746" s="12" t="s">
        <v>28</v>
      </c>
      <c r="F2746" s="13" t="s">
        <v>29</v>
      </c>
      <c r="H2746" t="s">
        <v>2364</v>
      </c>
      <c r="I2746">
        <v>1</v>
      </c>
      <c r="J2746" s="15"/>
      <c r="K2746" s="16">
        <f>3042.88 - (3042.88 * $E$1)</f>
        <v>3042.88</v>
      </c>
      <c r="L2746" s="16">
        <f>2494.16 - (2494.16 * $E$1)</f>
        <v>2494.16</v>
      </c>
      <c r="M2746" s="1">
        <v>3042.88</v>
      </c>
      <c r="N2746" s="1">
        <v>2494.16</v>
      </c>
      <c r="O2746" s="1">
        <v>2586.44</v>
      </c>
      <c r="P2746" s="1">
        <v>2120.04</v>
      </c>
    </row>
    <row r="2747" spans="1:18" ht="13.8" outlineLevel="1" x14ac:dyDescent="0.25">
      <c r="A2747">
        <v>81971</v>
      </c>
      <c r="B2747" t="s">
        <v>3217</v>
      </c>
      <c r="C2747" t="s">
        <v>3222</v>
      </c>
      <c r="D2747" s="14" t="s">
        <v>3219</v>
      </c>
      <c r="E2747" s="12" t="s">
        <v>28</v>
      </c>
      <c r="F2747" s="13" t="s">
        <v>29</v>
      </c>
      <c r="H2747" t="s">
        <v>2364</v>
      </c>
      <c r="I2747">
        <v>1</v>
      </c>
      <c r="J2747" s="15"/>
      <c r="K2747" s="16">
        <f>4567.55 - (4567.55 * $E$1)</f>
        <v>4567.55</v>
      </c>
      <c r="L2747" s="16">
        <f>3743.89 - (3743.89 * $E$1)</f>
        <v>3743.89</v>
      </c>
      <c r="M2747" s="1">
        <v>4567.55</v>
      </c>
      <c r="N2747" s="1">
        <v>3743.89</v>
      </c>
      <c r="O2747" s="1">
        <v>3882.41</v>
      </c>
      <c r="P2747" s="1">
        <v>3182.31</v>
      </c>
    </row>
    <row r="2748" spans="1:18" ht="13.8" outlineLevel="1" x14ac:dyDescent="0.25">
      <c r="A2748">
        <v>81972</v>
      </c>
      <c r="B2748" t="s">
        <v>3217</v>
      </c>
      <c r="C2748" t="s">
        <v>3223</v>
      </c>
      <c r="D2748" s="14" t="s">
        <v>3219</v>
      </c>
      <c r="E2748" s="12" t="s">
        <v>28</v>
      </c>
      <c r="F2748" s="13" t="s">
        <v>29</v>
      </c>
      <c r="H2748" t="s">
        <v>2364</v>
      </c>
      <c r="I2748">
        <v>1</v>
      </c>
      <c r="J2748" s="15"/>
      <c r="K2748" s="16">
        <f>6088.96 - (6088.96 * $E$1)</f>
        <v>6088.96</v>
      </c>
      <c r="L2748" s="16">
        <f>4990.95 - (4990.95 * $E$1)</f>
        <v>4990.95</v>
      </c>
      <c r="M2748" s="1">
        <v>6088.96</v>
      </c>
      <c r="N2748" s="1">
        <v>4990.95</v>
      </c>
      <c r="O2748" s="1">
        <v>5175.62</v>
      </c>
      <c r="P2748" s="1">
        <v>4242.3100000000004</v>
      </c>
    </row>
    <row r="2749" spans="1:18" ht="13.8" outlineLevel="1" x14ac:dyDescent="0.25">
      <c r="A2749">
        <v>81973</v>
      </c>
      <c r="B2749" t="s">
        <v>3217</v>
      </c>
      <c r="C2749" t="s">
        <v>3224</v>
      </c>
      <c r="D2749" s="14" t="s">
        <v>3219</v>
      </c>
      <c r="E2749" s="12" t="s">
        <v>28</v>
      </c>
      <c r="F2749" s="13" t="s">
        <v>29</v>
      </c>
      <c r="H2749" t="s">
        <v>2364</v>
      </c>
      <c r="I2749">
        <v>1</v>
      </c>
      <c r="J2749" s="15"/>
      <c r="K2749" s="16">
        <f>7610.4 - (7610.4 * $E$1)</f>
        <v>7610.4</v>
      </c>
      <c r="L2749" s="16">
        <f>6238.03 - (6238.03 * $E$1)</f>
        <v>6238.03</v>
      </c>
      <c r="M2749" s="1">
        <v>7610.4</v>
      </c>
      <c r="N2749" s="1">
        <v>6238.03</v>
      </c>
      <c r="O2749" s="1">
        <v>6468.84</v>
      </c>
      <c r="P2749" s="1">
        <v>5302.33</v>
      </c>
    </row>
    <row r="2750" spans="1:18" ht="13.8" outlineLevel="1" x14ac:dyDescent="0.25">
      <c r="A2750">
        <v>81974</v>
      </c>
      <c r="B2750" t="s">
        <v>3217</v>
      </c>
      <c r="C2750" t="s">
        <v>3225</v>
      </c>
      <c r="D2750" s="14" t="s">
        <v>3219</v>
      </c>
      <c r="E2750" s="12" t="s">
        <v>28</v>
      </c>
      <c r="F2750" s="13" t="s">
        <v>29</v>
      </c>
      <c r="H2750" t="s">
        <v>2364</v>
      </c>
      <c r="I2750">
        <v>1</v>
      </c>
      <c r="J2750" s="15"/>
      <c r="K2750" s="16">
        <f>9131.83 - (9131.83 * $E$1)</f>
        <v>9131.83</v>
      </c>
      <c r="L2750" s="16">
        <f>7485.11 - (7485.11 * $E$1)</f>
        <v>7485.11</v>
      </c>
      <c r="M2750" s="1">
        <v>9131.83</v>
      </c>
      <c r="N2750" s="1">
        <v>7485.11</v>
      </c>
      <c r="O2750" s="1">
        <v>7762.06</v>
      </c>
      <c r="P2750" s="1">
        <v>6362.34</v>
      </c>
    </row>
    <row r="2751" spans="1:18" ht="13.8" outlineLevel="1" x14ac:dyDescent="0.25">
      <c r="A2751">
        <v>83582</v>
      </c>
      <c r="B2751" t="s">
        <v>3226</v>
      </c>
      <c r="C2751" t="s">
        <v>3227</v>
      </c>
      <c r="D2751" s="14" t="s">
        <v>3228</v>
      </c>
      <c r="E2751" s="12" t="s">
        <v>28</v>
      </c>
      <c r="F2751" s="13" t="s">
        <v>29</v>
      </c>
      <c r="G2751">
        <v>1</v>
      </c>
      <c r="H2751" t="s">
        <v>2364</v>
      </c>
      <c r="I2751">
        <v>6</v>
      </c>
      <c r="J2751" s="15"/>
      <c r="K2751" s="16">
        <f>311.22 - (311.22 * $E$1)</f>
        <v>311.22000000000003</v>
      </c>
      <c r="L2751" s="16">
        <f>255.1 - (255.1 * $E$1)</f>
        <v>255.1</v>
      </c>
      <c r="M2751" s="1">
        <v>311.22000000000003</v>
      </c>
      <c r="N2751" s="1">
        <v>255.1</v>
      </c>
      <c r="O2751" s="1">
        <v>264.54000000000002</v>
      </c>
      <c r="P2751" s="1">
        <v>216.84</v>
      </c>
      <c r="Q2751">
        <v>0.4</v>
      </c>
      <c r="R2751">
        <v>7.2000000000000005E-4</v>
      </c>
    </row>
    <row r="2752" spans="1:18" ht="13.8" outlineLevel="1" x14ac:dyDescent="0.25">
      <c r="A2752">
        <v>59162</v>
      </c>
      <c r="B2752" t="s">
        <v>3229</v>
      </c>
      <c r="C2752" t="s">
        <v>3230</v>
      </c>
      <c r="D2752" s="14" t="s">
        <v>3231</v>
      </c>
      <c r="E2752" s="12" t="s">
        <v>28</v>
      </c>
      <c r="F2752" s="13" t="s">
        <v>29</v>
      </c>
      <c r="G2752">
        <v>1</v>
      </c>
      <c r="H2752" t="s">
        <v>30</v>
      </c>
      <c r="I2752">
        <v>1</v>
      </c>
      <c r="J2752" s="15"/>
      <c r="K2752" s="16">
        <f>150.58 - (150.58 * $E$1)</f>
        <v>150.58000000000001</v>
      </c>
      <c r="L2752" s="16">
        <f>123.43 - (123.43 * $E$1)</f>
        <v>123.43</v>
      </c>
      <c r="M2752" s="1">
        <v>150.58000000000001</v>
      </c>
      <c r="N2752" s="1">
        <v>123.43</v>
      </c>
      <c r="O2752" s="1">
        <v>128</v>
      </c>
      <c r="P2752" s="1">
        <v>104.92</v>
      </c>
      <c r="Q2752">
        <v>7.8E-2</v>
      </c>
      <c r="R2752">
        <v>7.9199999999999995E-4</v>
      </c>
    </row>
    <row r="2753" spans="1:18" ht="13.8" outlineLevel="1" x14ac:dyDescent="0.25">
      <c r="A2753">
        <v>59163</v>
      </c>
      <c r="B2753" t="s">
        <v>3229</v>
      </c>
      <c r="C2753" t="s">
        <v>3232</v>
      </c>
      <c r="D2753" s="14" t="s">
        <v>3231</v>
      </c>
      <c r="E2753" s="12" t="s">
        <v>28</v>
      </c>
      <c r="F2753" s="13" t="s">
        <v>29</v>
      </c>
      <c r="G2753">
        <v>1</v>
      </c>
      <c r="H2753" t="s">
        <v>30</v>
      </c>
      <c r="I2753">
        <v>1</v>
      </c>
      <c r="J2753" s="15"/>
      <c r="K2753" s="16">
        <f>222.78 - (222.78 * $E$1)</f>
        <v>222.78</v>
      </c>
      <c r="L2753" s="16">
        <f>182.61 - (182.61 * $E$1)</f>
        <v>182.61</v>
      </c>
      <c r="M2753" s="1">
        <v>222.78</v>
      </c>
      <c r="N2753" s="1">
        <v>182.61</v>
      </c>
      <c r="O2753" s="1">
        <v>189.37</v>
      </c>
      <c r="P2753" s="1">
        <v>155.22</v>
      </c>
      <c r="Q2753">
        <v>0.1</v>
      </c>
      <c r="R2753">
        <v>8.3600000000000005E-4</v>
      </c>
    </row>
    <row r="2754" spans="1:18" ht="13.8" outlineLevel="1" x14ac:dyDescent="0.25">
      <c r="A2754">
        <v>106070</v>
      </c>
      <c r="B2754" t="s">
        <v>3229</v>
      </c>
      <c r="C2754" t="s">
        <v>3233</v>
      </c>
      <c r="D2754" s="14" t="s">
        <v>3231</v>
      </c>
      <c r="E2754" s="12" t="s">
        <v>28</v>
      </c>
      <c r="F2754" s="18" t="s">
        <v>1467</v>
      </c>
      <c r="G2754">
        <v>1</v>
      </c>
      <c r="H2754" t="s">
        <v>30</v>
      </c>
      <c r="I2754">
        <v>1</v>
      </c>
      <c r="J2754" s="15"/>
      <c r="K2754" s="16">
        <f>287.83 - (287.83 * $E$1)</f>
        <v>287.83</v>
      </c>
      <c r="L2754" s="16">
        <f>235.93 - (235.93 * $E$1)</f>
        <v>235.93</v>
      </c>
      <c r="M2754" s="1">
        <v>287.83</v>
      </c>
      <c r="N2754" s="1">
        <v>235.93</v>
      </c>
      <c r="O2754" s="1">
        <v>244.66</v>
      </c>
      <c r="P2754" s="1">
        <v>200.54</v>
      </c>
      <c r="Q2754">
        <v>0.16</v>
      </c>
      <c r="R2754">
        <v>2.3749999999999999E-3</v>
      </c>
    </row>
    <row r="2755" spans="1:18" ht="13.8" outlineLevel="1" x14ac:dyDescent="0.25">
      <c r="A2755">
        <v>59164</v>
      </c>
      <c r="B2755" t="s">
        <v>3229</v>
      </c>
      <c r="C2755" t="s">
        <v>3234</v>
      </c>
      <c r="D2755" s="14" t="s">
        <v>3231</v>
      </c>
      <c r="E2755" s="12" t="s">
        <v>28</v>
      </c>
      <c r="F2755" s="13" t="s">
        <v>29</v>
      </c>
      <c r="G2755">
        <v>1</v>
      </c>
      <c r="H2755" t="s">
        <v>30</v>
      </c>
      <c r="I2755">
        <v>1</v>
      </c>
      <c r="J2755" s="15"/>
      <c r="K2755" s="16">
        <f>390.06 - (390.06 * $E$1)</f>
        <v>390.06</v>
      </c>
      <c r="L2755" s="16">
        <f>319.72 - (319.72 * $E$1)</f>
        <v>319.72000000000003</v>
      </c>
      <c r="M2755" s="1">
        <v>390.06</v>
      </c>
      <c r="N2755" s="1">
        <v>319.72000000000003</v>
      </c>
      <c r="O2755" s="1">
        <v>331.55</v>
      </c>
      <c r="P2755" s="1">
        <v>271.76</v>
      </c>
      <c r="Q2755">
        <v>0.19</v>
      </c>
      <c r="R2755">
        <v>2.552E-3</v>
      </c>
    </row>
    <row r="2756" spans="1:18" ht="13.8" outlineLevel="1" x14ac:dyDescent="0.25">
      <c r="A2756">
        <v>106071</v>
      </c>
      <c r="B2756" t="s">
        <v>3229</v>
      </c>
      <c r="C2756" t="s">
        <v>3235</v>
      </c>
      <c r="D2756" s="14" t="s">
        <v>3231</v>
      </c>
      <c r="E2756" s="12" t="s">
        <v>28</v>
      </c>
      <c r="F2756" s="18" t="s">
        <v>1467</v>
      </c>
      <c r="G2756">
        <v>1</v>
      </c>
      <c r="H2756" t="s">
        <v>30</v>
      </c>
      <c r="I2756">
        <v>1</v>
      </c>
      <c r="J2756" s="15"/>
      <c r="K2756" s="16">
        <f>533.93 - (533.93 * $E$1)</f>
        <v>533.92999999999995</v>
      </c>
      <c r="L2756" s="16">
        <f>437.65 - (437.65 * $E$1)</f>
        <v>437.65</v>
      </c>
      <c r="M2756" s="1">
        <v>533.92999999999995</v>
      </c>
      <c r="N2756" s="1">
        <v>437.65</v>
      </c>
      <c r="O2756" s="1">
        <v>453.84</v>
      </c>
      <c r="P2756" s="1">
        <v>372</v>
      </c>
      <c r="Q2756">
        <v>0.28999999999999998</v>
      </c>
      <c r="R2756">
        <v>4.4999999999999997E-3</v>
      </c>
    </row>
    <row r="2757" spans="1:18" ht="13.8" outlineLevel="1" x14ac:dyDescent="0.25">
      <c r="A2757">
        <v>59165</v>
      </c>
      <c r="B2757" t="s">
        <v>3229</v>
      </c>
      <c r="C2757" t="s">
        <v>3236</v>
      </c>
      <c r="D2757" s="14" t="s">
        <v>3231</v>
      </c>
      <c r="E2757" s="12" t="s">
        <v>28</v>
      </c>
      <c r="F2757" s="13" t="s">
        <v>29</v>
      </c>
      <c r="G2757">
        <v>1</v>
      </c>
      <c r="H2757" t="s">
        <v>30</v>
      </c>
      <c r="I2757">
        <v>1</v>
      </c>
      <c r="J2757" s="15"/>
      <c r="K2757" s="16">
        <f>732.73 - (732.73 * $E$1)</f>
        <v>732.73</v>
      </c>
      <c r="L2757" s="16">
        <f>600.6 - (600.6 * $E$1)</f>
        <v>600.6</v>
      </c>
      <c r="M2757" s="1">
        <v>732.73</v>
      </c>
      <c r="N2757" s="1">
        <v>600.6</v>
      </c>
      <c r="O2757" s="1">
        <v>622.82000000000005</v>
      </c>
      <c r="P2757" s="1">
        <v>510.51</v>
      </c>
      <c r="Q2757">
        <v>0.4</v>
      </c>
      <c r="R2757">
        <v>5.7749999999999998E-3</v>
      </c>
    </row>
    <row r="2758" spans="1:18" ht="13.8" outlineLevel="1" x14ac:dyDescent="0.25">
      <c r="A2758">
        <v>59166</v>
      </c>
      <c r="B2758" t="s">
        <v>3229</v>
      </c>
      <c r="C2758" t="s">
        <v>3237</v>
      </c>
      <c r="D2758" s="14" t="s">
        <v>3231</v>
      </c>
      <c r="E2758" s="12" t="s">
        <v>28</v>
      </c>
      <c r="F2758" s="13" t="s">
        <v>29</v>
      </c>
      <c r="G2758">
        <v>1</v>
      </c>
      <c r="H2758" t="s">
        <v>30</v>
      </c>
      <c r="I2758">
        <v>1</v>
      </c>
      <c r="J2758" s="15"/>
      <c r="K2758" s="16">
        <f>2188.2 - (2188.2 * $E$1)</f>
        <v>2188.1999999999998</v>
      </c>
      <c r="L2758" s="16">
        <f>1793.61 - (1793.61 * $E$1)</f>
        <v>1793.61</v>
      </c>
      <c r="M2758" s="1">
        <v>2188.1999999999998</v>
      </c>
      <c r="N2758" s="1">
        <v>1793.61</v>
      </c>
      <c r="O2758" s="1">
        <v>1859.97</v>
      </c>
      <c r="P2758" s="1">
        <v>1524.57</v>
      </c>
      <c r="Q2758">
        <v>0.8</v>
      </c>
      <c r="R2758">
        <v>1.311E-2</v>
      </c>
    </row>
    <row r="2759" spans="1:18" ht="13.8" outlineLevel="1" x14ac:dyDescent="0.25">
      <c r="A2759">
        <v>64782</v>
      </c>
      <c r="B2759" t="s">
        <v>3238</v>
      </c>
      <c r="C2759" t="s">
        <v>3239</v>
      </c>
      <c r="D2759" s="14" t="s">
        <v>3240</v>
      </c>
      <c r="E2759" s="12" t="s">
        <v>28</v>
      </c>
      <c r="F2759" s="13" t="s">
        <v>29</v>
      </c>
      <c r="G2759">
        <v>1</v>
      </c>
      <c r="H2759" t="s">
        <v>1129</v>
      </c>
      <c r="I2759">
        <v>1</v>
      </c>
      <c r="J2759" s="15"/>
      <c r="K2759" s="16">
        <f>267.19 - (267.19 * $E$1)</f>
        <v>267.19</v>
      </c>
      <c r="L2759" s="16">
        <f>219.01 - (219.01 * $E$1)</f>
        <v>219.01</v>
      </c>
      <c r="M2759" s="1">
        <v>267.19</v>
      </c>
      <c r="N2759" s="1">
        <v>219.01</v>
      </c>
      <c r="O2759" s="1">
        <v>227.11</v>
      </c>
      <c r="P2759" s="1">
        <v>186.16</v>
      </c>
      <c r="Q2759">
        <v>0.08</v>
      </c>
      <c r="R2759">
        <v>1.6000000000000001E-3</v>
      </c>
    </row>
    <row r="2760" spans="1:18" ht="13.8" outlineLevel="1" x14ac:dyDescent="0.25">
      <c r="A2760">
        <v>64783</v>
      </c>
      <c r="B2760" t="s">
        <v>3238</v>
      </c>
      <c r="C2760" t="s">
        <v>3241</v>
      </c>
      <c r="D2760" s="14" t="s">
        <v>3240</v>
      </c>
      <c r="E2760" s="12" t="s">
        <v>28</v>
      </c>
      <c r="F2760" s="13" t="s">
        <v>29</v>
      </c>
      <c r="G2760">
        <v>1</v>
      </c>
      <c r="H2760" t="s">
        <v>1129</v>
      </c>
      <c r="I2760">
        <v>1</v>
      </c>
      <c r="J2760" s="15"/>
      <c r="K2760" s="16">
        <f>435.65 - (435.65 * $E$1)</f>
        <v>435.65</v>
      </c>
      <c r="L2760" s="16">
        <f>357.09 - (357.09 * $E$1)</f>
        <v>357.09</v>
      </c>
      <c r="M2760" s="1">
        <v>435.65</v>
      </c>
      <c r="N2760" s="1">
        <v>357.09</v>
      </c>
      <c r="O2760" s="1">
        <v>370.3</v>
      </c>
      <c r="P2760" s="1">
        <v>303.52999999999997</v>
      </c>
      <c r="Q2760">
        <v>0.15</v>
      </c>
      <c r="R2760">
        <v>2.9039999999999999E-3</v>
      </c>
    </row>
    <row r="2761" spans="1:18" ht="13.8" outlineLevel="1" x14ac:dyDescent="0.25">
      <c r="A2761">
        <v>106117</v>
      </c>
      <c r="B2761" t="s">
        <v>3242</v>
      </c>
      <c r="C2761" t="s">
        <v>3243</v>
      </c>
      <c r="D2761" s="14" t="s">
        <v>3244</v>
      </c>
      <c r="E2761" s="12" t="s">
        <v>28</v>
      </c>
      <c r="F2761" s="13" t="s">
        <v>29</v>
      </c>
      <c r="G2761">
        <v>25</v>
      </c>
      <c r="H2761" t="s">
        <v>2466</v>
      </c>
      <c r="I2761">
        <v>25</v>
      </c>
      <c r="J2761" s="15"/>
      <c r="K2761" s="16">
        <f>284.57 - (284.57 * $E$1)</f>
        <v>284.57</v>
      </c>
      <c r="L2761" s="16">
        <f>233.25 - (233.25 * $E$1)</f>
        <v>233.25</v>
      </c>
      <c r="M2761" s="1">
        <v>284.57</v>
      </c>
      <c r="N2761" s="1">
        <v>233.25</v>
      </c>
      <c r="O2761" s="1">
        <v>241.88</v>
      </c>
      <c r="P2761" s="1">
        <v>198.26</v>
      </c>
      <c r="Q2761">
        <v>4.6399999999999997E-2</v>
      </c>
      <c r="R2761">
        <v>4.8000000000000001E-5</v>
      </c>
    </row>
    <row r="2762" spans="1:18" ht="13.8" outlineLevel="1" x14ac:dyDescent="0.25">
      <c r="A2762">
        <v>106118</v>
      </c>
      <c r="B2762" t="s">
        <v>3242</v>
      </c>
      <c r="C2762" t="s">
        <v>3245</v>
      </c>
      <c r="D2762" s="14" t="s">
        <v>3244</v>
      </c>
      <c r="E2762" s="12" t="s">
        <v>28</v>
      </c>
      <c r="F2762" s="13" t="s">
        <v>29</v>
      </c>
      <c r="G2762">
        <v>25</v>
      </c>
      <c r="H2762" t="s">
        <v>2466</v>
      </c>
      <c r="I2762">
        <v>25</v>
      </c>
      <c r="J2762" s="15"/>
      <c r="K2762" s="16">
        <f>401.31 - (401.31 * $E$1)</f>
        <v>401.31</v>
      </c>
      <c r="L2762" s="16">
        <f>328.94 - (328.94 * $E$1)</f>
        <v>328.94</v>
      </c>
      <c r="M2762" s="1">
        <v>401.31</v>
      </c>
      <c r="N2762" s="1">
        <v>328.94</v>
      </c>
      <c r="O2762" s="1">
        <v>341.11</v>
      </c>
      <c r="P2762" s="1">
        <v>279.60000000000002</v>
      </c>
      <c r="Q2762">
        <v>8.2000000000000003E-2</v>
      </c>
      <c r="R2762">
        <v>7.2000000000000002E-5</v>
      </c>
    </row>
    <row r="2763" spans="1:18" ht="13.8" outlineLevel="1" x14ac:dyDescent="0.25">
      <c r="A2763">
        <v>106119</v>
      </c>
      <c r="B2763" t="s">
        <v>3242</v>
      </c>
      <c r="C2763" t="s">
        <v>3246</v>
      </c>
      <c r="D2763" s="14" t="s">
        <v>3244</v>
      </c>
      <c r="E2763" s="12" t="s">
        <v>28</v>
      </c>
      <c r="F2763" s="13" t="s">
        <v>29</v>
      </c>
      <c r="G2763">
        <v>25</v>
      </c>
      <c r="H2763" t="s">
        <v>2466</v>
      </c>
      <c r="I2763">
        <v>25</v>
      </c>
      <c r="J2763" s="15"/>
      <c r="K2763" s="16">
        <f>425.35 - (425.35 * $E$1)</f>
        <v>425.35</v>
      </c>
      <c r="L2763" s="16">
        <f>348.65 - (348.65 * $E$1)</f>
        <v>348.65</v>
      </c>
      <c r="M2763" s="1">
        <v>425.35</v>
      </c>
      <c r="N2763" s="1">
        <v>348.65</v>
      </c>
      <c r="O2763" s="1">
        <v>361.55</v>
      </c>
      <c r="P2763" s="1">
        <v>296.35000000000002</v>
      </c>
      <c r="Q2763">
        <v>8.1600000000000006E-2</v>
      </c>
      <c r="R2763">
        <v>8.8800000000000004E-5</v>
      </c>
    </row>
    <row r="2764" spans="1:18" ht="13.8" outlineLevel="1" x14ac:dyDescent="0.25">
      <c r="A2764">
        <v>106113</v>
      </c>
      <c r="B2764" t="s">
        <v>3242</v>
      </c>
      <c r="C2764" t="s">
        <v>3247</v>
      </c>
      <c r="D2764" s="14" t="s">
        <v>3248</v>
      </c>
      <c r="E2764" s="12" t="s">
        <v>28</v>
      </c>
      <c r="F2764" s="13" t="s">
        <v>29</v>
      </c>
      <c r="G2764">
        <v>100</v>
      </c>
      <c r="H2764" t="s">
        <v>2466</v>
      </c>
      <c r="I2764">
        <v>100</v>
      </c>
      <c r="J2764" s="15"/>
      <c r="K2764" s="16">
        <f>59.61 - (59.61 * $E$1)</f>
        <v>59.61</v>
      </c>
      <c r="L2764" s="16">
        <f>48.86 - (48.86 * $E$1)</f>
        <v>48.86</v>
      </c>
      <c r="M2764" s="1">
        <v>59.61</v>
      </c>
      <c r="N2764" s="1">
        <v>48.86</v>
      </c>
      <c r="O2764" s="1">
        <v>50.67</v>
      </c>
      <c r="P2764" s="1">
        <v>41.53</v>
      </c>
      <c r="Q2764">
        <v>1.0200000000000001E-2</v>
      </c>
      <c r="R2764">
        <v>9.6879999999999994E-5</v>
      </c>
    </row>
    <row r="2765" spans="1:18" ht="13.8" outlineLevel="1" x14ac:dyDescent="0.25">
      <c r="A2765">
        <v>106114</v>
      </c>
      <c r="B2765" t="s">
        <v>3242</v>
      </c>
      <c r="C2765" t="s">
        <v>3249</v>
      </c>
      <c r="D2765" s="14" t="s">
        <v>3248</v>
      </c>
      <c r="E2765" s="12" t="s">
        <v>28</v>
      </c>
      <c r="F2765" s="13" t="s">
        <v>29</v>
      </c>
      <c r="G2765">
        <v>100</v>
      </c>
      <c r="H2765" t="s">
        <v>2466</v>
      </c>
      <c r="I2765">
        <v>100</v>
      </c>
      <c r="J2765" s="15"/>
      <c r="K2765" s="16">
        <f>80.61 - (80.61 * $E$1)</f>
        <v>80.61</v>
      </c>
      <c r="L2765" s="16">
        <f>66.07 - (66.07 * $E$1)</f>
        <v>66.069999999999993</v>
      </c>
      <c r="M2765" s="1">
        <v>80.61</v>
      </c>
      <c r="N2765" s="1">
        <v>66.069999999999993</v>
      </c>
      <c r="O2765" s="1">
        <v>68.510000000000005</v>
      </c>
      <c r="P2765" s="1">
        <v>56.16</v>
      </c>
      <c r="Q2765">
        <v>1.26E-2</v>
      </c>
      <c r="R2765">
        <v>9.6879999999999994E-5</v>
      </c>
    </row>
    <row r="2766" spans="1:18" ht="13.8" outlineLevel="1" x14ac:dyDescent="0.25">
      <c r="A2766">
        <v>106115</v>
      </c>
      <c r="B2766" t="s">
        <v>3242</v>
      </c>
      <c r="C2766" t="s">
        <v>3250</v>
      </c>
      <c r="D2766" s="14" t="s">
        <v>3248</v>
      </c>
      <c r="E2766" s="12" t="s">
        <v>28</v>
      </c>
      <c r="F2766" s="13" t="s">
        <v>29</v>
      </c>
      <c r="G2766">
        <v>100</v>
      </c>
      <c r="H2766" t="s">
        <v>2466</v>
      </c>
      <c r="I2766">
        <v>100</v>
      </c>
      <c r="J2766" s="15"/>
      <c r="K2766" s="16">
        <f>106.91 - (106.91 * $E$1)</f>
        <v>106.91</v>
      </c>
      <c r="L2766" s="16">
        <f>87.63 - (87.63 * $E$1)</f>
        <v>87.63</v>
      </c>
      <c r="M2766" s="1">
        <v>106.91</v>
      </c>
      <c r="N2766" s="1">
        <v>87.63</v>
      </c>
      <c r="O2766" s="1">
        <v>90.87</v>
      </c>
      <c r="P2766" s="1">
        <v>74.489999999999995</v>
      </c>
      <c r="Q2766">
        <v>1.5800000000000002E-2</v>
      </c>
      <c r="R2766">
        <v>9.6879999999999994E-5</v>
      </c>
    </row>
    <row r="2767" spans="1:18" ht="13.8" outlineLevel="1" x14ac:dyDescent="0.25">
      <c r="A2767">
        <v>106116</v>
      </c>
      <c r="B2767" t="s">
        <v>3242</v>
      </c>
      <c r="C2767" t="s">
        <v>3251</v>
      </c>
      <c r="D2767" s="14" t="s">
        <v>3248</v>
      </c>
      <c r="E2767" s="12" t="s">
        <v>28</v>
      </c>
      <c r="F2767" s="13" t="s">
        <v>29</v>
      </c>
      <c r="G2767">
        <v>100</v>
      </c>
      <c r="H2767" t="s">
        <v>2466</v>
      </c>
      <c r="I2767">
        <v>100</v>
      </c>
      <c r="J2767" s="15"/>
      <c r="K2767" s="16">
        <f>146.08 - (146.08 * $E$1)</f>
        <v>146.08000000000001</v>
      </c>
      <c r="L2767" s="16">
        <f>119.74 - (119.74 * $E$1)</f>
        <v>119.74</v>
      </c>
      <c r="M2767" s="1">
        <v>146.08000000000001</v>
      </c>
      <c r="N2767" s="1">
        <v>119.74</v>
      </c>
      <c r="O2767" s="1">
        <v>124.17</v>
      </c>
      <c r="P2767" s="1">
        <v>101.78</v>
      </c>
      <c r="Q2767">
        <v>2.5999999999999999E-2</v>
      </c>
      <c r="R2767">
        <v>9.6879999999999994E-5</v>
      </c>
    </row>
    <row r="2768" spans="1:18" ht="13.8" outlineLevel="1" x14ac:dyDescent="0.25">
      <c r="A2768">
        <v>106101</v>
      </c>
      <c r="B2768" t="s">
        <v>3252</v>
      </c>
      <c r="C2768" t="s">
        <v>3253</v>
      </c>
      <c r="D2768" s="14" t="s">
        <v>3254</v>
      </c>
      <c r="E2768" s="12" t="s">
        <v>28</v>
      </c>
      <c r="F2768" s="13" t="s">
        <v>29</v>
      </c>
      <c r="G2768">
        <v>200</v>
      </c>
      <c r="H2768" t="s">
        <v>2466</v>
      </c>
      <c r="I2768">
        <v>200</v>
      </c>
      <c r="J2768" s="15"/>
      <c r="K2768" s="16">
        <f>32.38 - (32.38 * $E$1)</f>
        <v>32.380000000000003</v>
      </c>
      <c r="L2768" s="16">
        <f>26.54 - (26.54 * $E$1)</f>
        <v>26.54</v>
      </c>
      <c r="M2768" s="1">
        <v>32.380000000000003</v>
      </c>
      <c r="N2768" s="1">
        <v>26.54</v>
      </c>
      <c r="O2768" s="1">
        <v>27.52</v>
      </c>
      <c r="P2768" s="1">
        <v>22.56</v>
      </c>
      <c r="Q2768">
        <v>6.2500000000000001E-4</v>
      </c>
      <c r="R2768">
        <v>1.5999999999999999E-5</v>
      </c>
    </row>
    <row r="2769" spans="1:18" ht="13.8" outlineLevel="1" x14ac:dyDescent="0.25">
      <c r="A2769">
        <v>106102</v>
      </c>
      <c r="B2769" t="s">
        <v>3252</v>
      </c>
      <c r="C2769" t="s">
        <v>3255</v>
      </c>
      <c r="D2769" s="14" t="s">
        <v>3254</v>
      </c>
      <c r="E2769" s="12" t="s">
        <v>28</v>
      </c>
      <c r="F2769" s="13" t="s">
        <v>29</v>
      </c>
      <c r="G2769">
        <v>100</v>
      </c>
      <c r="H2769" t="s">
        <v>2466</v>
      </c>
      <c r="I2769">
        <v>100</v>
      </c>
      <c r="J2769" s="15"/>
      <c r="K2769" s="16">
        <f>48.26 - (48.26 * $E$1)</f>
        <v>48.26</v>
      </c>
      <c r="L2769" s="16">
        <f>39.56 - (39.56 * $E$1)</f>
        <v>39.56</v>
      </c>
      <c r="M2769" s="1">
        <v>48.26</v>
      </c>
      <c r="N2769" s="1">
        <v>39.56</v>
      </c>
      <c r="O2769" s="1">
        <v>41.02</v>
      </c>
      <c r="P2769" s="1">
        <v>33.630000000000003</v>
      </c>
      <c r="Q2769">
        <v>2.2000000000000001E-3</v>
      </c>
      <c r="R2769">
        <v>3.1999999999999999E-5</v>
      </c>
    </row>
    <row r="2770" spans="1:18" ht="13.8" outlineLevel="1" x14ac:dyDescent="0.25">
      <c r="A2770">
        <v>106103</v>
      </c>
      <c r="B2770" t="s">
        <v>3252</v>
      </c>
      <c r="C2770" t="s">
        <v>3256</v>
      </c>
      <c r="D2770" s="14" t="s">
        <v>3254</v>
      </c>
      <c r="E2770" s="12" t="s">
        <v>28</v>
      </c>
      <c r="F2770" s="13" t="s">
        <v>29</v>
      </c>
      <c r="G2770">
        <v>100</v>
      </c>
      <c r="H2770" t="s">
        <v>2466</v>
      </c>
      <c r="I2770">
        <v>100</v>
      </c>
      <c r="J2770" s="15"/>
      <c r="K2770" s="16">
        <f>55.78 - (55.78 * $E$1)</f>
        <v>55.78</v>
      </c>
      <c r="L2770" s="16">
        <f>45.72 - (45.72 * $E$1)</f>
        <v>45.72</v>
      </c>
      <c r="M2770" s="1">
        <v>55.78</v>
      </c>
      <c r="N2770" s="1">
        <v>45.72</v>
      </c>
      <c r="O2770" s="1">
        <v>47.41</v>
      </c>
      <c r="P2770" s="1">
        <v>38.86</v>
      </c>
      <c r="Q2770">
        <v>1.6999999999999999E-3</v>
      </c>
      <c r="R2770">
        <v>3.1999999999999999E-5</v>
      </c>
    </row>
    <row r="2771" spans="1:18" ht="13.8" outlineLevel="1" x14ac:dyDescent="0.25">
      <c r="A2771">
        <v>106104</v>
      </c>
      <c r="B2771" t="s">
        <v>3252</v>
      </c>
      <c r="C2771" t="s">
        <v>3257</v>
      </c>
      <c r="D2771" s="14" t="s">
        <v>3254</v>
      </c>
      <c r="E2771" s="12" t="s">
        <v>28</v>
      </c>
      <c r="F2771" s="13" t="s">
        <v>29</v>
      </c>
      <c r="G2771">
        <v>100</v>
      </c>
      <c r="H2771" t="s">
        <v>2466</v>
      </c>
      <c r="I2771">
        <v>100</v>
      </c>
      <c r="J2771" s="15"/>
      <c r="K2771" s="16">
        <f>61.79 - (61.79 * $E$1)</f>
        <v>61.79</v>
      </c>
      <c r="L2771" s="16">
        <f>50.65 - (50.65 * $E$1)</f>
        <v>50.65</v>
      </c>
      <c r="M2771" s="1">
        <v>61.79</v>
      </c>
      <c r="N2771" s="1">
        <v>50.65</v>
      </c>
      <c r="O2771" s="1">
        <v>52.52</v>
      </c>
      <c r="P2771" s="1">
        <v>43.05</v>
      </c>
      <c r="Q2771">
        <v>1.1999999999999999E-3</v>
      </c>
      <c r="R2771">
        <v>3.1999999999999999E-5</v>
      </c>
    </row>
    <row r="2772" spans="1:18" ht="13.8" outlineLevel="1" x14ac:dyDescent="0.25">
      <c r="A2772">
        <v>106105</v>
      </c>
      <c r="B2772" t="s">
        <v>3252</v>
      </c>
      <c r="C2772" t="s">
        <v>3258</v>
      </c>
      <c r="D2772" s="14" t="s">
        <v>3254</v>
      </c>
      <c r="E2772" s="12" t="s">
        <v>28</v>
      </c>
      <c r="F2772" s="13" t="s">
        <v>29</v>
      </c>
      <c r="G2772">
        <v>100</v>
      </c>
      <c r="H2772" t="s">
        <v>2466</v>
      </c>
      <c r="I2772">
        <v>100</v>
      </c>
      <c r="J2772" s="15"/>
      <c r="K2772" s="16">
        <f>65.55 - (65.55 * $E$1)</f>
        <v>65.55</v>
      </c>
      <c r="L2772" s="16">
        <f>53.73 - (53.73 * $E$1)</f>
        <v>53.73</v>
      </c>
      <c r="M2772" s="1">
        <v>65.55</v>
      </c>
      <c r="N2772" s="1">
        <v>53.73</v>
      </c>
      <c r="O2772" s="1">
        <v>55.72</v>
      </c>
      <c r="P2772" s="1">
        <v>45.67</v>
      </c>
      <c r="Q2772">
        <v>2.9166700000000001E-3</v>
      </c>
      <c r="R2772">
        <v>3.1999999999999999E-5</v>
      </c>
    </row>
    <row r="2773" spans="1:18" ht="13.8" outlineLevel="1" x14ac:dyDescent="0.25">
      <c r="A2773">
        <v>106106</v>
      </c>
      <c r="B2773" t="s">
        <v>3252</v>
      </c>
      <c r="C2773" t="s">
        <v>3259</v>
      </c>
      <c r="D2773" s="14" t="s">
        <v>3254</v>
      </c>
      <c r="E2773" s="12" t="s">
        <v>28</v>
      </c>
      <c r="F2773" s="13" t="s">
        <v>29</v>
      </c>
      <c r="G2773">
        <v>100</v>
      </c>
      <c r="H2773" t="s">
        <v>2466</v>
      </c>
      <c r="I2773">
        <v>100</v>
      </c>
      <c r="J2773" s="15"/>
      <c r="K2773" s="16">
        <f>89 - (89 * $E$1)</f>
        <v>89</v>
      </c>
      <c r="L2773" s="16">
        <f>72.95 - (72.95 * $E$1)</f>
        <v>72.95</v>
      </c>
      <c r="M2773" s="1">
        <v>89</v>
      </c>
      <c r="N2773" s="1">
        <v>72.95</v>
      </c>
      <c r="O2773" s="1">
        <v>75.650000000000006</v>
      </c>
      <c r="P2773" s="1">
        <v>62.01</v>
      </c>
      <c r="Q2773">
        <v>5.4999999999999997E-3</v>
      </c>
      <c r="R2773">
        <v>3.1999999999999999E-5</v>
      </c>
    </row>
    <row r="2774" spans="1:18" ht="13.8" outlineLevel="1" x14ac:dyDescent="0.25">
      <c r="A2774">
        <v>106108</v>
      </c>
      <c r="B2774" t="s">
        <v>3252</v>
      </c>
      <c r="C2774" t="s">
        <v>3260</v>
      </c>
      <c r="D2774" s="14" t="s">
        <v>3254</v>
      </c>
      <c r="E2774" s="12" t="s">
        <v>28</v>
      </c>
      <c r="F2774" s="13" t="s">
        <v>29</v>
      </c>
      <c r="G2774">
        <v>50</v>
      </c>
      <c r="H2774" t="s">
        <v>2466</v>
      </c>
      <c r="I2774">
        <v>50</v>
      </c>
      <c r="J2774" s="15"/>
      <c r="K2774" s="16">
        <f>101.72 - (101.72 * $E$1)</f>
        <v>101.72</v>
      </c>
      <c r="L2774" s="16">
        <f>83.38 - (83.38 * $E$1)</f>
        <v>83.38</v>
      </c>
      <c r="M2774" s="1">
        <v>101.72</v>
      </c>
      <c r="N2774" s="1">
        <v>83.38</v>
      </c>
      <c r="O2774" s="1">
        <v>86.47</v>
      </c>
      <c r="P2774" s="1">
        <v>70.87</v>
      </c>
      <c r="Q2774">
        <v>3.3999999999999998E-3</v>
      </c>
      <c r="R2774">
        <v>6.3999999999999997E-5</v>
      </c>
    </row>
    <row r="2775" spans="1:18" ht="13.8" outlineLevel="1" x14ac:dyDescent="0.25">
      <c r="A2775">
        <v>106109</v>
      </c>
      <c r="B2775" t="s">
        <v>3252</v>
      </c>
      <c r="C2775" t="s">
        <v>3261</v>
      </c>
      <c r="D2775" s="14" t="s">
        <v>3254</v>
      </c>
      <c r="E2775" s="12" t="s">
        <v>28</v>
      </c>
      <c r="F2775" s="13" t="s">
        <v>29</v>
      </c>
      <c r="G2775">
        <v>50</v>
      </c>
      <c r="H2775" t="s">
        <v>2466</v>
      </c>
      <c r="I2775">
        <v>50</v>
      </c>
      <c r="J2775" s="15"/>
      <c r="K2775" s="16">
        <f>115.27 - (115.27 * $E$1)</f>
        <v>115.27</v>
      </c>
      <c r="L2775" s="16">
        <f>94.48 - (94.48 * $E$1)</f>
        <v>94.48</v>
      </c>
      <c r="M2775" s="1">
        <v>115.27</v>
      </c>
      <c r="N2775" s="1">
        <v>94.48</v>
      </c>
      <c r="O2775" s="1">
        <v>97.98</v>
      </c>
      <c r="P2775" s="1">
        <v>80.31</v>
      </c>
      <c r="Q2775">
        <v>2.5000000000000001E-3</v>
      </c>
      <c r="R2775">
        <v>6.3999999999999997E-5</v>
      </c>
    </row>
    <row r="2776" spans="1:18" ht="13.8" outlineLevel="1" x14ac:dyDescent="0.25">
      <c r="A2776">
        <v>106110</v>
      </c>
      <c r="B2776" t="s">
        <v>3252</v>
      </c>
      <c r="C2776" t="s">
        <v>3262</v>
      </c>
      <c r="D2776" s="14" t="s">
        <v>3254</v>
      </c>
      <c r="E2776" s="12" t="s">
        <v>28</v>
      </c>
      <c r="F2776" s="13" t="s">
        <v>29</v>
      </c>
      <c r="G2776">
        <v>50</v>
      </c>
      <c r="H2776" t="s">
        <v>2466</v>
      </c>
      <c r="I2776">
        <v>50</v>
      </c>
      <c r="J2776" s="15"/>
      <c r="K2776" s="16">
        <f>199.09 - (199.09 * $E$1)</f>
        <v>199.09</v>
      </c>
      <c r="L2776" s="16">
        <f>163.19 - (163.19 * $E$1)</f>
        <v>163.19</v>
      </c>
      <c r="M2776" s="1">
        <v>199.09</v>
      </c>
      <c r="N2776" s="1">
        <v>163.19</v>
      </c>
      <c r="O2776" s="1">
        <v>169.23</v>
      </c>
      <c r="P2776" s="1">
        <v>138.71</v>
      </c>
      <c r="Q2776">
        <v>3.7499999999999999E-3</v>
      </c>
      <c r="R2776">
        <v>1E-4</v>
      </c>
    </row>
    <row r="2777" spans="1:18" ht="13.8" outlineLevel="1" x14ac:dyDescent="0.25">
      <c r="A2777">
        <v>106111</v>
      </c>
      <c r="B2777" t="s">
        <v>3252</v>
      </c>
      <c r="C2777" t="s">
        <v>3263</v>
      </c>
      <c r="D2777" s="14" t="s">
        <v>3254</v>
      </c>
      <c r="E2777" s="12" t="s">
        <v>28</v>
      </c>
      <c r="F2777" s="13" t="s">
        <v>29</v>
      </c>
      <c r="G2777">
        <v>50</v>
      </c>
      <c r="H2777" t="s">
        <v>2466</v>
      </c>
      <c r="I2777">
        <v>50</v>
      </c>
      <c r="J2777" s="15"/>
      <c r="K2777" s="16">
        <f>234.15 - (234.15 * $E$1)</f>
        <v>234.15</v>
      </c>
      <c r="L2777" s="16">
        <f>191.93 - (191.93 * $E$1)</f>
        <v>191.93</v>
      </c>
      <c r="M2777" s="1">
        <v>234.15</v>
      </c>
      <c r="N2777" s="1">
        <v>191.93</v>
      </c>
      <c r="O2777" s="1">
        <v>199.03</v>
      </c>
      <c r="P2777" s="1">
        <v>163.13999999999999</v>
      </c>
      <c r="Q2777">
        <v>5.0000000000000001E-4</v>
      </c>
      <c r="R2777">
        <v>1E-4</v>
      </c>
    </row>
    <row r="2778" spans="1:18" ht="13.8" outlineLevel="1" x14ac:dyDescent="0.25">
      <c r="A2778">
        <v>106112</v>
      </c>
      <c r="B2778" t="s">
        <v>3252</v>
      </c>
      <c r="C2778" t="s">
        <v>3264</v>
      </c>
      <c r="D2778" s="14" t="s">
        <v>3254</v>
      </c>
      <c r="E2778" s="12" t="s">
        <v>28</v>
      </c>
      <c r="F2778" s="13" t="s">
        <v>29</v>
      </c>
      <c r="G2778">
        <v>50</v>
      </c>
      <c r="H2778" t="s">
        <v>2466</v>
      </c>
      <c r="I2778">
        <v>50</v>
      </c>
      <c r="J2778" s="15"/>
      <c r="K2778" s="16">
        <f>293.59 - (293.59 * $E$1)</f>
        <v>293.58999999999997</v>
      </c>
      <c r="L2778" s="16">
        <f>240.65 - (240.65 * $E$1)</f>
        <v>240.65</v>
      </c>
      <c r="M2778" s="1">
        <v>293.58999999999997</v>
      </c>
      <c r="N2778" s="1">
        <v>240.65</v>
      </c>
      <c r="O2778" s="1">
        <v>249.55</v>
      </c>
      <c r="P2778" s="1">
        <v>204.55</v>
      </c>
      <c r="Q2778">
        <v>2.5000000000000001E-3</v>
      </c>
      <c r="R2778">
        <v>1.9126000000000001E-4</v>
      </c>
    </row>
    <row r="2779" spans="1:18" ht="13.8" outlineLevel="1" x14ac:dyDescent="0.25">
      <c r="A2779">
        <v>90915</v>
      </c>
      <c r="B2779" t="s">
        <v>3252</v>
      </c>
      <c r="C2779" t="s">
        <v>3265</v>
      </c>
      <c r="D2779" s="14" t="s">
        <v>3266</v>
      </c>
      <c r="E2779" s="12" t="s">
        <v>28</v>
      </c>
      <c r="F2779" s="13" t="s">
        <v>29</v>
      </c>
      <c r="G2779">
        <v>1</v>
      </c>
      <c r="H2779" t="s">
        <v>420</v>
      </c>
      <c r="I2779">
        <v>1</v>
      </c>
      <c r="J2779" s="15"/>
      <c r="K2779" s="16">
        <f>408.87 - (408.87 * $E$1)</f>
        <v>408.87</v>
      </c>
      <c r="L2779" s="16">
        <f>335.14 - (335.14 * $E$1)</f>
        <v>335.14</v>
      </c>
      <c r="M2779" s="1">
        <v>408.87</v>
      </c>
      <c r="N2779" s="1">
        <v>335.14</v>
      </c>
      <c r="O2779" s="1">
        <v>347.54</v>
      </c>
      <c r="P2779" s="1">
        <v>284.87</v>
      </c>
      <c r="Q2779">
        <v>3.6630000000000003E-2</v>
      </c>
      <c r="R2779">
        <v>9.7499999999999996E-4</v>
      </c>
    </row>
    <row r="2780" spans="1:18" ht="13.8" outlineLevel="1" x14ac:dyDescent="0.25">
      <c r="A2780">
        <v>90916</v>
      </c>
      <c r="B2780" t="s">
        <v>3252</v>
      </c>
      <c r="C2780" t="s">
        <v>3267</v>
      </c>
      <c r="D2780" s="14" t="s">
        <v>3266</v>
      </c>
      <c r="E2780" s="12" t="s">
        <v>28</v>
      </c>
      <c r="F2780" s="13" t="s">
        <v>29</v>
      </c>
      <c r="G2780">
        <v>1</v>
      </c>
      <c r="H2780" t="s">
        <v>420</v>
      </c>
      <c r="I2780">
        <v>1</v>
      </c>
      <c r="J2780" s="15"/>
      <c r="K2780" s="16">
        <f>463.06 - (463.06 * $E$1)</f>
        <v>463.06</v>
      </c>
      <c r="L2780" s="16">
        <f>379.56 - (379.56 * $E$1)</f>
        <v>379.56</v>
      </c>
      <c r="M2780" s="1">
        <v>463.06</v>
      </c>
      <c r="N2780" s="1">
        <v>379.56</v>
      </c>
      <c r="O2780" s="1">
        <v>393.6</v>
      </c>
      <c r="P2780" s="1">
        <v>322.63</v>
      </c>
      <c r="Q2780">
        <v>4.512E-2</v>
      </c>
      <c r="R2780">
        <v>9.7499999999999996E-4</v>
      </c>
    </row>
    <row r="2781" spans="1:18" ht="13.8" outlineLevel="1" x14ac:dyDescent="0.25">
      <c r="A2781">
        <v>90917</v>
      </c>
      <c r="B2781" t="s">
        <v>3252</v>
      </c>
      <c r="C2781" t="s">
        <v>3268</v>
      </c>
      <c r="D2781" s="14" t="s">
        <v>3266</v>
      </c>
      <c r="E2781" s="12" t="s">
        <v>28</v>
      </c>
      <c r="F2781" s="13" t="s">
        <v>29</v>
      </c>
      <c r="G2781">
        <v>1</v>
      </c>
      <c r="H2781" t="s">
        <v>420</v>
      </c>
      <c r="I2781">
        <v>1</v>
      </c>
      <c r="J2781" s="15"/>
      <c r="K2781" s="16">
        <f>500.88 - (500.88 * $E$1)</f>
        <v>500.88</v>
      </c>
      <c r="L2781" s="16">
        <f>410.56 - (410.56 * $E$1)</f>
        <v>410.56</v>
      </c>
      <c r="M2781" s="1">
        <v>500.88</v>
      </c>
      <c r="N2781" s="1">
        <v>410.56</v>
      </c>
      <c r="O2781" s="1">
        <v>425.75</v>
      </c>
      <c r="P2781" s="1">
        <v>348.98</v>
      </c>
      <c r="Q2781">
        <v>5.5199999999999999E-2</v>
      </c>
      <c r="R2781">
        <v>1.1249999999999999E-3</v>
      </c>
    </row>
    <row r="2782" spans="1:18" ht="13.8" outlineLevel="1" x14ac:dyDescent="0.25">
      <c r="A2782">
        <v>90918</v>
      </c>
      <c r="B2782" t="s">
        <v>3252</v>
      </c>
      <c r="C2782" t="s">
        <v>3269</v>
      </c>
      <c r="D2782" s="14" t="s">
        <v>3266</v>
      </c>
      <c r="E2782" s="12" t="s">
        <v>28</v>
      </c>
      <c r="F2782" s="13" t="s">
        <v>29</v>
      </c>
      <c r="G2782">
        <v>1</v>
      </c>
      <c r="H2782" t="s">
        <v>420</v>
      </c>
      <c r="I2782">
        <v>1</v>
      </c>
      <c r="J2782" s="15"/>
      <c r="K2782" s="16">
        <f>520.64 - (520.64 * $E$1)</f>
        <v>520.64</v>
      </c>
      <c r="L2782" s="16">
        <f>426.75 - (426.75 * $E$1)</f>
        <v>426.75</v>
      </c>
      <c r="M2782" s="1">
        <v>520.64</v>
      </c>
      <c r="N2782" s="1">
        <v>426.75</v>
      </c>
      <c r="O2782" s="1">
        <v>442.54</v>
      </c>
      <c r="P2782" s="1">
        <v>362.74</v>
      </c>
      <c r="Q2782">
        <v>6.4699999999999994E-2</v>
      </c>
      <c r="R2782">
        <v>1.238E-3</v>
      </c>
    </row>
    <row r="2783" spans="1:18" ht="13.8" outlineLevel="1" x14ac:dyDescent="0.25">
      <c r="A2783">
        <v>90919</v>
      </c>
      <c r="B2783" t="s">
        <v>3252</v>
      </c>
      <c r="C2783" t="s">
        <v>3270</v>
      </c>
      <c r="D2783" s="14" t="s">
        <v>3266</v>
      </c>
      <c r="E2783" s="12" t="s">
        <v>28</v>
      </c>
      <c r="F2783" s="13" t="s">
        <v>29</v>
      </c>
      <c r="G2783">
        <v>1</v>
      </c>
      <c r="H2783" t="s">
        <v>420</v>
      </c>
      <c r="I2783">
        <v>1</v>
      </c>
      <c r="J2783" s="15"/>
      <c r="K2783" s="16">
        <f>616.05 - (616.05 * $E$1)</f>
        <v>616.04999999999995</v>
      </c>
      <c r="L2783" s="16">
        <f>504.96 - (504.96 * $E$1)</f>
        <v>504.96</v>
      </c>
      <c r="M2783" s="1">
        <v>616.04999999999995</v>
      </c>
      <c r="N2783" s="1">
        <v>504.96</v>
      </c>
      <c r="O2783" s="1">
        <v>523.64</v>
      </c>
      <c r="P2783" s="1">
        <v>429.22</v>
      </c>
      <c r="Q2783">
        <v>8.1240000000000007E-2</v>
      </c>
      <c r="R2783">
        <v>1.3129999999999999E-3</v>
      </c>
    </row>
    <row r="2784" spans="1:18" ht="13.8" outlineLevel="1" x14ac:dyDescent="0.25">
      <c r="A2784">
        <v>90920</v>
      </c>
      <c r="B2784" t="s">
        <v>3252</v>
      </c>
      <c r="C2784" t="s">
        <v>3271</v>
      </c>
      <c r="D2784" s="14" t="s">
        <v>3266</v>
      </c>
      <c r="E2784" s="12" t="s">
        <v>28</v>
      </c>
      <c r="F2784" s="13" t="s">
        <v>29</v>
      </c>
      <c r="G2784">
        <v>1</v>
      </c>
      <c r="H2784" t="s">
        <v>420</v>
      </c>
      <c r="I2784">
        <v>1</v>
      </c>
      <c r="J2784" s="15"/>
      <c r="K2784" s="16">
        <f>704.67 - (704.67 * $E$1)</f>
        <v>704.67</v>
      </c>
      <c r="L2784" s="16">
        <f>577.6 - (577.6 * $E$1)</f>
        <v>577.6</v>
      </c>
      <c r="M2784" s="1">
        <v>704.67</v>
      </c>
      <c r="N2784" s="1">
        <v>577.6</v>
      </c>
      <c r="O2784" s="1">
        <v>598.97</v>
      </c>
      <c r="P2784" s="1">
        <v>490.96</v>
      </c>
      <c r="Q2784">
        <v>9.3399999999999997E-2</v>
      </c>
      <c r="R2784">
        <v>1.7799999999999999E-3</v>
      </c>
    </row>
    <row r="2785" spans="1:18" ht="13.8" outlineLevel="1" x14ac:dyDescent="0.25">
      <c r="A2785">
        <v>90921</v>
      </c>
      <c r="B2785" t="s">
        <v>3252</v>
      </c>
      <c r="C2785" t="s">
        <v>3272</v>
      </c>
      <c r="D2785" s="14" t="s">
        <v>3266</v>
      </c>
      <c r="E2785" s="12" t="s">
        <v>28</v>
      </c>
      <c r="F2785" s="13" t="s">
        <v>29</v>
      </c>
      <c r="G2785">
        <v>1</v>
      </c>
      <c r="H2785" t="s">
        <v>420</v>
      </c>
      <c r="I2785">
        <v>1</v>
      </c>
      <c r="J2785" s="15"/>
      <c r="K2785" s="16">
        <f>721.75 - (721.75 * $E$1)</f>
        <v>721.75</v>
      </c>
      <c r="L2785" s="16">
        <f>591.6 - (591.6 * $E$1)</f>
        <v>591.6</v>
      </c>
      <c r="M2785" s="1">
        <v>721.75</v>
      </c>
      <c r="N2785" s="1">
        <v>591.6</v>
      </c>
      <c r="O2785" s="1">
        <v>613.49</v>
      </c>
      <c r="P2785" s="1">
        <v>502.86</v>
      </c>
      <c r="Q2785">
        <v>0.10440000000000001</v>
      </c>
      <c r="R2785">
        <v>2.003E-3</v>
      </c>
    </row>
    <row r="2786" spans="1:18" ht="13.8" outlineLevel="1" x14ac:dyDescent="0.25">
      <c r="A2786">
        <v>85359</v>
      </c>
      <c r="B2786" t="s">
        <v>3252</v>
      </c>
      <c r="C2786" t="s">
        <v>3273</v>
      </c>
      <c r="D2786" s="14" t="s">
        <v>3274</v>
      </c>
      <c r="E2786" s="12" t="s">
        <v>28</v>
      </c>
      <c r="F2786" s="13" t="s">
        <v>29</v>
      </c>
      <c r="G2786">
        <v>200</v>
      </c>
      <c r="H2786" t="s">
        <v>2466</v>
      </c>
      <c r="I2786">
        <v>200</v>
      </c>
      <c r="J2786" s="15"/>
      <c r="K2786" s="16">
        <f>26.25 - (26.25 * $E$1)</f>
        <v>26.25</v>
      </c>
      <c r="L2786" s="16">
        <f>21.52 - (21.52 * $E$1)</f>
        <v>21.52</v>
      </c>
      <c r="M2786" s="1">
        <v>26.25</v>
      </c>
      <c r="N2786" s="1">
        <v>21.52</v>
      </c>
      <c r="O2786" s="1">
        <v>22.32</v>
      </c>
      <c r="P2786" s="1">
        <v>18.29</v>
      </c>
      <c r="Q2786">
        <v>3.5000000000000001E-3</v>
      </c>
      <c r="R2786">
        <v>1.5999999999999999E-5</v>
      </c>
    </row>
    <row r="2787" spans="1:18" ht="13.8" outlineLevel="1" x14ac:dyDescent="0.25">
      <c r="A2787">
        <v>85360</v>
      </c>
      <c r="B2787" t="s">
        <v>3252</v>
      </c>
      <c r="C2787" t="s">
        <v>3275</v>
      </c>
      <c r="D2787" s="14" t="s">
        <v>3274</v>
      </c>
      <c r="E2787" s="12" t="s">
        <v>28</v>
      </c>
      <c r="F2787" s="13" t="s">
        <v>29</v>
      </c>
      <c r="G2787">
        <v>100</v>
      </c>
      <c r="H2787" t="s">
        <v>2466</v>
      </c>
      <c r="I2787">
        <v>100</v>
      </c>
      <c r="J2787" s="15"/>
      <c r="K2787" s="16">
        <f>39.75 - (39.75 * $E$1)</f>
        <v>39.75</v>
      </c>
      <c r="L2787" s="16">
        <f>32.58 - (32.58 * $E$1)</f>
        <v>32.58</v>
      </c>
      <c r="M2787" s="1">
        <v>39.75</v>
      </c>
      <c r="N2787" s="1">
        <v>32.58</v>
      </c>
      <c r="O2787" s="1">
        <v>33.79</v>
      </c>
      <c r="P2787" s="1">
        <v>27.69</v>
      </c>
      <c r="Q2787">
        <v>8.0000000000000002E-3</v>
      </c>
      <c r="R2787">
        <v>3.1999999999999999E-5</v>
      </c>
    </row>
    <row r="2788" spans="1:18" ht="13.8" outlineLevel="1" x14ac:dyDescent="0.25">
      <c r="A2788">
        <v>85361</v>
      </c>
      <c r="B2788" t="s">
        <v>3252</v>
      </c>
      <c r="C2788" t="s">
        <v>3276</v>
      </c>
      <c r="D2788" s="14" t="s">
        <v>3274</v>
      </c>
      <c r="E2788" s="12" t="s">
        <v>28</v>
      </c>
      <c r="F2788" s="13" t="s">
        <v>29</v>
      </c>
      <c r="G2788">
        <v>100</v>
      </c>
      <c r="H2788" t="s">
        <v>2466</v>
      </c>
      <c r="I2788">
        <v>100</v>
      </c>
      <c r="J2788" s="15"/>
      <c r="K2788" s="16">
        <f>50.63 - (50.63 * $E$1)</f>
        <v>50.63</v>
      </c>
      <c r="L2788" s="16">
        <f>41.5 - (41.5 * $E$1)</f>
        <v>41.5</v>
      </c>
      <c r="M2788" s="1">
        <v>50.63</v>
      </c>
      <c r="N2788" s="1">
        <v>41.5</v>
      </c>
      <c r="O2788" s="1">
        <v>43.04</v>
      </c>
      <c r="P2788" s="1">
        <v>35.28</v>
      </c>
      <c r="Q2788">
        <v>8.9999999999999993E-3</v>
      </c>
      <c r="R2788">
        <v>3.1999999999999999E-5</v>
      </c>
    </row>
    <row r="2789" spans="1:18" ht="13.8" outlineLevel="1" x14ac:dyDescent="0.25">
      <c r="A2789">
        <v>85362</v>
      </c>
      <c r="B2789" t="s">
        <v>3252</v>
      </c>
      <c r="C2789" t="s">
        <v>3277</v>
      </c>
      <c r="D2789" s="14" t="s">
        <v>3274</v>
      </c>
      <c r="E2789" s="12" t="s">
        <v>28</v>
      </c>
      <c r="F2789" s="13" t="s">
        <v>29</v>
      </c>
      <c r="G2789">
        <v>100</v>
      </c>
      <c r="H2789" t="s">
        <v>2466</v>
      </c>
      <c r="I2789">
        <v>100</v>
      </c>
      <c r="J2789" s="15"/>
      <c r="K2789" s="16">
        <f>56.07 - (56.07 * $E$1)</f>
        <v>56.07</v>
      </c>
      <c r="L2789" s="16">
        <f>45.96 - (45.96 * $E$1)</f>
        <v>45.96</v>
      </c>
      <c r="M2789" s="1">
        <v>56.07</v>
      </c>
      <c r="N2789" s="1">
        <v>45.96</v>
      </c>
      <c r="O2789" s="1">
        <v>47.66</v>
      </c>
      <c r="P2789" s="1">
        <v>39.07</v>
      </c>
      <c r="Q2789">
        <v>1.0500000000000001E-2</v>
      </c>
      <c r="R2789">
        <v>3.1999999999999999E-5</v>
      </c>
    </row>
    <row r="2790" spans="1:18" ht="13.8" outlineLevel="1" x14ac:dyDescent="0.25">
      <c r="A2790">
        <v>85363</v>
      </c>
      <c r="B2790" t="s">
        <v>3252</v>
      </c>
      <c r="C2790" t="s">
        <v>3278</v>
      </c>
      <c r="D2790" s="14" t="s">
        <v>3274</v>
      </c>
      <c r="E2790" s="12" t="s">
        <v>28</v>
      </c>
      <c r="F2790" s="13" t="s">
        <v>29</v>
      </c>
      <c r="G2790">
        <v>100</v>
      </c>
      <c r="H2790" t="s">
        <v>2466</v>
      </c>
      <c r="I2790">
        <v>100</v>
      </c>
      <c r="J2790" s="15"/>
      <c r="K2790" s="16">
        <f>61.49 - (61.49 * $E$1)</f>
        <v>61.49</v>
      </c>
      <c r="L2790" s="16">
        <f>50.4 - (50.4 * $E$1)</f>
        <v>50.4</v>
      </c>
      <c r="M2790" s="1">
        <v>61.49</v>
      </c>
      <c r="N2790" s="1">
        <v>50.4</v>
      </c>
      <c r="O2790" s="1">
        <v>52.26</v>
      </c>
      <c r="P2790" s="1">
        <v>42.84</v>
      </c>
      <c r="Q2790">
        <v>1.6E-2</v>
      </c>
      <c r="R2790">
        <v>3.1999999999999999E-5</v>
      </c>
    </row>
    <row r="2791" spans="1:18" ht="13.8" outlineLevel="1" x14ac:dyDescent="0.25">
      <c r="A2791">
        <v>85364</v>
      </c>
      <c r="B2791" t="s">
        <v>3252</v>
      </c>
      <c r="C2791" t="s">
        <v>3279</v>
      </c>
      <c r="D2791" s="14" t="s">
        <v>3274</v>
      </c>
      <c r="E2791" s="12" t="s">
        <v>28</v>
      </c>
      <c r="F2791" s="13" t="s">
        <v>29</v>
      </c>
      <c r="G2791">
        <v>100</v>
      </c>
      <c r="H2791" t="s">
        <v>2466</v>
      </c>
      <c r="I2791">
        <v>100</v>
      </c>
      <c r="J2791" s="15"/>
      <c r="K2791" s="16">
        <f>77.84 - (77.84 * $E$1)</f>
        <v>77.84</v>
      </c>
      <c r="L2791" s="16">
        <f>63.8 - (63.8 * $E$1)</f>
        <v>63.8</v>
      </c>
      <c r="M2791" s="1">
        <v>77.84</v>
      </c>
      <c r="N2791" s="1">
        <v>63.8</v>
      </c>
      <c r="O2791" s="1">
        <v>66.16</v>
      </c>
      <c r="P2791" s="1">
        <v>54.23</v>
      </c>
      <c r="Q2791">
        <v>1.4999999999999999E-2</v>
      </c>
      <c r="R2791">
        <v>5.0000000000000002E-5</v>
      </c>
    </row>
    <row r="2792" spans="1:18" ht="13.8" outlineLevel="1" x14ac:dyDescent="0.25">
      <c r="A2792">
        <v>85365</v>
      </c>
      <c r="B2792" t="s">
        <v>3252</v>
      </c>
      <c r="C2792" t="s">
        <v>3280</v>
      </c>
      <c r="D2792" s="14" t="s">
        <v>3274</v>
      </c>
      <c r="E2792" s="12" t="s">
        <v>28</v>
      </c>
      <c r="F2792" s="13" t="s">
        <v>29</v>
      </c>
      <c r="G2792">
        <v>50</v>
      </c>
      <c r="H2792" t="s">
        <v>2466</v>
      </c>
      <c r="I2792">
        <v>50</v>
      </c>
      <c r="J2792" s="15"/>
      <c r="K2792" s="16">
        <f>83.01 - (83.01 * $E$1)</f>
        <v>83.01</v>
      </c>
      <c r="L2792" s="16">
        <f>68.04 - (68.04 * $E$1)</f>
        <v>68.040000000000006</v>
      </c>
      <c r="M2792" s="1">
        <v>83.01</v>
      </c>
      <c r="N2792" s="1">
        <v>68.040000000000006</v>
      </c>
      <c r="O2792" s="1">
        <v>70.56</v>
      </c>
      <c r="P2792" s="1">
        <v>57.83</v>
      </c>
      <c r="Q2792">
        <v>1.54E-2</v>
      </c>
      <c r="R2792">
        <v>6.3999999999999997E-5</v>
      </c>
    </row>
    <row r="2793" spans="1:18" ht="13.8" outlineLevel="1" x14ac:dyDescent="0.25">
      <c r="A2793">
        <v>85366</v>
      </c>
      <c r="B2793" t="s">
        <v>3252</v>
      </c>
      <c r="C2793" t="s">
        <v>3281</v>
      </c>
      <c r="D2793" s="14" t="s">
        <v>3274</v>
      </c>
      <c r="E2793" s="12" t="s">
        <v>28</v>
      </c>
      <c r="F2793" s="13" t="s">
        <v>29</v>
      </c>
      <c r="G2793">
        <v>50</v>
      </c>
      <c r="H2793" t="s">
        <v>2466</v>
      </c>
      <c r="I2793">
        <v>50</v>
      </c>
      <c r="J2793" s="15"/>
      <c r="K2793" s="16">
        <f>86.41 - (86.41 * $E$1)</f>
        <v>86.41</v>
      </c>
      <c r="L2793" s="16">
        <f>70.83 - (70.83 * $E$1)</f>
        <v>70.83</v>
      </c>
      <c r="M2793" s="1">
        <v>86.41</v>
      </c>
      <c r="N2793" s="1">
        <v>70.83</v>
      </c>
      <c r="O2793" s="1">
        <v>73.45</v>
      </c>
      <c r="P2793" s="1">
        <v>60.21</v>
      </c>
      <c r="Q2793">
        <v>0.02</v>
      </c>
      <c r="R2793">
        <v>6.3999999999999997E-5</v>
      </c>
    </row>
    <row r="2794" spans="1:18" ht="13.8" outlineLevel="1" x14ac:dyDescent="0.25">
      <c r="A2794">
        <v>85367</v>
      </c>
      <c r="B2794" t="s">
        <v>3252</v>
      </c>
      <c r="C2794" t="s">
        <v>3282</v>
      </c>
      <c r="D2794" s="14" t="s">
        <v>3274</v>
      </c>
      <c r="E2794" s="12" t="s">
        <v>28</v>
      </c>
      <c r="F2794" s="13" t="s">
        <v>29</v>
      </c>
      <c r="G2794">
        <v>50</v>
      </c>
      <c r="H2794" t="s">
        <v>2466</v>
      </c>
      <c r="I2794">
        <v>50</v>
      </c>
      <c r="J2794" s="15"/>
      <c r="K2794" s="16">
        <f>171.23 - (171.23 * $E$1)</f>
        <v>171.23</v>
      </c>
      <c r="L2794" s="16">
        <f>140.35 - (140.35 * $E$1)</f>
        <v>140.35</v>
      </c>
      <c r="M2794" s="1">
        <v>171.23</v>
      </c>
      <c r="N2794" s="1">
        <v>140.35</v>
      </c>
      <c r="O2794" s="1">
        <v>145.54</v>
      </c>
      <c r="P2794" s="1">
        <v>119.3</v>
      </c>
      <c r="Q2794">
        <v>2.4E-2</v>
      </c>
      <c r="R2794">
        <v>6.3999999999999997E-5</v>
      </c>
    </row>
    <row r="2795" spans="1:18" ht="13.8" outlineLevel="1" x14ac:dyDescent="0.25">
      <c r="A2795">
        <v>85368</v>
      </c>
      <c r="B2795" t="s">
        <v>3252</v>
      </c>
      <c r="C2795" t="s">
        <v>3283</v>
      </c>
      <c r="D2795" s="14" t="s">
        <v>3274</v>
      </c>
      <c r="E2795" s="12" t="s">
        <v>28</v>
      </c>
      <c r="F2795" s="13" t="s">
        <v>29</v>
      </c>
      <c r="G2795">
        <v>50</v>
      </c>
      <c r="H2795" t="s">
        <v>2466</v>
      </c>
      <c r="I2795">
        <v>50</v>
      </c>
      <c r="J2795" s="15"/>
      <c r="K2795" s="16">
        <f>206.27 - (206.27 * $E$1)</f>
        <v>206.27</v>
      </c>
      <c r="L2795" s="16">
        <f>169.07 - (169.07 * $E$1)</f>
        <v>169.07</v>
      </c>
      <c r="M2795" s="1">
        <v>206.27</v>
      </c>
      <c r="N2795" s="1">
        <v>169.07</v>
      </c>
      <c r="O2795" s="1">
        <v>175.33</v>
      </c>
      <c r="P2795" s="1">
        <v>143.71</v>
      </c>
      <c r="Q2795">
        <v>3.4000000000000002E-2</v>
      </c>
      <c r="R2795">
        <v>1E-4</v>
      </c>
    </row>
    <row r="2796" spans="1:18" ht="13.8" outlineLevel="1" x14ac:dyDescent="0.25">
      <c r="A2796">
        <v>85369</v>
      </c>
      <c r="B2796" t="s">
        <v>3252</v>
      </c>
      <c r="C2796" t="s">
        <v>3284</v>
      </c>
      <c r="D2796" s="14" t="s">
        <v>3274</v>
      </c>
      <c r="E2796" s="12" t="s">
        <v>28</v>
      </c>
      <c r="F2796" s="13" t="s">
        <v>29</v>
      </c>
      <c r="G2796">
        <v>50</v>
      </c>
      <c r="H2796" t="s">
        <v>2466</v>
      </c>
      <c r="I2796">
        <v>50</v>
      </c>
      <c r="J2796" s="15"/>
      <c r="K2796" s="16">
        <f>257.52 - (257.52 * $E$1)</f>
        <v>257.52</v>
      </c>
      <c r="L2796" s="16">
        <f>211.08 - (211.08 * $E$1)</f>
        <v>211.08</v>
      </c>
      <c r="M2796" s="1">
        <v>257.52</v>
      </c>
      <c r="N2796" s="1">
        <v>211.08</v>
      </c>
      <c r="O2796" s="1">
        <v>218.89</v>
      </c>
      <c r="P2796" s="1">
        <v>179.42</v>
      </c>
      <c r="Q2796">
        <v>0.05</v>
      </c>
      <c r="R2796">
        <v>1.875E-4</v>
      </c>
    </row>
    <row r="2797" spans="1:18" ht="13.8" outlineLevel="1" x14ac:dyDescent="0.25">
      <c r="A2797">
        <v>102333</v>
      </c>
      <c r="B2797" t="s">
        <v>3252</v>
      </c>
      <c r="C2797" t="s">
        <v>3285</v>
      </c>
      <c r="D2797" s="14" t="s">
        <v>3274</v>
      </c>
      <c r="E2797" s="12" t="s">
        <v>28</v>
      </c>
      <c r="F2797" s="13" t="s">
        <v>29</v>
      </c>
      <c r="G2797">
        <v>200</v>
      </c>
      <c r="H2797" t="s">
        <v>2466</v>
      </c>
      <c r="I2797">
        <v>200</v>
      </c>
      <c r="J2797" s="15"/>
      <c r="K2797" s="16">
        <f>26.25 - (26.25 * $E$1)</f>
        <v>26.25</v>
      </c>
      <c r="L2797" s="16">
        <f>21.52 - (21.52 * $E$1)</f>
        <v>21.52</v>
      </c>
      <c r="M2797" s="1">
        <v>26.25</v>
      </c>
      <c r="N2797" s="1">
        <v>21.52</v>
      </c>
      <c r="O2797" s="1">
        <v>22.32</v>
      </c>
      <c r="P2797" s="1">
        <v>18.29</v>
      </c>
      <c r="Q2797">
        <v>4.0499999999999998E-3</v>
      </c>
      <c r="R2797">
        <v>1.5999999999999999E-5</v>
      </c>
    </row>
    <row r="2798" spans="1:18" ht="13.8" outlineLevel="1" x14ac:dyDescent="0.25">
      <c r="A2798">
        <v>102334</v>
      </c>
      <c r="B2798" t="s">
        <v>3252</v>
      </c>
      <c r="C2798" t="s">
        <v>3286</v>
      </c>
      <c r="D2798" s="14" t="s">
        <v>3274</v>
      </c>
      <c r="E2798" s="12" t="s">
        <v>28</v>
      </c>
      <c r="F2798" s="13" t="s">
        <v>29</v>
      </c>
      <c r="G2798">
        <v>100</v>
      </c>
      <c r="H2798" t="s">
        <v>2466</v>
      </c>
      <c r="I2798">
        <v>100</v>
      </c>
      <c r="J2798" s="15"/>
      <c r="K2798" s="16">
        <f>39.75 - (39.75 * $E$1)</f>
        <v>39.75</v>
      </c>
      <c r="L2798" s="16">
        <f>32.58 - (32.58 * $E$1)</f>
        <v>32.58</v>
      </c>
      <c r="M2798" s="1">
        <v>39.75</v>
      </c>
      <c r="N2798" s="1">
        <v>32.58</v>
      </c>
      <c r="O2798" s="1">
        <v>33.79</v>
      </c>
      <c r="P2798" s="1">
        <v>27.69</v>
      </c>
      <c r="Q2798">
        <v>7.0000000000000001E-3</v>
      </c>
      <c r="R2798">
        <v>3.1999999999999999E-5</v>
      </c>
    </row>
    <row r="2799" spans="1:18" ht="13.8" outlineLevel="1" x14ac:dyDescent="0.25">
      <c r="A2799">
        <v>102335</v>
      </c>
      <c r="B2799" t="s">
        <v>3252</v>
      </c>
      <c r="C2799" t="s">
        <v>3287</v>
      </c>
      <c r="D2799" s="14" t="s">
        <v>3274</v>
      </c>
      <c r="E2799" s="12" t="s">
        <v>28</v>
      </c>
      <c r="F2799" s="13" t="s">
        <v>29</v>
      </c>
      <c r="G2799">
        <v>100</v>
      </c>
      <c r="H2799" t="s">
        <v>2466</v>
      </c>
      <c r="I2799">
        <v>100</v>
      </c>
      <c r="J2799" s="15"/>
      <c r="K2799" s="16">
        <f>50.63 - (50.63 * $E$1)</f>
        <v>50.63</v>
      </c>
      <c r="L2799" s="16">
        <f>41.5 - (41.5 * $E$1)</f>
        <v>41.5</v>
      </c>
      <c r="M2799" s="1">
        <v>50.63</v>
      </c>
      <c r="N2799" s="1">
        <v>41.5</v>
      </c>
      <c r="O2799" s="1">
        <v>43.04</v>
      </c>
      <c r="P2799" s="1">
        <v>35.28</v>
      </c>
      <c r="Q2799">
        <v>8.6E-3</v>
      </c>
      <c r="R2799">
        <v>3.1999999999999999E-5</v>
      </c>
    </row>
    <row r="2800" spans="1:18" ht="13.8" outlineLevel="1" x14ac:dyDescent="0.25">
      <c r="A2800">
        <v>102336</v>
      </c>
      <c r="B2800" t="s">
        <v>3252</v>
      </c>
      <c r="C2800" t="s">
        <v>3288</v>
      </c>
      <c r="D2800" s="14" t="s">
        <v>3274</v>
      </c>
      <c r="E2800" s="12" t="s">
        <v>28</v>
      </c>
      <c r="F2800" s="13" t="s">
        <v>29</v>
      </c>
      <c r="G2800">
        <v>100</v>
      </c>
      <c r="H2800" t="s">
        <v>2466</v>
      </c>
      <c r="I2800">
        <v>100</v>
      </c>
      <c r="J2800" s="15"/>
      <c r="K2800" s="16">
        <f>56.07 - (56.07 * $E$1)</f>
        <v>56.07</v>
      </c>
      <c r="L2800" s="16">
        <f>45.96 - (45.96 * $E$1)</f>
        <v>45.96</v>
      </c>
      <c r="M2800" s="1">
        <v>56.07</v>
      </c>
      <c r="N2800" s="1">
        <v>45.96</v>
      </c>
      <c r="O2800" s="1">
        <v>47.66</v>
      </c>
      <c r="P2800" s="1">
        <v>39.07</v>
      </c>
      <c r="Q2800">
        <v>1.03E-2</v>
      </c>
      <c r="R2800">
        <v>3.1999999999999999E-5</v>
      </c>
    </row>
    <row r="2801" spans="1:18" ht="13.8" outlineLevel="1" x14ac:dyDescent="0.25">
      <c r="A2801">
        <v>102337</v>
      </c>
      <c r="B2801" t="s">
        <v>3252</v>
      </c>
      <c r="C2801" t="s">
        <v>3289</v>
      </c>
      <c r="D2801" s="14" t="s">
        <v>3274</v>
      </c>
      <c r="E2801" s="12" t="s">
        <v>28</v>
      </c>
      <c r="F2801" s="13" t="s">
        <v>29</v>
      </c>
      <c r="G2801">
        <v>100</v>
      </c>
      <c r="H2801" t="s">
        <v>2466</v>
      </c>
      <c r="I2801">
        <v>100</v>
      </c>
      <c r="J2801" s="15"/>
      <c r="K2801" s="16">
        <f>61.49 - (61.49 * $E$1)</f>
        <v>61.49</v>
      </c>
      <c r="L2801" s="16">
        <f>50.4 - (50.4 * $E$1)</f>
        <v>50.4</v>
      </c>
      <c r="M2801" s="1">
        <v>61.49</v>
      </c>
      <c r="N2801" s="1">
        <v>50.4</v>
      </c>
      <c r="O2801" s="1">
        <v>52.26</v>
      </c>
      <c r="P2801" s="1">
        <v>42.84</v>
      </c>
      <c r="Q2801">
        <v>1.1299999999999999E-2</v>
      </c>
      <c r="R2801">
        <v>3.1999999999999999E-5</v>
      </c>
    </row>
    <row r="2802" spans="1:18" ht="13.8" outlineLevel="1" x14ac:dyDescent="0.25">
      <c r="A2802">
        <v>102338</v>
      </c>
      <c r="B2802" t="s">
        <v>3252</v>
      </c>
      <c r="C2802" t="s">
        <v>3290</v>
      </c>
      <c r="D2802" s="14" t="s">
        <v>3274</v>
      </c>
      <c r="E2802" s="12" t="s">
        <v>28</v>
      </c>
      <c r="F2802" s="13" t="s">
        <v>29</v>
      </c>
      <c r="G2802">
        <v>100</v>
      </c>
      <c r="H2802" t="s">
        <v>2466</v>
      </c>
      <c r="I2802">
        <v>100</v>
      </c>
      <c r="J2802" s="15"/>
      <c r="K2802" s="16">
        <f>77.84 - (77.84 * $E$1)</f>
        <v>77.84</v>
      </c>
      <c r="L2802" s="16">
        <f>63.8 - (63.8 * $E$1)</f>
        <v>63.8</v>
      </c>
      <c r="M2802" s="1">
        <v>77.84</v>
      </c>
      <c r="N2802" s="1">
        <v>63.8</v>
      </c>
      <c r="O2802" s="1">
        <v>66.16</v>
      </c>
      <c r="P2802" s="1">
        <v>54.23</v>
      </c>
      <c r="Q2802">
        <v>1.3100000000000001E-2</v>
      </c>
      <c r="R2802">
        <v>3.1999999999999999E-5</v>
      </c>
    </row>
    <row r="2803" spans="1:18" ht="13.8" outlineLevel="1" x14ac:dyDescent="0.25">
      <c r="A2803">
        <v>102339</v>
      </c>
      <c r="B2803" t="s">
        <v>3252</v>
      </c>
      <c r="C2803" t="s">
        <v>3291</v>
      </c>
      <c r="D2803" s="14" t="s">
        <v>3274</v>
      </c>
      <c r="E2803" s="12" t="s">
        <v>28</v>
      </c>
      <c r="F2803" s="13" t="s">
        <v>29</v>
      </c>
      <c r="G2803">
        <v>50</v>
      </c>
      <c r="H2803" t="s">
        <v>2466</v>
      </c>
      <c r="I2803">
        <v>50</v>
      </c>
      <c r="J2803" s="15"/>
      <c r="K2803" s="16">
        <f>83.01 - (83.01 * $E$1)</f>
        <v>83.01</v>
      </c>
      <c r="L2803" s="16">
        <f>68.04 - (68.04 * $E$1)</f>
        <v>68.040000000000006</v>
      </c>
      <c r="M2803" s="1">
        <v>83.01</v>
      </c>
      <c r="N2803" s="1">
        <v>68.040000000000006</v>
      </c>
      <c r="O2803" s="1">
        <v>70.56</v>
      </c>
      <c r="P2803" s="1">
        <v>57.83</v>
      </c>
      <c r="Q2803">
        <v>1.52E-2</v>
      </c>
      <c r="R2803">
        <v>6.3999999999999997E-5</v>
      </c>
    </row>
    <row r="2804" spans="1:18" ht="13.8" outlineLevel="1" x14ac:dyDescent="0.25">
      <c r="A2804">
        <v>102340</v>
      </c>
      <c r="B2804" t="s">
        <v>3252</v>
      </c>
      <c r="C2804" t="s">
        <v>3292</v>
      </c>
      <c r="D2804" s="14" t="s">
        <v>3274</v>
      </c>
      <c r="E2804" s="12" t="s">
        <v>28</v>
      </c>
      <c r="F2804" s="13" t="s">
        <v>29</v>
      </c>
      <c r="G2804">
        <v>50</v>
      </c>
      <c r="H2804" t="s">
        <v>2466</v>
      </c>
      <c r="I2804">
        <v>50</v>
      </c>
      <c r="J2804" s="15"/>
      <c r="K2804" s="16">
        <f>86.41 - (86.41 * $E$1)</f>
        <v>86.41</v>
      </c>
      <c r="L2804" s="16">
        <f>70.83 - (70.83 * $E$1)</f>
        <v>70.83</v>
      </c>
      <c r="M2804" s="1">
        <v>86.41</v>
      </c>
      <c r="N2804" s="1">
        <v>70.83</v>
      </c>
      <c r="O2804" s="1">
        <v>73.45</v>
      </c>
      <c r="P2804" s="1">
        <v>60.21</v>
      </c>
      <c r="Q2804">
        <v>2.0400000000000001E-2</v>
      </c>
      <c r="R2804">
        <v>6.3999999999999997E-5</v>
      </c>
    </row>
    <row r="2805" spans="1:18" ht="13.8" outlineLevel="1" x14ac:dyDescent="0.25">
      <c r="A2805">
        <v>102341</v>
      </c>
      <c r="B2805" t="s">
        <v>3252</v>
      </c>
      <c r="C2805" t="s">
        <v>3293</v>
      </c>
      <c r="D2805" s="14" t="s">
        <v>3274</v>
      </c>
      <c r="E2805" s="12" t="s">
        <v>28</v>
      </c>
      <c r="F2805" s="13" t="s">
        <v>29</v>
      </c>
      <c r="G2805">
        <v>50</v>
      </c>
      <c r="H2805" t="s">
        <v>2466</v>
      </c>
      <c r="I2805">
        <v>50</v>
      </c>
      <c r="J2805" s="15"/>
      <c r="K2805" s="16">
        <f>171.23 - (171.23 * $E$1)</f>
        <v>171.23</v>
      </c>
      <c r="L2805" s="16">
        <f>140.35 - (140.35 * $E$1)</f>
        <v>140.35</v>
      </c>
      <c r="M2805" s="1">
        <v>171.23</v>
      </c>
      <c r="N2805" s="1">
        <v>140.35</v>
      </c>
      <c r="O2805" s="1">
        <v>145.54</v>
      </c>
      <c r="P2805" s="1">
        <v>119.3</v>
      </c>
      <c r="Q2805">
        <v>2.4199999999999999E-2</v>
      </c>
      <c r="R2805">
        <v>1E-4</v>
      </c>
    </row>
    <row r="2806" spans="1:18" ht="13.8" outlineLevel="1" x14ac:dyDescent="0.25">
      <c r="A2806">
        <v>102342</v>
      </c>
      <c r="B2806" t="s">
        <v>3252</v>
      </c>
      <c r="C2806" t="s">
        <v>3294</v>
      </c>
      <c r="D2806" s="14" t="s">
        <v>3274</v>
      </c>
      <c r="E2806" s="12" t="s">
        <v>28</v>
      </c>
      <c r="F2806" s="13" t="s">
        <v>29</v>
      </c>
      <c r="G2806">
        <v>50</v>
      </c>
      <c r="H2806" t="s">
        <v>2466</v>
      </c>
      <c r="I2806">
        <v>50</v>
      </c>
      <c r="J2806" s="15"/>
      <c r="K2806" s="16">
        <f>206.27 - (206.27 * $E$1)</f>
        <v>206.27</v>
      </c>
      <c r="L2806" s="16">
        <f>169.07 - (169.07 * $E$1)</f>
        <v>169.07</v>
      </c>
      <c r="M2806" s="1">
        <v>206.27</v>
      </c>
      <c r="N2806" s="1">
        <v>169.07</v>
      </c>
      <c r="O2806" s="1">
        <v>175.33</v>
      </c>
      <c r="P2806" s="1">
        <v>143.71</v>
      </c>
      <c r="Q2806">
        <v>3.3000000000000002E-2</v>
      </c>
      <c r="R2806">
        <v>1E-4</v>
      </c>
    </row>
    <row r="2807" spans="1:18" ht="13.8" outlineLevel="1" x14ac:dyDescent="0.25">
      <c r="A2807">
        <v>102343</v>
      </c>
      <c r="B2807" t="s">
        <v>3252</v>
      </c>
      <c r="C2807" t="s">
        <v>3295</v>
      </c>
      <c r="D2807" s="14" t="s">
        <v>3274</v>
      </c>
      <c r="E2807" s="12" t="s">
        <v>28</v>
      </c>
      <c r="F2807" s="13" t="s">
        <v>29</v>
      </c>
      <c r="G2807">
        <v>50</v>
      </c>
      <c r="H2807" t="s">
        <v>2466</v>
      </c>
      <c r="I2807">
        <v>50</v>
      </c>
      <c r="J2807" s="15"/>
      <c r="K2807" s="16">
        <f>257.52 - (257.52 * $E$1)</f>
        <v>257.52</v>
      </c>
      <c r="L2807" s="16">
        <f>211.08 - (211.08 * $E$1)</f>
        <v>211.08</v>
      </c>
      <c r="M2807" s="1">
        <v>257.52</v>
      </c>
      <c r="N2807" s="1">
        <v>211.08</v>
      </c>
      <c r="O2807" s="1">
        <v>218.89</v>
      </c>
      <c r="P2807" s="1">
        <v>179.42</v>
      </c>
      <c r="Q2807">
        <v>3.7400000000000003E-2</v>
      </c>
      <c r="R2807">
        <v>1.9126000000000001E-4</v>
      </c>
    </row>
    <row r="2808" spans="1:18" ht="13.8" outlineLevel="1" x14ac:dyDescent="0.25">
      <c r="A2808">
        <v>90922</v>
      </c>
      <c r="B2808" t="s">
        <v>3252</v>
      </c>
      <c r="C2808" t="s">
        <v>3296</v>
      </c>
      <c r="D2808" s="14" t="s">
        <v>3297</v>
      </c>
      <c r="E2808" s="12" t="s">
        <v>28</v>
      </c>
      <c r="F2808" s="13" t="s">
        <v>29</v>
      </c>
      <c r="G2808">
        <v>1</v>
      </c>
      <c r="H2808" t="s">
        <v>420</v>
      </c>
      <c r="I2808">
        <v>1</v>
      </c>
      <c r="J2808" s="15"/>
      <c r="K2808" s="16">
        <f>523.49 - (523.49 * $E$1)</f>
        <v>523.49</v>
      </c>
      <c r="L2808" s="16">
        <f>429.09 - (429.09 * $E$1)</f>
        <v>429.09</v>
      </c>
      <c r="M2808" s="1">
        <v>523.49</v>
      </c>
      <c r="N2808" s="1">
        <v>429.09</v>
      </c>
      <c r="O2808" s="1">
        <v>444.97</v>
      </c>
      <c r="P2808" s="1">
        <v>364.73</v>
      </c>
      <c r="Q2808">
        <v>3.6999999999999998E-2</v>
      </c>
      <c r="R2808">
        <v>9.7499999999999996E-4</v>
      </c>
    </row>
    <row r="2809" spans="1:18" ht="13.8" outlineLevel="1" x14ac:dyDescent="0.25">
      <c r="A2809">
        <v>90923</v>
      </c>
      <c r="B2809" t="s">
        <v>3252</v>
      </c>
      <c r="C2809" t="s">
        <v>3298</v>
      </c>
      <c r="D2809" s="14" t="s">
        <v>3297</v>
      </c>
      <c r="E2809" s="12" t="s">
        <v>28</v>
      </c>
      <c r="F2809" s="13" t="s">
        <v>29</v>
      </c>
      <c r="G2809">
        <v>1</v>
      </c>
      <c r="H2809" t="s">
        <v>420</v>
      </c>
      <c r="I2809">
        <v>1</v>
      </c>
      <c r="J2809" s="15"/>
      <c r="K2809" s="16">
        <f>587.19 - (587.19 * $E$1)</f>
        <v>587.19000000000005</v>
      </c>
      <c r="L2809" s="16">
        <f>481.3 - (481.3 * $E$1)</f>
        <v>481.3</v>
      </c>
      <c r="M2809" s="1">
        <v>587.19000000000005</v>
      </c>
      <c r="N2809" s="1">
        <v>481.3</v>
      </c>
      <c r="O2809" s="1">
        <v>499.11</v>
      </c>
      <c r="P2809" s="1">
        <v>409.11</v>
      </c>
      <c r="Q2809">
        <v>4.2000000000000003E-2</v>
      </c>
      <c r="R2809">
        <v>1.1249999999999999E-3</v>
      </c>
    </row>
    <row r="2810" spans="1:18" ht="13.8" outlineLevel="1" x14ac:dyDescent="0.25">
      <c r="A2810">
        <v>90924</v>
      </c>
      <c r="B2810" t="s">
        <v>3252</v>
      </c>
      <c r="C2810" t="s">
        <v>3299</v>
      </c>
      <c r="D2810" s="14" t="s">
        <v>3297</v>
      </c>
      <c r="E2810" s="12" t="s">
        <v>28</v>
      </c>
      <c r="F2810" s="13" t="s">
        <v>29</v>
      </c>
      <c r="G2810">
        <v>1</v>
      </c>
      <c r="H2810" t="s">
        <v>420</v>
      </c>
      <c r="I2810">
        <v>1</v>
      </c>
      <c r="J2810" s="15"/>
      <c r="K2810" s="16">
        <f>667.95 - (667.95 * $E$1)</f>
        <v>667.95</v>
      </c>
      <c r="L2810" s="16">
        <f>547.5 - (547.5 * $E$1)</f>
        <v>547.5</v>
      </c>
      <c r="M2810" s="1">
        <v>667.95</v>
      </c>
      <c r="N2810" s="1">
        <v>547.5</v>
      </c>
      <c r="O2810" s="1">
        <v>567.76</v>
      </c>
      <c r="P2810" s="1">
        <v>465.38</v>
      </c>
      <c r="Q2810">
        <v>5.7142999999999999E-2</v>
      </c>
      <c r="R2810">
        <v>1.238E-3</v>
      </c>
    </row>
    <row r="2811" spans="1:18" ht="13.8" outlineLevel="1" x14ac:dyDescent="0.25">
      <c r="A2811">
        <v>90925</v>
      </c>
      <c r="B2811" t="s">
        <v>3252</v>
      </c>
      <c r="C2811" t="s">
        <v>3300</v>
      </c>
      <c r="D2811" s="14" t="s">
        <v>3297</v>
      </c>
      <c r="E2811" s="12" t="s">
        <v>28</v>
      </c>
      <c r="F2811" s="13" t="s">
        <v>29</v>
      </c>
      <c r="G2811">
        <v>1</v>
      </c>
      <c r="H2811" t="s">
        <v>420</v>
      </c>
      <c r="I2811">
        <v>1</v>
      </c>
      <c r="J2811" s="15"/>
      <c r="K2811" s="16">
        <f>769.12 - (769.12 * $E$1)</f>
        <v>769.12</v>
      </c>
      <c r="L2811" s="16">
        <f>630.43 - (630.43 * $E$1)</f>
        <v>630.42999999999995</v>
      </c>
      <c r="M2811" s="1">
        <v>769.12</v>
      </c>
      <c r="N2811" s="1">
        <v>630.42999999999995</v>
      </c>
      <c r="O2811" s="1">
        <v>653.76</v>
      </c>
      <c r="P2811" s="1">
        <v>535.87</v>
      </c>
      <c r="Q2811">
        <v>7.5999999999999998E-2</v>
      </c>
      <c r="R2811">
        <v>1.3129999999999999E-3</v>
      </c>
    </row>
    <row r="2812" spans="1:18" ht="13.8" outlineLevel="1" x14ac:dyDescent="0.25">
      <c r="A2812">
        <v>90926</v>
      </c>
      <c r="B2812" t="s">
        <v>3252</v>
      </c>
      <c r="C2812" t="s">
        <v>3301</v>
      </c>
      <c r="D2812" s="14" t="s">
        <v>3297</v>
      </c>
      <c r="E2812" s="12" t="s">
        <v>28</v>
      </c>
      <c r="F2812" s="13" t="s">
        <v>29</v>
      </c>
      <c r="G2812">
        <v>1</v>
      </c>
      <c r="H2812" t="s">
        <v>420</v>
      </c>
      <c r="I2812">
        <v>1</v>
      </c>
      <c r="J2812" s="15"/>
      <c r="K2812" s="16">
        <f>937.33 - (937.33 * $E$1)</f>
        <v>937.33</v>
      </c>
      <c r="L2812" s="16">
        <f>768.3 - (768.3 * $E$1)</f>
        <v>768.3</v>
      </c>
      <c r="M2812" s="1">
        <v>937.33</v>
      </c>
      <c r="N2812" s="1">
        <v>768.3</v>
      </c>
      <c r="O2812" s="1">
        <v>796.73</v>
      </c>
      <c r="P2812" s="1">
        <v>653.05999999999995</v>
      </c>
      <c r="Q2812">
        <v>9.7500000000000003E-2</v>
      </c>
      <c r="R2812">
        <v>1.7799999999999999E-3</v>
      </c>
    </row>
    <row r="2813" spans="1:18" ht="13.8" outlineLevel="1" x14ac:dyDescent="0.25">
      <c r="A2813">
        <v>90927</v>
      </c>
      <c r="B2813" t="s">
        <v>3252</v>
      </c>
      <c r="C2813" t="s">
        <v>3302</v>
      </c>
      <c r="D2813" s="14" t="s">
        <v>3297</v>
      </c>
      <c r="E2813" s="12" t="s">
        <v>28</v>
      </c>
      <c r="F2813" s="13" t="s">
        <v>29</v>
      </c>
      <c r="G2813">
        <v>1</v>
      </c>
      <c r="H2813" t="s">
        <v>420</v>
      </c>
      <c r="I2813">
        <v>1</v>
      </c>
      <c r="J2813" s="15"/>
      <c r="K2813" s="16">
        <f>1080.2 - (1080.2 * $E$1)</f>
        <v>1080.2</v>
      </c>
      <c r="L2813" s="16">
        <f>885.41 - (885.41 * $E$1)</f>
        <v>885.41</v>
      </c>
      <c r="M2813" s="1">
        <v>1080.2</v>
      </c>
      <c r="N2813" s="1">
        <v>885.41</v>
      </c>
      <c r="O2813" s="1">
        <v>918.17</v>
      </c>
      <c r="P2813" s="1">
        <v>752.6</v>
      </c>
      <c r="Q2813">
        <v>0.124</v>
      </c>
      <c r="R2813">
        <v>2.003E-3</v>
      </c>
    </row>
    <row r="2814" spans="1:18" ht="13.8" outlineLevel="1" x14ac:dyDescent="0.25">
      <c r="A2814">
        <v>106131</v>
      </c>
      <c r="B2814" t="s">
        <v>3252</v>
      </c>
      <c r="C2814" t="s">
        <v>3303</v>
      </c>
      <c r="D2814" s="14" t="s">
        <v>3304</v>
      </c>
      <c r="E2814" s="12" t="s">
        <v>28</v>
      </c>
      <c r="F2814" s="13" t="s">
        <v>29</v>
      </c>
      <c r="G2814">
        <v>250</v>
      </c>
      <c r="H2814" t="s">
        <v>2466</v>
      </c>
      <c r="I2814">
        <v>250</v>
      </c>
      <c r="J2814" s="15"/>
      <c r="K2814" s="16">
        <f>123.31 - (123.31 * $E$1)</f>
        <v>123.31</v>
      </c>
      <c r="L2814" s="16">
        <f>101.07 - (101.07 * $E$1)</f>
        <v>101.07</v>
      </c>
      <c r="M2814" s="1">
        <v>123.31</v>
      </c>
      <c r="N2814" s="1">
        <v>101.07</v>
      </c>
      <c r="O2814" s="1">
        <v>104.81</v>
      </c>
      <c r="P2814" s="1">
        <v>85.91</v>
      </c>
      <c r="Q2814">
        <v>6.7200000000000003E-3</v>
      </c>
      <c r="R2814">
        <v>4.6208000000000002E-5</v>
      </c>
    </row>
    <row r="2815" spans="1:18" ht="13.8" outlineLevel="1" x14ac:dyDescent="0.25">
      <c r="A2815">
        <v>85378</v>
      </c>
      <c r="B2815" t="s">
        <v>3252</v>
      </c>
      <c r="C2815" t="s">
        <v>3305</v>
      </c>
      <c r="D2815" s="14" t="s">
        <v>3304</v>
      </c>
      <c r="E2815" s="12" t="s">
        <v>28</v>
      </c>
      <c r="F2815" s="13" t="s">
        <v>29</v>
      </c>
      <c r="G2815">
        <v>100</v>
      </c>
      <c r="H2815" t="s">
        <v>2466</v>
      </c>
      <c r="I2815">
        <v>100</v>
      </c>
      <c r="J2815" s="15"/>
      <c r="K2815" s="16">
        <f>141.2 - (141.2 * $E$1)</f>
        <v>141.19999999999999</v>
      </c>
      <c r="L2815" s="16">
        <f>115.74 - (115.74 * $E$1)</f>
        <v>115.74</v>
      </c>
      <c r="M2815" s="1">
        <v>141.19999999999999</v>
      </c>
      <c r="N2815" s="1">
        <v>115.74</v>
      </c>
      <c r="O2815" s="1">
        <v>120.02</v>
      </c>
      <c r="P2815" s="1">
        <v>98.38</v>
      </c>
      <c r="Q2815">
        <v>1.4999999999999999E-2</v>
      </c>
      <c r="R2815">
        <v>2.0216E-4</v>
      </c>
    </row>
    <row r="2816" spans="1:18" ht="13.8" outlineLevel="1" x14ac:dyDescent="0.25">
      <c r="A2816">
        <v>85379</v>
      </c>
      <c r="B2816" t="s">
        <v>3252</v>
      </c>
      <c r="C2816" t="s">
        <v>3306</v>
      </c>
      <c r="D2816" s="14" t="s">
        <v>3304</v>
      </c>
      <c r="E2816" s="12" t="s">
        <v>28</v>
      </c>
      <c r="F2816" s="13" t="s">
        <v>29</v>
      </c>
      <c r="G2816">
        <v>100</v>
      </c>
      <c r="H2816" t="s">
        <v>2466</v>
      </c>
      <c r="I2816">
        <v>100</v>
      </c>
      <c r="J2816" s="15"/>
      <c r="K2816" s="16">
        <f>174.44 - (174.44 * $E$1)</f>
        <v>174.44</v>
      </c>
      <c r="L2816" s="16">
        <f>142.98 - (142.98 * $E$1)</f>
        <v>142.97999999999999</v>
      </c>
      <c r="M2816" s="1">
        <v>174.44</v>
      </c>
      <c r="N2816" s="1">
        <v>142.97999999999999</v>
      </c>
      <c r="O2816" s="1">
        <v>148.27000000000001</v>
      </c>
      <c r="P2816" s="1">
        <v>121.53</v>
      </c>
      <c r="Q2816">
        <v>1.7000000000000001E-2</v>
      </c>
      <c r="R2816">
        <v>2.4696000000000001E-4</v>
      </c>
    </row>
    <row r="2817" spans="1:18" ht="13.8" outlineLevel="1" x14ac:dyDescent="0.25">
      <c r="A2817">
        <v>85380</v>
      </c>
      <c r="B2817" t="s">
        <v>3252</v>
      </c>
      <c r="C2817" t="s">
        <v>3307</v>
      </c>
      <c r="D2817" s="14" t="s">
        <v>3304</v>
      </c>
      <c r="E2817" s="12" t="s">
        <v>28</v>
      </c>
      <c r="F2817" s="13" t="s">
        <v>29</v>
      </c>
      <c r="G2817">
        <v>100</v>
      </c>
      <c r="H2817" t="s">
        <v>2466</v>
      </c>
      <c r="I2817">
        <v>100</v>
      </c>
      <c r="J2817" s="15"/>
      <c r="K2817" s="16">
        <f>213.61 - (213.61 * $E$1)</f>
        <v>213.61</v>
      </c>
      <c r="L2817" s="16">
        <f>175.09 - (175.09 * $E$1)</f>
        <v>175.09</v>
      </c>
      <c r="M2817" s="1">
        <v>213.61</v>
      </c>
      <c r="N2817" s="1">
        <v>175.09</v>
      </c>
      <c r="O2817" s="1">
        <v>181.57</v>
      </c>
      <c r="P2817" s="1">
        <v>148.83000000000001</v>
      </c>
      <c r="Q2817">
        <v>1.9E-2</v>
      </c>
      <c r="R2817">
        <v>2.4696000000000001E-4</v>
      </c>
    </row>
    <row r="2818" spans="1:18" ht="13.8" outlineLevel="1" x14ac:dyDescent="0.25">
      <c r="A2818">
        <v>85381</v>
      </c>
      <c r="B2818" t="s">
        <v>3252</v>
      </c>
      <c r="C2818" t="s">
        <v>3308</v>
      </c>
      <c r="D2818" s="14" t="s">
        <v>3304</v>
      </c>
      <c r="E2818" s="12" t="s">
        <v>28</v>
      </c>
      <c r="F2818" s="13" t="s">
        <v>29</v>
      </c>
      <c r="G2818">
        <v>50</v>
      </c>
      <c r="H2818" t="s">
        <v>2466</v>
      </c>
      <c r="I2818">
        <v>50</v>
      </c>
      <c r="J2818" s="15"/>
      <c r="K2818" s="16">
        <f>260.64 - (260.64 * $E$1)</f>
        <v>260.64</v>
      </c>
      <c r="L2818" s="16">
        <f>213.64 - (213.64 * $E$1)</f>
        <v>213.64</v>
      </c>
      <c r="M2818" s="1">
        <v>260.64</v>
      </c>
      <c r="N2818" s="1">
        <v>213.64</v>
      </c>
      <c r="O2818" s="1">
        <v>221.54</v>
      </c>
      <c r="P2818" s="1">
        <v>181.59</v>
      </c>
      <c r="Q2818">
        <v>2.5999999999999999E-2</v>
      </c>
      <c r="R2818">
        <v>4.9392000000000001E-4</v>
      </c>
    </row>
    <row r="2819" spans="1:18" ht="13.8" outlineLevel="1" x14ac:dyDescent="0.25">
      <c r="A2819">
        <v>85382</v>
      </c>
      <c r="B2819" t="s">
        <v>3252</v>
      </c>
      <c r="C2819" t="s">
        <v>3309</v>
      </c>
      <c r="D2819" s="14" t="s">
        <v>3304</v>
      </c>
      <c r="E2819" s="12" t="s">
        <v>28</v>
      </c>
      <c r="F2819" s="13" t="s">
        <v>29</v>
      </c>
      <c r="G2819">
        <v>25</v>
      </c>
      <c r="H2819" t="s">
        <v>2466</v>
      </c>
      <c r="I2819">
        <v>25</v>
      </c>
      <c r="J2819" s="15"/>
      <c r="K2819" s="16">
        <f>300.46 - (300.46 * $E$1)</f>
        <v>300.45999999999998</v>
      </c>
      <c r="L2819" s="16">
        <f>246.28 - (246.28 * $E$1)</f>
        <v>246.28</v>
      </c>
      <c r="M2819" s="1">
        <v>300.45999999999998</v>
      </c>
      <c r="N2819" s="1">
        <v>246.28</v>
      </c>
      <c r="O2819" s="1">
        <v>255.39</v>
      </c>
      <c r="P2819" s="1">
        <v>209.34</v>
      </c>
      <c r="Q2819">
        <v>0.04</v>
      </c>
      <c r="R2819">
        <v>8.0864000000000001E-4</v>
      </c>
    </row>
    <row r="2820" spans="1:18" ht="13.8" outlineLevel="1" x14ac:dyDescent="0.25">
      <c r="A2820">
        <v>85383</v>
      </c>
      <c r="B2820" t="s">
        <v>3252</v>
      </c>
      <c r="C2820" t="s">
        <v>3310</v>
      </c>
      <c r="D2820" s="14" t="s">
        <v>3304</v>
      </c>
      <c r="E2820" s="12" t="s">
        <v>28</v>
      </c>
      <c r="F2820" s="13" t="s">
        <v>29</v>
      </c>
      <c r="G2820">
        <v>25</v>
      </c>
      <c r="H2820" t="s">
        <v>2466</v>
      </c>
      <c r="I2820">
        <v>25</v>
      </c>
      <c r="J2820" s="15"/>
      <c r="K2820" s="16">
        <f>385.59 - (385.59 * $E$1)</f>
        <v>385.59</v>
      </c>
      <c r="L2820" s="16">
        <f>316.06 - (316.06 * $E$1)</f>
        <v>316.06</v>
      </c>
      <c r="M2820" s="1">
        <v>385.59</v>
      </c>
      <c r="N2820" s="1">
        <v>316.06</v>
      </c>
      <c r="O2820" s="1">
        <v>327.75</v>
      </c>
      <c r="P2820" s="1">
        <v>268.64999999999998</v>
      </c>
      <c r="Q2820">
        <v>5.1999999999999998E-2</v>
      </c>
      <c r="R2820">
        <v>9.8784000000000003E-4</v>
      </c>
    </row>
    <row r="2821" spans="1:18" ht="13.8" outlineLevel="1" x14ac:dyDescent="0.25">
      <c r="A2821">
        <v>85384</v>
      </c>
      <c r="B2821" t="s">
        <v>3252</v>
      </c>
      <c r="C2821" t="s">
        <v>3311</v>
      </c>
      <c r="D2821" s="14" t="s">
        <v>3304</v>
      </c>
      <c r="E2821" s="12" t="s">
        <v>28</v>
      </c>
      <c r="F2821" s="13" t="s">
        <v>29</v>
      </c>
      <c r="G2821">
        <v>25</v>
      </c>
      <c r="H2821" t="s">
        <v>2466</v>
      </c>
      <c r="I2821">
        <v>25</v>
      </c>
      <c r="J2821" s="15"/>
      <c r="K2821" s="16">
        <f>470.04 - (470.04 * $E$1)</f>
        <v>470.04</v>
      </c>
      <c r="L2821" s="16">
        <f>385.28 - (385.28 * $E$1)</f>
        <v>385.28</v>
      </c>
      <c r="M2821" s="1">
        <v>470.04</v>
      </c>
      <c r="N2821" s="1">
        <v>385.28</v>
      </c>
      <c r="O2821" s="1">
        <v>399.54</v>
      </c>
      <c r="P2821" s="1">
        <v>327.49</v>
      </c>
      <c r="Q2821">
        <v>6.8000000000000005E-2</v>
      </c>
      <c r="R2821">
        <v>1.2999999999999999E-3</v>
      </c>
    </row>
    <row r="2822" spans="1:18" ht="13.8" outlineLevel="1" x14ac:dyDescent="0.25">
      <c r="A2822">
        <v>85385</v>
      </c>
      <c r="B2822" t="s">
        <v>3252</v>
      </c>
      <c r="C2822" t="s">
        <v>3312</v>
      </c>
      <c r="D2822" s="14" t="s">
        <v>3304</v>
      </c>
      <c r="E2822" s="12" t="s">
        <v>28</v>
      </c>
      <c r="F2822" s="13" t="s">
        <v>29</v>
      </c>
      <c r="G2822">
        <v>25</v>
      </c>
      <c r="H2822" t="s">
        <v>2466</v>
      </c>
      <c r="I2822">
        <v>25</v>
      </c>
      <c r="J2822" s="15"/>
      <c r="K2822" s="16">
        <f>642.26 - (642.26 * $E$1)</f>
        <v>642.26</v>
      </c>
      <c r="L2822" s="16">
        <f>526.44 - (526.44 * $E$1)</f>
        <v>526.44000000000005</v>
      </c>
      <c r="M2822" s="1">
        <v>642.26</v>
      </c>
      <c r="N2822" s="1">
        <v>526.44000000000005</v>
      </c>
      <c r="O2822" s="1">
        <v>545.91999999999996</v>
      </c>
      <c r="P2822" s="1">
        <v>447.47</v>
      </c>
      <c r="Q2822">
        <v>9.1999999999999998E-2</v>
      </c>
      <c r="R2822">
        <v>1.872E-3</v>
      </c>
    </row>
    <row r="2823" spans="1:18" ht="13.8" outlineLevel="1" x14ac:dyDescent="0.25">
      <c r="A2823">
        <v>85386</v>
      </c>
      <c r="B2823" t="s">
        <v>3252</v>
      </c>
      <c r="C2823" t="s">
        <v>3313</v>
      </c>
      <c r="D2823" s="14" t="s">
        <v>3304</v>
      </c>
      <c r="E2823" s="12" t="s">
        <v>28</v>
      </c>
      <c r="F2823" s="13" t="s">
        <v>29</v>
      </c>
      <c r="G2823">
        <v>25</v>
      </c>
      <c r="H2823" t="s">
        <v>2466</v>
      </c>
      <c r="I2823">
        <v>25</v>
      </c>
      <c r="J2823" s="15"/>
      <c r="K2823" s="16">
        <f>755.27 - (755.27 * $E$1)</f>
        <v>755.27</v>
      </c>
      <c r="L2823" s="16">
        <f>619.07 - (619.07 * $E$1)</f>
        <v>619.07000000000005</v>
      </c>
      <c r="M2823" s="1">
        <v>755.27</v>
      </c>
      <c r="N2823" s="1">
        <v>619.07000000000005</v>
      </c>
      <c r="O2823" s="1">
        <v>641.98</v>
      </c>
      <c r="P2823" s="1">
        <v>526.21</v>
      </c>
      <c r="Q2823">
        <v>0.104</v>
      </c>
      <c r="R2823">
        <v>2.5920000000000001E-3</v>
      </c>
    </row>
    <row r="2824" spans="1:18" ht="13.8" outlineLevel="1" x14ac:dyDescent="0.25">
      <c r="A2824">
        <v>90931</v>
      </c>
      <c r="B2824" t="s">
        <v>3252</v>
      </c>
      <c r="C2824" t="s">
        <v>3314</v>
      </c>
      <c r="D2824" s="14" t="s">
        <v>3315</v>
      </c>
      <c r="E2824" s="12" t="s">
        <v>28</v>
      </c>
      <c r="F2824" s="13" t="s">
        <v>29</v>
      </c>
      <c r="G2824">
        <v>1</v>
      </c>
      <c r="H2824" t="s">
        <v>420</v>
      </c>
      <c r="I2824">
        <v>1</v>
      </c>
      <c r="J2824" s="15"/>
      <c r="K2824" s="16">
        <f>980.7 - (980.7 * $E$1)</f>
        <v>980.7</v>
      </c>
      <c r="L2824" s="16">
        <f>803.85 - (803.85 * $E$1)</f>
        <v>803.85</v>
      </c>
      <c r="M2824" s="1">
        <v>980.7</v>
      </c>
      <c r="N2824" s="1">
        <v>803.85</v>
      </c>
      <c r="O2824" s="1">
        <v>833.59</v>
      </c>
      <c r="P2824" s="1">
        <v>683.27</v>
      </c>
      <c r="Q2824">
        <v>6.0199999999999997E-2</v>
      </c>
      <c r="R2824">
        <v>1.7799999999999999E-3</v>
      </c>
    </row>
    <row r="2825" spans="1:18" ht="13.8" outlineLevel="1" x14ac:dyDescent="0.25">
      <c r="A2825">
        <v>90932</v>
      </c>
      <c r="B2825" t="s">
        <v>3252</v>
      </c>
      <c r="C2825" t="s">
        <v>3316</v>
      </c>
      <c r="D2825" s="14" t="s">
        <v>3315</v>
      </c>
      <c r="E2825" s="12" t="s">
        <v>28</v>
      </c>
      <c r="F2825" s="13" t="s">
        <v>29</v>
      </c>
      <c r="G2825">
        <v>1</v>
      </c>
      <c r="H2825" t="s">
        <v>420</v>
      </c>
      <c r="I2825">
        <v>1</v>
      </c>
      <c r="J2825" s="15"/>
      <c r="K2825" s="16">
        <f>1183.41 - (1183.41 * $E$1)</f>
        <v>1183.4100000000001</v>
      </c>
      <c r="L2825" s="16">
        <f>970.01 - (970.01 * $E$1)</f>
        <v>970.01</v>
      </c>
      <c r="M2825" s="1">
        <v>1183.4100000000001</v>
      </c>
      <c r="N2825" s="1">
        <v>970.01</v>
      </c>
      <c r="O2825" s="1">
        <v>1005.9</v>
      </c>
      <c r="P2825" s="1">
        <v>824.51</v>
      </c>
      <c r="Q2825">
        <v>7.8750000000000001E-2</v>
      </c>
      <c r="R2825">
        <v>2.225E-3</v>
      </c>
    </row>
    <row r="2826" spans="1:18" ht="13.8" outlineLevel="1" x14ac:dyDescent="0.25">
      <c r="A2826">
        <v>90933</v>
      </c>
      <c r="B2826" t="s">
        <v>3252</v>
      </c>
      <c r="C2826" t="s">
        <v>3317</v>
      </c>
      <c r="D2826" s="14" t="s">
        <v>3315</v>
      </c>
      <c r="E2826" s="12" t="s">
        <v>28</v>
      </c>
      <c r="F2826" s="13" t="s">
        <v>29</v>
      </c>
      <c r="G2826">
        <v>1</v>
      </c>
      <c r="H2826" t="s">
        <v>420</v>
      </c>
      <c r="I2826">
        <v>1</v>
      </c>
      <c r="J2826" s="15"/>
      <c r="K2826" s="16">
        <f>1345.87 - (1345.87 * $E$1)</f>
        <v>1345.87</v>
      </c>
      <c r="L2826" s="16">
        <f>1103.17 - (1103.17 * $E$1)</f>
        <v>1103.17</v>
      </c>
      <c r="M2826" s="1">
        <v>1345.87</v>
      </c>
      <c r="N2826" s="1">
        <v>1103.17</v>
      </c>
      <c r="O2826" s="1">
        <v>1143.99</v>
      </c>
      <c r="P2826" s="1">
        <v>937.69</v>
      </c>
      <c r="Q2826">
        <v>0.1244</v>
      </c>
      <c r="R2826">
        <v>2.8080000000000002E-3</v>
      </c>
    </row>
    <row r="2827" spans="1:18" ht="13.8" outlineLevel="1" x14ac:dyDescent="0.25">
      <c r="A2827">
        <v>90928</v>
      </c>
      <c r="B2827" t="s">
        <v>3252</v>
      </c>
      <c r="C2827" t="s">
        <v>3318</v>
      </c>
      <c r="D2827" s="14" t="s">
        <v>3319</v>
      </c>
      <c r="E2827" s="12" t="s">
        <v>28</v>
      </c>
      <c r="F2827" s="13" t="s">
        <v>29</v>
      </c>
      <c r="G2827">
        <v>25</v>
      </c>
      <c r="H2827" t="s">
        <v>2466</v>
      </c>
      <c r="I2827">
        <v>25</v>
      </c>
      <c r="J2827" s="15"/>
      <c r="K2827" s="16">
        <f>384.26 - (384.26 * $E$1)</f>
        <v>384.26</v>
      </c>
      <c r="L2827" s="16">
        <f>314.97 - (314.97 * $E$1)</f>
        <v>314.97000000000003</v>
      </c>
      <c r="M2827" s="1">
        <v>384.26</v>
      </c>
      <c r="N2827" s="1">
        <v>314.97000000000003</v>
      </c>
      <c r="O2827" s="1">
        <v>326.62</v>
      </c>
      <c r="P2827" s="1">
        <v>267.72000000000003</v>
      </c>
      <c r="Q2827">
        <v>1.1199999999999999E-3</v>
      </c>
      <c r="R2827">
        <v>1.2799999999999999E-4</v>
      </c>
    </row>
    <row r="2828" spans="1:18" ht="13.8" outlineLevel="1" x14ac:dyDescent="0.25">
      <c r="A2828">
        <v>90929</v>
      </c>
      <c r="B2828" t="s">
        <v>3252</v>
      </c>
      <c r="C2828" t="s">
        <v>3320</v>
      </c>
      <c r="D2828" s="14" t="s">
        <v>3319</v>
      </c>
      <c r="E2828" s="12" t="s">
        <v>28</v>
      </c>
      <c r="F2828" s="13" t="s">
        <v>29</v>
      </c>
      <c r="G2828">
        <v>25</v>
      </c>
      <c r="H2828" t="s">
        <v>2466</v>
      </c>
      <c r="I2828">
        <v>25</v>
      </c>
      <c r="J2828" s="15"/>
      <c r="K2828" s="16">
        <f>485.67 - (485.67 * $E$1)</f>
        <v>485.67</v>
      </c>
      <c r="L2828" s="16">
        <f>398.09 - (398.09 * $E$1)</f>
        <v>398.09</v>
      </c>
      <c r="M2828" s="1">
        <v>485.67</v>
      </c>
      <c r="N2828" s="1">
        <v>398.09</v>
      </c>
      <c r="O2828" s="1">
        <v>412.82</v>
      </c>
      <c r="P2828" s="1">
        <v>338.38</v>
      </c>
      <c r="Q2828">
        <v>4.7600000000000003E-2</v>
      </c>
      <c r="R2828">
        <v>1.2799999999999999E-4</v>
      </c>
    </row>
    <row r="2829" spans="1:18" ht="13.8" outlineLevel="1" x14ac:dyDescent="0.25">
      <c r="A2829">
        <v>90930</v>
      </c>
      <c r="B2829" t="s">
        <v>3252</v>
      </c>
      <c r="C2829" t="s">
        <v>3321</v>
      </c>
      <c r="D2829" s="14" t="s">
        <v>3319</v>
      </c>
      <c r="E2829" s="12" t="s">
        <v>28</v>
      </c>
      <c r="F2829" s="13" t="s">
        <v>29</v>
      </c>
      <c r="G2829">
        <v>25</v>
      </c>
      <c r="H2829" t="s">
        <v>2466</v>
      </c>
      <c r="I2829">
        <v>25</v>
      </c>
      <c r="J2829" s="15"/>
      <c r="K2829" s="16">
        <f>554.29 - (554.29 * $E$1)</f>
        <v>554.29</v>
      </c>
      <c r="L2829" s="16">
        <f>454.34 - (454.34 * $E$1)</f>
        <v>454.34</v>
      </c>
      <c r="M2829" s="1">
        <v>554.29</v>
      </c>
      <c r="N2829" s="1">
        <v>454.34</v>
      </c>
      <c r="O2829" s="1">
        <v>471.15</v>
      </c>
      <c r="P2829" s="1">
        <v>386.19</v>
      </c>
      <c r="Q2829">
        <v>2.2799999999999999E-3</v>
      </c>
      <c r="R2829">
        <v>3.7500000000000001E-4</v>
      </c>
    </row>
    <row r="2830" spans="1:18" ht="13.8" outlineLevel="1" x14ac:dyDescent="0.25">
      <c r="A2830">
        <v>85370</v>
      </c>
      <c r="B2830" t="s">
        <v>3252</v>
      </c>
      <c r="C2830" t="s">
        <v>3322</v>
      </c>
      <c r="D2830" s="14" t="s">
        <v>3323</v>
      </c>
      <c r="E2830" s="12" t="s">
        <v>28</v>
      </c>
      <c r="F2830" s="13" t="s">
        <v>29</v>
      </c>
      <c r="G2830">
        <v>50</v>
      </c>
      <c r="H2830" t="s">
        <v>2466</v>
      </c>
      <c r="I2830">
        <v>50</v>
      </c>
      <c r="J2830" s="15"/>
      <c r="K2830" s="16">
        <f>230.86 - (230.86 * $E$1)</f>
        <v>230.86</v>
      </c>
      <c r="L2830" s="16">
        <f>189.23 - (189.23 * $E$1)</f>
        <v>189.23</v>
      </c>
      <c r="M2830" s="1">
        <v>230.86</v>
      </c>
      <c r="N2830" s="1">
        <v>189.23</v>
      </c>
      <c r="O2830" s="1">
        <v>196.23</v>
      </c>
      <c r="P2830" s="1">
        <v>160.85</v>
      </c>
      <c r="Q2830">
        <v>1.78E-2</v>
      </c>
      <c r="R2830">
        <v>5.0460000000000001E-5</v>
      </c>
    </row>
    <row r="2831" spans="1:18" ht="13.8" outlineLevel="1" x14ac:dyDescent="0.25">
      <c r="A2831">
        <v>85371</v>
      </c>
      <c r="B2831" t="s">
        <v>3252</v>
      </c>
      <c r="C2831" t="s">
        <v>3324</v>
      </c>
      <c r="D2831" s="14" t="s">
        <v>3323</v>
      </c>
      <c r="E2831" s="12" t="s">
        <v>28</v>
      </c>
      <c r="F2831" s="13" t="s">
        <v>29</v>
      </c>
      <c r="G2831">
        <v>50</v>
      </c>
      <c r="H2831" t="s">
        <v>2466</v>
      </c>
      <c r="I2831">
        <v>50</v>
      </c>
      <c r="J2831" s="15"/>
      <c r="K2831" s="16">
        <f>283.52 - (283.52 * $E$1)</f>
        <v>283.52</v>
      </c>
      <c r="L2831" s="16">
        <f>232.39 - (232.39 * $E$1)</f>
        <v>232.39</v>
      </c>
      <c r="M2831" s="1">
        <v>283.52</v>
      </c>
      <c r="N2831" s="1">
        <v>232.39</v>
      </c>
      <c r="O2831" s="1">
        <v>240.99</v>
      </c>
      <c r="P2831" s="1">
        <v>197.53</v>
      </c>
      <c r="Q2831">
        <v>2.3800000000000002E-2</v>
      </c>
      <c r="R2831">
        <v>6.2719999999999996E-5</v>
      </c>
    </row>
    <row r="2832" spans="1:18" ht="13.8" outlineLevel="1" x14ac:dyDescent="0.25">
      <c r="A2832">
        <v>85372</v>
      </c>
      <c r="B2832" t="s">
        <v>3252</v>
      </c>
      <c r="C2832" t="s">
        <v>3325</v>
      </c>
      <c r="D2832" s="14" t="s">
        <v>3323</v>
      </c>
      <c r="E2832" s="12" t="s">
        <v>28</v>
      </c>
      <c r="F2832" s="13" t="s">
        <v>29</v>
      </c>
      <c r="G2832">
        <v>50</v>
      </c>
      <c r="H2832" t="s">
        <v>2466</v>
      </c>
      <c r="I2832">
        <v>50</v>
      </c>
      <c r="J2832" s="15"/>
      <c r="K2832" s="16">
        <f>315.49 - (315.49 * $E$1)</f>
        <v>315.49</v>
      </c>
      <c r="L2832" s="16">
        <f>258.6 - (258.6 * $E$1)</f>
        <v>258.60000000000002</v>
      </c>
      <c r="M2832" s="1">
        <v>315.49</v>
      </c>
      <c r="N2832" s="1">
        <v>258.60000000000002</v>
      </c>
      <c r="O2832" s="1">
        <v>268.17</v>
      </c>
      <c r="P2832" s="1">
        <v>219.81</v>
      </c>
      <c r="Q2832">
        <v>2.7E-2</v>
      </c>
      <c r="R2832">
        <v>7.8399999999999995E-5</v>
      </c>
    </row>
    <row r="2833" spans="1:18" ht="13.8" outlineLevel="1" x14ac:dyDescent="0.25">
      <c r="A2833">
        <v>85373</v>
      </c>
      <c r="B2833" t="s">
        <v>3252</v>
      </c>
      <c r="C2833" t="s">
        <v>3326</v>
      </c>
      <c r="D2833" s="14" t="s">
        <v>3323</v>
      </c>
      <c r="E2833" s="12" t="s">
        <v>28</v>
      </c>
      <c r="F2833" s="13" t="s">
        <v>29</v>
      </c>
      <c r="G2833">
        <v>50</v>
      </c>
      <c r="H2833" t="s">
        <v>2466</v>
      </c>
      <c r="I2833">
        <v>50</v>
      </c>
      <c r="J2833" s="15"/>
      <c r="K2833" s="16">
        <f>466.28 - (466.28 * $E$1)</f>
        <v>466.28</v>
      </c>
      <c r="L2833" s="16">
        <f>382.2 - (382.2 * $E$1)</f>
        <v>382.2</v>
      </c>
      <c r="M2833" s="1">
        <v>466.28</v>
      </c>
      <c r="N2833" s="1">
        <v>382.2</v>
      </c>
      <c r="O2833" s="1">
        <v>396.34</v>
      </c>
      <c r="P2833" s="1">
        <v>324.87</v>
      </c>
      <c r="Q2833">
        <v>3.2599999999999997E-2</v>
      </c>
      <c r="R2833">
        <v>9.4079999999999994E-5</v>
      </c>
    </row>
    <row r="2834" spans="1:18" ht="13.8" outlineLevel="1" x14ac:dyDescent="0.25">
      <c r="A2834">
        <v>85374</v>
      </c>
      <c r="B2834" t="s">
        <v>3252</v>
      </c>
      <c r="C2834" t="s">
        <v>3327</v>
      </c>
      <c r="D2834" s="14" t="s">
        <v>3323</v>
      </c>
      <c r="E2834" s="12" t="s">
        <v>28</v>
      </c>
      <c r="F2834" s="13" t="s">
        <v>29</v>
      </c>
      <c r="G2834">
        <v>50</v>
      </c>
      <c r="H2834" t="s">
        <v>2466</v>
      </c>
      <c r="I2834">
        <v>50</v>
      </c>
      <c r="J2834" s="15"/>
      <c r="K2834" s="16">
        <f>580.51 - (580.51 * $E$1)</f>
        <v>580.51</v>
      </c>
      <c r="L2834" s="16">
        <f>475.83 - (475.83 * $E$1)</f>
        <v>475.83</v>
      </c>
      <c r="M2834" s="1">
        <v>580.51</v>
      </c>
      <c r="N2834" s="1">
        <v>475.83</v>
      </c>
      <c r="O2834" s="1">
        <v>493.44</v>
      </c>
      <c r="P2834" s="1">
        <v>404.46</v>
      </c>
      <c r="Q2834">
        <v>3.9800000000000002E-2</v>
      </c>
      <c r="R2834">
        <v>1.3456000000000001E-4</v>
      </c>
    </row>
    <row r="2835" spans="1:18" ht="13.8" outlineLevel="1" x14ac:dyDescent="0.25">
      <c r="A2835">
        <v>85375</v>
      </c>
      <c r="B2835" t="s">
        <v>3252</v>
      </c>
      <c r="C2835" t="s">
        <v>3328</v>
      </c>
      <c r="D2835" s="14" t="s">
        <v>3323</v>
      </c>
      <c r="E2835" s="12" t="s">
        <v>28</v>
      </c>
      <c r="F2835" s="13" t="s">
        <v>29</v>
      </c>
      <c r="G2835">
        <v>50</v>
      </c>
      <c r="H2835" t="s">
        <v>2466</v>
      </c>
      <c r="I2835">
        <v>50</v>
      </c>
      <c r="J2835" s="15"/>
      <c r="K2835" s="16">
        <f>640.51 - (640.51 * $E$1)</f>
        <v>640.51</v>
      </c>
      <c r="L2835" s="16">
        <f>525.01 - (525.01 * $E$1)</f>
        <v>525.01</v>
      </c>
      <c r="M2835" s="1">
        <v>640.51</v>
      </c>
      <c r="N2835" s="1">
        <v>525.01</v>
      </c>
      <c r="O2835" s="1">
        <v>544.44000000000005</v>
      </c>
      <c r="P2835" s="1">
        <v>446.26</v>
      </c>
      <c r="Q2835">
        <v>5.7200000000000001E-2</v>
      </c>
      <c r="R2835">
        <v>1.6200000000000001E-4</v>
      </c>
    </row>
    <row r="2836" spans="1:18" ht="13.8" outlineLevel="1" x14ac:dyDescent="0.25">
      <c r="A2836">
        <v>106129</v>
      </c>
      <c r="B2836" t="s">
        <v>3252</v>
      </c>
      <c r="C2836" t="s">
        <v>3329</v>
      </c>
      <c r="D2836" s="14" t="s">
        <v>3323</v>
      </c>
      <c r="E2836" s="12" t="s">
        <v>28</v>
      </c>
      <c r="F2836" s="13" t="s">
        <v>29</v>
      </c>
      <c r="G2836">
        <v>50</v>
      </c>
      <c r="H2836" t="s">
        <v>2466</v>
      </c>
      <c r="I2836">
        <v>50</v>
      </c>
      <c r="J2836" s="15"/>
      <c r="K2836" s="16">
        <f>823.93 - (823.93 * $E$1)</f>
        <v>823.93</v>
      </c>
      <c r="L2836" s="16">
        <f>675.35 - (675.35 * $E$1)</f>
        <v>675.35</v>
      </c>
      <c r="M2836" s="1">
        <v>823.93</v>
      </c>
      <c r="N2836" s="1">
        <v>675.35</v>
      </c>
      <c r="O2836" s="1">
        <v>700.34</v>
      </c>
      <c r="P2836" s="1">
        <v>574.04999999999995</v>
      </c>
      <c r="Q2836">
        <v>2.066666E-2</v>
      </c>
      <c r="R2836">
        <v>1.5980000000000001E-4</v>
      </c>
    </row>
    <row r="2837" spans="1:18" ht="13.8" outlineLevel="1" x14ac:dyDescent="0.25">
      <c r="A2837">
        <v>106130</v>
      </c>
      <c r="B2837" t="s">
        <v>3252</v>
      </c>
      <c r="C2837" t="s">
        <v>3330</v>
      </c>
      <c r="D2837" s="14" t="s">
        <v>3323</v>
      </c>
      <c r="E2837" s="12" t="s">
        <v>28</v>
      </c>
      <c r="F2837" s="13" t="s">
        <v>29</v>
      </c>
      <c r="G2837">
        <v>50</v>
      </c>
      <c r="H2837" t="s">
        <v>2466</v>
      </c>
      <c r="I2837">
        <v>50</v>
      </c>
      <c r="J2837" s="15"/>
      <c r="K2837" s="16">
        <f>1327.16 - (1327.16 * $E$1)</f>
        <v>1327.16</v>
      </c>
      <c r="L2837" s="16">
        <f>1087.84 - (1087.84 * $E$1)</f>
        <v>1087.8399999999999</v>
      </c>
      <c r="M2837" s="1">
        <v>1327.16</v>
      </c>
      <c r="N2837" s="1">
        <v>1087.8399999999999</v>
      </c>
      <c r="O2837" s="1">
        <v>1128.0899999999999</v>
      </c>
      <c r="P2837" s="1">
        <v>924.66</v>
      </c>
      <c r="Q2837">
        <v>4.1000000000000002E-2</v>
      </c>
      <c r="R2837">
        <v>2.4389999999999999E-4</v>
      </c>
    </row>
    <row r="2838" spans="1:18" ht="33.75" customHeight="1" x14ac:dyDescent="0.35">
      <c r="A2838" s="9"/>
      <c r="B2838" s="10" t="s">
        <v>3331</v>
      </c>
      <c r="C2838" s="10"/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1"/>
    </row>
    <row r="2839" spans="1:18" ht="16.5" customHeight="1" outlineLevel="1" x14ac:dyDescent="0.35">
      <c r="A2839" s="9"/>
      <c r="B2839" s="10" t="s">
        <v>3332</v>
      </c>
      <c r="C2839" s="10"/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1"/>
    </row>
    <row r="2840" spans="1:18" ht="16.5" customHeight="1" outlineLevel="2" x14ac:dyDescent="0.35">
      <c r="A2840" s="9"/>
      <c r="B2840" s="10" t="s">
        <v>3333</v>
      </c>
      <c r="C2840" s="10"/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1"/>
    </row>
    <row r="2841" spans="1:18" ht="13.8" outlineLevel="3" x14ac:dyDescent="0.25">
      <c r="A2841">
        <v>56538</v>
      </c>
      <c r="B2841" t="s">
        <v>3334</v>
      </c>
      <c r="C2841" t="s">
        <v>3335</v>
      </c>
      <c r="D2841" s="14" t="s">
        <v>3336</v>
      </c>
      <c r="E2841" s="12" t="s">
        <v>28</v>
      </c>
      <c r="F2841" s="13" t="s">
        <v>29</v>
      </c>
      <c r="G2841">
        <v>1</v>
      </c>
      <c r="H2841" t="s">
        <v>30</v>
      </c>
      <c r="I2841">
        <v>1</v>
      </c>
      <c r="J2841" s="15"/>
      <c r="K2841" s="16">
        <f>1803.01 - (1803.01 * $E$1)</f>
        <v>1803.01</v>
      </c>
      <c r="L2841" s="16">
        <f>1477.88 - (1477.88 * $E$1)</f>
        <v>1477.88</v>
      </c>
      <c r="M2841" s="1">
        <v>1803.01</v>
      </c>
      <c r="N2841" s="1">
        <v>1477.88</v>
      </c>
      <c r="O2841" s="1">
        <v>1532.56</v>
      </c>
      <c r="P2841" s="1">
        <v>1256.2</v>
      </c>
      <c r="Q2841">
        <v>0.57799999999999996</v>
      </c>
      <c r="R2841">
        <v>7.7999999999999999E-4</v>
      </c>
    </row>
    <row r="2842" spans="1:18" ht="13.8" outlineLevel="3" x14ac:dyDescent="0.25">
      <c r="A2842">
        <v>56539</v>
      </c>
      <c r="B2842" t="s">
        <v>3334</v>
      </c>
      <c r="C2842" t="s">
        <v>3337</v>
      </c>
      <c r="D2842" s="14" t="s">
        <v>3336</v>
      </c>
      <c r="E2842" s="12" t="s">
        <v>28</v>
      </c>
      <c r="F2842" s="13" t="s">
        <v>29</v>
      </c>
      <c r="G2842">
        <v>1</v>
      </c>
      <c r="H2842" t="s">
        <v>30</v>
      </c>
      <c r="I2842">
        <v>1</v>
      </c>
      <c r="J2842" s="15"/>
      <c r="K2842" s="16">
        <f>1803.01 - (1803.01 * $E$1)</f>
        <v>1803.01</v>
      </c>
      <c r="L2842" s="16">
        <f>1477.88 - (1477.88 * $E$1)</f>
        <v>1477.88</v>
      </c>
      <c r="M2842" s="1">
        <v>1803.01</v>
      </c>
      <c r="N2842" s="1">
        <v>1477.88</v>
      </c>
      <c r="O2842" s="1">
        <v>1532.56</v>
      </c>
      <c r="P2842" s="1">
        <v>1256.2</v>
      </c>
      <c r="Q2842">
        <v>0.58199999999999996</v>
      </c>
      <c r="R2842">
        <v>7.7999999999999999E-4</v>
      </c>
    </row>
    <row r="2843" spans="1:18" ht="13.8" outlineLevel="3" x14ac:dyDescent="0.25">
      <c r="A2843">
        <v>56540</v>
      </c>
      <c r="B2843" t="s">
        <v>3334</v>
      </c>
      <c r="C2843" t="s">
        <v>3338</v>
      </c>
      <c r="D2843" s="14" t="s">
        <v>3336</v>
      </c>
      <c r="E2843" s="12" t="s">
        <v>28</v>
      </c>
      <c r="F2843" s="13" t="s">
        <v>29</v>
      </c>
      <c r="G2843">
        <v>1</v>
      </c>
      <c r="H2843" t="s">
        <v>30</v>
      </c>
      <c r="I2843">
        <v>1</v>
      </c>
      <c r="J2843" s="15"/>
      <c r="K2843" s="16">
        <f>1801.57 - (1801.57 * $E$1)</f>
        <v>1801.57</v>
      </c>
      <c r="L2843" s="16">
        <f>1476.7 - (1476.7 * $E$1)</f>
        <v>1476.7</v>
      </c>
      <c r="M2843" s="1">
        <v>1801.57</v>
      </c>
      <c r="N2843" s="1">
        <v>1476.7</v>
      </c>
      <c r="O2843" s="1">
        <v>1531.34</v>
      </c>
      <c r="P2843" s="1">
        <v>1255.2</v>
      </c>
      <c r="Q2843">
        <v>0.57999999999999996</v>
      </c>
      <c r="R2843">
        <v>7.7999999999999999E-4</v>
      </c>
    </row>
    <row r="2844" spans="1:18" ht="13.8" outlineLevel="3" x14ac:dyDescent="0.25">
      <c r="A2844">
        <v>56541</v>
      </c>
      <c r="B2844" t="s">
        <v>3334</v>
      </c>
      <c r="C2844" t="s">
        <v>3339</v>
      </c>
      <c r="D2844" s="14" t="s">
        <v>3336</v>
      </c>
      <c r="E2844" s="12" t="s">
        <v>28</v>
      </c>
      <c r="F2844" s="13" t="s">
        <v>29</v>
      </c>
      <c r="G2844">
        <v>1</v>
      </c>
      <c r="H2844" t="s">
        <v>30</v>
      </c>
      <c r="I2844">
        <v>1</v>
      </c>
      <c r="J2844" s="15"/>
      <c r="K2844" s="16">
        <f>2052.26 - (2052.26 * $E$1)</f>
        <v>2052.2600000000002</v>
      </c>
      <c r="L2844" s="16">
        <f>1682.18 - (1682.18 * $E$1)</f>
        <v>1682.18</v>
      </c>
      <c r="M2844" s="1">
        <v>2052.2600000000002</v>
      </c>
      <c r="N2844" s="1">
        <v>1682.18</v>
      </c>
      <c r="O2844" s="1">
        <v>1744.42</v>
      </c>
      <c r="P2844" s="1">
        <v>1429.85</v>
      </c>
      <c r="Q2844">
        <v>0.57499999999999996</v>
      </c>
      <c r="R2844">
        <v>7.7999999999999999E-4</v>
      </c>
    </row>
    <row r="2845" spans="1:18" ht="13.8" outlineLevel="3" x14ac:dyDescent="0.25">
      <c r="A2845">
        <v>56542</v>
      </c>
      <c r="B2845" t="s">
        <v>3334</v>
      </c>
      <c r="C2845" t="s">
        <v>3340</v>
      </c>
      <c r="D2845" s="14" t="s">
        <v>3336</v>
      </c>
      <c r="E2845" s="12" t="s">
        <v>28</v>
      </c>
      <c r="F2845" s="13" t="s">
        <v>29</v>
      </c>
      <c r="G2845">
        <v>1</v>
      </c>
      <c r="H2845" t="s">
        <v>30</v>
      </c>
      <c r="I2845">
        <v>1</v>
      </c>
      <c r="J2845" s="15"/>
      <c r="K2845" s="16">
        <f>1799.18 - (1799.18 * $E$1)</f>
        <v>1799.18</v>
      </c>
      <c r="L2845" s="16">
        <f>1474.74 - (1474.74 * $E$1)</f>
        <v>1474.74</v>
      </c>
      <c r="M2845" s="1">
        <v>1799.18</v>
      </c>
      <c r="N2845" s="1">
        <v>1474.74</v>
      </c>
      <c r="O2845" s="1">
        <v>1529.31</v>
      </c>
      <c r="P2845" s="1">
        <v>1253.53</v>
      </c>
      <c r="Q2845">
        <v>0.56200000000000006</v>
      </c>
      <c r="R2845">
        <v>7.7999999999999999E-4</v>
      </c>
    </row>
    <row r="2846" spans="1:18" ht="13.8" outlineLevel="3" x14ac:dyDescent="0.25">
      <c r="A2846">
        <v>56543</v>
      </c>
      <c r="B2846" t="s">
        <v>3334</v>
      </c>
      <c r="C2846" t="s">
        <v>3341</v>
      </c>
      <c r="D2846" s="14" t="s">
        <v>3336</v>
      </c>
      <c r="E2846" s="12" t="s">
        <v>28</v>
      </c>
      <c r="F2846" s="17" t="s">
        <v>549</v>
      </c>
      <c r="G2846">
        <v>1</v>
      </c>
      <c r="H2846" t="s">
        <v>30</v>
      </c>
      <c r="I2846">
        <v>1</v>
      </c>
      <c r="J2846" s="15"/>
      <c r="K2846" s="16">
        <f>1799.18 - (1799.18 * $E$1)</f>
        <v>1799.18</v>
      </c>
      <c r="L2846" s="16">
        <f>1474.74 - (1474.74 * $E$1)</f>
        <v>1474.74</v>
      </c>
      <c r="M2846" s="1">
        <v>1799.18</v>
      </c>
      <c r="N2846" s="1">
        <v>1474.74</v>
      </c>
      <c r="O2846" s="1">
        <v>1529.31</v>
      </c>
      <c r="P2846" s="1">
        <v>1253.53</v>
      </c>
      <c r="Q2846">
        <v>0.58399999999999996</v>
      </c>
      <c r="R2846">
        <v>7.7999999999999999E-4</v>
      </c>
    </row>
    <row r="2847" spans="1:18" ht="13.8" outlineLevel="3" x14ac:dyDescent="0.25">
      <c r="A2847">
        <v>56545</v>
      </c>
      <c r="B2847" t="s">
        <v>3334</v>
      </c>
      <c r="C2847" t="s">
        <v>3342</v>
      </c>
      <c r="D2847" s="14" t="s">
        <v>3336</v>
      </c>
      <c r="E2847" s="12" t="s">
        <v>28</v>
      </c>
      <c r="F2847" s="13" t="s">
        <v>29</v>
      </c>
      <c r="G2847">
        <v>1</v>
      </c>
      <c r="H2847" t="s">
        <v>30</v>
      </c>
      <c r="I2847">
        <v>1</v>
      </c>
      <c r="J2847" s="15"/>
      <c r="K2847" s="16">
        <f>1801.57 - (1801.57 * $E$1)</f>
        <v>1801.57</v>
      </c>
      <c r="L2847" s="16">
        <f>1476.7 - (1476.7 * $E$1)</f>
        <v>1476.7</v>
      </c>
      <c r="M2847" s="1">
        <v>1801.57</v>
      </c>
      <c r="N2847" s="1">
        <v>1476.7</v>
      </c>
      <c r="O2847" s="1">
        <v>1531.34</v>
      </c>
      <c r="P2847" s="1">
        <v>1255.2</v>
      </c>
      <c r="Q2847">
        <v>0.58599999999999997</v>
      </c>
      <c r="R2847">
        <v>9.0799999999999995E-4</v>
      </c>
    </row>
    <row r="2848" spans="1:18" ht="13.8" outlineLevel="3" x14ac:dyDescent="0.25">
      <c r="A2848">
        <v>58773</v>
      </c>
      <c r="B2848" t="s">
        <v>3334</v>
      </c>
      <c r="C2848" t="s">
        <v>3343</v>
      </c>
      <c r="D2848" s="14" t="s">
        <v>3336</v>
      </c>
      <c r="E2848" s="12" t="s">
        <v>28</v>
      </c>
      <c r="F2848" s="13" t="s">
        <v>29</v>
      </c>
      <c r="G2848">
        <v>1</v>
      </c>
      <c r="H2848" t="s">
        <v>30</v>
      </c>
      <c r="I2848">
        <v>1</v>
      </c>
      <c r="J2848" s="15"/>
      <c r="K2848" s="16">
        <f>1801.1 - (1801.1 * $E$1)</f>
        <v>1801.1</v>
      </c>
      <c r="L2848" s="16">
        <f>1476.31 - (1476.31 * $E$1)</f>
        <v>1476.31</v>
      </c>
      <c r="M2848" s="1">
        <v>1801.1</v>
      </c>
      <c r="N2848" s="1">
        <v>1476.31</v>
      </c>
      <c r="O2848" s="1">
        <v>1530.93</v>
      </c>
      <c r="P2848" s="1">
        <v>1254.8599999999999</v>
      </c>
      <c r="Q2848">
        <v>0.59799999999999998</v>
      </c>
      <c r="R2848">
        <v>9.0799999999999995E-4</v>
      </c>
    </row>
    <row r="2849" spans="1:18" ht="13.8" outlineLevel="3" x14ac:dyDescent="0.25">
      <c r="A2849">
        <v>63028</v>
      </c>
      <c r="B2849" t="s">
        <v>3334</v>
      </c>
      <c r="C2849" t="s">
        <v>3344</v>
      </c>
      <c r="D2849" s="14" t="s">
        <v>3336</v>
      </c>
      <c r="E2849" s="12" t="s">
        <v>28</v>
      </c>
      <c r="F2849" s="13" t="s">
        <v>29</v>
      </c>
      <c r="G2849">
        <v>1</v>
      </c>
      <c r="H2849" t="s">
        <v>30</v>
      </c>
      <c r="I2849">
        <v>1</v>
      </c>
      <c r="J2849" s="15"/>
      <c r="K2849" s="16">
        <f>1800.62 - (1800.62 * $E$1)</f>
        <v>1800.62</v>
      </c>
      <c r="L2849" s="16">
        <f>1475.92 - (1475.92 * $E$1)</f>
        <v>1475.92</v>
      </c>
      <c r="M2849" s="1">
        <v>1800.62</v>
      </c>
      <c r="N2849" s="1">
        <v>1475.92</v>
      </c>
      <c r="O2849" s="1">
        <v>1530.53</v>
      </c>
      <c r="P2849" s="1">
        <v>1254.53</v>
      </c>
      <c r="Q2849">
        <v>0.57599999999999996</v>
      </c>
      <c r="R2849">
        <v>9.0799999999999995E-4</v>
      </c>
    </row>
    <row r="2850" spans="1:18" ht="13.8" outlineLevel="3" x14ac:dyDescent="0.25">
      <c r="A2850">
        <v>74851</v>
      </c>
      <c r="B2850" t="s">
        <v>3334</v>
      </c>
      <c r="C2850" t="s">
        <v>3345</v>
      </c>
      <c r="D2850" s="14" t="s">
        <v>3336</v>
      </c>
      <c r="E2850" s="12" t="s">
        <v>28</v>
      </c>
      <c r="F2850" s="13" t="s">
        <v>29</v>
      </c>
      <c r="G2850">
        <v>1</v>
      </c>
      <c r="H2850" t="s">
        <v>30</v>
      </c>
      <c r="I2850">
        <v>1</v>
      </c>
      <c r="J2850" s="15"/>
      <c r="K2850" s="16">
        <f>1800.62 - (1800.62 * $E$1)</f>
        <v>1800.62</v>
      </c>
      <c r="L2850" s="16">
        <f>1475.92 - (1475.92 * $E$1)</f>
        <v>1475.92</v>
      </c>
      <c r="M2850" s="1">
        <v>1800.62</v>
      </c>
      <c r="N2850" s="1">
        <v>1475.92</v>
      </c>
      <c r="O2850" s="1">
        <v>1530.53</v>
      </c>
      <c r="P2850" s="1">
        <v>1254.53</v>
      </c>
      <c r="Q2850">
        <v>0.57799999999999996</v>
      </c>
      <c r="R2850">
        <v>9.0799999999999995E-4</v>
      </c>
    </row>
    <row r="2851" spans="1:18" ht="13.8" outlineLevel="3" x14ac:dyDescent="0.25">
      <c r="A2851">
        <v>66609</v>
      </c>
      <c r="B2851" t="s">
        <v>3334</v>
      </c>
      <c r="C2851" t="s">
        <v>3346</v>
      </c>
      <c r="D2851" s="14" t="s">
        <v>3336</v>
      </c>
      <c r="E2851" s="12" t="s">
        <v>28</v>
      </c>
      <c r="F2851" s="13" t="s">
        <v>29</v>
      </c>
      <c r="G2851">
        <v>1</v>
      </c>
      <c r="H2851" t="s">
        <v>30</v>
      </c>
      <c r="I2851">
        <v>1</v>
      </c>
      <c r="J2851" s="15"/>
      <c r="K2851" s="16">
        <f>1800.62 - (1800.62 * $E$1)</f>
        <v>1800.62</v>
      </c>
      <c r="L2851" s="16">
        <f>1475.92 - (1475.92 * $E$1)</f>
        <v>1475.92</v>
      </c>
      <c r="M2851" s="1">
        <v>1800.62</v>
      </c>
      <c r="N2851" s="1">
        <v>1475.92</v>
      </c>
      <c r="O2851" s="1">
        <v>1530.53</v>
      </c>
      <c r="P2851" s="1">
        <v>1254.53</v>
      </c>
      <c r="Q2851">
        <v>0.57599999999999996</v>
      </c>
      <c r="R2851">
        <v>9.0799999999999995E-4</v>
      </c>
    </row>
    <row r="2852" spans="1:18" ht="13.8" outlineLevel="3" x14ac:dyDescent="0.25">
      <c r="A2852">
        <v>85445</v>
      </c>
      <c r="B2852" t="s">
        <v>3334</v>
      </c>
      <c r="C2852" t="s">
        <v>3347</v>
      </c>
      <c r="D2852" s="14" t="s">
        <v>3336</v>
      </c>
      <c r="E2852" s="12" t="s">
        <v>28</v>
      </c>
      <c r="F2852" s="17" t="s">
        <v>549</v>
      </c>
      <c r="G2852">
        <v>1</v>
      </c>
      <c r="H2852" t="s">
        <v>30</v>
      </c>
      <c r="I2852">
        <v>1</v>
      </c>
      <c r="J2852" s="15"/>
      <c r="K2852" s="16">
        <f>1807.32 - (1807.32 * $E$1)</f>
        <v>1807.32</v>
      </c>
      <c r="L2852" s="16">
        <f>1481.41 - (1481.41 * $E$1)</f>
        <v>1481.41</v>
      </c>
      <c r="M2852" s="1">
        <v>1807.32</v>
      </c>
      <c r="N2852" s="1">
        <v>1481.41</v>
      </c>
      <c r="O2852" s="1">
        <v>1536.22</v>
      </c>
      <c r="P2852" s="1">
        <v>1259.2</v>
      </c>
      <c r="Q2852">
        <v>0.57999999999999996</v>
      </c>
      <c r="R2852">
        <v>8.1099999999999998E-4</v>
      </c>
    </row>
    <row r="2853" spans="1:18" ht="13.8" outlineLevel="3" x14ac:dyDescent="0.25">
      <c r="A2853">
        <v>69970</v>
      </c>
      <c r="B2853" t="s">
        <v>3334</v>
      </c>
      <c r="C2853" t="s">
        <v>3348</v>
      </c>
      <c r="D2853" s="14" t="s">
        <v>3336</v>
      </c>
      <c r="E2853" s="12" t="s">
        <v>28</v>
      </c>
      <c r="F2853" s="13" t="s">
        <v>29</v>
      </c>
      <c r="G2853">
        <v>1</v>
      </c>
      <c r="H2853" t="s">
        <v>30</v>
      </c>
      <c r="I2853">
        <v>1</v>
      </c>
      <c r="J2853" s="15"/>
      <c r="K2853" s="16">
        <f>2052.74 - (2052.74 * $E$1)</f>
        <v>2052.7399999999998</v>
      </c>
      <c r="L2853" s="16">
        <f>1682.57 - (1682.57 * $E$1)</f>
        <v>1682.57</v>
      </c>
      <c r="M2853" s="1">
        <v>2052.7399999999998</v>
      </c>
      <c r="N2853" s="1">
        <v>1682.57</v>
      </c>
      <c r="O2853" s="1">
        <v>1744.83</v>
      </c>
      <c r="P2853" s="1">
        <v>1430.18</v>
      </c>
      <c r="Q2853">
        <v>0.56000000000000005</v>
      </c>
      <c r="R2853">
        <v>9.0799999999999995E-4</v>
      </c>
    </row>
    <row r="2854" spans="1:18" ht="13.8" outlineLevel="3" x14ac:dyDescent="0.25">
      <c r="A2854">
        <v>69971</v>
      </c>
      <c r="B2854" t="s">
        <v>3334</v>
      </c>
      <c r="C2854" t="s">
        <v>3349</v>
      </c>
      <c r="D2854" s="14" t="s">
        <v>3336</v>
      </c>
      <c r="E2854" s="12" t="s">
        <v>28</v>
      </c>
      <c r="F2854" s="13" t="s">
        <v>29</v>
      </c>
      <c r="G2854">
        <v>1</v>
      </c>
      <c r="H2854" t="s">
        <v>30</v>
      </c>
      <c r="I2854">
        <v>1</v>
      </c>
      <c r="J2854" s="15"/>
      <c r="K2854" s="16">
        <f>1800.15 - (1800.15 * $E$1)</f>
        <v>1800.15</v>
      </c>
      <c r="L2854" s="16">
        <f>1475.53 - (1475.53 * $E$1)</f>
        <v>1475.53</v>
      </c>
      <c r="M2854" s="1">
        <v>1800.15</v>
      </c>
      <c r="N2854" s="1">
        <v>1475.53</v>
      </c>
      <c r="O2854" s="1">
        <v>1530.12</v>
      </c>
      <c r="P2854" s="1">
        <v>1254.2</v>
      </c>
      <c r="Q2854">
        <v>0.56100000000000005</v>
      </c>
      <c r="R2854">
        <v>9.0799999999999995E-4</v>
      </c>
    </row>
    <row r="2855" spans="1:18" ht="13.8" outlineLevel="3" x14ac:dyDescent="0.25">
      <c r="A2855">
        <v>90969</v>
      </c>
      <c r="B2855" t="s">
        <v>3350</v>
      </c>
      <c r="C2855" t="s">
        <v>3351</v>
      </c>
      <c r="D2855" s="14" t="s">
        <v>3336</v>
      </c>
      <c r="E2855" s="12" t="s">
        <v>28</v>
      </c>
      <c r="F2855" s="13" t="s">
        <v>29</v>
      </c>
      <c r="G2855">
        <v>1</v>
      </c>
      <c r="H2855" t="s">
        <v>30</v>
      </c>
      <c r="I2855">
        <v>1</v>
      </c>
      <c r="J2855" s="15"/>
      <c r="K2855" s="16">
        <f>1807.32 - (1807.32 * $E$1)</f>
        <v>1807.32</v>
      </c>
      <c r="L2855" s="16">
        <f>1481.41 - (1481.41 * $E$1)</f>
        <v>1481.41</v>
      </c>
      <c r="M2855" s="1">
        <v>1807.32</v>
      </c>
      <c r="N2855" s="1">
        <v>1481.41</v>
      </c>
      <c r="O2855" s="1">
        <v>1536.22</v>
      </c>
      <c r="P2855" s="1">
        <v>1259.2</v>
      </c>
      <c r="Q2855">
        <v>0.57999999999999996</v>
      </c>
      <c r="R2855">
        <v>8.1099999999999998E-4</v>
      </c>
    </row>
    <row r="2856" spans="1:18" ht="13.8" outlineLevel="3" x14ac:dyDescent="0.25">
      <c r="A2856">
        <v>85446</v>
      </c>
      <c r="B2856" t="s">
        <v>3334</v>
      </c>
      <c r="C2856" t="s">
        <v>3352</v>
      </c>
      <c r="D2856" s="14" t="s">
        <v>3336</v>
      </c>
      <c r="E2856" s="12" t="s">
        <v>28</v>
      </c>
      <c r="F2856" s="13" t="s">
        <v>29</v>
      </c>
      <c r="G2856">
        <v>1</v>
      </c>
      <c r="H2856" t="s">
        <v>30</v>
      </c>
      <c r="I2856">
        <v>1</v>
      </c>
      <c r="J2856" s="15"/>
      <c r="K2856" s="16">
        <f>1807.32 - (1807.32 * $E$1)</f>
        <v>1807.32</v>
      </c>
      <c r="L2856" s="16">
        <f>1481.41 - (1481.41 * $E$1)</f>
        <v>1481.41</v>
      </c>
      <c r="M2856" s="1">
        <v>1807.32</v>
      </c>
      <c r="N2856" s="1">
        <v>1481.41</v>
      </c>
      <c r="O2856" s="1">
        <v>1536.22</v>
      </c>
      <c r="P2856" s="1">
        <v>1259.2</v>
      </c>
      <c r="Q2856">
        <v>0.57999999999999996</v>
      </c>
      <c r="R2856">
        <v>8.1099999999999998E-4</v>
      </c>
    </row>
    <row r="2857" spans="1:18" ht="13.8" outlineLevel="3" x14ac:dyDescent="0.25">
      <c r="A2857">
        <v>90747</v>
      </c>
      <c r="B2857" t="s">
        <v>3350</v>
      </c>
      <c r="C2857" t="s">
        <v>3353</v>
      </c>
      <c r="D2857" s="14" t="s">
        <v>3354</v>
      </c>
      <c r="E2857" s="12" t="s">
        <v>28</v>
      </c>
      <c r="F2857" s="13" t="s">
        <v>29</v>
      </c>
      <c r="G2857">
        <v>1</v>
      </c>
      <c r="H2857" t="s">
        <v>30</v>
      </c>
      <c r="I2857">
        <v>1</v>
      </c>
      <c r="J2857" s="15"/>
      <c r="K2857" s="16">
        <f>1982.79 - (1982.79 * $E$1)</f>
        <v>1982.79</v>
      </c>
      <c r="L2857" s="16">
        <f>1625.24 - (1625.24 * $E$1)</f>
        <v>1625.24</v>
      </c>
      <c r="M2857" s="1">
        <v>1982.79</v>
      </c>
      <c r="N2857" s="1">
        <v>1625.24</v>
      </c>
      <c r="O2857" s="1">
        <v>1685.37</v>
      </c>
      <c r="P2857" s="1">
        <v>1381.45</v>
      </c>
      <c r="Q2857">
        <v>0.59599999999999997</v>
      </c>
      <c r="R2857">
        <v>9.6599999999999995E-4</v>
      </c>
    </row>
    <row r="2858" spans="1:18" ht="13.8" outlineLevel="3" x14ac:dyDescent="0.25">
      <c r="A2858">
        <v>90748</v>
      </c>
      <c r="B2858" t="s">
        <v>3350</v>
      </c>
      <c r="C2858" t="s">
        <v>3355</v>
      </c>
      <c r="D2858" s="14" t="s">
        <v>3354</v>
      </c>
      <c r="E2858" s="12" t="s">
        <v>28</v>
      </c>
      <c r="F2858" s="13" t="s">
        <v>29</v>
      </c>
      <c r="G2858">
        <v>1</v>
      </c>
      <c r="H2858" t="s">
        <v>30</v>
      </c>
      <c r="I2858">
        <v>1</v>
      </c>
      <c r="J2858" s="15"/>
      <c r="K2858" s="16">
        <f>1986.48 - (1986.48 * $E$1)</f>
        <v>1986.48</v>
      </c>
      <c r="L2858" s="16">
        <f>1628.26 - (1628.26 * $E$1)</f>
        <v>1628.26</v>
      </c>
      <c r="M2858" s="1">
        <v>1986.48</v>
      </c>
      <c r="N2858" s="1">
        <v>1628.26</v>
      </c>
      <c r="O2858" s="1">
        <v>1688.51</v>
      </c>
      <c r="P2858" s="1">
        <v>1384.02</v>
      </c>
      <c r="Q2858">
        <v>0.59799999999999998</v>
      </c>
      <c r="R2858">
        <v>9.6599999999999995E-4</v>
      </c>
    </row>
    <row r="2859" spans="1:18" ht="13.8" outlineLevel="3" x14ac:dyDescent="0.25">
      <c r="A2859">
        <v>90749</v>
      </c>
      <c r="B2859" t="s">
        <v>3350</v>
      </c>
      <c r="C2859" t="s">
        <v>3356</v>
      </c>
      <c r="D2859" s="14" t="s">
        <v>3354</v>
      </c>
      <c r="E2859" s="12" t="s">
        <v>28</v>
      </c>
      <c r="F2859" s="13" t="s">
        <v>29</v>
      </c>
      <c r="G2859">
        <v>1</v>
      </c>
      <c r="H2859" t="s">
        <v>30</v>
      </c>
      <c r="I2859">
        <v>1</v>
      </c>
      <c r="J2859" s="15"/>
      <c r="K2859" s="16">
        <f>1986.48 - (1986.48 * $E$1)</f>
        <v>1986.48</v>
      </c>
      <c r="L2859" s="16">
        <f>1628.26 - (1628.26 * $E$1)</f>
        <v>1628.26</v>
      </c>
      <c r="M2859" s="1">
        <v>1986.48</v>
      </c>
      <c r="N2859" s="1">
        <v>1628.26</v>
      </c>
      <c r="O2859" s="1">
        <v>1688.51</v>
      </c>
      <c r="P2859" s="1">
        <v>1384.02</v>
      </c>
      <c r="Q2859">
        <v>0.59699999999999998</v>
      </c>
      <c r="R2859">
        <v>9.6599999999999995E-4</v>
      </c>
    </row>
    <row r="2860" spans="1:18" ht="13.8" outlineLevel="3" x14ac:dyDescent="0.25">
      <c r="A2860">
        <v>90750</v>
      </c>
      <c r="B2860" t="s">
        <v>3350</v>
      </c>
      <c r="C2860" t="s">
        <v>3357</v>
      </c>
      <c r="D2860" s="14" t="s">
        <v>3354</v>
      </c>
      <c r="E2860" s="12" t="s">
        <v>28</v>
      </c>
      <c r="F2860" s="13" t="s">
        <v>29</v>
      </c>
      <c r="G2860">
        <v>1</v>
      </c>
      <c r="H2860" t="s">
        <v>30</v>
      </c>
      <c r="I2860">
        <v>1</v>
      </c>
      <c r="J2860" s="15"/>
      <c r="K2860" s="16">
        <f>2261.17 - (2261.17 * $E$1)</f>
        <v>2261.17</v>
      </c>
      <c r="L2860" s="16">
        <f>1853.42 - (1853.42 * $E$1)</f>
        <v>1853.42</v>
      </c>
      <c r="M2860" s="1">
        <v>2261.17</v>
      </c>
      <c r="N2860" s="1">
        <v>1853.42</v>
      </c>
      <c r="O2860" s="1">
        <v>1922</v>
      </c>
      <c r="P2860" s="1">
        <v>1575.41</v>
      </c>
      <c r="Q2860">
        <v>0.57799999999999996</v>
      </c>
      <c r="R2860">
        <v>9.6599999999999995E-4</v>
      </c>
    </row>
    <row r="2861" spans="1:18" ht="13.8" outlineLevel="3" x14ac:dyDescent="0.25">
      <c r="A2861">
        <v>90751</v>
      </c>
      <c r="B2861" t="s">
        <v>3350</v>
      </c>
      <c r="C2861" t="s">
        <v>3358</v>
      </c>
      <c r="D2861" s="14" t="s">
        <v>3354</v>
      </c>
      <c r="E2861" s="12" t="s">
        <v>28</v>
      </c>
      <c r="F2861" s="13" t="s">
        <v>29</v>
      </c>
      <c r="G2861">
        <v>1</v>
      </c>
      <c r="H2861" t="s">
        <v>30</v>
      </c>
      <c r="I2861">
        <v>1</v>
      </c>
      <c r="J2861" s="15"/>
      <c r="K2861" s="16">
        <f>1980.16 - (1980.16 * $E$1)</f>
        <v>1980.16</v>
      </c>
      <c r="L2861" s="16">
        <f>1623.08 - (1623.08 * $E$1)</f>
        <v>1623.08</v>
      </c>
      <c r="M2861" s="1">
        <v>1980.16</v>
      </c>
      <c r="N2861" s="1">
        <v>1623.08</v>
      </c>
      <c r="O2861" s="1">
        <v>1683.13</v>
      </c>
      <c r="P2861" s="1">
        <v>1379.62</v>
      </c>
      <c r="Q2861">
        <v>0.57599999999999996</v>
      </c>
      <c r="R2861">
        <v>9.6599999999999995E-4</v>
      </c>
    </row>
    <row r="2862" spans="1:18" ht="13.8" outlineLevel="3" x14ac:dyDescent="0.25">
      <c r="A2862">
        <v>90752</v>
      </c>
      <c r="B2862" t="s">
        <v>3350</v>
      </c>
      <c r="C2862" t="s">
        <v>3359</v>
      </c>
      <c r="D2862" s="14" t="s">
        <v>3354</v>
      </c>
      <c r="E2862" s="12" t="s">
        <v>28</v>
      </c>
      <c r="F2862" s="17" t="s">
        <v>549</v>
      </c>
      <c r="G2862">
        <v>1</v>
      </c>
      <c r="H2862" t="s">
        <v>30</v>
      </c>
      <c r="I2862">
        <v>1</v>
      </c>
      <c r="J2862" s="15"/>
      <c r="K2862" s="16">
        <f>1987.53 - (1987.53 * $E$1)</f>
        <v>1987.53</v>
      </c>
      <c r="L2862" s="16">
        <f>1629.12 - (1629.12 * $E$1)</f>
        <v>1629.12</v>
      </c>
      <c r="M2862" s="1">
        <v>1987.53</v>
      </c>
      <c r="N2862" s="1">
        <v>1629.12</v>
      </c>
      <c r="O2862" s="1">
        <v>1689.4</v>
      </c>
      <c r="P2862" s="1">
        <v>1384.75</v>
      </c>
      <c r="Q2862">
        <v>0.6</v>
      </c>
      <c r="R2862">
        <v>9.6599999999999995E-4</v>
      </c>
    </row>
    <row r="2863" spans="1:18" ht="13.8" outlineLevel="3" x14ac:dyDescent="0.25">
      <c r="A2863">
        <v>90753</v>
      </c>
      <c r="B2863" t="s">
        <v>3350</v>
      </c>
      <c r="C2863" t="s">
        <v>3360</v>
      </c>
      <c r="D2863" s="14" t="s">
        <v>3354</v>
      </c>
      <c r="E2863" s="12" t="s">
        <v>28</v>
      </c>
      <c r="F2863" s="13" t="s">
        <v>29</v>
      </c>
      <c r="G2863">
        <v>1</v>
      </c>
      <c r="H2863" t="s">
        <v>30</v>
      </c>
      <c r="I2863">
        <v>1</v>
      </c>
      <c r="J2863" s="15"/>
      <c r="K2863" s="16">
        <f>1982.27 - (1982.27 * $E$1)</f>
        <v>1982.27</v>
      </c>
      <c r="L2863" s="16">
        <f>1624.81 - (1624.81 * $E$1)</f>
        <v>1624.81</v>
      </c>
      <c r="M2863" s="1">
        <v>1982.27</v>
      </c>
      <c r="N2863" s="1">
        <v>1624.81</v>
      </c>
      <c r="O2863" s="1">
        <v>1684.93</v>
      </c>
      <c r="P2863" s="1">
        <v>1381.09</v>
      </c>
      <c r="Q2863">
        <v>0.57999999999999996</v>
      </c>
      <c r="R2863">
        <v>9.6599999999999995E-4</v>
      </c>
    </row>
    <row r="2864" spans="1:18" ht="13.8" outlineLevel="3" x14ac:dyDescent="0.25">
      <c r="A2864">
        <v>90754</v>
      </c>
      <c r="B2864" t="s">
        <v>3350</v>
      </c>
      <c r="C2864" t="s">
        <v>3361</v>
      </c>
      <c r="D2864" s="14" t="s">
        <v>3354</v>
      </c>
      <c r="E2864" s="12" t="s">
        <v>28</v>
      </c>
      <c r="F2864" s="13" t="s">
        <v>29</v>
      </c>
      <c r="G2864">
        <v>1</v>
      </c>
      <c r="H2864" t="s">
        <v>30</v>
      </c>
      <c r="I2864">
        <v>1</v>
      </c>
      <c r="J2864" s="15"/>
      <c r="K2864" s="16">
        <f>1985.95 - (1985.95 * $E$1)</f>
        <v>1985.95</v>
      </c>
      <c r="L2864" s="16">
        <f>1627.83 - (1627.83 * $E$1)</f>
        <v>1627.83</v>
      </c>
      <c r="M2864" s="1">
        <v>1985.95</v>
      </c>
      <c r="N2864" s="1">
        <v>1627.83</v>
      </c>
      <c r="O2864" s="1">
        <v>1688.06</v>
      </c>
      <c r="P2864" s="1">
        <v>1383.66</v>
      </c>
      <c r="Q2864">
        <v>0.59799999999999998</v>
      </c>
      <c r="R2864">
        <v>9.6599999999999995E-4</v>
      </c>
    </row>
    <row r="2865" spans="1:18" ht="13.8" outlineLevel="3" x14ac:dyDescent="0.25">
      <c r="A2865">
        <v>90755</v>
      </c>
      <c r="B2865" t="s">
        <v>3350</v>
      </c>
      <c r="C2865" t="s">
        <v>3362</v>
      </c>
      <c r="D2865" s="14" t="s">
        <v>3354</v>
      </c>
      <c r="E2865" s="12" t="s">
        <v>28</v>
      </c>
      <c r="F2865" s="13" t="s">
        <v>29</v>
      </c>
      <c r="G2865">
        <v>1</v>
      </c>
      <c r="H2865" t="s">
        <v>30</v>
      </c>
      <c r="I2865">
        <v>1</v>
      </c>
      <c r="J2865" s="15"/>
      <c r="K2865" s="16">
        <f>1988.58 - (1988.58 * $E$1)</f>
        <v>1988.58</v>
      </c>
      <c r="L2865" s="16">
        <f>1629.98 - (1629.98 * $E$1)</f>
        <v>1629.98</v>
      </c>
      <c r="M2865" s="1">
        <v>1988.58</v>
      </c>
      <c r="N2865" s="1">
        <v>1629.98</v>
      </c>
      <c r="O2865" s="1">
        <v>1690.29</v>
      </c>
      <c r="P2865" s="1">
        <v>1385.48</v>
      </c>
      <c r="Q2865">
        <v>0.61</v>
      </c>
      <c r="R2865">
        <v>9.6599999999999995E-4</v>
      </c>
    </row>
    <row r="2866" spans="1:18" ht="13.8" outlineLevel="3" x14ac:dyDescent="0.25">
      <c r="A2866">
        <v>90756</v>
      </c>
      <c r="B2866" t="s">
        <v>3350</v>
      </c>
      <c r="C2866" t="s">
        <v>3363</v>
      </c>
      <c r="D2866" s="14" t="s">
        <v>3354</v>
      </c>
      <c r="E2866" s="12" t="s">
        <v>28</v>
      </c>
      <c r="F2866" s="13" t="s">
        <v>29</v>
      </c>
      <c r="G2866">
        <v>1</v>
      </c>
      <c r="H2866" t="s">
        <v>30</v>
      </c>
      <c r="I2866">
        <v>1</v>
      </c>
      <c r="J2866" s="15"/>
      <c r="K2866" s="16">
        <f>1984.37 - (1984.37 * $E$1)</f>
        <v>1984.37</v>
      </c>
      <c r="L2866" s="16">
        <f>1626.53 - (1626.53 * $E$1)</f>
        <v>1626.53</v>
      </c>
      <c r="M2866" s="1">
        <v>1984.37</v>
      </c>
      <c r="N2866" s="1">
        <v>1626.53</v>
      </c>
      <c r="O2866" s="1">
        <v>1686.71</v>
      </c>
      <c r="P2866" s="1">
        <v>1382.55</v>
      </c>
      <c r="Q2866">
        <v>0.58799999999999997</v>
      </c>
      <c r="R2866">
        <v>9.6599999999999995E-4</v>
      </c>
    </row>
    <row r="2867" spans="1:18" ht="13.8" outlineLevel="3" x14ac:dyDescent="0.25">
      <c r="A2867">
        <v>90757</v>
      </c>
      <c r="B2867" t="s">
        <v>3350</v>
      </c>
      <c r="C2867" t="s">
        <v>3364</v>
      </c>
      <c r="D2867" s="14" t="s">
        <v>3354</v>
      </c>
      <c r="E2867" s="12" t="s">
        <v>28</v>
      </c>
      <c r="F2867" s="13" t="s">
        <v>29</v>
      </c>
      <c r="G2867">
        <v>1</v>
      </c>
      <c r="H2867" t="s">
        <v>30</v>
      </c>
      <c r="I2867">
        <v>1</v>
      </c>
      <c r="J2867" s="15"/>
      <c r="K2867" s="16">
        <f>1985.95 - (1985.95 * $E$1)</f>
        <v>1985.95</v>
      </c>
      <c r="L2867" s="16">
        <f>1627.83 - (1627.83 * $E$1)</f>
        <v>1627.83</v>
      </c>
      <c r="M2867" s="1">
        <v>1985.95</v>
      </c>
      <c r="N2867" s="1">
        <v>1627.83</v>
      </c>
      <c r="O2867" s="1">
        <v>1688.06</v>
      </c>
      <c r="P2867" s="1">
        <v>1383.66</v>
      </c>
      <c r="Q2867">
        <v>0.59199999999999997</v>
      </c>
      <c r="R2867">
        <v>9.6599999999999995E-4</v>
      </c>
    </row>
    <row r="2868" spans="1:18" ht="13.8" outlineLevel="3" x14ac:dyDescent="0.25">
      <c r="A2868">
        <v>90758</v>
      </c>
      <c r="B2868" t="s">
        <v>3350</v>
      </c>
      <c r="C2868" t="s">
        <v>3365</v>
      </c>
      <c r="D2868" s="14" t="s">
        <v>3354</v>
      </c>
      <c r="E2868" s="12" t="s">
        <v>28</v>
      </c>
      <c r="F2868" s="17" t="s">
        <v>549</v>
      </c>
      <c r="G2868">
        <v>1</v>
      </c>
      <c r="H2868" t="s">
        <v>30</v>
      </c>
      <c r="I2868">
        <v>1</v>
      </c>
      <c r="J2868" s="15"/>
      <c r="K2868" s="16">
        <f>1984.37 - (1984.37 * $E$1)</f>
        <v>1984.37</v>
      </c>
      <c r="L2868" s="16">
        <f>1626.53 - (1626.53 * $E$1)</f>
        <v>1626.53</v>
      </c>
      <c r="M2868" s="1">
        <v>1984.37</v>
      </c>
      <c r="N2868" s="1">
        <v>1626.53</v>
      </c>
      <c r="O2868" s="1">
        <v>1686.71</v>
      </c>
      <c r="P2868" s="1">
        <v>1382.55</v>
      </c>
      <c r="Q2868">
        <v>0.59099999999999997</v>
      </c>
      <c r="R2868">
        <v>9.6599999999999995E-4</v>
      </c>
    </row>
    <row r="2869" spans="1:18" ht="13.8" outlineLevel="3" x14ac:dyDescent="0.25">
      <c r="A2869">
        <v>90759</v>
      </c>
      <c r="B2869" t="s">
        <v>3350</v>
      </c>
      <c r="C2869" t="s">
        <v>3366</v>
      </c>
      <c r="D2869" s="14" t="s">
        <v>3354</v>
      </c>
      <c r="E2869" s="12" t="s">
        <v>28</v>
      </c>
      <c r="F2869" s="17" t="s">
        <v>549</v>
      </c>
      <c r="G2869">
        <v>1</v>
      </c>
      <c r="H2869" t="s">
        <v>30</v>
      </c>
      <c r="I2869">
        <v>1</v>
      </c>
      <c r="J2869" s="15"/>
      <c r="K2869" s="16">
        <f>1988.05 - (1988.05 * $E$1)</f>
        <v>1988.05</v>
      </c>
      <c r="L2869" s="16">
        <f>1629.55 - (1629.55 * $E$1)</f>
        <v>1629.55</v>
      </c>
      <c r="M2869" s="1">
        <v>1988.05</v>
      </c>
      <c r="N2869" s="1">
        <v>1629.55</v>
      </c>
      <c r="O2869" s="1">
        <v>1689.84</v>
      </c>
      <c r="P2869" s="1">
        <v>1385.12</v>
      </c>
      <c r="Q2869">
        <v>0.59699999999999998</v>
      </c>
      <c r="R2869">
        <v>9.6599999999999995E-4</v>
      </c>
    </row>
    <row r="2870" spans="1:18" ht="13.8" outlineLevel="3" x14ac:dyDescent="0.25">
      <c r="A2870">
        <v>90760</v>
      </c>
      <c r="B2870" t="s">
        <v>3350</v>
      </c>
      <c r="C2870" t="s">
        <v>3367</v>
      </c>
      <c r="D2870" s="14" t="s">
        <v>3354</v>
      </c>
      <c r="E2870" s="12" t="s">
        <v>28</v>
      </c>
      <c r="F2870" s="13" t="s">
        <v>29</v>
      </c>
      <c r="G2870">
        <v>1</v>
      </c>
      <c r="H2870" t="s">
        <v>30</v>
      </c>
      <c r="I2870">
        <v>1</v>
      </c>
      <c r="J2870" s="15"/>
      <c r="K2870" s="16">
        <f>2260.12 - (2260.12 * $E$1)</f>
        <v>2260.12</v>
      </c>
      <c r="L2870" s="16">
        <f>1852.56 - (1852.56 * $E$1)</f>
        <v>1852.56</v>
      </c>
      <c r="M2870" s="1">
        <v>2260.12</v>
      </c>
      <c r="N2870" s="1">
        <v>1852.56</v>
      </c>
      <c r="O2870" s="1">
        <v>1921.1</v>
      </c>
      <c r="P2870" s="1">
        <v>1574.68</v>
      </c>
      <c r="Q2870">
        <v>0.59399999999999997</v>
      </c>
      <c r="R2870">
        <v>9.6599999999999995E-4</v>
      </c>
    </row>
    <row r="2871" spans="1:18" ht="13.8" outlineLevel="3" x14ac:dyDescent="0.25">
      <c r="A2871">
        <v>90761</v>
      </c>
      <c r="B2871" t="s">
        <v>3350</v>
      </c>
      <c r="C2871" t="s">
        <v>3368</v>
      </c>
      <c r="D2871" s="14" t="s">
        <v>3354</v>
      </c>
      <c r="E2871" s="12" t="s">
        <v>28</v>
      </c>
      <c r="F2871" s="13" t="s">
        <v>29</v>
      </c>
      <c r="G2871">
        <v>1</v>
      </c>
      <c r="H2871" t="s">
        <v>30</v>
      </c>
      <c r="I2871">
        <v>1</v>
      </c>
      <c r="J2871" s="15"/>
      <c r="K2871" s="16">
        <f>1984.37 - (1984.37 * $E$1)</f>
        <v>1984.37</v>
      </c>
      <c r="L2871" s="16">
        <f>1626.53 - (1626.53 * $E$1)</f>
        <v>1626.53</v>
      </c>
      <c r="M2871" s="1">
        <v>1984.37</v>
      </c>
      <c r="N2871" s="1">
        <v>1626.53</v>
      </c>
      <c r="O2871" s="1">
        <v>1686.71</v>
      </c>
      <c r="P2871" s="1">
        <v>1382.55</v>
      </c>
      <c r="Q2871">
        <v>0.58599999999999997</v>
      </c>
      <c r="R2871">
        <v>9.6599999999999995E-4</v>
      </c>
    </row>
    <row r="2872" spans="1:18" ht="13.8" outlineLevel="3" x14ac:dyDescent="0.25">
      <c r="A2872">
        <v>90762</v>
      </c>
      <c r="B2872" t="s">
        <v>3350</v>
      </c>
      <c r="C2872" t="s">
        <v>3369</v>
      </c>
      <c r="D2872" s="14" t="s">
        <v>3354</v>
      </c>
      <c r="E2872" s="12" t="s">
        <v>28</v>
      </c>
      <c r="F2872" s="17" t="s">
        <v>549</v>
      </c>
      <c r="G2872">
        <v>1</v>
      </c>
      <c r="H2872" t="s">
        <v>30</v>
      </c>
      <c r="I2872">
        <v>1</v>
      </c>
      <c r="J2872" s="15"/>
      <c r="K2872" s="16">
        <f>1988.05 - (1988.05 * $E$1)</f>
        <v>1988.05</v>
      </c>
      <c r="L2872" s="16">
        <f>1629.55 - (1629.55 * $E$1)</f>
        <v>1629.55</v>
      </c>
      <c r="M2872" s="1">
        <v>1988.05</v>
      </c>
      <c r="N2872" s="1">
        <v>1629.55</v>
      </c>
      <c r="O2872" s="1">
        <v>1689.84</v>
      </c>
      <c r="P2872" s="1">
        <v>1385.12</v>
      </c>
      <c r="Q2872">
        <v>0.6</v>
      </c>
      <c r="R2872">
        <v>9.6599999999999995E-4</v>
      </c>
    </row>
    <row r="2873" spans="1:18" ht="13.8" outlineLevel="3" x14ac:dyDescent="0.25">
      <c r="A2873">
        <v>90763</v>
      </c>
      <c r="B2873" t="s">
        <v>3350</v>
      </c>
      <c r="C2873" t="s">
        <v>3370</v>
      </c>
      <c r="D2873" s="14" t="s">
        <v>3354</v>
      </c>
      <c r="E2873" s="12" t="s">
        <v>28</v>
      </c>
      <c r="F2873" s="17" t="s">
        <v>549</v>
      </c>
      <c r="G2873">
        <v>1</v>
      </c>
      <c r="H2873" t="s">
        <v>30</v>
      </c>
      <c r="I2873">
        <v>1</v>
      </c>
      <c r="J2873" s="15"/>
      <c r="K2873" s="16">
        <f>1988.05 - (1988.05 * $E$1)</f>
        <v>1988.05</v>
      </c>
      <c r="L2873" s="16">
        <f>1629.55 - (1629.55 * $E$1)</f>
        <v>1629.55</v>
      </c>
      <c r="M2873" s="1">
        <v>1988.05</v>
      </c>
      <c r="N2873" s="1">
        <v>1629.55</v>
      </c>
      <c r="O2873" s="1">
        <v>1689.84</v>
      </c>
      <c r="P2873" s="1">
        <v>1385.12</v>
      </c>
      <c r="Q2873">
        <v>0.59799999999999998</v>
      </c>
      <c r="R2873">
        <v>9.6599999999999995E-4</v>
      </c>
    </row>
    <row r="2874" spans="1:18" ht="13.8" outlineLevel="3" x14ac:dyDescent="0.25">
      <c r="A2874">
        <v>55910</v>
      </c>
      <c r="B2874" t="s">
        <v>3334</v>
      </c>
      <c r="C2874" t="s">
        <v>3371</v>
      </c>
      <c r="D2874" s="14" t="s">
        <v>3372</v>
      </c>
      <c r="E2874" s="12" t="s">
        <v>28</v>
      </c>
      <c r="F2874" s="13" t="s">
        <v>29</v>
      </c>
      <c r="G2874">
        <v>1</v>
      </c>
      <c r="H2874" t="s">
        <v>30</v>
      </c>
      <c r="I2874">
        <v>1</v>
      </c>
      <c r="J2874" s="15"/>
      <c r="K2874" s="16">
        <f>2805.55 - (2805.55 * $E$1)</f>
        <v>2805.55</v>
      </c>
      <c r="L2874" s="16">
        <f>2299.63 - (2299.63 * $E$1)</f>
        <v>2299.63</v>
      </c>
      <c r="M2874" s="1">
        <v>2805.55</v>
      </c>
      <c r="N2874" s="1">
        <v>2299.63</v>
      </c>
      <c r="O2874" s="1">
        <v>2384.7199999999998</v>
      </c>
      <c r="P2874" s="1">
        <v>1954.69</v>
      </c>
      <c r="Q2874">
        <v>0.62</v>
      </c>
      <c r="R2874">
        <v>1.0889999999999999E-3</v>
      </c>
    </row>
    <row r="2875" spans="1:18" ht="13.8" outlineLevel="3" x14ac:dyDescent="0.25">
      <c r="A2875">
        <v>55911</v>
      </c>
      <c r="B2875" t="s">
        <v>3334</v>
      </c>
      <c r="C2875" t="s">
        <v>3373</v>
      </c>
      <c r="D2875" s="14" t="s">
        <v>3372</v>
      </c>
      <c r="E2875" s="12" t="s">
        <v>28</v>
      </c>
      <c r="F2875" s="13" t="s">
        <v>29</v>
      </c>
      <c r="G2875">
        <v>1</v>
      </c>
      <c r="H2875" t="s">
        <v>30</v>
      </c>
      <c r="I2875">
        <v>1</v>
      </c>
      <c r="J2875" s="15"/>
      <c r="K2875" s="16">
        <f>2804.28 - (2804.28 * $E$1)</f>
        <v>2804.28</v>
      </c>
      <c r="L2875" s="16">
        <f>2298.59 - (2298.59 * $E$1)</f>
        <v>2298.59</v>
      </c>
      <c r="M2875" s="1">
        <v>2804.28</v>
      </c>
      <c r="N2875" s="1">
        <v>2298.59</v>
      </c>
      <c r="O2875" s="1">
        <v>2383.64</v>
      </c>
      <c r="P2875" s="1">
        <v>1953.8</v>
      </c>
      <c r="Q2875">
        <v>0.66800000000000004</v>
      </c>
      <c r="R2875">
        <v>1.0889999999999999E-3</v>
      </c>
    </row>
    <row r="2876" spans="1:18" ht="13.8" outlineLevel="3" x14ac:dyDescent="0.25">
      <c r="A2876">
        <v>55912</v>
      </c>
      <c r="B2876" t="s">
        <v>3334</v>
      </c>
      <c r="C2876" t="s">
        <v>3374</v>
      </c>
      <c r="D2876" s="14" t="s">
        <v>3372</v>
      </c>
      <c r="E2876" s="12" t="s">
        <v>28</v>
      </c>
      <c r="F2876" s="13" t="s">
        <v>29</v>
      </c>
      <c r="G2876">
        <v>1</v>
      </c>
      <c r="H2876" t="s">
        <v>30</v>
      </c>
      <c r="I2876">
        <v>1</v>
      </c>
      <c r="J2876" s="15"/>
      <c r="K2876" s="16">
        <f>2805.34 - (2805.34 * $E$1)</f>
        <v>2805.34</v>
      </c>
      <c r="L2876" s="16">
        <f>2299.46 - (2299.46 * $E$1)</f>
        <v>2299.46</v>
      </c>
      <c r="M2876" s="1">
        <v>2805.34</v>
      </c>
      <c r="N2876" s="1">
        <v>2299.46</v>
      </c>
      <c r="O2876" s="1">
        <v>2384.54</v>
      </c>
      <c r="P2876" s="1">
        <v>1954.54</v>
      </c>
      <c r="Q2876">
        <v>0.66800000000000004</v>
      </c>
      <c r="R2876">
        <v>1.0889999999999999E-3</v>
      </c>
    </row>
    <row r="2877" spans="1:18" ht="13.8" outlineLevel="3" x14ac:dyDescent="0.25">
      <c r="A2877">
        <v>55913</v>
      </c>
      <c r="B2877" t="s">
        <v>3334</v>
      </c>
      <c r="C2877" t="s">
        <v>3375</v>
      </c>
      <c r="D2877" s="14" t="s">
        <v>3372</v>
      </c>
      <c r="E2877" s="12" t="s">
        <v>28</v>
      </c>
      <c r="F2877" s="13" t="s">
        <v>29</v>
      </c>
      <c r="G2877">
        <v>1</v>
      </c>
      <c r="H2877" t="s">
        <v>30</v>
      </c>
      <c r="I2877">
        <v>1</v>
      </c>
      <c r="J2877" s="15"/>
      <c r="K2877" s="16">
        <f>3079.46 - (3079.46 * $E$1)</f>
        <v>3079.46</v>
      </c>
      <c r="L2877" s="16">
        <f>2524.15 - (2524.15 * $E$1)</f>
        <v>2524.15</v>
      </c>
      <c r="M2877" s="1">
        <v>3079.46</v>
      </c>
      <c r="N2877" s="1">
        <v>2524.15</v>
      </c>
      <c r="O2877" s="1">
        <v>2617.54</v>
      </c>
      <c r="P2877" s="1">
        <v>2145.5300000000002</v>
      </c>
      <c r="Q2877">
        <v>0.64600000000000002</v>
      </c>
      <c r="R2877">
        <v>1.0889999999999999E-3</v>
      </c>
    </row>
    <row r="2878" spans="1:18" ht="13.8" outlineLevel="3" x14ac:dyDescent="0.25">
      <c r="A2878">
        <v>55914</v>
      </c>
      <c r="B2878" t="s">
        <v>3334</v>
      </c>
      <c r="C2878" t="s">
        <v>3376</v>
      </c>
      <c r="D2878" s="14" t="s">
        <v>3372</v>
      </c>
      <c r="E2878" s="12" t="s">
        <v>28</v>
      </c>
      <c r="F2878" s="13" t="s">
        <v>29</v>
      </c>
      <c r="G2878">
        <v>1</v>
      </c>
      <c r="H2878" t="s">
        <v>30</v>
      </c>
      <c r="I2878">
        <v>1</v>
      </c>
      <c r="J2878" s="15"/>
      <c r="K2878" s="16">
        <f>2801.1 - (2801.1 * $E$1)</f>
        <v>2801.1</v>
      </c>
      <c r="L2878" s="16">
        <f>2295.98 - (2295.98 * $E$1)</f>
        <v>2295.98</v>
      </c>
      <c r="M2878" s="1">
        <v>2801.1</v>
      </c>
      <c r="N2878" s="1">
        <v>2295.98</v>
      </c>
      <c r="O2878" s="1">
        <v>2380.9299999999998</v>
      </c>
      <c r="P2878" s="1">
        <v>1951.58</v>
      </c>
      <c r="Q2878">
        <v>0.64400000000000002</v>
      </c>
      <c r="R2878">
        <v>1.0889999999999999E-3</v>
      </c>
    </row>
    <row r="2879" spans="1:18" ht="13.8" outlineLevel="3" x14ac:dyDescent="0.25">
      <c r="A2879">
        <v>66682</v>
      </c>
      <c r="B2879" t="s">
        <v>3334</v>
      </c>
      <c r="C2879" t="s">
        <v>3377</v>
      </c>
      <c r="D2879" s="14" t="s">
        <v>3372</v>
      </c>
      <c r="E2879" s="12" t="s">
        <v>28</v>
      </c>
      <c r="F2879" s="13" t="s">
        <v>29</v>
      </c>
      <c r="G2879">
        <v>1</v>
      </c>
      <c r="H2879" t="s">
        <v>30</v>
      </c>
      <c r="I2879">
        <v>1</v>
      </c>
      <c r="J2879" s="15"/>
      <c r="K2879" s="16">
        <f>2807.26 - (2807.26 * $E$1)</f>
        <v>2807.26</v>
      </c>
      <c r="L2879" s="16">
        <f>2301.03 - (2301.03 * $E$1)</f>
        <v>2301.0300000000002</v>
      </c>
      <c r="M2879" s="1">
        <v>2807.26</v>
      </c>
      <c r="N2879" s="1">
        <v>2301.0300000000002</v>
      </c>
      <c r="O2879" s="1">
        <v>2386.17</v>
      </c>
      <c r="P2879" s="1">
        <v>1955.88</v>
      </c>
      <c r="Q2879">
        <v>0.66800000000000004</v>
      </c>
      <c r="R2879">
        <v>1.0889999999999999E-3</v>
      </c>
    </row>
    <row r="2880" spans="1:18" ht="13.8" outlineLevel="3" x14ac:dyDescent="0.25">
      <c r="A2880">
        <v>66260</v>
      </c>
      <c r="B2880" t="s">
        <v>3334</v>
      </c>
      <c r="C2880" t="s">
        <v>3378</v>
      </c>
      <c r="D2880" s="14" t="s">
        <v>3372</v>
      </c>
      <c r="E2880" s="12" t="s">
        <v>28</v>
      </c>
      <c r="F2880" s="17" t="s">
        <v>549</v>
      </c>
      <c r="G2880">
        <v>1</v>
      </c>
      <c r="H2880" t="s">
        <v>30</v>
      </c>
      <c r="I2880">
        <v>1</v>
      </c>
      <c r="J2880" s="15"/>
      <c r="K2880" s="16">
        <f>2803.22 - (2803.22 * $E$1)</f>
        <v>2803.22</v>
      </c>
      <c r="L2880" s="16">
        <f>2297.72 - (2297.72 * $E$1)</f>
        <v>2297.7199999999998</v>
      </c>
      <c r="M2880" s="1">
        <v>2803.22</v>
      </c>
      <c r="N2880" s="1">
        <v>2297.7199999999998</v>
      </c>
      <c r="O2880" s="1">
        <v>2382.7399999999998</v>
      </c>
      <c r="P2880" s="1">
        <v>1953.06</v>
      </c>
      <c r="Q2880">
        <v>0.64800000000000002</v>
      </c>
      <c r="R2880">
        <v>1.0889999999999999E-3</v>
      </c>
    </row>
    <row r="2881" spans="1:18" ht="13.8" outlineLevel="3" x14ac:dyDescent="0.25">
      <c r="A2881">
        <v>90971</v>
      </c>
      <c r="B2881" t="s">
        <v>3350</v>
      </c>
      <c r="C2881" t="s">
        <v>3379</v>
      </c>
      <c r="D2881" s="14" t="s">
        <v>3372</v>
      </c>
      <c r="E2881" s="12" t="s">
        <v>28</v>
      </c>
      <c r="F2881" s="13" t="s">
        <v>29</v>
      </c>
      <c r="G2881">
        <v>1</v>
      </c>
      <c r="H2881" t="s">
        <v>30</v>
      </c>
      <c r="I2881">
        <v>1</v>
      </c>
      <c r="J2881" s="15"/>
      <c r="K2881" s="16">
        <f>2792.6 - (2792.6 * $E$1)</f>
        <v>2792.6</v>
      </c>
      <c r="L2881" s="16">
        <f>2289.02 - (2289.02 * $E$1)</f>
        <v>2289.02</v>
      </c>
      <c r="M2881" s="1">
        <v>2792.6</v>
      </c>
      <c r="N2881" s="1">
        <v>2289.02</v>
      </c>
      <c r="O2881" s="1">
        <v>2373.71</v>
      </c>
      <c r="P2881" s="1">
        <v>1945.67</v>
      </c>
      <c r="Q2881">
        <v>0.67</v>
      </c>
      <c r="R2881">
        <v>7.3300000000000004E-4</v>
      </c>
    </row>
    <row r="2882" spans="1:18" ht="13.8" outlineLevel="3" x14ac:dyDescent="0.25">
      <c r="A2882">
        <v>75827</v>
      </c>
      <c r="B2882" t="s">
        <v>3334</v>
      </c>
      <c r="C2882" t="s">
        <v>3380</v>
      </c>
      <c r="D2882" s="14" t="s">
        <v>3372</v>
      </c>
      <c r="E2882" s="12" t="s">
        <v>28</v>
      </c>
      <c r="F2882" s="13" t="s">
        <v>29</v>
      </c>
      <c r="G2882">
        <v>1</v>
      </c>
      <c r="H2882" t="s">
        <v>30</v>
      </c>
      <c r="I2882">
        <v>1</v>
      </c>
      <c r="J2882" s="15"/>
      <c r="K2882" s="16">
        <f>2809.59 - (2809.59 * $E$1)</f>
        <v>2809.59</v>
      </c>
      <c r="L2882" s="16">
        <f>2302.94 - (2302.94 * $E$1)</f>
        <v>2302.94</v>
      </c>
      <c r="M2882" s="1">
        <v>2809.59</v>
      </c>
      <c r="N2882" s="1">
        <v>2302.94</v>
      </c>
      <c r="O2882" s="1">
        <v>2388.15</v>
      </c>
      <c r="P2882" s="1">
        <v>1957.5</v>
      </c>
      <c r="Q2882">
        <v>0.67800000000000005</v>
      </c>
      <c r="R2882">
        <v>1.0889999999999999E-3</v>
      </c>
    </row>
    <row r="2883" spans="1:18" ht="13.8" outlineLevel="3" x14ac:dyDescent="0.25">
      <c r="A2883">
        <v>64712</v>
      </c>
      <c r="B2883" t="s">
        <v>3334</v>
      </c>
      <c r="C2883" t="s">
        <v>3381</v>
      </c>
      <c r="D2883" s="14" t="s">
        <v>3372</v>
      </c>
      <c r="E2883" s="12" t="s">
        <v>28</v>
      </c>
      <c r="F2883" s="13" t="s">
        <v>29</v>
      </c>
      <c r="G2883">
        <v>1</v>
      </c>
      <c r="H2883" t="s">
        <v>30</v>
      </c>
      <c r="I2883">
        <v>1</v>
      </c>
      <c r="J2883" s="15"/>
      <c r="K2883" s="16">
        <f>2804.28 - (2804.28 * $E$1)</f>
        <v>2804.28</v>
      </c>
      <c r="L2883" s="16">
        <f>2298.59 - (2298.59 * $E$1)</f>
        <v>2298.59</v>
      </c>
      <c r="M2883" s="1">
        <v>2804.28</v>
      </c>
      <c r="N2883" s="1">
        <v>2298.59</v>
      </c>
      <c r="O2883" s="1">
        <v>2383.64</v>
      </c>
      <c r="P2883" s="1">
        <v>1953.8</v>
      </c>
      <c r="Q2883">
        <v>0.65800000000000003</v>
      </c>
      <c r="R2883">
        <v>1.0889999999999999E-3</v>
      </c>
    </row>
    <row r="2884" spans="1:18" ht="13.8" outlineLevel="3" x14ac:dyDescent="0.25">
      <c r="A2884">
        <v>74852</v>
      </c>
      <c r="B2884" t="s">
        <v>3334</v>
      </c>
      <c r="C2884" t="s">
        <v>3382</v>
      </c>
      <c r="D2884" s="14" t="s">
        <v>3372</v>
      </c>
      <c r="E2884" s="12" t="s">
        <v>28</v>
      </c>
      <c r="F2884" s="13" t="s">
        <v>29</v>
      </c>
      <c r="G2884">
        <v>1</v>
      </c>
      <c r="H2884" t="s">
        <v>30</v>
      </c>
      <c r="I2884">
        <v>1</v>
      </c>
      <c r="J2884" s="15"/>
      <c r="K2884" s="16">
        <f>2804.28 - (2804.28 * $E$1)</f>
        <v>2804.28</v>
      </c>
      <c r="L2884" s="16">
        <f>2298.59 - (2298.59 * $E$1)</f>
        <v>2298.59</v>
      </c>
      <c r="M2884" s="1">
        <v>2804.28</v>
      </c>
      <c r="N2884" s="1">
        <v>2298.59</v>
      </c>
      <c r="O2884" s="1">
        <v>2383.64</v>
      </c>
      <c r="P2884" s="1">
        <v>1953.8</v>
      </c>
      <c r="Q2884">
        <v>0.66500000000000004</v>
      </c>
      <c r="R2884">
        <v>1.0889999999999999E-3</v>
      </c>
    </row>
    <row r="2885" spans="1:18" ht="13.8" outlineLevel="3" x14ac:dyDescent="0.25">
      <c r="A2885">
        <v>64713</v>
      </c>
      <c r="B2885" t="s">
        <v>3334</v>
      </c>
      <c r="C2885" t="s">
        <v>3383</v>
      </c>
      <c r="D2885" s="14" t="s">
        <v>3372</v>
      </c>
      <c r="E2885" s="12" t="s">
        <v>28</v>
      </c>
      <c r="F2885" s="13" t="s">
        <v>29</v>
      </c>
      <c r="G2885">
        <v>1</v>
      </c>
      <c r="H2885" t="s">
        <v>30</v>
      </c>
      <c r="I2885">
        <v>1</v>
      </c>
      <c r="J2885" s="15"/>
      <c r="K2885" s="16">
        <f>2792.6 - (2792.6 * $E$1)</f>
        <v>2792.6</v>
      </c>
      <c r="L2885" s="16">
        <f>2289.02 - (2289.02 * $E$1)</f>
        <v>2289.02</v>
      </c>
      <c r="M2885" s="1">
        <v>2792.6</v>
      </c>
      <c r="N2885" s="1">
        <v>2289.02</v>
      </c>
      <c r="O2885" s="1">
        <v>2373.71</v>
      </c>
      <c r="P2885" s="1">
        <v>1945.67</v>
      </c>
      <c r="Q2885">
        <v>0.67</v>
      </c>
      <c r="R2885">
        <v>7.45E-4</v>
      </c>
    </row>
    <row r="2886" spans="1:18" ht="13.8" outlineLevel="3" x14ac:dyDescent="0.25">
      <c r="A2886">
        <v>85447</v>
      </c>
      <c r="B2886" t="s">
        <v>3334</v>
      </c>
      <c r="C2886" t="s">
        <v>3384</v>
      </c>
      <c r="D2886" s="14" t="s">
        <v>3372</v>
      </c>
      <c r="E2886" s="12" t="s">
        <v>28</v>
      </c>
      <c r="F2886" s="17" t="s">
        <v>549</v>
      </c>
      <c r="G2886">
        <v>1</v>
      </c>
      <c r="H2886" t="s">
        <v>30</v>
      </c>
      <c r="I2886">
        <v>1</v>
      </c>
      <c r="J2886" s="15"/>
      <c r="K2886" s="16">
        <f>2792.6 - (2792.6 * $E$1)</f>
        <v>2792.6</v>
      </c>
      <c r="L2886" s="16">
        <f>2289.02 - (2289.02 * $E$1)</f>
        <v>2289.02</v>
      </c>
      <c r="M2886" s="1">
        <v>2792.6</v>
      </c>
      <c r="N2886" s="1">
        <v>2289.02</v>
      </c>
      <c r="O2886" s="1">
        <v>2373.71</v>
      </c>
      <c r="P2886" s="1">
        <v>1945.67</v>
      </c>
      <c r="Q2886">
        <v>0.67</v>
      </c>
      <c r="R2886">
        <v>7.5000000000000002E-4</v>
      </c>
    </row>
    <row r="2887" spans="1:18" ht="13.8" outlineLevel="3" x14ac:dyDescent="0.25">
      <c r="A2887">
        <v>69972</v>
      </c>
      <c r="B2887" t="s">
        <v>3334</v>
      </c>
      <c r="C2887" t="s">
        <v>3385</v>
      </c>
      <c r="D2887" s="14" t="s">
        <v>3372</v>
      </c>
      <c r="E2887" s="12" t="s">
        <v>28</v>
      </c>
      <c r="F2887" s="13" t="s">
        <v>29</v>
      </c>
      <c r="G2887">
        <v>1</v>
      </c>
      <c r="H2887" t="s">
        <v>30</v>
      </c>
      <c r="I2887">
        <v>1</v>
      </c>
      <c r="J2887" s="15"/>
      <c r="K2887" s="16">
        <f>3072.03 - (3072.03 * $E$1)</f>
        <v>3072.03</v>
      </c>
      <c r="L2887" s="16">
        <f>2518.06 - (2518.06 * $E$1)</f>
        <v>2518.06</v>
      </c>
      <c r="M2887" s="1">
        <v>3072.03</v>
      </c>
      <c r="N2887" s="1">
        <v>2518.06</v>
      </c>
      <c r="O2887" s="1">
        <v>2611.23</v>
      </c>
      <c r="P2887" s="1">
        <v>2140.35</v>
      </c>
      <c r="Q2887">
        <v>0.67</v>
      </c>
      <c r="R2887">
        <v>7.45E-4</v>
      </c>
    </row>
    <row r="2888" spans="1:18" ht="13.8" outlineLevel="3" x14ac:dyDescent="0.25">
      <c r="A2888">
        <v>69973</v>
      </c>
      <c r="B2888" t="s">
        <v>3334</v>
      </c>
      <c r="C2888" t="s">
        <v>3386</v>
      </c>
      <c r="D2888" s="14" t="s">
        <v>3372</v>
      </c>
      <c r="E2888" s="12" t="s">
        <v>28</v>
      </c>
      <c r="F2888" s="13" t="s">
        <v>29</v>
      </c>
      <c r="G2888">
        <v>1</v>
      </c>
      <c r="H2888" t="s">
        <v>30</v>
      </c>
      <c r="I2888">
        <v>1</v>
      </c>
      <c r="J2888" s="15"/>
      <c r="K2888" s="16">
        <f>2803.22 - (2803.22 * $E$1)</f>
        <v>2803.22</v>
      </c>
      <c r="L2888" s="16">
        <f>2297.72 - (2297.72 * $E$1)</f>
        <v>2297.7199999999998</v>
      </c>
      <c r="M2888" s="1">
        <v>2803.22</v>
      </c>
      <c r="N2888" s="1">
        <v>2297.7199999999998</v>
      </c>
      <c r="O2888" s="1">
        <v>2382.7399999999998</v>
      </c>
      <c r="P2888" s="1">
        <v>1953.06</v>
      </c>
      <c r="Q2888">
        <v>0.66</v>
      </c>
      <c r="R2888">
        <v>1.0889999999999999E-3</v>
      </c>
    </row>
    <row r="2889" spans="1:18" ht="13.8" outlineLevel="3" x14ac:dyDescent="0.25">
      <c r="A2889">
        <v>90970</v>
      </c>
      <c r="B2889" t="s">
        <v>3350</v>
      </c>
      <c r="C2889" t="s">
        <v>3387</v>
      </c>
      <c r="D2889" s="14" t="s">
        <v>3372</v>
      </c>
      <c r="E2889" s="12" t="s">
        <v>28</v>
      </c>
      <c r="F2889" s="13" t="s">
        <v>29</v>
      </c>
      <c r="G2889">
        <v>1</v>
      </c>
      <c r="H2889" t="s">
        <v>30</v>
      </c>
      <c r="I2889">
        <v>1</v>
      </c>
      <c r="J2889" s="15"/>
      <c r="K2889" s="16">
        <f>2792.6 - (2792.6 * $E$1)</f>
        <v>2792.6</v>
      </c>
      <c r="L2889" s="16">
        <f>2289.02 - (2289.02 * $E$1)</f>
        <v>2289.02</v>
      </c>
      <c r="M2889" s="1">
        <v>2792.6</v>
      </c>
      <c r="N2889" s="1">
        <v>2289.02</v>
      </c>
      <c r="O2889" s="1">
        <v>2373.71</v>
      </c>
      <c r="P2889" s="1">
        <v>1945.67</v>
      </c>
      <c r="Q2889">
        <v>0.67</v>
      </c>
      <c r="R2889">
        <v>7.3300000000000004E-4</v>
      </c>
    </row>
    <row r="2890" spans="1:18" ht="13.8" outlineLevel="3" x14ac:dyDescent="0.25">
      <c r="A2890">
        <v>85448</v>
      </c>
      <c r="B2890" t="s">
        <v>3334</v>
      </c>
      <c r="C2890" t="s">
        <v>3388</v>
      </c>
      <c r="D2890" s="14" t="s">
        <v>3372</v>
      </c>
      <c r="E2890" s="12" t="s">
        <v>28</v>
      </c>
      <c r="F2890" s="13" t="s">
        <v>29</v>
      </c>
      <c r="G2890">
        <v>1</v>
      </c>
      <c r="H2890" t="s">
        <v>30</v>
      </c>
      <c r="I2890">
        <v>1</v>
      </c>
      <c r="J2890" s="15"/>
      <c r="K2890" s="16">
        <f>2792.6 - (2792.6 * $E$1)</f>
        <v>2792.6</v>
      </c>
      <c r="L2890" s="16">
        <f>2289.02 - (2289.02 * $E$1)</f>
        <v>2289.02</v>
      </c>
      <c r="M2890" s="1">
        <v>2792.6</v>
      </c>
      <c r="N2890" s="1">
        <v>2289.02</v>
      </c>
      <c r="O2890" s="1">
        <v>2373.71</v>
      </c>
      <c r="P2890" s="1">
        <v>1945.67</v>
      </c>
      <c r="Q2890">
        <v>0.67</v>
      </c>
      <c r="R2890">
        <v>7.5000000000000002E-4</v>
      </c>
    </row>
    <row r="2891" spans="1:18" ht="13.8" outlineLevel="3" x14ac:dyDescent="0.25">
      <c r="A2891">
        <v>85137</v>
      </c>
      <c r="B2891" t="s">
        <v>3389</v>
      </c>
      <c r="C2891" t="s">
        <v>3390</v>
      </c>
      <c r="D2891" s="14" t="s">
        <v>3391</v>
      </c>
      <c r="E2891" s="12" t="s">
        <v>28</v>
      </c>
      <c r="F2891" s="13" t="s">
        <v>29</v>
      </c>
      <c r="G2891">
        <v>1</v>
      </c>
      <c r="H2891" t="s">
        <v>30</v>
      </c>
      <c r="I2891">
        <v>1</v>
      </c>
      <c r="J2891" s="15"/>
      <c r="K2891" s="16">
        <f>2252.57 - (2252.57 * $E$1)</f>
        <v>2252.5700000000002</v>
      </c>
      <c r="L2891" s="16">
        <f>1846.37 - (1846.37 * $E$1)</f>
        <v>1846.37</v>
      </c>
      <c r="M2891" s="1">
        <v>2252.5700000000002</v>
      </c>
      <c r="N2891" s="1">
        <v>1846.37</v>
      </c>
      <c r="O2891" s="1">
        <v>1914.69</v>
      </c>
      <c r="P2891" s="1">
        <v>1569.41</v>
      </c>
      <c r="Q2891">
        <v>0.43</v>
      </c>
      <c r="R2891">
        <v>6.3400000000000001E-4</v>
      </c>
    </row>
    <row r="2892" spans="1:18" ht="13.8" outlineLevel="3" x14ac:dyDescent="0.25">
      <c r="A2892">
        <v>85272</v>
      </c>
      <c r="B2892" t="s">
        <v>3389</v>
      </c>
      <c r="C2892" t="s">
        <v>3392</v>
      </c>
      <c r="D2892" s="14" t="s">
        <v>3393</v>
      </c>
      <c r="E2892" s="12" t="s">
        <v>28</v>
      </c>
      <c r="F2892" s="13" t="s">
        <v>29</v>
      </c>
      <c r="G2892">
        <v>1</v>
      </c>
      <c r="H2892" t="s">
        <v>30</v>
      </c>
      <c r="I2892">
        <v>1</v>
      </c>
      <c r="J2892" s="15"/>
      <c r="K2892" s="16">
        <f>2267.05 - (2267.05 * $E$1)</f>
        <v>2267.0500000000002</v>
      </c>
      <c r="L2892" s="16">
        <f>1858.24 - (1858.24 * $E$1)</f>
        <v>1858.24</v>
      </c>
      <c r="M2892" s="1">
        <v>2267.0500000000002</v>
      </c>
      <c r="N2892" s="1">
        <v>1858.24</v>
      </c>
      <c r="O2892" s="1">
        <v>1926.99</v>
      </c>
      <c r="P2892" s="1">
        <v>1579.5</v>
      </c>
      <c r="Q2892">
        <v>0.43</v>
      </c>
      <c r="R2892">
        <v>6.3400000000000001E-4</v>
      </c>
    </row>
    <row r="2893" spans="1:18" ht="13.8" outlineLevel="3" x14ac:dyDescent="0.25">
      <c r="A2893">
        <v>85740</v>
      </c>
      <c r="B2893" t="s">
        <v>3334</v>
      </c>
      <c r="C2893" t="s">
        <v>3394</v>
      </c>
      <c r="D2893" s="14" t="s">
        <v>3395</v>
      </c>
      <c r="E2893" s="12" t="s">
        <v>28</v>
      </c>
      <c r="F2893" s="13" t="s">
        <v>29</v>
      </c>
      <c r="G2893">
        <v>1</v>
      </c>
      <c r="H2893" t="s">
        <v>30</v>
      </c>
      <c r="I2893">
        <v>1</v>
      </c>
      <c r="J2893" s="15"/>
      <c r="K2893" s="16">
        <f>1746.06 - (1746.06 * $E$1)</f>
        <v>1746.06</v>
      </c>
      <c r="L2893" s="16">
        <f>1431.2 - (1431.2 * $E$1)</f>
        <v>1431.2</v>
      </c>
      <c r="M2893" s="1">
        <v>1746.06</v>
      </c>
      <c r="N2893" s="1">
        <v>1431.2</v>
      </c>
      <c r="O2893" s="1">
        <v>1484.15</v>
      </c>
      <c r="P2893" s="1">
        <v>1216.52</v>
      </c>
      <c r="Q2893">
        <v>0.43</v>
      </c>
      <c r="R2893">
        <v>6.3400000000000001E-4</v>
      </c>
    </row>
    <row r="2894" spans="1:18" ht="13.8" outlineLevel="3" x14ac:dyDescent="0.25">
      <c r="A2894">
        <v>86875</v>
      </c>
      <c r="B2894" t="s">
        <v>3396</v>
      </c>
      <c r="C2894" t="s">
        <v>3397</v>
      </c>
      <c r="D2894" s="14" t="s">
        <v>3398</v>
      </c>
      <c r="E2894" s="12" t="s">
        <v>28</v>
      </c>
      <c r="F2894" s="13" t="s">
        <v>29</v>
      </c>
      <c r="G2894">
        <v>1</v>
      </c>
      <c r="H2894" t="s">
        <v>30</v>
      </c>
      <c r="I2894">
        <v>1</v>
      </c>
      <c r="J2894" s="15"/>
      <c r="K2894" s="16">
        <f>4119.7 - (4119.7 * $E$1)</f>
        <v>4119.7</v>
      </c>
      <c r="L2894" s="16">
        <f>3376.8 - (3376.8 * $E$1)</f>
        <v>3376.8</v>
      </c>
      <c r="M2894" s="1">
        <v>4119.7</v>
      </c>
      <c r="N2894" s="1">
        <v>3376.8</v>
      </c>
      <c r="O2894" s="1">
        <v>3501.74</v>
      </c>
      <c r="P2894" s="1">
        <v>2870.28</v>
      </c>
      <c r="Q2894">
        <v>0.69</v>
      </c>
      <c r="R2894">
        <v>1.402E-3</v>
      </c>
    </row>
    <row r="2895" spans="1:18" ht="13.8" outlineLevel="3" x14ac:dyDescent="0.25">
      <c r="A2895">
        <v>89225</v>
      </c>
      <c r="B2895" t="s">
        <v>3396</v>
      </c>
      <c r="C2895" t="s">
        <v>3399</v>
      </c>
      <c r="D2895" s="14" t="s">
        <v>3400</v>
      </c>
      <c r="E2895" s="12" t="s">
        <v>28</v>
      </c>
      <c r="F2895" s="13" t="s">
        <v>29</v>
      </c>
      <c r="G2895">
        <v>1</v>
      </c>
      <c r="H2895" t="s">
        <v>30</v>
      </c>
      <c r="I2895">
        <v>1</v>
      </c>
      <c r="J2895" s="15"/>
      <c r="K2895" s="16">
        <f>5458.3 - (5458.3 * $E$1)</f>
        <v>5458.3</v>
      </c>
      <c r="L2895" s="16">
        <f>4474.02 - (4474.02 * $E$1)</f>
        <v>4474.0200000000004</v>
      </c>
      <c r="M2895" s="1">
        <v>5458.3</v>
      </c>
      <c r="N2895" s="1">
        <v>4474.0200000000004</v>
      </c>
      <c r="O2895" s="1">
        <v>4639.5600000000004</v>
      </c>
      <c r="P2895" s="1">
        <v>3802.92</v>
      </c>
      <c r="Q2895">
        <v>0.74199999999999999</v>
      </c>
      <c r="R2895">
        <v>1.859E-3</v>
      </c>
    </row>
    <row r="2896" spans="1:18" ht="13.8" outlineLevel="3" x14ac:dyDescent="0.25">
      <c r="A2896">
        <v>75907</v>
      </c>
      <c r="B2896" t="s">
        <v>3401</v>
      </c>
      <c r="C2896" t="s">
        <v>3402</v>
      </c>
      <c r="D2896" s="14" t="s">
        <v>3403</v>
      </c>
      <c r="E2896" s="12" t="s">
        <v>28</v>
      </c>
      <c r="F2896" s="13" t="s">
        <v>29</v>
      </c>
      <c r="G2896">
        <v>1</v>
      </c>
      <c r="H2896" t="s">
        <v>30</v>
      </c>
      <c r="I2896">
        <v>1</v>
      </c>
      <c r="J2896" s="15"/>
      <c r="K2896" s="16">
        <f>4658 - (4658 * $E$1)</f>
        <v>4658</v>
      </c>
      <c r="L2896" s="16">
        <f>3818.03 - (3818.03 * $E$1)</f>
        <v>3818.03</v>
      </c>
      <c r="M2896" s="1">
        <v>4658</v>
      </c>
      <c r="N2896" s="1">
        <v>3818.03</v>
      </c>
      <c r="O2896" s="1">
        <v>3959.3</v>
      </c>
      <c r="P2896" s="1">
        <v>3245.33</v>
      </c>
      <c r="Q2896">
        <v>1.048</v>
      </c>
      <c r="R2896">
        <v>2.5379999999999999E-3</v>
      </c>
    </row>
    <row r="2897" spans="1:18" ht="13.8" outlineLevel="3" x14ac:dyDescent="0.25">
      <c r="A2897">
        <v>83347</v>
      </c>
      <c r="B2897" t="s">
        <v>3396</v>
      </c>
      <c r="C2897" t="s">
        <v>3404</v>
      </c>
      <c r="D2897" s="14" t="s">
        <v>3405</v>
      </c>
      <c r="E2897" s="12" t="s">
        <v>28</v>
      </c>
      <c r="F2897" s="13" t="s">
        <v>29</v>
      </c>
      <c r="G2897">
        <v>1</v>
      </c>
      <c r="H2897" t="s">
        <v>30</v>
      </c>
      <c r="I2897">
        <v>1</v>
      </c>
      <c r="J2897" s="15"/>
      <c r="K2897" s="16">
        <f>7277 - (7277 * $E$1)</f>
        <v>7277</v>
      </c>
      <c r="L2897" s="16">
        <f>5964.75 - (5964.75 * $E$1)</f>
        <v>5964.75</v>
      </c>
      <c r="M2897" s="1">
        <v>7277</v>
      </c>
      <c r="N2897" s="1">
        <v>5964.75</v>
      </c>
      <c r="O2897" s="1">
        <v>6185.45</v>
      </c>
      <c r="P2897" s="1">
        <v>5070.04</v>
      </c>
      <c r="Q2897">
        <v>1.31</v>
      </c>
      <c r="R2897">
        <v>4.2040000000000003E-3</v>
      </c>
    </row>
    <row r="2898" spans="1:18" ht="13.8" outlineLevel="3" x14ac:dyDescent="0.25">
      <c r="A2898">
        <v>90777</v>
      </c>
      <c r="B2898" t="s">
        <v>3396</v>
      </c>
      <c r="C2898" t="s">
        <v>3406</v>
      </c>
      <c r="D2898" s="14" t="s">
        <v>3407</v>
      </c>
      <c r="E2898" s="12" t="s">
        <v>28</v>
      </c>
      <c r="F2898" s="13" t="s">
        <v>29</v>
      </c>
      <c r="G2898">
        <v>1</v>
      </c>
      <c r="H2898" t="s">
        <v>30</v>
      </c>
      <c r="I2898">
        <v>1</v>
      </c>
      <c r="J2898" s="15"/>
      <c r="K2898" s="16">
        <f>5483.11 - (5483.11 * $E$1)</f>
        <v>5483.11</v>
      </c>
      <c r="L2898" s="16">
        <f>4494.35 - (4494.35 * $E$1)</f>
        <v>4494.3500000000004</v>
      </c>
      <c r="M2898" s="1">
        <v>5483.11</v>
      </c>
      <c r="N2898" s="1">
        <v>4494.3500000000004</v>
      </c>
      <c r="O2898" s="1">
        <v>4660.6400000000003</v>
      </c>
      <c r="P2898" s="1">
        <v>3820.2</v>
      </c>
      <c r="Q2898">
        <v>1.1140000000000001</v>
      </c>
      <c r="R2898">
        <v>2.5379999999999999E-3</v>
      </c>
    </row>
    <row r="2899" spans="1:18" ht="13.8" outlineLevel="3" x14ac:dyDescent="0.25">
      <c r="A2899">
        <v>90778</v>
      </c>
      <c r="B2899" t="s">
        <v>3396</v>
      </c>
      <c r="C2899" t="s">
        <v>3408</v>
      </c>
      <c r="D2899" s="14" t="s">
        <v>3409</v>
      </c>
      <c r="E2899" s="12" t="s">
        <v>28</v>
      </c>
      <c r="F2899" s="13" t="s">
        <v>29</v>
      </c>
      <c r="G2899">
        <v>1</v>
      </c>
      <c r="H2899" t="s">
        <v>30</v>
      </c>
      <c r="I2899">
        <v>1</v>
      </c>
      <c r="J2899" s="15"/>
      <c r="K2899" s="16">
        <f>7634.63 - (7634.63 * $E$1)</f>
        <v>7634.63</v>
      </c>
      <c r="L2899" s="16">
        <f>6257.89 - (6257.89 * $E$1)</f>
        <v>6257.89</v>
      </c>
      <c r="M2899" s="1">
        <v>7634.63</v>
      </c>
      <c r="N2899" s="1">
        <v>6257.89</v>
      </c>
      <c r="O2899" s="1">
        <v>6489.43</v>
      </c>
      <c r="P2899" s="1">
        <v>5319.21</v>
      </c>
      <c r="Q2899">
        <v>1.33</v>
      </c>
      <c r="R2899">
        <v>2.5379999999999999E-3</v>
      </c>
    </row>
    <row r="2900" spans="1:18" ht="13.8" outlineLevel="3" x14ac:dyDescent="0.25">
      <c r="A2900">
        <v>89227</v>
      </c>
      <c r="B2900" t="s">
        <v>3396</v>
      </c>
      <c r="C2900" t="s">
        <v>3410</v>
      </c>
      <c r="D2900" s="14" t="s">
        <v>3411</v>
      </c>
      <c r="E2900" s="12" t="s">
        <v>28</v>
      </c>
      <c r="F2900" s="13" t="s">
        <v>29</v>
      </c>
      <c r="G2900">
        <v>1</v>
      </c>
      <c r="H2900" t="s">
        <v>30</v>
      </c>
      <c r="I2900">
        <v>1</v>
      </c>
      <c r="J2900" s="15"/>
      <c r="K2900" s="16">
        <f>6532.71 - (6532.71 * $E$1)</f>
        <v>6532.71</v>
      </c>
      <c r="L2900" s="16">
        <f>5354.68 - (5354.68 * $E$1)</f>
        <v>5354.68</v>
      </c>
      <c r="M2900" s="1">
        <v>6532.71</v>
      </c>
      <c r="N2900" s="1">
        <v>5354.68</v>
      </c>
      <c r="O2900" s="1">
        <v>5552.8</v>
      </c>
      <c r="P2900" s="1">
        <v>4551.4799999999996</v>
      </c>
      <c r="Q2900">
        <v>1.1819999999999999</v>
      </c>
      <c r="R2900">
        <v>2.5379999999999999E-3</v>
      </c>
    </row>
    <row r="2901" spans="1:18" ht="13.8" outlineLevel="3" x14ac:dyDescent="0.25">
      <c r="A2901">
        <v>89183</v>
      </c>
      <c r="B2901" t="s">
        <v>3396</v>
      </c>
      <c r="C2901" t="s">
        <v>3412</v>
      </c>
      <c r="D2901" s="14" t="s">
        <v>3413</v>
      </c>
      <c r="E2901" s="12" t="s">
        <v>28</v>
      </c>
      <c r="F2901" s="13" t="s">
        <v>29</v>
      </c>
      <c r="G2901">
        <v>1</v>
      </c>
      <c r="H2901" t="s">
        <v>30</v>
      </c>
      <c r="I2901">
        <v>1</v>
      </c>
      <c r="J2901" s="15"/>
      <c r="K2901" s="16">
        <f>8739.57 - (8739.57 * $E$1)</f>
        <v>8739.57</v>
      </c>
      <c r="L2901" s="16">
        <f>7163.58 - (7163.58 * $E$1)</f>
        <v>7163.58</v>
      </c>
      <c r="M2901" s="1">
        <v>8739.57</v>
      </c>
      <c r="N2901" s="1">
        <v>7163.58</v>
      </c>
      <c r="O2901" s="1">
        <v>7428.63</v>
      </c>
      <c r="P2901" s="1">
        <v>6089.04</v>
      </c>
      <c r="Q2901">
        <v>1.4</v>
      </c>
      <c r="R2901">
        <v>4.2040000000000003E-3</v>
      </c>
    </row>
    <row r="2902" spans="1:18" ht="13.8" outlineLevel="3" x14ac:dyDescent="0.25">
      <c r="A2902">
        <v>101859</v>
      </c>
      <c r="B2902" t="s">
        <v>3414</v>
      </c>
      <c r="C2902" t="s">
        <v>3415</v>
      </c>
      <c r="D2902" s="14" t="s">
        <v>3416</v>
      </c>
      <c r="E2902" s="12" t="s">
        <v>28</v>
      </c>
      <c r="F2902" s="17" t="s">
        <v>549</v>
      </c>
      <c r="G2902">
        <v>1</v>
      </c>
      <c r="H2902" t="s">
        <v>30</v>
      </c>
      <c r="I2902">
        <v>1</v>
      </c>
      <c r="J2902" s="15"/>
      <c r="K2902" s="16">
        <f>9309.38 - (9309.38 * $E$1)</f>
        <v>9309.3799999999992</v>
      </c>
      <c r="L2902" s="16">
        <f>7630.64 - (7630.64 * $E$1)</f>
        <v>7630.64</v>
      </c>
      <c r="M2902" s="1">
        <v>9309.3799999999992</v>
      </c>
      <c r="N2902" s="1">
        <v>7630.64</v>
      </c>
      <c r="O2902" s="1">
        <v>7912.97</v>
      </c>
      <c r="P2902" s="1">
        <v>6486.04</v>
      </c>
      <c r="Q2902">
        <v>1.1100000000000001</v>
      </c>
      <c r="R2902">
        <v>2.8709999999999999E-3</v>
      </c>
    </row>
    <row r="2903" spans="1:18" ht="13.8" outlineLevel="3" x14ac:dyDescent="0.25">
      <c r="A2903">
        <v>80102</v>
      </c>
      <c r="B2903" t="s">
        <v>3414</v>
      </c>
      <c r="C2903" t="s">
        <v>3417</v>
      </c>
      <c r="D2903" s="14" t="s">
        <v>3418</v>
      </c>
      <c r="E2903" s="12" t="s">
        <v>28</v>
      </c>
      <c r="F2903" s="13" t="s">
        <v>29</v>
      </c>
      <c r="G2903">
        <v>1</v>
      </c>
      <c r="H2903" t="s">
        <v>30</v>
      </c>
      <c r="I2903">
        <v>1</v>
      </c>
      <c r="J2903" s="15"/>
      <c r="K2903" s="16">
        <f>6828.4 - (6828.4 * $E$1)</f>
        <v>6828.4</v>
      </c>
      <c r="L2903" s="16">
        <f>5597.05 - (5597.05 * $E$1)</f>
        <v>5597.05</v>
      </c>
      <c r="M2903" s="1">
        <v>6828.4</v>
      </c>
      <c r="N2903" s="1">
        <v>5597.05</v>
      </c>
      <c r="O2903" s="1">
        <v>5804.14</v>
      </c>
      <c r="P2903" s="1">
        <v>4757.49</v>
      </c>
      <c r="Q2903">
        <v>0.9</v>
      </c>
      <c r="R2903">
        <v>1.6379999999999999E-3</v>
      </c>
    </row>
    <row r="2904" spans="1:18" ht="13.8" outlineLevel="3" x14ac:dyDescent="0.25">
      <c r="A2904">
        <v>78862</v>
      </c>
      <c r="B2904" t="s">
        <v>3389</v>
      </c>
      <c r="C2904" t="s">
        <v>3419</v>
      </c>
      <c r="D2904" s="14" t="s">
        <v>3420</v>
      </c>
      <c r="E2904" s="12" t="s">
        <v>28</v>
      </c>
      <c r="F2904" s="17" t="s">
        <v>549</v>
      </c>
      <c r="G2904">
        <v>1</v>
      </c>
      <c r="H2904" t="s">
        <v>30</v>
      </c>
      <c r="I2904">
        <v>1</v>
      </c>
      <c r="J2904" s="15"/>
      <c r="K2904" s="16">
        <f>2726.31 - (2726.31 * $E$1)</f>
        <v>2726.31</v>
      </c>
      <c r="L2904" s="16">
        <f>2234.68 - (2234.68 * $E$1)</f>
        <v>2234.6799999999998</v>
      </c>
      <c r="M2904" s="1">
        <v>2726.31</v>
      </c>
      <c r="N2904" s="1">
        <v>2234.6799999999998</v>
      </c>
      <c r="O2904" s="1">
        <v>2317.36</v>
      </c>
      <c r="P2904" s="1">
        <v>1899.48</v>
      </c>
      <c r="Q2904">
        <v>0.504</v>
      </c>
      <c r="R2904">
        <v>1.4300000000000001E-3</v>
      </c>
    </row>
    <row r="2905" spans="1:18" ht="13.8" outlineLevel="3" x14ac:dyDescent="0.25">
      <c r="A2905">
        <v>102351</v>
      </c>
      <c r="B2905" t="s">
        <v>3396</v>
      </c>
      <c r="C2905" t="s">
        <v>3421</v>
      </c>
      <c r="D2905" s="14" t="s">
        <v>3422</v>
      </c>
      <c r="E2905" s="12" t="s">
        <v>28</v>
      </c>
      <c r="F2905" s="13" t="s">
        <v>29</v>
      </c>
      <c r="G2905">
        <v>1</v>
      </c>
      <c r="H2905" t="s">
        <v>30</v>
      </c>
      <c r="I2905">
        <v>1</v>
      </c>
      <c r="J2905" s="15"/>
      <c r="K2905" s="16">
        <f>9141.7 - (9141.7 * $E$1)</f>
        <v>9141.7000000000007</v>
      </c>
      <c r="L2905" s="16">
        <f>7493.2 - (7493.2 * $E$1)</f>
        <v>7493.2</v>
      </c>
      <c r="M2905" s="1">
        <v>9141.7000000000007</v>
      </c>
      <c r="N2905" s="1">
        <v>7493.2</v>
      </c>
      <c r="O2905" s="1">
        <v>7770.45</v>
      </c>
      <c r="P2905" s="1">
        <v>6369.22</v>
      </c>
      <c r="Q2905">
        <v>1.5</v>
      </c>
      <c r="R2905">
        <v>4.9560000000000003E-3</v>
      </c>
    </row>
    <row r="2906" spans="1:18" ht="13.8" outlineLevel="3" x14ac:dyDescent="0.25">
      <c r="A2906">
        <v>102352</v>
      </c>
      <c r="B2906" t="s">
        <v>3396</v>
      </c>
      <c r="C2906" t="s">
        <v>3423</v>
      </c>
      <c r="D2906" s="14" t="s">
        <v>3424</v>
      </c>
      <c r="E2906" s="12" t="s">
        <v>28</v>
      </c>
      <c r="F2906" s="13" t="s">
        <v>29</v>
      </c>
      <c r="G2906">
        <v>1</v>
      </c>
      <c r="H2906" t="s">
        <v>30</v>
      </c>
      <c r="I2906">
        <v>1</v>
      </c>
      <c r="J2906" s="15"/>
      <c r="K2906" s="16">
        <f>8357.71 - (8357.71 * $E$1)</f>
        <v>8357.7099999999991</v>
      </c>
      <c r="L2906" s="16">
        <f>6850.58 - (6850.58 * $E$1)</f>
        <v>6850.58</v>
      </c>
      <c r="M2906" s="1">
        <v>8357.7099999999991</v>
      </c>
      <c r="N2906" s="1">
        <v>6850.58</v>
      </c>
      <c r="O2906" s="1">
        <v>7104.05</v>
      </c>
      <c r="P2906" s="1">
        <v>5822.99</v>
      </c>
      <c r="Q2906">
        <v>1.7</v>
      </c>
      <c r="R2906">
        <v>4.9560000000000003E-3</v>
      </c>
    </row>
    <row r="2907" spans="1:18" ht="13.8" outlineLevel="3" x14ac:dyDescent="0.25">
      <c r="A2907">
        <v>103137</v>
      </c>
      <c r="B2907" t="s">
        <v>3396</v>
      </c>
      <c r="C2907" t="s">
        <v>3425</v>
      </c>
      <c r="D2907" s="14" t="s">
        <v>3426</v>
      </c>
      <c r="E2907" s="12" t="s">
        <v>28</v>
      </c>
      <c r="F2907" s="13" t="s">
        <v>29</v>
      </c>
      <c r="G2907">
        <v>1</v>
      </c>
      <c r="H2907" t="s">
        <v>30</v>
      </c>
      <c r="I2907">
        <v>1</v>
      </c>
      <c r="J2907" s="15"/>
      <c r="K2907" s="16">
        <f>9141.73 - (9141.73 * $E$1)</f>
        <v>9141.73</v>
      </c>
      <c r="L2907" s="16">
        <f>7493.22 - (7493.22 * $E$1)</f>
        <v>7493.22</v>
      </c>
      <c r="M2907" s="1">
        <v>9141.73</v>
      </c>
      <c r="N2907" s="1">
        <v>7493.22</v>
      </c>
      <c r="O2907" s="1">
        <v>7770.47</v>
      </c>
      <c r="P2907" s="1">
        <v>6369.24</v>
      </c>
      <c r="Q2907">
        <v>2.4900000000000002</v>
      </c>
      <c r="R2907">
        <v>8.7659999999999995E-3</v>
      </c>
    </row>
    <row r="2908" spans="1:18" ht="13.8" outlineLevel="3" x14ac:dyDescent="0.25">
      <c r="A2908">
        <v>79758</v>
      </c>
      <c r="B2908" t="s">
        <v>3427</v>
      </c>
      <c r="C2908" t="s">
        <v>3428</v>
      </c>
      <c r="D2908" s="14" t="s">
        <v>3429</v>
      </c>
      <c r="E2908" s="12" t="s">
        <v>28</v>
      </c>
      <c r="F2908" s="13" t="s">
        <v>29</v>
      </c>
      <c r="G2908">
        <v>1</v>
      </c>
      <c r="H2908" t="s">
        <v>30</v>
      </c>
      <c r="I2908">
        <v>1</v>
      </c>
      <c r="J2908" s="15"/>
      <c r="K2908" s="16">
        <f>10499.54 - (10499.54 * $E$1)</f>
        <v>10499.54</v>
      </c>
      <c r="L2908" s="16">
        <f>8606.18 - (8606.18 * $E$1)</f>
        <v>8606.18</v>
      </c>
      <c r="M2908" s="1">
        <v>10499.54</v>
      </c>
      <c r="N2908" s="1">
        <v>8606.18</v>
      </c>
      <c r="O2908" s="1">
        <v>8924.61</v>
      </c>
      <c r="P2908" s="1">
        <v>7315.25</v>
      </c>
      <c r="Q2908">
        <v>1.6</v>
      </c>
      <c r="R2908">
        <v>9.7774E-2</v>
      </c>
    </row>
    <row r="2909" spans="1:18" ht="13.8" outlineLevel="3" x14ac:dyDescent="0.25">
      <c r="A2909">
        <v>55922</v>
      </c>
      <c r="B2909" t="s">
        <v>3389</v>
      </c>
      <c r="C2909" t="s">
        <v>3430</v>
      </c>
      <c r="D2909" s="14" t="s">
        <v>3431</v>
      </c>
      <c r="E2909" s="12" t="s">
        <v>28</v>
      </c>
      <c r="F2909" s="13" t="s">
        <v>29</v>
      </c>
      <c r="G2909">
        <v>1</v>
      </c>
      <c r="H2909" t="s">
        <v>30</v>
      </c>
      <c r="I2909">
        <v>1</v>
      </c>
      <c r="J2909" s="15"/>
      <c r="K2909" s="16">
        <f>9966.68 - (9966.68 * $E$1)</f>
        <v>9966.68</v>
      </c>
      <c r="L2909" s="16">
        <f>8169.41 - (8169.41 * $E$1)</f>
        <v>8169.41</v>
      </c>
      <c r="M2909" s="1">
        <v>9966.68</v>
      </c>
      <c r="N2909" s="1">
        <v>8169.41</v>
      </c>
      <c r="O2909" s="1">
        <v>8471.68</v>
      </c>
      <c r="P2909" s="1">
        <v>6944</v>
      </c>
      <c r="Q2909">
        <v>1.08</v>
      </c>
      <c r="R2909">
        <v>2.2369999999999998E-3</v>
      </c>
    </row>
    <row r="2910" spans="1:18" ht="13.8" outlineLevel="3" x14ac:dyDescent="0.25">
      <c r="A2910">
        <v>89230</v>
      </c>
      <c r="B2910" t="s">
        <v>3432</v>
      </c>
      <c r="C2910" t="s">
        <v>3433</v>
      </c>
      <c r="D2910" s="14" t="s">
        <v>3434</v>
      </c>
      <c r="E2910" s="12" t="s">
        <v>28</v>
      </c>
      <c r="F2910" s="13" t="s">
        <v>29</v>
      </c>
      <c r="G2910">
        <v>1</v>
      </c>
      <c r="H2910" t="s">
        <v>30</v>
      </c>
      <c r="I2910">
        <v>1</v>
      </c>
      <c r="J2910" s="15"/>
      <c r="K2910" s="16">
        <f>5130.95 - (5130.95 * $E$1)</f>
        <v>5130.95</v>
      </c>
      <c r="L2910" s="16">
        <f>4205.7 - (4205.7 * $E$1)</f>
        <v>4205.7</v>
      </c>
      <c r="M2910" s="1">
        <v>5130.95</v>
      </c>
      <c r="N2910" s="1">
        <v>4205.7</v>
      </c>
      <c r="O2910" s="1">
        <v>4361.3100000000004</v>
      </c>
      <c r="P2910" s="1">
        <v>3574.85</v>
      </c>
      <c r="Q2910">
        <v>0.98</v>
      </c>
      <c r="R2910">
        <v>3.7559999999999998E-3</v>
      </c>
    </row>
    <row r="2911" spans="1:18" ht="13.8" outlineLevel="3" x14ac:dyDescent="0.25">
      <c r="A2911">
        <v>85396</v>
      </c>
      <c r="B2911" t="s">
        <v>3435</v>
      </c>
      <c r="C2911" t="s">
        <v>3436</v>
      </c>
      <c r="D2911" s="14" t="s">
        <v>3437</v>
      </c>
      <c r="E2911" s="12" t="s">
        <v>28</v>
      </c>
      <c r="F2911" s="13" t="s">
        <v>29</v>
      </c>
      <c r="G2911">
        <v>1</v>
      </c>
      <c r="H2911" t="s">
        <v>30</v>
      </c>
      <c r="I2911">
        <v>1</v>
      </c>
      <c r="J2911" s="15"/>
      <c r="K2911" s="16">
        <f>IF($E$1&gt;=$Q$1%,39622.55-(39622.55*$Q$1%),39622.55-(39622.55*$E$1))</f>
        <v>39622.550000000003</v>
      </c>
      <c r="L2911" s="16">
        <f>IF($E$1&gt;=$Q$1%,32477.5-(32477.5*$Q$1%),32477.5-(32477.5*$E$1))</f>
        <v>32477.5</v>
      </c>
      <c r="M2911" s="1">
        <v>39622.550000000003</v>
      </c>
      <c r="N2911" s="1">
        <v>32477.5</v>
      </c>
      <c r="O2911" s="1">
        <v>39622.550000000003</v>
      </c>
      <c r="P2911" s="1">
        <v>32477.5</v>
      </c>
      <c r="Q2911">
        <v>6.7</v>
      </c>
      <c r="R2911">
        <v>2.6476E-2</v>
      </c>
    </row>
    <row r="2912" spans="1:18" ht="13.8" outlineLevel="3" x14ac:dyDescent="0.25">
      <c r="A2912">
        <v>87730</v>
      </c>
      <c r="B2912" t="s">
        <v>3438</v>
      </c>
      <c r="C2912" t="s">
        <v>3439</v>
      </c>
      <c r="D2912" s="14" t="s">
        <v>3440</v>
      </c>
      <c r="E2912" s="12" t="s">
        <v>28</v>
      </c>
      <c r="F2912" s="13" t="s">
        <v>29</v>
      </c>
      <c r="H2912" t="s">
        <v>30</v>
      </c>
      <c r="I2912">
        <v>1</v>
      </c>
      <c r="J2912" s="15"/>
      <c r="K2912" s="16">
        <f>IF($E$1&gt;=$Q$1%,155538.7-(155538.7*$Q$1%),155538.7-(155538.7*$E$1))</f>
        <v>155538.70000000001</v>
      </c>
      <c r="L2912" s="16">
        <f>IF($E$1&gt;=$Q$1%,127490.74-(127490.74*$Q$1%),127490.74-(127490.74*$E$1))</f>
        <v>127490.74</v>
      </c>
      <c r="M2912" s="1">
        <v>155538.70000000001</v>
      </c>
      <c r="N2912" s="1">
        <v>127490.74</v>
      </c>
      <c r="O2912" s="1">
        <v>155538.70000000001</v>
      </c>
      <c r="P2912" s="1">
        <v>127490.74</v>
      </c>
    </row>
    <row r="2913" spans="1:18" ht="13.8" outlineLevel="3" x14ac:dyDescent="0.25">
      <c r="A2913">
        <v>91853</v>
      </c>
      <c r="B2913" t="s">
        <v>3441</v>
      </c>
      <c r="C2913" t="s">
        <v>3442</v>
      </c>
      <c r="D2913" s="14" t="s">
        <v>3443</v>
      </c>
      <c r="E2913" s="12" t="s">
        <v>28</v>
      </c>
      <c r="F2913" s="13" t="s">
        <v>29</v>
      </c>
      <c r="H2913" t="s">
        <v>30</v>
      </c>
      <c r="I2913">
        <v>1</v>
      </c>
      <c r="J2913" s="15"/>
      <c r="K2913" s="16">
        <f>IF($E$1&gt;=$Q$1%,133444.12-(133444.12*$Q$1%),133444.12-(133444.12*$E$1))</f>
        <v>133444.12</v>
      </c>
      <c r="L2913" s="16">
        <f>IF($E$1&gt;=$Q$1%,109380.43-(109380.43*$Q$1%),109380.43-(109380.43*$E$1))</f>
        <v>109380.43</v>
      </c>
      <c r="M2913" s="1">
        <v>133444.12</v>
      </c>
      <c r="N2913" s="1">
        <v>109380.43</v>
      </c>
      <c r="O2913" s="1">
        <v>133444.12</v>
      </c>
      <c r="P2913" s="1">
        <v>109380.43</v>
      </c>
    </row>
    <row r="2914" spans="1:18" ht="13.8" outlineLevel="3" x14ac:dyDescent="0.25">
      <c r="A2914">
        <v>103270</v>
      </c>
      <c r="B2914" t="s">
        <v>3441</v>
      </c>
      <c r="C2914" t="s">
        <v>3444</v>
      </c>
      <c r="D2914" s="14" t="s">
        <v>3445</v>
      </c>
      <c r="E2914" s="12" t="s">
        <v>28</v>
      </c>
      <c r="F2914" s="13" t="s">
        <v>29</v>
      </c>
      <c r="H2914" t="s">
        <v>30</v>
      </c>
      <c r="I2914">
        <v>1</v>
      </c>
      <c r="J2914" s="15"/>
      <c r="K2914" s="21" t="s">
        <v>3446</v>
      </c>
      <c r="L2914" s="21" t="s">
        <v>3447</v>
      </c>
      <c r="M2914" s="1">
        <v>138807.66</v>
      </c>
      <c r="N2914" s="1">
        <v>113776.77</v>
      </c>
      <c r="O2914" s="1">
        <v>117986.51</v>
      </c>
      <c r="P2914" s="1">
        <v>96710.25</v>
      </c>
    </row>
    <row r="2915" spans="1:18" ht="13.8" outlineLevel="3" x14ac:dyDescent="0.25">
      <c r="A2915">
        <v>69957</v>
      </c>
      <c r="B2915" t="s">
        <v>3448</v>
      </c>
      <c r="C2915" t="s">
        <v>3449</v>
      </c>
      <c r="D2915" s="14" t="s">
        <v>3450</v>
      </c>
      <c r="E2915" s="12" t="s">
        <v>28</v>
      </c>
      <c r="F2915" s="13" t="s">
        <v>29</v>
      </c>
      <c r="G2915">
        <v>1</v>
      </c>
      <c r="H2915" t="s">
        <v>30</v>
      </c>
      <c r="I2915">
        <v>1</v>
      </c>
      <c r="J2915" s="15"/>
      <c r="K2915" s="16">
        <f>781.36 - (781.36 * $E$1)</f>
        <v>781.36</v>
      </c>
      <c r="L2915" s="16">
        <f>640.46 - (640.46 * $E$1)</f>
        <v>640.46</v>
      </c>
      <c r="M2915" s="1">
        <v>781.36</v>
      </c>
      <c r="N2915" s="1">
        <v>640.46</v>
      </c>
      <c r="O2915" s="1">
        <v>664.16</v>
      </c>
      <c r="P2915" s="1">
        <v>544.39</v>
      </c>
      <c r="Q2915">
        <v>6.8000000000000005E-2</v>
      </c>
      <c r="R2915">
        <v>1.66E-4</v>
      </c>
    </row>
    <row r="2916" spans="1:18" ht="13.8" outlineLevel="3" x14ac:dyDescent="0.25">
      <c r="A2916">
        <v>69958</v>
      </c>
      <c r="B2916" t="s">
        <v>3448</v>
      </c>
      <c r="C2916" t="s">
        <v>3451</v>
      </c>
      <c r="D2916" s="14" t="s">
        <v>3452</v>
      </c>
      <c r="E2916" s="12" t="s">
        <v>28</v>
      </c>
      <c r="F2916" s="13" t="s">
        <v>29</v>
      </c>
      <c r="G2916">
        <v>1</v>
      </c>
      <c r="H2916" t="s">
        <v>30</v>
      </c>
      <c r="I2916">
        <v>1</v>
      </c>
      <c r="J2916" s="15"/>
      <c r="K2916" s="16">
        <f>781.36 - (781.36 * $E$1)</f>
        <v>781.36</v>
      </c>
      <c r="L2916" s="16">
        <f>640.46 - (640.46 * $E$1)</f>
        <v>640.46</v>
      </c>
      <c r="M2916" s="1">
        <v>781.36</v>
      </c>
      <c r="N2916" s="1">
        <v>640.46</v>
      </c>
      <c r="O2916" s="1">
        <v>664.16</v>
      </c>
      <c r="P2916" s="1">
        <v>544.39</v>
      </c>
      <c r="Q2916">
        <v>7.1999999999999995E-2</v>
      </c>
      <c r="R2916">
        <v>1.66E-4</v>
      </c>
    </row>
    <row r="2917" spans="1:18" ht="13.8" outlineLevel="3" x14ac:dyDescent="0.25">
      <c r="A2917">
        <v>69959</v>
      </c>
      <c r="B2917" t="s">
        <v>3448</v>
      </c>
      <c r="C2917" t="s">
        <v>3453</v>
      </c>
      <c r="D2917" s="14" t="s">
        <v>3454</v>
      </c>
      <c r="E2917" s="12" t="s">
        <v>28</v>
      </c>
      <c r="F2917" s="13" t="s">
        <v>29</v>
      </c>
      <c r="G2917">
        <v>1</v>
      </c>
      <c r="H2917" t="s">
        <v>30</v>
      </c>
      <c r="I2917">
        <v>1</v>
      </c>
      <c r="J2917" s="15"/>
      <c r="K2917" s="16">
        <f>784.16 - (784.16 * $E$1)</f>
        <v>784.16</v>
      </c>
      <c r="L2917" s="16">
        <f>642.75 - (642.75 * $E$1)</f>
        <v>642.75</v>
      </c>
      <c r="M2917" s="1">
        <v>784.16</v>
      </c>
      <c r="N2917" s="1">
        <v>642.75</v>
      </c>
      <c r="O2917" s="1">
        <v>666.53</v>
      </c>
      <c r="P2917" s="1">
        <v>546.34</v>
      </c>
      <c r="Q2917">
        <v>7.3999999999999996E-2</v>
      </c>
      <c r="R2917">
        <v>1.66E-4</v>
      </c>
    </row>
    <row r="2918" spans="1:18" ht="13.8" outlineLevel="3" x14ac:dyDescent="0.25">
      <c r="A2918">
        <v>69960</v>
      </c>
      <c r="B2918" t="s">
        <v>3448</v>
      </c>
      <c r="C2918" t="s">
        <v>3455</v>
      </c>
      <c r="D2918" s="14" t="s">
        <v>3456</v>
      </c>
      <c r="E2918" s="12" t="s">
        <v>28</v>
      </c>
      <c r="F2918" s="13" t="s">
        <v>29</v>
      </c>
      <c r="G2918">
        <v>1</v>
      </c>
      <c r="H2918" t="s">
        <v>30</v>
      </c>
      <c r="I2918">
        <v>1</v>
      </c>
      <c r="J2918" s="15"/>
      <c r="K2918" s="16">
        <f>1220.31 - (1220.31 * $E$1)</f>
        <v>1220.31</v>
      </c>
      <c r="L2918" s="16">
        <f>1000.25 - (1000.25 * $E$1)</f>
        <v>1000.25</v>
      </c>
      <c r="M2918" s="1">
        <v>1220.31</v>
      </c>
      <c r="N2918" s="1">
        <v>1000.25</v>
      </c>
      <c r="O2918" s="1">
        <v>1037.26</v>
      </c>
      <c r="P2918" s="1">
        <v>850.21</v>
      </c>
      <c r="Q2918">
        <v>5.1999999999999998E-2</v>
      </c>
      <c r="R2918">
        <v>1.66E-4</v>
      </c>
    </row>
    <row r="2919" spans="1:18" ht="13.8" outlineLevel="3" x14ac:dyDescent="0.25">
      <c r="A2919">
        <v>69961</v>
      </c>
      <c r="B2919" t="s">
        <v>3448</v>
      </c>
      <c r="C2919" t="s">
        <v>3457</v>
      </c>
      <c r="D2919" s="14" t="s">
        <v>3458</v>
      </c>
      <c r="E2919" s="12" t="s">
        <v>28</v>
      </c>
      <c r="F2919" s="13" t="s">
        <v>29</v>
      </c>
      <c r="G2919">
        <v>1</v>
      </c>
      <c r="H2919" t="s">
        <v>30</v>
      </c>
      <c r="I2919">
        <v>1</v>
      </c>
      <c r="J2919" s="15"/>
      <c r="K2919" s="16">
        <f>781.36 - (781.36 * $E$1)</f>
        <v>781.36</v>
      </c>
      <c r="L2919" s="16">
        <f>640.46 - (640.46 * $E$1)</f>
        <v>640.46</v>
      </c>
      <c r="M2919" s="1">
        <v>781.36</v>
      </c>
      <c r="N2919" s="1">
        <v>640.46</v>
      </c>
      <c r="O2919" s="1">
        <v>664.16</v>
      </c>
      <c r="P2919" s="1">
        <v>544.39</v>
      </c>
      <c r="Q2919">
        <v>5.0999999999999997E-2</v>
      </c>
      <c r="R2919">
        <v>1.8699999999999999E-4</v>
      </c>
    </row>
    <row r="2920" spans="1:18" ht="13.8" outlineLevel="3" x14ac:dyDescent="0.25">
      <c r="A2920">
        <v>69962</v>
      </c>
      <c r="B2920" t="s">
        <v>3448</v>
      </c>
      <c r="C2920" t="s">
        <v>3459</v>
      </c>
      <c r="D2920" s="14" t="s">
        <v>3460</v>
      </c>
      <c r="E2920" s="12" t="s">
        <v>28</v>
      </c>
      <c r="F2920" s="13" t="s">
        <v>29</v>
      </c>
      <c r="G2920">
        <v>1</v>
      </c>
      <c r="H2920" t="s">
        <v>30</v>
      </c>
      <c r="I2920">
        <v>1</v>
      </c>
      <c r="J2920" s="15"/>
      <c r="K2920" s="16">
        <f>784.74 - (784.74 * $E$1)</f>
        <v>784.74</v>
      </c>
      <c r="L2920" s="16">
        <f>643.23 - (643.23 * $E$1)</f>
        <v>643.23</v>
      </c>
      <c r="M2920" s="1">
        <v>784.74</v>
      </c>
      <c r="N2920" s="1">
        <v>643.23</v>
      </c>
      <c r="O2920" s="1">
        <v>667.03</v>
      </c>
      <c r="P2920" s="1">
        <v>546.75</v>
      </c>
      <c r="Q2920">
        <v>7.3999999999999996E-2</v>
      </c>
      <c r="R2920">
        <v>1.66E-4</v>
      </c>
    </row>
    <row r="2921" spans="1:18" ht="13.8" outlineLevel="3" x14ac:dyDescent="0.25">
      <c r="A2921">
        <v>69963</v>
      </c>
      <c r="B2921" t="s">
        <v>3448</v>
      </c>
      <c r="C2921" t="s">
        <v>3461</v>
      </c>
      <c r="D2921" s="14" t="s">
        <v>3462</v>
      </c>
      <c r="E2921" s="12" t="s">
        <v>28</v>
      </c>
      <c r="F2921" s="13" t="s">
        <v>29</v>
      </c>
      <c r="G2921">
        <v>1</v>
      </c>
      <c r="H2921" t="s">
        <v>30</v>
      </c>
      <c r="I2921">
        <v>1</v>
      </c>
      <c r="J2921" s="15"/>
      <c r="K2921" s="16">
        <f>781.36 - (781.36 * $E$1)</f>
        <v>781.36</v>
      </c>
      <c r="L2921" s="16">
        <f>640.46 - (640.46 * $E$1)</f>
        <v>640.46</v>
      </c>
      <c r="M2921" s="1">
        <v>781.36</v>
      </c>
      <c r="N2921" s="1">
        <v>640.46</v>
      </c>
      <c r="O2921" s="1">
        <v>664.16</v>
      </c>
      <c r="P2921" s="1">
        <v>544.39</v>
      </c>
      <c r="Q2921">
        <v>5.7000000000000002E-2</v>
      </c>
      <c r="R2921">
        <v>1.66E-4</v>
      </c>
    </row>
    <row r="2922" spans="1:18" ht="13.8" outlineLevel="3" x14ac:dyDescent="0.25">
      <c r="A2922">
        <v>74855</v>
      </c>
      <c r="B2922" t="s">
        <v>3448</v>
      </c>
      <c r="C2922" t="s">
        <v>3463</v>
      </c>
      <c r="D2922" s="14" t="s">
        <v>3464</v>
      </c>
      <c r="E2922" s="12" t="s">
        <v>28</v>
      </c>
      <c r="F2922" s="13" t="s">
        <v>29</v>
      </c>
      <c r="G2922">
        <v>1</v>
      </c>
      <c r="H2922" t="s">
        <v>30</v>
      </c>
      <c r="I2922">
        <v>1</v>
      </c>
      <c r="J2922" s="15"/>
      <c r="K2922" s="16">
        <f>781.36 - (781.36 * $E$1)</f>
        <v>781.36</v>
      </c>
      <c r="L2922" s="16">
        <f>640.46 - (640.46 * $E$1)</f>
        <v>640.46</v>
      </c>
      <c r="M2922" s="1">
        <v>781.36</v>
      </c>
      <c r="N2922" s="1">
        <v>640.46</v>
      </c>
      <c r="O2922" s="1">
        <v>664.16</v>
      </c>
      <c r="P2922" s="1">
        <v>544.39</v>
      </c>
      <c r="Q2922">
        <v>7.0000000000000007E-2</v>
      </c>
      <c r="R2922">
        <v>1.66E-4</v>
      </c>
    </row>
    <row r="2923" spans="1:18" ht="13.8" outlineLevel="3" x14ac:dyDescent="0.25">
      <c r="A2923">
        <v>74856</v>
      </c>
      <c r="B2923" t="s">
        <v>3448</v>
      </c>
      <c r="C2923" t="s">
        <v>3465</v>
      </c>
      <c r="D2923" s="14" t="s">
        <v>3466</v>
      </c>
      <c r="E2923" s="12" t="s">
        <v>28</v>
      </c>
      <c r="F2923" s="13" t="s">
        <v>29</v>
      </c>
      <c r="G2923">
        <v>1</v>
      </c>
      <c r="H2923" t="s">
        <v>30</v>
      </c>
      <c r="I2923">
        <v>1</v>
      </c>
      <c r="J2923" s="15"/>
      <c r="K2923" s="16">
        <f>789.01 - (789.01 * $E$1)</f>
        <v>789.01</v>
      </c>
      <c r="L2923" s="16">
        <f>646.73 - (646.73 * $E$1)</f>
        <v>646.73</v>
      </c>
      <c r="M2923" s="1">
        <v>789.01</v>
      </c>
      <c r="N2923" s="1">
        <v>646.73</v>
      </c>
      <c r="O2923" s="1">
        <v>670.66</v>
      </c>
      <c r="P2923" s="1">
        <v>549.72</v>
      </c>
      <c r="Q2923">
        <v>8.4000000000000005E-2</v>
      </c>
      <c r="R2923">
        <v>1.66E-4</v>
      </c>
    </row>
    <row r="2924" spans="1:18" ht="13.8" outlineLevel="3" x14ac:dyDescent="0.25">
      <c r="A2924">
        <v>69964</v>
      </c>
      <c r="B2924" t="s">
        <v>3448</v>
      </c>
      <c r="C2924" t="s">
        <v>3467</v>
      </c>
      <c r="D2924" s="14" t="s">
        <v>3468</v>
      </c>
      <c r="E2924" s="12" t="s">
        <v>28</v>
      </c>
      <c r="F2924" s="13" t="s">
        <v>29</v>
      </c>
      <c r="G2924">
        <v>1</v>
      </c>
      <c r="H2924" t="s">
        <v>30</v>
      </c>
      <c r="I2924">
        <v>1</v>
      </c>
      <c r="J2924" s="15"/>
      <c r="K2924" s="16">
        <f>781.36 - (781.36 * $E$1)</f>
        <v>781.36</v>
      </c>
      <c r="L2924" s="16">
        <f>640.46 - (640.46 * $E$1)</f>
        <v>640.46</v>
      </c>
      <c r="M2924" s="1">
        <v>781.36</v>
      </c>
      <c r="N2924" s="1">
        <v>640.46</v>
      </c>
      <c r="O2924" s="1">
        <v>664.16</v>
      </c>
      <c r="P2924" s="1">
        <v>544.39</v>
      </c>
      <c r="Q2924">
        <v>6.4000000000000001E-2</v>
      </c>
      <c r="R2924">
        <v>1.66E-4</v>
      </c>
    </row>
    <row r="2925" spans="1:18" ht="13.8" outlineLevel="3" x14ac:dyDescent="0.25">
      <c r="A2925">
        <v>74411</v>
      </c>
      <c r="B2925" t="s">
        <v>3448</v>
      </c>
      <c r="C2925" t="s">
        <v>3469</v>
      </c>
      <c r="D2925" s="14" t="s">
        <v>3470</v>
      </c>
      <c r="E2925" s="12" t="s">
        <v>28</v>
      </c>
      <c r="F2925" s="13" t="s">
        <v>29</v>
      </c>
      <c r="G2925">
        <v>1</v>
      </c>
      <c r="H2925" t="s">
        <v>30</v>
      </c>
      <c r="I2925">
        <v>1</v>
      </c>
      <c r="J2925" s="15"/>
      <c r="K2925" s="16">
        <f>781.36 - (781.36 * $E$1)</f>
        <v>781.36</v>
      </c>
      <c r="L2925" s="16">
        <f>640.46 - (640.46 * $E$1)</f>
        <v>640.46</v>
      </c>
      <c r="M2925" s="1">
        <v>781.36</v>
      </c>
      <c r="N2925" s="1">
        <v>640.46</v>
      </c>
      <c r="O2925" s="1">
        <v>664.16</v>
      </c>
      <c r="P2925" s="1">
        <v>544.39</v>
      </c>
      <c r="Q2925">
        <v>6.8000000000000005E-2</v>
      </c>
      <c r="R2925">
        <v>1.66E-4</v>
      </c>
    </row>
    <row r="2926" spans="1:18" ht="13.8" outlineLevel="3" x14ac:dyDescent="0.25">
      <c r="A2926">
        <v>69965</v>
      </c>
      <c r="B2926" t="s">
        <v>3448</v>
      </c>
      <c r="C2926" t="s">
        <v>3471</v>
      </c>
      <c r="D2926" s="14" t="s">
        <v>3472</v>
      </c>
      <c r="E2926" s="12" t="s">
        <v>28</v>
      </c>
      <c r="F2926" s="13" t="s">
        <v>29</v>
      </c>
      <c r="G2926">
        <v>1</v>
      </c>
      <c r="H2926" t="s">
        <v>30</v>
      </c>
      <c r="I2926">
        <v>1</v>
      </c>
      <c r="J2926" s="15"/>
      <c r="K2926" s="16">
        <f>781.36 - (781.36 * $E$1)</f>
        <v>781.36</v>
      </c>
      <c r="L2926" s="16">
        <f>640.46 - (640.46 * $E$1)</f>
        <v>640.46</v>
      </c>
      <c r="M2926" s="1">
        <v>781.36</v>
      </c>
      <c r="N2926" s="1">
        <v>640.46</v>
      </c>
      <c r="O2926" s="1">
        <v>664.16</v>
      </c>
      <c r="P2926" s="1">
        <v>544.39</v>
      </c>
      <c r="Q2926">
        <v>6.6000000000000003E-2</v>
      </c>
      <c r="R2926">
        <v>1.66E-4</v>
      </c>
    </row>
    <row r="2927" spans="1:18" ht="13.8" outlineLevel="3" x14ac:dyDescent="0.25">
      <c r="A2927">
        <v>85443</v>
      </c>
      <c r="B2927" t="s">
        <v>3448</v>
      </c>
      <c r="C2927" t="s">
        <v>3473</v>
      </c>
      <c r="D2927" s="14" t="s">
        <v>3474</v>
      </c>
      <c r="E2927" s="12" t="s">
        <v>28</v>
      </c>
      <c r="F2927" s="13" t="s">
        <v>29</v>
      </c>
      <c r="G2927">
        <v>1</v>
      </c>
      <c r="H2927" t="s">
        <v>30</v>
      </c>
      <c r="I2927">
        <v>1</v>
      </c>
      <c r="J2927" s="15"/>
      <c r="K2927" s="16">
        <f>782.28 - (782.28 * $E$1)</f>
        <v>782.28</v>
      </c>
      <c r="L2927" s="16">
        <f>641.21 - (641.21 * $E$1)</f>
        <v>641.21</v>
      </c>
      <c r="M2927" s="1">
        <v>782.28</v>
      </c>
      <c r="N2927" s="1">
        <v>641.21</v>
      </c>
      <c r="O2927" s="1">
        <v>664.93</v>
      </c>
      <c r="P2927" s="1">
        <v>545.03</v>
      </c>
      <c r="Q2927">
        <v>0.06</v>
      </c>
      <c r="R2927">
        <v>2.4000000000000001E-4</v>
      </c>
    </row>
    <row r="2928" spans="1:18" ht="13.8" outlineLevel="3" x14ac:dyDescent="0.25">
      <c r="A2928">
        <v>69966</v>
      </c>
      <c r="B2928" t="s">
        <v>3448</v>
      </c>
      <c r="C2928" t="s">
        <v>3475</v>
      </c>
      <c r="D2928" s="14" t="s">
        <v>3476</v>
      </c>
      <c r="E2928" s="12" t="s">
        <v>28</v>
      </c>
      <c r="F2928" s="13" t="s">
        <v>29</v>
      </c>
      <c r="G2928">
        <v>1</v>
      </c>
      <c r="H2928" t="s">
        <v>30</v>
      </c>
      <c r="I2928">
        <v>1</v>
      </c>
      <c r="J2928" s="15"/>
      <c r="K2928" s="16">
        <f>1220.31 - (1220.31 * $E$1)</f>
        <v>1220.31</v>
      </c>
      <c r="L2928" s="16">
        <f>1000.25 - (1000.25 * $E$1)</f>
        <v>1000.25</v>
      </c>
      <c r="M2928" s="1">
        <v>1220.31</v>
      </c>
      <c r="N2928" s="1">
        <v>1000.25</v>
      </c>
      <c r="O2928" s="1">
        <v>1037.26</v>
      </c>
      <c r="P2928" s="1">
        <v>850.21</v>
      </c>
      <c r="Q2928">
        <v>4.5999999999999999E-2</v>
      </c>
      <c r="R2928">
        <v>1.66E-4</v>
      </c>
    </row>
    <row r="2929" spans="1:18" ht="13.8" outlineLevel="3" x14ac:dyDescent="0.25">
      <c r="A2929">
        <v>69967</v>
      </c>
      <c r="B2929" t="s">
        <v>3448</v>
      </c>
      <c r="C2929" t="s">
        <v>3477</v>
      </c>
      <c r="D2929" s="14" t="s">
        <v>3478</v>
      </c>
      <c r="E2929" s="12" t="s">
        <v>28</v>
      </c>
      <c r="F2929" s="13" t="s">
        <v>29</v>
      </c>
      <c r="G2929">
        <v>1</v>
      </c>
      <c r="H2929" t="s">
        <v>30</v>
      </c>
      <c r="I2929">
        <v>1</v>
      </c>
      <c r="J2929" s="15"/>
      <c r="K2929" s="16">
        <f>781.36 - (781.36 * $E$1)</f>
        <v>781.36</v>
      </c>
      <c r="L2929" s="16">
        <f>640.46 - (640.46 * $E$1)</f>
        <v>640.46</v>
      </c>
      <c r="M2929" s="1">
        <v>781.36</v>
      </c>
      <c r="N2929" s="1">
        <v>640.46</v>
      </c>
      <c r="O2929" s="1">
        <v>664.16</v>
      </c>
      <c r="P2929" s="1">
        <v>544.39</v>
      </c>
      <c r="Q2929">
        <v>0.06</v>
      </c>
      <c r="R2929">
        <v>1.66E-4</v>
      </c>
    </row>
    <row r="2930" spans="1:18" ht="13.8" outlineLevel="3" x14ac:dyDescent="0.25">
      <c r="A2930">
        <v>90713</v>
      </c>
      <c r="B2930" t="s">
        <v>3479</v>
      </c>
      <c r="C2930" t="s">
        <v>3480</v>
      </c>
      <c r="D2930" s="14" t="s">
        <v>3481</v>
      </c>
      <c r="E2930" s="12" t="s">
        <v>28</v>
      </c>
      <c r="F2930" s="13" t="s">
        <v>29</v>
      </c>
      <c r="G2930">
        <v>1</v>
      </c>
      <c r="H2930" t="s">
        <v>30</v>
      </c>
      <c r="I2930">
        <v>1</v>
      </c>
      <c r="J2930" s="15"/>
      <c r="K2930" s="16">
        <f>782.28 - (782.28 * $E$1)</f>
        <v>782.28</v>
      </c>
      <c r="L2930" s="16">
        <f>641.21 - (641.21 * $E$1)</f>
        <v>641.21</v>
      </c>
      <c r="M2930" s="1">
        <v>782.28</v>
      </c>
      <c r="N2930" s="1">
        <v>641.21</v>
      </c>
      <c r="O2930" s="1">
        <v>664.93</v>
      </c>
      <c r="P2930" s="1">
        <v>545.03</v>
      </c>
      <c r="Q2930">
        <v>0.06</v>
      </c>
      <c r="R2930">
        <v>2.4000000000000001E-4</v>
      </c>
    </row>
    <row r="2931" spans="1:18" ht="13.8" outlineLevel="3" x14ac:dyDescent="0.25">
      <c r="A2931">
        <v>85444</v>
      </c>
      <c r="B2931" t="s">
        <v>3448</v>
      </c>
      <c r="C2931" t="s">
        <v>3482</v>
      </c>
      <c r="D2931" s="14" t="s">
        <v>3483</v>
      </c>
      <c r="E2931" s="12" t="s">
        <v>28</v>
      </c>
      <c r="F2931" s="13" t="s">
        <v>29</v>
      </c>
      <c r="G2931">
        <v>1</v>
      </c>
      <c r="H2931" t="s">
        <v>30</v>
      </c>
      <c r="I2931">
        <v>1</v>
      </c>
      <c r="J2931" s="15"/>
      <c r="K2931" s="16">
        <f>782.28 - (782.28 * $E$1)</f>
        <v>782.28</v>
      </c>
      <c r="L2931" s="16">
        <f>641.21 - (641.21 * $E$1)</f>
        <v>641.21</v>
      </c>
      <c r="M2931" s="1">
        <v>782.28</v>
      </c>
      <c r="N2931" s="1">
        <v>641.21</v>
      </c>
      <c r="O2931" s="1">
        <v>664.93</v>
      </c>
      <c r="P2931" s="1">
        <v>545.03</v>
      </c>
      <c r="Q2931">
        <v>0.06</v>
      </c>
      <c r="R2931">
        <v>1.8699999999999999E-4</v>
      </c>
    </row>
    <row r="2932" spans="1:18" ht="16.5" customHeight="1" outlineLevel="2" x14ac:dyDescent="0.35">
      <c r="A2932" s="9"/>
      <c r="B2932" s="10" t="s">
        <v>3484</v>
      </c>
      <c r="C2932" s="10"/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1"/>
    </row>
    <row r="2933" spans="1:18" ht="13.8" outlineLevel="3" x14ac:dyDescent="0.25">
      <c r="A2933">
        <v>78865</v>
      </c>
      <c r="B2933" t="s">
        <v>3334</v>
      </c>
      <c r="C2933" t="s">
        <v>3485</v>
      </c>
      <c r="D2933" s="14" t="s">
        <v>3486</v>
      </c>
      <c r="E2933" s="12" t="s">
        <v>28</v>
      </c>
      <c r="F2933" s="13" t="s">
        <v>29</v>
      </c>
      <c r="G2933">
        <v>1</v>
      </c>
      <c r="H2933" t="s">
        <v>30</v>
      </c>
      <c r="I2933">
        <v>1</v>
      </c>
      <c r="J2933" s="15"/>
      <c r="K2933" s="16">
        <f>2085.69 - (2085.69 * $E$1)</f>
        <v>2085.69</v>
      </c>
      <c r="L2933" s="16">
        <f>1709.58 - (1709.58 * $E$1)</f>
        <v>1709.58</v>
      </c>
      <c r="M2933" s="1">
        <v>2085.69</v>
      </c>
      <c r="N2933" s="1">
        <v>1709.58</v>
      </c>
      <c r="O2933" s="1">
        <v>1772.83</v>
      </c>
      <c r="P2933" s="1">
        <v>1453.14</v>
      </c>
      <c r="Q2933">
        <v>0.308</v>
      </c>
      <c r="R2933">
        <v>4.66E-4</v>
      </c>
    </row>
    <row r="2934" spans="1:18" ht="13.8" outlineLevel="3" x14ac:dyDescent="0.25">
      <c r="A2934">
        <v>78866</v>
      </c>
      <c r="B2934" t="s">
        <v>3334</v>
      </c>
      <c r="C2934" t="s">
        <v>3487</v>
      </c>
      <c r="D2934" s="14" t="s">
        <v>3488</v>
      </c>
      <c r="E2934" s="12" t="s">
        <v>28</v>
      </c>
      <c r="F2934" s="13" t="s">
        <v>29</v>
      </c>
      <c r="G2934">
        <v>1</v>
      </c>
      <c r="H2934" t="s">
        <v>30</v>
      </c>
      <c r="I2934">
        <v>1</v>
      </c>
      <c r="J2934" s="15"/>
      <c r="K2934" s="16">
        <f>2620.89 - (2620.89 * $E$1)</f>
        <v>2620.89</v>
      </c>
      <c r="L2934" s="16">
        <f>2148.27 - (2148.27 * $E$1)</f>
        <v>2148.27</v>
      </c>
      <c r="M2934" s="1">
        <v>2620.89</v>
      </c>
      <c r="N2934" s="1">
        <v>2148.27</v>
      </c>
      <c r="O2934" s="1">
        <v>2227.7600000000002</v>
      </c>
      <c r="P2934" s="1">
        <v>1826.03</v>
      </c>
      <c r="Q2934">
        <v>0.51</v>
      </c>
      <c r="R2934">
        <v>8.5499999999999997E-4</v>
      </c>
    </row>
    <row r="2935" spans="1:18" ht="13.8" outlineLevel="3" x14ac:dyDescent="0.25">
      <c r="A2935">
        <v>64702</v>
      </c>
      <c r="B2935" t="s">
        <v>3334</v>
      </c>
      <c r="C2935" t="s">
        <v>3489</v>
      </c>
      <c r="D2935" s="14" t="s">
        <v>3490</v>
      </c>
      <c r="E2935" s="12" t="s">
        <v>28</v>
      </c>
      <c r="F2935" s="13" t="s">
        <v>29</v>
      </c>
      <c r="G2935">
        <v>1</v>
      </c>
      <c r="H2935" t="s">
        <v>30</v>
      </c>
      <c r="I2935">
        <v>1</v>
      </c>
      <c r="J2935" s="15"/>
      <c r="K2935" s="16">
        <f>2606.9 - (2606.9 * $E$1)</f>
        <v>2606.9</v>
      </c>
      <c r="L2935" s="16">
        <f>2136.8 - (2136.8 * $E$1)</f>
        <v>2136.8000000000002</v>
      </c>
      <c r="M2935" s="1">
        <v>2606.9</v>
      </c>
      <c r="N2935" s="1">
        <v>2136.8000000000002</v>
      </c>
      <c r="O2935" s="1">
        <v>2215.86</v>
      </c>
      <c r="P2935" s="1">
        <v>1816.28</v>
      </c>
      <c r="Q2935">
        <v>0.43</v>
      </c>
      <c r="R2935">
        <v>6.2200000000000005E-4</v>
      </c>
    </row>
    <row r="2936" spans="1:18" ht="13.8" outlineLevel="3" x14ac:dyDescent="0.25">
      <c r="A2936">
        <v>90954</v>
      </c>
      <c r="B2936" t="s">
        <v>3491</v>
      </c>
      <c r="C2936" t="s">
        <v>3492</v>
      </c>
      <c r="D2936" s="14" t="s">
        <v>3493</v>
      </c>
      <c r="E2936" s="12" t="s">
        <v>28</v>
      </c>
      <c r="F2936" s="13" t="s">
        <v>29</v>
      </c>
      <c r="G2936">
        <v>1</v>
      </c>
      <c r="H2936" t="s">
        <v>30</v>
      </c>
      <c r="I2936">
        <v>1</v>
      </c>
      <c r="J2936" s="15"/>
      <c r="K2936" s="16">
        <f>3396.24 - (3396.24 * $E$1)</f>
        <v>3396.24</v>
      </c>
      <c r="L2936" s="16">
        <f>2783.8 - (2783.8 * $E$1)</f>
        <v>2783.8</v>
      </c>
      <c r="M2936" s="1">
        <v>3396.24</v>
      </c>
      <c r="N2936" s="1">
        <v>2783.8</v>
      </c>
      <c r="O2936" s="1">
        <v>2886.8</v>
      </c>
      <c r="P2936" s="1">
        <v>2366.23</v>
      </c>
      <c r="Q2936">
        <v>0.72399999999999998</v>
      </c>
      <c r="R2936">
        <v>1.4E-3</v>
      </c>
    </row>
    <row r="2937" spans="1:18" ht="13.8" outlineLevel="3" x14ac:dyDescent="0.25">
      <c r="A2937">
        <v>78867</v>
      </c>
      <c r="B2937" t="s">
        <v>3334</v>
      </c>
      <c r="C2937" t="s">
        <v>3494</v>
      </c>
      <c r="D2937" s="14" t="s">
        <v>3495</v>
      </c>
      <c r="E2937" s="12" t="s">
        <v>28</v>
      </c>
      <c r="F2937" s="13" t="s">
        <v>29</v>
      </c>
      <c r="G2937">
        <v>1</v>
      </c>
      <c r="H2937" t="s">
        <v>30</v>
      </c>
      <c r="I2937">
        <v>1</v>
      </c>
      <c r="J2937" s="15"/>
      <c r="K2937" s="16">
        <f>4599.95 - (4599.95 * $E$1)</f>
        <v>4599.95</v>
      </c>
      <c r="L2937" s="16">
        <f>3770.45 - (3770.45 * $E$1)</f>
        <v>3770.45</v>
      </c>
      <c r="M2937" s="1">
        <v>4599.95</v>
      </c>
      <c r="N2937" s="1">
        <v>3770.45</v>
      </c>
      <c r="O2937" s="1">
        <v>3909.96</v>
      </c>
      <c r="P2937" s="1">
        <v>3204.88</v>
      </c>
      <c r="Q2937">
        <v>0.75600000000000001</v>
      </c>
      <c r="R2937">
        <v>8.6700000000000004E-4</v>
      </c>
    </row>
    <row r="2938" spans="1:18" ht="13.8" outlineLevel="3" x14ac:dyDescent="0.25">
      <c r="A2938">
        <v>47538</v>
      </c>
      <c r="B2938" t="s">
        <v>3350</v>
      </c>
      <c r="C2938" t="s">
        <v>3496</v>
      </c>
      <c r="D2938" s="14" t="s">
        <v>3497</v>
      </c>
      <c r="E2938" s="12" t="s">
        <v>28</v>
      </c>
      <c r="F2938" s="13" t="s">
        <v>29</v>
      </c>
      <c r="G2938">
        <v>1</v>
      </c>
      <c r="H2938" t="s">
        <v>30</v>
      </c>
      <c r="I2938">
        <v>1</v>
      </c>
      <c r="J2938" s="15"/>
      <c r="K2938" s="16">
        <f>2933.12 - (2933.12 * $E$1)</f>
        <v>2933.12</v>
      </c>
      <c r="L2938" s="16">
        <f>2404.2 - (2404.2 * $E$1)</f>
        <v>2404.1999999999998</v>
      </c>
      <c r="M2938" s="1">
        <v>2933.12</v>
      </c>
      <c r="N2938" s="1">
        <v>2404.1999999999998</v>
      </c>
      <c r="O2938" s="1">
        <v>2493.16</v>
      </c>
      <c r="P2938" s="1">
        <v>2043.57</v>
      </c>
      <c r="Q2938">
        <v>1.26</v>
      </c>
      <c r="R2938">
        <v>3.2070000000000002E-3</v>
      </c>
    </row>
    <row r="2939" spans="1:18" ht="13.8" outlineLevel="3" x14ac:dyDescent="0.25">
      <c r="A2939">
        <v>106738</v>
      </c>
      <c r="B2939" t="s">
        <v>3350</v>
      </c>
      <c r="C2939" t="s">
        <v>3498</v>
      </c>
      <c r="D2939" s="14" t="s">
        <v>3499</v>
      </c>
      <c r="E2939" s="12" t="s">
        <v>28</v>
      </c>
      <c r="F2939" s="18" t="s">
        <v>1467</v>
      </c>
      <c r="G2939">
        <v>1</v>
      </c>
      <c r="H2939" t="s">
        <v>30</v>
      </c>
      <c r="I2939">
        <v>1</v>
      </c>
      <c r="J2939" s="15"/>
      <c r="K2939" s="16">
        <f>2933.12 - (2933.12 * $E$1)</f>
        <v>2933.12</v>
      </c>
      <c r="L2939" s="16">
        <f>2404.2 - (2404.2 * $E$1)</f>
        <v>2404.1999999999998</v>
      </c>
      <c r="M2939" s="1">
        <v>2933.12</v>
      </c>
      <c r="N2939" s="1">
        <v>2404.1999999999998</v>
      </c>
      <c r="O2939" s="1">
        <v>2493.16</v>
      </c>
      <c r="P2939" s="1">
        <v>2043.57</v>
      </c>
      <c r="Q2939">
        <v>1.27</v>
      </c>
      <c r="R2939">
        <v>3.2070000000000002E-3</v>
      </c>
    </row>
    <row r="2940" spans="1:18" ht="13.8" outlineLevel="3" x14ac:dyDescent="0.25">
      <c r="A2940">
        <v>57568</v>
      </c>
      <c r="B2940" t="s">
        <v>3334</v>
      </c>
      <c r="C2940" t="s">
        <v>3500</v>
      </c>
      <c r="D2940" s="14" t="s">
        <v>3501</v>
      </c>
      <c r="E2940" s="12" t="s">
        <v>28</v>
      </c>
      <c r="F2940" s="13" t="s">
        <v>29</v>
      </c>
      <c r="G2940">
        <v>1</v>
      </c>
      <c r="H2940" t="s">
        <v>30</v>
      </c>
      <c r="I2940">
        <v>1</v>
      </c>
      <c r="J2940" s="15"/>
      <c r="K2940" s="16">
        <f>8332.99 - (8332.99 * $E$1)</f>
        <v>8332.99</v>
      </c>
      <c r="L2940" s="16">
        <f>6830.32 - (6830.32 * $E$1)</f>
        <v>6830.32</v>
      </c>
      <c r="M2940" s="1">
        <v>8332.99</v>
      </c>
      <c r="N2940" s="1">
        <v>6830.32</v>
      </c>
      <c r="O2940" s="1">
        <v>7083.04</v>
      </c>
      <c r="P2940" s="1">
        <v>5805.77</v>
      </c>
      <c r="Q2940">
        <v>3.69</v>
      </c>
      <c r="R2940">
        <v>8.2640000000000005E-3</v>
      </c>
    </row>
    <row r="2941" spans="1:18" ht="13.8" outlineLevel="3" x14ac:dyDescent="0.25">
      <c r="A2941">
        <v>47541</v>
      </c>
      <c r="B2941" t="s">
        <v>3502</v>
      </c>
      <c r="C2941" t="s">
        <v>3503</v>
      </c>
      <c r="D2941" s="14" t="s">
        <v>3504</v>
      </c>
      <c r="E2941" s="12" t="s">
        <v>28</v>
      </c>
      <c r="F2941" s="13" t="s">
        <v>29</v>
      </c>
      <c r="G2941">
        <v>1</v>
      </c>
      <c r="H2941" t="s">
        <v>30</v>
      </c>
      <c r="I2941">
        <v>1</v>
      </c>
      <c r="J2941" s="15"/>
      <c r="K2941" s="16">
        <f>11313.06 - (11313.06 * $E$1)</f>
        <v>11313.06</v>
      </c>
      <c r="L2941" s="16">
        <f>9273 - (9273 * $E$1)</f>
        <v>9273</v>
      </c>
      <c r="M2941" s="1">
        <v>11313.06</v>
      </c>
      <c r="N2941" s="1">
        <v>9273</v>
      </c>
      <c r="O2941" s="1">
        <v>9616.1</v>
      </c>
      <c r="P2941" s="1">
        <v>7882.05</v>
      </c>
      <c r="Q2941">
        <v>3.98</v>
      </c>
      <c r="R2941">
        <v>4.8659999999999997E-3</v>
      </c>
    </row>
    <row r="2942" spans="1:18" ht="13.8" outlineLevel="3" x14ac:dyDescent="0.25">
      <c r="A2942">
        <v>47542</v>
      </c>
      <c r="B2942" t="s">
        <v>3502</v>
      </c>
      <c r="C2942" t="s">
        <v>3505</v>
      </c>
      <c r="D2942" s="14" t="s">
        <v>3506</v>
      </c>
      <c r="E2942" s="12" t="s">
        <v>28</v>
      </c>
      <c r="F2942" s="13" t="s">
        <v>29</v>
      </c>
      <c r="G2942">
        <v>1</v>
      </c>
      <c r="H2942" t="s">
        <v>30</v>
      </c>
      <c r="I2942">
        <v>1</v>
      </c>
      <c r="J2942" s="15"/>
      <c r="K2942" s="16">
        <f>16239.09 - (16239.09 * $E$1)</f>
        <v>16239.09</v>
      </c>
      <c r="L2942" s="16">
        <f>13310.73 - (13310.73 * $E$1)</f>
        <v>13310.73</v>
      </c>
      <c r="M2942" s="1">
        <v>16239.09</v>
      </c>
      <c r="N2942" s="1">
        <v>13310.73</v>
      </c>
      <c r="O2942" s="1">
        <v>13803.23</v>
      </c>
      <c r="P2942" s="1">
        <v>11314.12</v>
      </c>
      <c r="Q2942">
        <v>5.27</v>
      </c>
      <c r="R2942">
        <v>4.5440000000000003E-3</v>
      </c>
    </row>
    <row r="2943" spans="1:18" ht="13.8" outlineLevel="3" x14ac:dyDescent="0.25">
      <c r="A2943">
        <v>91984</v>
      </c>
      <c r="B2943" t="s">
        <v>3507</v>
      </c>
      <c r="C2943" t="s">
        <v>3508</v>
      </c>
      <c r="D2943" s="14" t="s">
        <v>3509</v>
      </c>
      <c r="E2943" s="12" t="s">
        <v>28</v>
      </c>
      <c r="F2943" s="13" t="s">
        <v>29</v>
      </c>
      <c r="G2943">
        <v>1</v>
      </c>
      <c r="H2943" t="s">
        <v>30</v>
      </c>
      <c r="I2943">
        <v>1</v>
      </c>
      <c r="J2943" s="15"/>
      <c r="K2943" s="21" t="s">
        <v>3510</v>
      </c>
      <c r="L2943" s="21" t="s">
        <v>3511</v>
      </c>
      <c r="M2943" s="1">
        <v>6231.56</v>
      </c>
      <c r="N2943" s="1">
        <v>5107.84</v>
      </c>
      <c r="O2943" s="1">
        <v>5296.83</v>
      </c>
      <c r="P2943" s="1">
        <v>4341.66</v>
      </c>
      <c r="Q2943">
        <v>2.98</v>
      </c>
      <c r="R2943">
        <v>4.0920000000000002E-3</v>
      </c>
    </row>
    <row r="2944" spans="1:18" ht="16.5" customHeight="1" outlineLevel="2" x14ac:dyDescent="0.35">
      <c r="A2944" s="9"/>
      <c r="B2944" s="10" t="s">
        <v>3512</v>
      </c>
      <c r="C2944" s="10"/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1"/>
    </row>
    <row r="2945" spans="1:18" ht="13.8" outlineLevel="3" x14ac:dyDescent="0.25">
      <c r="A2945">
        <v>89787</v>
      </c>
      <c r="B2945" t="s">
        <v>3350</v>
      </c>
      <c r="C2945" t="s">
        <v>3513</v>
      </c>
      <c r="D2945" s="14" t="s">
        <v>3514</v>
      </c>
      <c r="E2945" s="12" t="s">
        <v>28</v>
      </c>
      <c r="F2945" s="13" t="s">
        <v>29</v>
      </c>
      <c r="G2945">
        <v>1</v>
      </c>
      <c r="H2945" t="s">
        <v>30</v>
      </c>
      <c r="I2945">
        <v>1</v>
      </c>
      <c r="J2945" s="15"/>
      <c r="K2945" s="16">
        <f>1521.19 - (1521.19 * $E$1)</f>
        <v>1521.19</v>
      </c>
      <c r="L2945" s="16">
        <f>1246.88 - (1246.88 * $E$1)</f>
        <v>1246.8800000000001</v>
      </c>
      <c r="M2945" s="1">
        <v>1521.19</v>
      </c>
      <c r="N2945" s="1">
        <v>1246.8800000000001</v>
      </c>
      <c r="O2945" s="1">
        <v>1293.01</v>
      </c>
      <c r="P2945" s="1">
        <v>1059.8499999999999</v>
      </c>
      <c r="Q2945">
        <v>0.38600000000000001</v>
      </c>
      <c r="R2945">
        <v>3.5399999999999999E-4</v>
      </c>
    </row>
    <row r="2946" spans="1:18" ht="13.8" outlineLevel="3" x14ac:dyDescent="0.25">
      <c r="A2946">
        <v>74593</v>
      </c>
      <c r="B2946" t="s">
        <v>3350</v>
      </c>
      <c r="C2946" t="s">
        <v>3515</v>
      </c>
      <c r="D2946" s="14" t="s">
        <v>3516</v>
      </c>
      <c r="E2946" s="12" t="s">
        <v>28</v>
      </c>
      <c r="F2946" s="13" t="s">
        <v>29</v>
      </c>
      <c r="G2946">
        <v>1</v>
      </c>
      <c r="H2946" t="s">
        <v>30</v>
      </c>
      <c r="I2946">
        <v>1</v>
      </c>
      <c r="J2946" s="15"/>
      <c r="K2946" s="16">
        <f>1927.71 - (1927.71 * $E$1)</f>
        <v>1927.71</v>
      </c>
      <c r="L2946" s="16">
        <f>1580.09 - (1580.09 * $E$1)</f>
        <v>1580.09</v>
      </c>
      <c r="M2946" s="1">
        <v>1927.71</v>
      </c>
      <c r="N2946" s="1">
        <v>1580.09</v>
      </c>
      <c r="O2946" s="1">
        <v>1638.55</v>
      </c>
      <c r="P2946" s="1">
        <v>1343.08</v>
      </c>
      <c r="Q2946">
        <v>0.39</v>
      </c>
      <c r="R2946">
        <v>2.3599999999999999E-4</v>
      </c>
    </row>
    <row r="2947" spans="1:18" ht="13.8" outlineLevel="3" x14ac:dyDescent="0.25">
      <c r="A2947">
        <v>85224</v>
      </c>
      <c r="B2947" t="s">
        <v>3334</v>
      </c>
      <c r="C2947" t="s">
        <v>3517</v>
      </c>
      <c r="D2947" s="14" t="s">
        <v>3518</v>
      </c>
      <c r="E2947" s="12" t="s">
        <v>28</v>
      </c>
      <c r="F2947" s="13" t="s">
        <v>29</v>
      </c>
      <c r="G2947">
        <v>1</v>
      </c>
      <c r="H2947" t="s">
        <v>30</v>
      </c>
      <c r="I2947">
        <v>1</v>
      </c>
      <c r="J2947" s="15"/>
      <c r="K2947" s="16">
        <f>1561.62 - (1561.62 * $E$1)</f>
        <v>1561.62</v>
      </c>
      <c r="L2947" s="16">
        <f>1280.02 - (1280.02 * $E$1)</f>
        <v>1280.02</v>
      </c>
      <c r="M2947" s="1">
        <v>1561.62</v>
      </c>
      <c r="N2947" s="1">
        <v>1280.02</v>
      </c>
      <c r="O2947" s="1">
        <v>1327.38</v>
      </c>
      <c r="P2947" s="1">
        <v>1088.02</v>
      </c>
      <c r="Q2947">
        <v>0.3</v>
      </c>
      <c r="R2947">
        <v>5.0600000000000005E-4</v>
      </c>
    </row>
    <row r="2948" spans="1:18" ht="13.8" outlineLevel="3" x14ac:dyDescent="0.25">
      <c r="A2948">
        <v>74712</v>
      </c>
      <c r="B2948" t="s">
        <v>3350</v>
      </c>
      <c r="C2948" t="s">
        <v>3519</v>
      </c>
      <c r="D2948" s="14" t="s">
        <v>3520</v>
      </c>
      <c r="E2948" s="12" t="s">
        <v>28</v>
      </c>
      <c r="F2948" s="13" t="s">
        <v>29</v>
      </c>
      <c r="G2948">
        <v>1</v>
      </c>
      <c r="H2948" t="s">
        <v>30</v>
      </c>
      <c r="I2948">
        <v>1</v>
      </c>
      <c r="J2948" s="15"/>
      <c r="K2948" s="16">
        <f>1665.3 - (1665.3 * $E$1)</f>
        <v>1665.3</v>
      </c>
      <c r="L2948" s="16">
        <f>1365 - (1365 * $E$1)</f>
        <v>1365</v>
      </c>
      <c r="M2948" s="1">
        <v>1665.3</v>
      </c>
      <c r="N2948" s="1">
        <v>1365</v>
      </c>
      <c r="O2948" s="1">
        <v>1415.51</v>
      </c>
      <c r="P2948" s="1">
        <v>1160.25</v>
      </c>
      <c r="Q2948">
        <v>0.44</v>
      </c>
      <c r="R2948">
        <v>6.96E-4</v>
      </c>
    </row>
    <row r="2949" spans="1:18" ht="13.8" outlineLevel="3" x14ac:dyDescent="0.25">
      <c r="A2949">
        <v>101397</v>
      </c>
      <c r="B2949" t="s">
        <v>3350</v>
      </c>
      <c r="C2949" t="s">
        <v>3521</v>
      </c>
      <c r="D2949" s="14" t="s">
        <v>3522</v>
      </c>
      <c r="E2949" s="12" t="s">
        <v>28</v>
      </c>
      <c r="F2949" s="13" t="s">
        <v>29</v>
      </c>
      <c r="G2949">
        <v>1</v>
      </c>
      <c r="H2949" t="s">
        <v>30</v>
      </c>
      <c r="I2949">
        <v>1</v>
      </c>
      <c r="J2949" s="15"/>
      <c r="K2949" s="16">
        <f>2001.87 - (2001.87 * $E$1)</f>
        <v>2001.87</v>
      </c>
      <c r="L2949" s="16">
        <f>1640.88 - (1640.88 * $E$1)</f>
        <v>1640.88</v>
      </c>
      <c r="M2949" s="1">
        <v>2001.87</v>
      </c>
      <c r="N2949" s="1">
        <v>1640.88</v>
      </c>
      <c r="O2949" s="1">
        <v>1701.59</v>
      </c>
      <c r="P2949" s="1">
        <v>1394.75</v>
      </c>
      <c r="Q2949">
        <v>0.44</v>
      </c>
      <c r="R2949">
        <v>9.3599999999999998E-4</v>
      </c>
    </row>
    <row r="2950" spans="1:18" ht="13.8" outlineLevel="3" x14ac:dyDescent="0.25">
      <c r="A2950">
        <v>78863</v>
      </c>
      <c r="B2950" t="s">
        <v>3334</v>
      </c>
      <c r="C2950" t="s">
        <v>3523</v>
      </c>
      <c r="D2950" s="14" t="s">
        <v>3524</v>
      </c>
      <c r="E2950" s="12" t="s">
        <v>28</v>
      </c>
      <c r="F2950" s="13" t="s">
        <v>29</v>
      </c>
      <c r="G2950">
        <v>1</v>
      </c>
      <c r="H2950" t="s">
        <v>30</v>
      </c>
      <c r="I2950">
        <v>1</v>
      </c>
      <c r="J2950" s="15"/>
      <c r="K2950" s="16">
        <f>2303.69 - (2303.69 * $E$1)</f>
        <v>2303.69</v>
      </c>
      <c r="L2950" s="16">
        <f>1888.27 - (1888.27 * $E$1)</f>
        <v>1888.27</v>
      </c>
      <c r="M2950" s="1">
        <v>2303.69</v>
      </c>
      <c r="N2950" s="1">
        <v>1888.27</v>
      </c>
      <c r="O2950" s="1">
        <v>1958.14</v>
      </c>
      <c r="P2950" s="1">
        <v>1605.03</v>
      </c>
      <c r="Q2950">
        <v>0.47599999999999998</v>
      </c>
      <c r="R2950">
        <v>5.3700000000000004E-4</v>
      </c>
    </row>
    <row r="2951" spans="1:18" ht="13.8" outlineLevel="3" x14ac:dyDescent="0.25">
      <c r="A2951">
        <v>106005</v>
      </c>
      <c r="B2951" t="s">
        <v>3350</v>
      </c>
      <c r="C2951" t="s">
        <v>3525</v>
      </c>
      <c r="D2951" s="14" t="s">
        <v>3526</v>
      </c>
      <c r="E2951" s="12" t="s">
        <v>28</v>
      </c>
      <c r="F2951" s="13" t="s">
        <v>29</v>
      </c>
      <c r="G2951">
        <v>1</v>
      </c>
      <c r="H2951" t="s">
        <v>30</v>
      </c>
      <c r="I2951">
        <v>1</v>
      </c>
      <c r="J2951" s="15"/>
      <c r="K2951" s="16">
        <f>2001.87 - (2001.87 * $E$1)</f>
        <v>2001.87</v>
      </c>
      <c r="L2951" s="16">
        <f>1640.88 - (1640.88 * $E$1)</f>
        <v>1640.88</v>
      </c>
      <c r="M2951" s="1">
        <v>2001.87</v>
      </c>
      <c r="N2951" s="1">
        <v>1640.88</v>
      </c>
      <c r="O2951" s="1">
        <v>1701.59</v>
      </c>
      <c r="P2951" s="1">
        <v>1394.75</v>
      </c>
      <c r="Q2951">
        <v>0.43</v>
      </c>
      <c r="R2951">
        <v>9.3599999999999998E-4</v>
      </c>
    </row>
    <row r="2952" spans="1:18" ht="13.8" outlineLevel="3" x14ac:dyDescent="0.25">
      <c r="A2952">
        <v>77669</v>
      </c>
      <c r="B2952" t="s">
        <v>3334</v>
      </c>
      <c r="C2952" t="s">
        <v>3527</v>
      </c>
      <c r="D2952" s="14" t="s">
        <v>3528</v>
      </c>
      <c r="E2952" s="12" t="s">
        <v>28</v>
      </c>
      <c r="F2952" s="13" t="s">
        <v>29</v>
      </c>
      <c r="G2952">
        <v>1</v>
      </c>
      <c r="H2952" t="s">
        <v>30</v>
      </c>
      <c r="I2952">
        <v>1</v>
      </c>
      <c r="J2952" s="15"/>
      <c r="K2952" s="16">
        <f>2245.91 - (2245.91 * $E$1)</f>
        <v>2245.91</v>
      </c>
      <c r="L2952" s="16">
        <f>1840.91 - (1840.91 * $E$1)</f>
        <v>1840.91</v>
      </c>
      <c r="M2952" s="1">
        <v>2245.91</v>
      </c>
      <c r="N2952" s="1">
        <v>1840.91</v>
      </c>
      <c r="O2952" s="1">
        <v>1909.02</v>
      </c>
      <c r="P2952" s="1">
        <v>1564.77</v>
      </c>
      <c r="Q2952">
        <v>0.47</v>
      </c>
      <c r="R2952">
        <v>6.87E-4</v>
      </c>
    </row>
    <row r="2953" spans="1:18" ht="13.8" outlineLevel="3" x14ac:dyDescent="0.25">
      <c r="A2953">
        <v>101398</v>
      </c>
      <c r="B2953" t="s">
        <v>3350</v>
      </c>
      <c r="C2953" t="s">
        <v>3529</v>
      </c>
      <c r="D2953" s="14" t="s">
        <v>3530</v>
      </c>
      <c r="E2953" s="12" t="s">
        <v>28</v>
      </c>
      <c r="F2953" s="13" t="s">
        <v>29</v>
      </c>
      <c r="G2953">
        <v>1</v>
      </c>
      <c r="H2953" t="s">
        <v>30</v>
      </c>
      <c r="I2953">
        <v>1</v>
      </c>
      <c r="J2953" s="15"/>
      <c r="K2953" s="16">
        <f>2251.94 - (2251.94 * $E$1)</f>
        <v>2251.94</v>
      </c>
      <c r="L2953" s="16">
        <f>1845.85 - (1845.85 * $E$1)</f>
        <v>1845.85</v>
      </c>
      <c r="M2953" s="1">
        <v>2251.94</v>
      </c>
      <c r="N2953" s="1">
        <v>1845.85</v>
      </c>
      <c r="O2953" s="1">
        <v>1914.15</v>
      </c>
      <c r="P2953" s="1">
        <v>1568.97</v>
      </c>
      <c r="Q2953">
        <v>0.44</v>
      </c>
      <c r="R2953">
        <v>9.3599999999999998E-4</v>
      </c>
    </row>
    <row r="2954" spans="1:18" ht="13.8" outlineLevel="3" x14ac:dyDescent="0.25">
      <c r="A2954">
        <v>92311</v>
      </c>
      <c r="B2954" t="s">
        <v>3350</v>
      </c>
      <c r="C2954" t="s">
        <v>3531</v>
      </c>
      <c r="D2954" s="14" t="s">
        <v>3532</v>
      </c>
      <c r="E2954" s="12" t="s">
        <v>28</v>
      </c>
      <c r="F2954" s="13" t="s">
        <v>29</v>
      </c>
      <c r="G2954">
        <v>1</v>
      </c>
      <c r="H2954" t="s">
        <v>30</v>
      </c>
      <c r="I2954">
        <v>1</v>
      </c>
      <c r="J2954" s="15"/>
      <c r="K2954" s="16">
        <f>2976.08 - (2976.08 * $E$1)</f>
        <v>2976.08</v>
      </c>
      <c r="L2954" s="16">
        <f>2439.41 - (2439.41 * $E$1)</f>
        <v>2439.41</v>
      </c>
      <c r="M2954" s="1">
        <v>2976.08</v>
      </c>
      <c r="N2954" s="1">
        <v>2439.41</v>
      </c>
      <c r="O2954" s="1">
        <v>2529.67</v>
      </c>
      <c r="P2954" s="1">
        <v>2073.5</v>
      </c>
      <c r="Q2954">
        <v>0.46</v>
      </c>
      <c r="R2954">
        <v>5.3300000000000005E-4</v>
      </c>
    </row>
    <row r="2955" spans="1:18" ht="13.8" outlineLevel="3" x14ac:dyDescent="0.25">
      <c r="A2955">
        <v>74594</v>
      </c>
      <c r="B2955" t="s">
        <v>3334</v>
      </c>
      <c r="C2955" t="s">
        <v>3533</v>
      </c>
      <c r="D2955" s="14" t="s">
        <v>3534</v>
      </c>
      <c r="E2955" s="12" t="s">
        <v>28</v>
      </c>
      <c r="F2955" s="13" t="s">
        <v>29</v>
      </c>
      <c r="G2955">
        <v>1</v>
      </c>
      <c r="H2955" t="s">
        <v>30</v>
      </c>
      <c r="I2955">
        <v>1</v>
      </c>
      <c r="J2955" s="15"/>
      <c r="K2955" s="16">
        <f>4089.84 - (4089.84 * $E$1)</f>
        <v>4089.84</v>
      </c>
      <c r="L2955" s="16">
        <f>3352.33 - (3352.33 * $E$1)</f>
        <v>3352.33</v>
      </c>
      <c r="M2955" s="1">
        <v>4089.84</v>
      </c>
      <c r="N2955" s="1">
        <v>3352.33</v>
      </c>
      <c r="O2955" s="1">
        <v>3476.37</v>
      </c>
      <c r="P2955" s="1">
        <v>2849.48</v>
      </c>
      <c r="Q2955">
        <v>0.45</v>
      </c>
      <c r="R2955">
        <v>9.6400000000000001E-4</v>
      </c>
    </row>
    <row r="2956" spans="1:18" ht="13.8" outlineLevel="3" x14ac:dyDescent="0.25">
      <c r="A2956">
        <v>79760</v>
      </c>
      <c r="B2956" t="s">
        <v>3334</v>
      </c>
      <c r="C2956" t="s">
        <v>3535</v>
      </c>
      <c r="D2956" s="14" t="s">
        <v>3536</v>
      </c>
      <c r="E2956" s="12" t="s">
        <v>28</v>
      </c>
      <c r="F2956" s="13" t="s">
        <v>29</v>
      </c>
      <c r="G2956">
        <v>1</v>
      </c>
      <c r="H2956" t="s">
        <v>30</v>
      </c>
      <c r="I2956">
        <v>1</v>
      </c>
      <c r="J2956" s="15"/>
      <c r="K2956" s="16">
        <f>4877.66 - (4877.66 * $E$1)</f>
        <v>4877.66</v>
      </c>
      <c r="L2956" s="16">
        <f>3998.08 - (3998.08 * $E$1)</f>
        <v>3998.08</v>
      </c>
      <c r="M2956" s="1">
        <v>4877.66</v>
      </c>
      <c r="N2956" s="1">
        <v>3998.08</v>
      </c>
      <c r="O2956" s="1">
        <v>4146.01</v>
      </c>
      <c r="P2956" s="1">
        <v>3398.37</v>
      </c>
      <c r="Q2956">
        <v>0.4</v>
      </c>
      <c r="R2956">
        <v>5.5199999999999997E-4</v>
      </c>
    </row>
    <row r="2957" spans="1:18" ht="13.8" outlineLevel="3" x14ac:dyDescent="0.25">
      <c r="A2957">
        <v>79761</v>
      </c>
      <c r="B2957" t="s">
        <v>3334</v>
      </c>
      <c r="C2957" t="s">
        <v>3537</v>
      </c>
      <c r="D2957" s="14" t="s">
        <v>3538</v>
      </c>
      <c r="E2957" s="12" t="s">
        <v>28</v>
      </c>
      <c r="F2957" s="13" t="s">
        <v>29</v>
      </c>
      <c r="G2957">
        <v>1</v>
      </c>
      <c r="H2957" t="s">
        <v>30</v>
      </c>
      <c r="I2957">
        <v>1</v>
      </c>
      <c r="J2957" s="15"/>
      <c r="K2957" s="16">
        <f>5944.07 - (5944.07 * $E$1)</f>
        <v>5944.07</v>
      </c>
      <c r="L2957" s="16">
        <f>4872.19 - (4872.19 * $E$1)</f>
        <v>4872.1899999999996</v>
      </c>
      <c r="M2957" s="1">
        <v>5944.07</v>
      </c>
      <c r="N2957" s="1">
        <v>4872.1899999999996</v>
      </c>
      <c r="O2957" s="1">
        <v>5052.46</v>
      </c>
      <c r="P2957" s="1">
        <v>4141.3599999999997</v>
      </c>
      <c r="Q2957">
        <v>0.8</v>
      </c>
      <c r="R2957">
        <v>5.5199999999999997E-4</v>
      </c>
    </row>
    <row r="2958" spans="1:18" ht="13.8" outlineLevel="3" x14ac:dyDescent="0.25">
      <c r="A2958">
        <v>54549</v>
      </c>
      <c r="B2958" t="s">
        <v>3334</v>
      </c>
      <c r="C2958" t="s">
        <v>3539</v>
      </c>
      <c r="D2958" s="14" t="s">
        <v>3540</v>
      </c>
      <c r="E2958" s="12" t="s">
        <v>28</v>
      </c>
      <c r="F2958" s="13" t="s">
        <v>29</v>
      </c>
      <c r="G2958">
        <v>1</v>
      </c>
      <c r="H2958" t="s">
        <v>30</v>
      </c>
      <c r="I2958">
        <v>1</v>
      </c>
      <c r="J2958" s="15"/>
      <c r="K2958" s="16">
        <f>3244.05 - (3244.05 * $E$1)</f>
        <v>3244.05</v>
      </c>
      <c r="L2958" s="16">
        <f>2659.06 - (2659.06 * $E$1)</f>
        <v>2659.06</v>
      </c>
      <c r="M2958" s="1">
        <v>3244.05</v>
      </c>
      <c r="N2958" s="1">
        <v>2659.06</v>
      </c>
      <c r="O2958" s="1">
        <v>2757.45</v>
      </c>
      <c r="P2958" s="1">
        <v>2260.1999999999998</v>
      </c>
      <c r="Q2958">
        <v>0.57999999999999996</v>
      </c>
      <c r="R2958">
        <v>7.7800000000000005E-4</v>
      </c>
    </row>
    <row r="2959" spans="1:18" ht="13.8" outlineLevel="3" x14ac:dyDescent="0.25">
      <c r="A2959">
        <v>102038</v>
      </c>
      <c r="B2959" t="s">
        <v>3350</v>
      </c>
      <c r="C2959" t="s">
        <v>3541</v>
      </c>
      <c r="D2959" s="14" t="s">
        <v>3542</v>
      </c>
      <c r="E2959" s="12" t="s">
        <v>28</v>
      </c>
      <c r="F2959" s="13" t="s">
        <v>29</v>
      </c>
      <c r="G2959">
        <v>1</v>
      </c>
      <c r="H2959" t="s">
        <v>30</v>
      </c>
      <c r="I2959">
        <v>1</v>
      </c>
      <c r="J2959" s="15"/>
      <c r="K2959" s="16">
        <f>3996.7 - (3996.7 * $E$1)</f>
        <v>3996.7</v>
      </c>
      <c r="L2959" s="16">
        <f>3275.98 - (3275.98 * $E$1)</f>
        <v>3275.98</v>
      </c>
      <c r="M2959" s="1">
        <v>3996.7</v>
      </c>
      <c r="N2959" s="1">
        <v>3275.98</v>
      </c>
      <c r="O2959" s="1">
        <v>3397.19</v>
      </c>
      <c r="P2959" s="1">
        <v>2784.58</v>
      </c>
      <c r="Q2959">
        <v>0.54</v>
      </c>
      <c r="R2959">
        <v>8.9999999999999998E-4</v>
      </c>
    </row>
    <row r="2960" spans="1:18" ht="13.8" outlineLevel="3" x14ac:dyDescent="0.25">
      <c r="A2960">
        <v>74595</v>
      </c>
      <c r="B2960" t="s">
        <v>3334</v>
      </c>
      <c r="C2960" t="s">
        <v>3543</v>
      </c>
      <c r="D2960" s="14" t="s">
        <v>3544</v>
      </c>
      <c r="E2960" s="12" t="s">
        <v>28</v>
      </c>
      <c r="F2960" s="13" t="s">
        <v>29</v>
      </c>
      <c r="G2960">
        <v>1</v>
      </c>
      <c r="H2960" t="s">
        <v>30</v>
      </c>
      <c r="I2960">
        <v>1</v>
      </c>
      <c r="J2960" s="15"/>
      <c r="K2960" s="16">
        <f>5694.12 - (5694.12 * $E$1)</f>
        <v>5694.12</v>
      </c>
      <c r="L2960" s="16">
        <f>4667.31 - (4667.31 * $E$1)</f>
        <v>4667.3100000000004</v>
      </c>
      <c r="M2960" s="1">
        <v>5694.12</v>
      </c>
      <c r="N2960" s="1">
        <v>4667.3100000000004</v>
      </c>
      <c r="O2960" s="1">
        <v>4840</v>
      </c>
      <c r="P2960" s="1">
        <v>3967.21</v>
      </c>
      <c r="Q2960">
        <v>0.55000000000000004</v>
      </c>
      <c r="R2960">
        <v>8.1300000000000003E-4</v>
      </c>
    </row>
    <row r="2961" spans="1:18" ht="13.8" outlineLevel="3" x14ac:dyDescent="0.25">
      <c r="A2961">
        <v>80754</v>
      </c>
      <c r="B2961" t="s">
        <v>3334</v>
      </c>
      <c r="C2961" t="s">
        <v>3545</v>
      </c>
      <c r="D2961" s="14" t="s">
        <v>3546</v>
      </c>
      <c r="E2961" s="12" t="s">
        <v>28</v>
      </c>
      <c r="F2961" s="13" t="s">
        <v>29</v>
      </c>
      <c r="G2961">
        <v>1</v>
      </c>
      <c r="H2961" t="s">
        <v>30</v>
      </c>
      <c r="I2961">
        <v>1</v>
      </c>
      <c r="J2961" s="15"/>
      <c r="K2961" s="16">
        <f>1100.31 - (1100.31 * $E$1)</f>
        <v>1100.31</v>
      </c>
      <c r="L2961" s="16">
        <f>901.89 - (901.89 * $E$1)</f>
        <v>901.89</v>
      </c>
      <c r="M2961" s="1">
        <v>1100.31</v>
      </c>
      <c r="N2961" s="1">
        <v>901.89</v>
      </c>
      <c r="O2961" s="1">
        <v>935.26</v>
      </c>
      <c r="P2961" s="1">
        <v>766.61</v>
      </c>
      <c r="Q2961">
        <v>0.2</v>
      </c>
      <c r="R2961">
        <v>3.1700000000000001E-4</v>
      </c>
    </row>
    <row r="2962" spans="1:18" ht="13.8" outlineLevel="3" x14ac:dyDescent="0.25">
      <c r="A2962">
        <v>74596</v>
      </c>
      <c r="B2962" t="s">
        <v>3334</v>
      </c>
      <c r="C2962" t="s">
        <v>3547</v>
      </c>
      <c r="D2962" s="14" t="s">
        <v>3548</v>
      </c>
      <c r="E2962" s="12" t="s">
        <v>28</v>
      </c>
      <c r="F2962" s="13" t="s">
        <v>29</v>
      </c>
      <c r="G2962">
        <v>1</v>
      </c>
      <c r="H2962" t="s">
        <v>30</v>
      </c>
      <c r="I2962">
        <v>1</v>
      </c>
      <c r="J2962" s="15"/>
      <c r="K2962" s="16">
        <f>3679.87 - (3679.87 * $E$1)</f>
        <v>3679.87</v>
      </c>
      <c r="L2962" s="16">
        <f>3016.29 - (3016.29 * $E$1)</f>
        <v>3016.29</v>
      </c>
      <c r="M2962" s="1">
        <v>3679.87</v>
      </c>
      <c r="N2962" s="1">
        <v>3016.29</v>
      </c>
      <c r="O2962" s="1">
        <v>3127.89</v>
      </c>
      <c r="P2962" s="1">
        <v>2563.85</v>
      </c>
      <c r="Q2962">
        <v>0.8</v>
      </c>
      <c r="R2962">
        <v>1.4E-3</v>
      </c>
    </row>
    <row r="2963" spans="1:18" ht="13.8" outlineLevel="3" x14ac:dyDescent="0.25">
      <c r="A2963">
        <v>74597</v>
      </c>
      <c r="B2963" t="s">
        <v>3334</v>
      </c>
      <c r="C2963" t="s">
        <v>3549</v>
      </c>
      <c r="D2963" s="14" t="s">
        <v>3550</v>
      </c>
      <c r="E2963" s="12" t="s">
        <v>28</v>
      </c>
      <c r="F2963" s="13" t="s">
        <v>29</v>
      </c>
      <c r="G2963">
        <v>1</v>
      </c>
      <c r="H2963" t="s">
        <v>30</v>
      </c>
      <c r="I2963">
        <v>1</v>
      </c>
      <c r="J2963" s="15"/>
      <c r="K2963" s="16">
        <f>3664.97 - (3664.97 * $E$1)</f>
        <v>3664.97</v>
      </c>
      <c r="L2963" s="16">
        <f>3004.07 - (3004.07 * $E$1)</f>
        <v>3004.07</v>
      </c>
      <c r="M2963" s="1">
        <v>3664.97</v>
      </c>
      <c r="N2963" s="1">
        <v>3004.07</v>
      </c>
      <c r="O2963" s="1">
        <v>3115.22</v>
      </c>
      <c r="P2963" s="1">
        <v>2553.46</v>
      </c>
      <c r="Q2963">
        <v>0.84</v>
      </c>
      <c r="R2963">
        <v>1.4339999999999999E-3</v>
      </c>
    </row>
    <row r="2964" spans="1:18" ht="13.8" outlineLevel="3" x14ac:dyDescent="0.25">
      <c r="A2964">
        <v>85397</v>
      </c>
      <c r="B2964" t="s">
        <v>3435</v>
      </c>
      <c r="C2964" t="s">
        <v>3551</v>
      </c>
      <c r="D2964" s="14" t="s">
        <v>3552</v>
      </c>
      <c r="E2964" s="12" t="s">
        <v>28</v>
      </c>
      <c r="F2964" s="13" t="s">
        <v>29</v>
      </c>
      <c r="G2964">
        <v>1</v>
      </c>
      <c r="H2964" t="s">
        <v>30</v>
      </c>
      <c r="I2964">
        <v>1</v>
      </c>
      <c r="J2964" s="15"/>
      <c r="K2964" s="16">
        <f>IF($E$1&gt;=$Q$1%,85648.45-(85648.45*$Q$1%),85648.45-(85648.45*$E$1))</f>
        <v>85648.45</v>
      </c>
      <c r="L2964" s="16">
        <f>IF($E$1&gt;=$Q$1%,70203.65-(70203.65*$Q$1%),70203.65-(70203.65*$E$1))</f>
        <v>70203.649999999994</v>
      </c>
      <c r="M2964" s="1">
        <v>85648.45</v>
      </c>
      <c r="N2964" s="1">
        <v>70203.649999999994</v>
      </c>
      <c r="O2964" s="1">
        <v>85648.45</v>
      </c>
      <c r="P2964" s="1">
        <v>70203.649999999994</v>
      </c>
      <c r="Q2964">
        <v>6.7</v>
      </c>
      <c r="R2964">
        <v>2.6476E-2</v>
      </c>
    </row>
    <row r="2965" spans="1:18" ht="16.5" customHeight="1" outlineLevel="1" x14ac:dyDescent="0.35">
      <c r="A2965" s="9"/>
      <c r="B2965" s="10" t="s">
        <v>3553</v>
      </c>
      <c r="C2965" s="10"/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1"/>
    </row>
    <row r="2966" spans="1:18" ht="16.5" customHeight="1" outlineLevel="2" x14ac:dyDescent="0.35">
      <c r="A2966" s="9"/>
      <c r="B2966" s="10" t="s">
        <v>3553</v>
      </c>
      <c r="C2966" s="10"/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1"/>
    </row>
    <row r="2967" spans="1:18" ht="13.8" outlineLevel="3" x14ac:dyDescent="0.25">
      <c r="A2967">
        <v>106481</v>
      </c>
      <c r="B2967" t="s">
        <v>3554</v>
      </c>
      <c r="C2967" t="s">
        <v>3555</v>
      </c>
      <c r="D2967" s="14" t="s">
        <v>3556</v>
      </c>
      <c r="E2967" s="12" t="s">
        <v>28</v>
      </c>
      <c r="F2967" s="18" t="s">
        <v>1467</v>
      </c>
      <c r="G2967">
        <v>1</v>
      </c>
      <c r="H2967" t="s">
        <v>30</v>
      </c>
      <c r="I2967">
        <v>1</v>
      </c>
      <c r="J2967" s="15"/>
      <c r="K2967" s="16">
        <f>6778.95 - (6778.95 * $E$1)</f>
        <v>6778.95</v>
      </c>
      <c r="L2967" s="16">
        <f>5556.52 - (5556.52 * $E$1)</f>
        <v>5556.52</v>
      </c>
      <c r="M2967" s="1">
        <v>6778.95</v>
      </c>
      <c r="N2967" s="1">
        <v>5556.52</v>
      </c>
      <c r="O2967" s="1">
        <v>5762.11</v>
      </c>
      <c r="P2967" s="1">
        <v>4723.04</v>
      </c>
      <c r="Q2967">
        <v>2.62</v>
      </c>
      <c r="R2967">
        <v>5.9849999999999999E-3</v>
      </c>
    </row>
    <row r="2968" spans="1:18" ht="13.8" outlineLevel="3" x14ac:dyDescent="0.25">
      <c r="A2968">
        <v>52065</v>
      </c>
      <c r="B2968" t="s">
        <v>3557</v>
      </c>
      <c r="C2968" t="s">
        <v>3558</v>
      </c>
      <c r="D2968" s="14" t="s">
        <v>3559</v>
      </c>
      <c r="E2968" s="12" t="s">
        <v>28</v>
      </c>
      <c r="F2968" s="13" t="s">
        <v>29</v>
      </c>
      <c r="G2968">
        <v>1</v>
      </c>
      <c r="H2968" t="s">
        <v>30</v>
      </c>
      <c r="I2968">
        <v>1</v>
      </c>
      <c r="J2968" s="15"/>
      <c r="K2968" s="16">
        <f>6775.26 - (6775.26 * $E$1)</f>
        <v>6775.26</v>
      </c>
      <c r="L2968" s="16">
        <f>5553.49 - (5553.49 * $E$1)</f>
        <v>5553.49</v>
      </c>
      <c r="M2968" s="1">
        <v>6775.26</v>
      </c>
      <c r="N2968" s="1">
        <v>5553.49</v>
      </c>
      <c r="O2968" s="1">
        <v>5758.97</v>
      </c>
      <c r="P2968" s="1">
        <v>4720.47</v>
      </c>
      <c r="Q2968">
        <v>2.73</v>
      </c>
      <c r="R2968">
        <v>4.104E-3</v>
      </c>
    </row>
    <row r="2969" spans="1:18" ht="13.8" outlineLevel="3" x14ac:dyDescent="0.25">
      <c r="A2969">
        <v>91807</v>
      </c>
      <c r="B2969" t="s">
        <v>3554</v>
      </c>
      <c r="C2969" t="s">
        <v>3560</v>
      </c>
      <c r="D2969" s="14" t="s">
        <v>3561</v>
      </c>
      <c r="E2969" s="12" t="s">
        <v>28</v>
      </c>
      <c r="F2969" s="13" t="s">
        <v>29</v>
      </c>
      <c r="G2969">
        <v>1</v>
      </c>
      <c r="H2969" t="s">
        <v>30</v>
      </c>
      <c r="I2969">
        <v>1</v>
      </c>
      <c r="J2969" s="15"/>
      <c r="K2969" s="16">
        <f>8421.86 - (8421.86 * $E$1)</f>
        <v>8421.86</v>
      </c>
      <c r="L2969" s="16">
        <f>6903.16 - (6903.16 * $E$1)</f>
        <v>6903.16</v>
      </c>
      <c r="M2969" s="1">
        <v>8421.86</v>
      </c>
      <c r="N2969" s="1">
        <v>6903.16</v>
      </c>
      <c r="O2969" s="1">
        <v>7158.58</v>
      </c>
      <c r="P2969" s="1">
        <v>5867.69</v>
      </c>
      <c r="Q2969">
        <v>2.92</v>
      </c>
      <c r="R2969">
        <v>4.9699999999999996E-3</v>
      </c>
    </row>
    <row r="2970" spans="1:18" ht="13.8" outlineLevel="3" x14ac:dyDescent="0.25">
      <c r="A2970">
        <v>91808</v>
      </c>
      <c r="B2970" t="s">
        <v>3554</v>
      </c>
      <c r="C2970" t="s">
        <v>3562</v>
      </c>
      <c r="D2970" s="14" t="s">
        <v>3563</v>
      </c>
      <c r="E2970" s="12" t="s">
        <v>28</v>
      </c>
      <c r="F2970" s="13" t="s">
        <v>29</v>
      </c>
      <c r="G2970">
        <v>1</v>
      </c>
      <c r="H2970" t="s">
        <v>30</v>
      </c>
      <c r="I2970">
        <v>1</v>
      </c>
      <c r="J2970" s="15"/>
      <c r="K2970" s="16">
        <f>7929.88 - (7929.88 * $E$1)</f>
        <v>7929.88</v>
      </c>
      <c r="L2970" s="16">
        <f>6499.9 - (6499.9 * $E$1)</f>
        <v>6499.9</v>
      </c>
      <c r="M2970" s="1">
        <v>7929.88</v>
      </c>
      <c r="N2970" s="1">
        <v>6499.9</v>
      </c>
      <c r="O2970" s="1">
        <v>6740.4</v>
      </c>
      <c r="P2970" s="1">
        <v>5524.92</v>
      </c>
      <c r="Q2970">
        <v>2.8860000000000001</v>
      </c>
      <c r="R2970">
        <v>4.9699999999999996E-3</v>
      </c>
    </row>
    <row r="2971" spans="1:18" ht="13.8" outlineLevel="3" x14ac:dyDescent="0.25">
      <c r="A2971">
        <v>105637</v>
      </c>
      <c r="B2971" t="s">
        <v>3564</v>
      </c>
      <c r="C2971" t="s">
        <v>3565</v>
      </c>
      <c r="D2971" s="14" t="s">
        <v>3566</v>
      </c>
      <c r="E2971" s="12" t="s">
        <v>28</v>
      </c>
      <c r="F2971" s="13" t="s">
        <v>29</v>
      </c>
      <c r="G2971">
        <v>1</v>
      </c>
      <c r="H2971" t="s">
        <v>30</v>
      </c>
      <c r="I2971">
        <v>1</v>
      </c>
      <c r="J2971" s="15"/>
      <c r="K2971" s="16">
        <f>7932.14 - (7932.14 * $E$1)</f>
        <v>7932.14</v>
      </c>
      <c r="L2971" s="16">
        <f>6501.75 - (6501.75 * $E$1)</f>
        <v>6501.75</v>
      </c>
      <c r="M2971" s="1">
        <v>7932.14</v>
      </c>
      <c r="N2971" s="1">
        <v>6501.75</v>
      </c>
      <c r="O2971" s="1">
        <v>6742.31</v>
      </c>
      <c r="P2971" s="1">
        <v>5526.49</v>
      </c>
      <c r="Q2971">
        <v>3.5</v>
      </c>
      <c r="R2971">
        <v>5.0400000000000002E-3</v>
      </c>
    </row>
    <row r="2972" spans="1:18" ht="13.8" outlineLevel="3" x14ac:dyDescent="0.25">
      <c r="A2972">
        <v>106482</v>
      </c>
      <c r="B2972" t="s">
        <v>3554</v>
      </c>
      <c r="C2972" t="s">
        <v>3567</v>
      </c>
      <c r="D2972" s="14" t="s">
        <v>3568</v>
      </c>
      <c r="E2972" s="12" t="s">
        <v>28</v>
      </c>
      <c r="F2972" s="18" t="s">
        <v>1467</v>
      </c>
      <c r="G2972">
        <v>1</v>
      </c>
      <c r="H2972" t="s">
        <v>30</v>
      </c>
      <c r="I2972">
        <v>1</v>
      </c>
      <c r="J2972" s="15"/>
      <c r="K2972" s="16">
        <f>8308.53 - (8308.53 * $E$1)</f>
        <v>8308.5300000000007</v>
      </c>
      <c r="L2972" s="16">
        <f>6810.27 - (6810.27 * $E$1)</f>
        <v>6810.27</v>
      </c>
      <c r="M2972" s="1">
        <v>8308.5300000000007</v>
      </c>
      <c r="N2972" s="1">
        <v>6810.27</v>
      </c>
      <c r="O2972" s="1">
        <v>7062.25</v>
      </c>
      <c r="P2972" s="1">
        <v>5788.73</v>
      </c>
      <c r="Q2972">
        <v>2.64</v>
      </c>
      <c r="R2972">
        <v>5.9849999999999999E-3</v>
      </c>
    </row>
    <row r="2973" spans="1:18" ht="13.8" outlineLevel="3" x14ac:dyDescent="0.25">
      <c r="A2973">
        <v>57604</v>
      </c>
      <c r="B2973" t="s">
        <v>3557</v>
      </c>
      <c r="C2973" t="s">
        <v>3569</v>
      </c>
      <c r="D2973" s="14" t="s">
        <v>3570</v>
      </c>
      <c r="E2973" s="12" t="s">
        <v>28</v>
      </c>
      <c r="F2973" s="13" t="s">
        <v>29</v>
      </c>
      <c r="G2973">
        <v>1</v>
      </c>
      <c r="H2973" t="s">
        <v>30</v>
      </c>
      <c r="I2973">
        <v>1</v>
      </c>
      <c r="J2973" s="15"/>
      <c r="K2973" s="16">
        <f>8296.98 - (8296.98 * $E$1)</f>
        <v>8296.98</v>
      </c>
      <c r="L2973" s="16">
        <f>6800.8 - (6800.8 * $E$1)</f>
        <v>6800.8</v>
      </c>
      <c r="M2973" s="1">
        <v>8296.98</v>
      </c>
      <c r="N2973" s="1">
        <v>6800.8</v>
      </c>
      <c r="O2973" s="1">
        <v>7052.43</v>
      </c>
      <c r="P2973" s="1">
        <v>5780.68</v>
      </c>
      <c r="Q2973">
        <v>2.8</v>
      </c>
      <c r="R2973">
        <v>4.104E-3</v>
      </c>
    </row>
    <row r="2974" spans="1:18" ht="13.8" outlineLevel="3" x14ac:dyDescent="0.25">
      <c r="A2974">
        <v>91809</v>
      </c>
      <c r="B2974" t="s">
        <v>3554</v>
      </c>
      <c r="C2974" t="s">
        <v>3571</v>
      </c>
      <c r="D2974" s="14" t="s">
        <v>3572</v>
      </c>
      <c r="E2974" s="12" t="s">
        <v>28</v>
      </c>
      <c r="F2974" s="13" t="s">
        <v>29</v>
      </c>
      <c r="G2974">
        <v>1</v>
      </c>
      <c r="H2974" t="s">
        <v>30</v>
      </c>
      <c r="I2974">
        <v>1</v>
      </c>
      <c r="J2974" s="15"/>
      <c r="K2974" s="16">
        <f>7344.51 - (7344.51 * $E$1)</f>
        <v>7344.51</v>
      </c>
      <c r="L2974" s="16">
        <f>6020.09 - (6020.09 * $E$1)</f>
        <v>6020.09</v>
      </c>
      <c r="M2974" s="1">
        <v>7344.51</v>
      </c>
      <c r="N2974" s="1">
        <v>6020.09</v>
      </c>
      <c r="O2974" s="1">
        <v>6242.83</v>
      </c>
      <c r="P2974" s="1">
        <v>5117.08</v>
      </c>
      <c r="Q2974">
        <v>2.83</v>
      </c>
      <c r="R2974">
        <v>4.9699999999999996E-3</v>
      </c>
    </row>
    <row r="2975" spans="1:18" ht="13.8" outlineLevel="3" x14ac:dyDescent="0.25">
      <c r="A2975">
        <v>53052</v>
      </c>
      <c r="B2975" t="s">
        <v>3557</v>
      </c>
      <c r="C2975" t="s">
        <v>3573</v>
      </c>
      <c r="D2975" s="14" t="s">
        <v>3574</v>
      </c>
      <c r="E2975" s="12" t="s">
        <v>28</v>
      </c>
      <c r="F2975" s="13" t="s">
        <v>29</v>
      </c>
      <c r="G2975">
        <v>1</v>
      </c>
      <c r="H2975" t="s">
        <v>30</v>
      </c>
      <c r="I2975">
        <v>1</v>
      </c>
      <c r="J2975" s="15"/>
      <c r="K2975" s="16">
        <f>7780.03 - (7780.03 * $E$1)</f>
        <v>7780.03</v>
      </c>
      <c r="L2975" s="16">
        <f>6377.07 - (6377.07 * $E$1)</f>
        <v>6377.07</v>
      </c>
      <c r="M2975" s="1">
        <v>7780.03</v>
      </c>
      <c r="N2975" s="1">
        <v>6377.07</v>
      </c>
      <c r="O2975" s="1">
        <v>6613.02</v>
      </c>
      <c r="P2975" s="1">
        <v>5420.51</v>
      </c>
      <c r="Q2975">
        <v>4.25</v>
      </c>
      <c r="R2975">
        <v>6.574E-3</v>
      </c>
    </row>
    <row r="2976" spans="1:18" ht="13.8" outlineLevel="3" x14ac:dyDescent="0.25">
      <c r="A2976">
        <v>57605</v>
      </c>
      <c r="B2976" t="s">
        <v>3557</v>
      </c>
      <c r="C2976" t="s">
        <v>3575</v>
      </c>
      <c r="D2976" s="14" t="s">
        <v>3576</v>
      </c>
      <c r="E2976" s="12" t="s">
        <v>28</v>
      </c>
      <c r="F2976" s="13" t="s">
        <v>29</v>
      </c>
      <c r="G2976">
        <v>1</v>
      </c>
      <c r="H2976" t="s">
        <v>30</v>
      </c>
      <c r="I2976">
        <v>1</v>
      </c>
      <c r="J2976" s="15"/>
      <c r="K2976" s="16">
        <f>9542.63 - (9542.63 * $E$1)</f>
        <v>9542.6299999999992</v>
      </c>
      <c r="L2976" s="16">
        <f>7821.83 - (7821.83 * $E$1)</f>
        <v>7821.83</v>
      </c>
      <c r="M2976" s="1">
        <v>9542.6299999999992</v>
      </c>
      <c r="N2976" s="1">
        <v>7821.83</v>
      </c>
      <c r="O2976" s="1">
        <v>8111.24</v>
      </c>
      <c r="P2976" s="1">
        <v>6648.56</v>
      </c>
      <c r="Q2976">
        <v>4.4400000000000004</v>
      </c>
      <c r="R2976">
        <v>6.574E-3</v>
      </c>
    </row>
    <row r="2977" spans="1:18" ht="13.8" outlineLevel="3" x14ac:dyDescent="0.25">
      <c r="A2977">
        <v>67052</v>
      </c>
      <c r="B2977" t="s">
        <v>3557</v>
      </c>
      <c r="C2977" t="s">
        <v>3577</v>
      </c>
      <c r="D2977" s="14" t="s">
        <v>3578</v>
      </c>
      <c r="E2977" s="12" t="s">
        <v>28</v>
      </c>
      <c r="F2977" s="13" t="s">
        <v>29</v>
      </c>
      <c r="G2977">
        <v>1</v>
      </c>
      <c r="H2977" t="s">
        <v>30</v>
      </c>
      <c r="I2977">
        <v>1</v>
      </c>
      <c r="J2977" s="15"/>
      <c r="K2977" s="16">
        <f>13841.84 - (13841.84 * $E$1)</f>
        <v>13841.84</v>
      </c>
      <c r="L2977" s="16">
        <f>11345.77 - (11345.77 * $E$1)</f>
        <v>11345.77</v>
      </c>
      <c r="M2977" s="1">
        <v>13841.84</v>
      </c>
      <c r="N2977" s="1">
        <v>11345.77</v>
      </c>
      <c r="O2977" s="1">
        <v>11765.56</v>
      </c>
      <c r="P2977" s="1">
        <v>9643.9</v>
      </c>
      <c r="Q2977">
        <v>4.63</v>
      </c>
      <c r="R2977">
        <v>7.2090000000000001E-3</v>
      </c>
    </row>
    <row r="2978" spans="1:18" ht="13.8" outlineLevel="3" x14ac:dyDescent="0.25">
      <c r="A2978">
        <v>57759</v>
      </c>
      <c r="B2978" t="s">
        <v>3557</v>
      </c>
      <c r="C2978" t="s">
        <v>3579</v>
      </c>
      <c r="D2978" s="14" t="s">
        <v>3580</v>
      </c>
      <c r="E2978" s="12" t="s">
        <v>28</v>
      </c>
      <c r="F2978" s="13" t="s">
        <v>29</v>
      </c>
      <c r="G2978">
        <v>1</v>
      </c>
      <c r="H2978" t="s">
        <v>30</v>
      </c>
      <c r="I2978">
        <v>1</v>
      </c>
      <c r="J2978" s="15"/>
      <c r="K2978" s="16">
        <f>25623.81 - (25623.81 * $E$1)</f>
        <v>25623.81</v>
      </c>
      <c r="L2978" s="16">
        <f>21003.12 - (21003.12 * $E$1)</f>
        <v>21003.119999999999</v>
      </c>
      <c r="M2978" s="1">
        <v>25623.81</v>
      </c>
      <c r="N2978" s="1">
        <v>21003.119999999999</v>
      </c>
      <c r="O2978" s="1">
        <v>21780.240000000002</v>
      </c>
      <c r="P2978" s="1">
        <v>17852.650000000001</v>
      </c>
      <c r="Q2978">
        <v>6.5</v>
      </c>
      <c r="R2978">
        <v>1.3310000000000001E-2</v>
      </c>
    </row>
    <row r="2979" spans="1:18" ht="13.8" outlineLevel="3" x14ac:dyDescent="0.25">
      <c r="A2979">
        <v>58262</v>
      </c>
      <c r="B2979" t="s">
        <v>3557</v>
      </c>
      <c r="C2979" t="s">
        <v>3581</v>
      </c>
      <c r="D2979" s="14" t="s">
        <v>3582</v>
      </c>
      <c r="E2979" s="12" t="s">
        <v>28</v>
      </c>
      <c r="F2979" s="13" t="s">
        <v>29</v>
      </c>
      <c r="G2979">
        <v>1</v>
      </c>
      <c r="H2979" t="s">
        <v>30</v>
      </c>
      <c r="I2979">
        <v>1</v>
      </c>
      <c r="J2979" s="15"/>
      <c r="K2979" s="16">
        <f>35363.24 - (35363.24 * $E$1)</f>
        <v>35363.24</v>
      </c>
      <c r="L2979" s="16">
        <f>28986.26 - (28986.26 * $E$1)</f>
        <v>28986.26</v>
      </c>
      <c r="M2979" s="1">
        <v>35363.24</v>
      </c>
      <c r="N2979" s="1">
        <v>28986.26</v>
      </c>
      <c r="O2979" s="1">
        <v>30058.75</v>
      </c>
      <c r="P2979" s="1">
        <v>24638.32</v>
      </c>
      <c r="Q2979">
        <v>5.6</v>
      </c>
      <c r="R2979">
        <v>1.35E-2</v>
      </c>
    </row>
    <row r="2980" spans="1:18" ht="13.8" outlineLevel="3" x14ac:dyDescent="0.25">
      <c r="A2980">
        <v>76562</v>
      </c>
      <c r="B2980" t="s">
        <v>3557</v>
      </c>
      <c r="C2980" t="s">
        <v>3583</v>
      </c>
      <c r="D2980" s="14" t="s">
        <v>3584</v>
      </c>
      <c r="E2980" s="12" t="s">
        <v>28</v>
      </c>
      <c r="F2980" s="13" t="s">
        <v>29</v>
      </c>
      <c r="G2980">
        <v>1</v>
      </c>
      <c r="H2980" t="s">
        <v>30</v>
      </c>
      <c r="I2980">
        <v>1</v>
      </c>
      <c r="J2980" s="15"/>
      <c r="K2980" s="16">
        <f>45190.63 - (45190.63 * $E$1)</f>
        <v>45190.63</v>
      </c>
      <c r="L2980" s="16">
        <f>37041.5 - (37041.5 * $E$1)</f>
        <v>37041.5</v>
      </c>
      <c r="M2980" s="1">
        <v>45190.63</v>
      </c>
      <c r="N2980" s="1">
        <v>37041.5</v>
      </c>
      <c r="O2980" s="1">
        <v>38412.04</v>
      </c>
      <c r="P2980" s="1">
        <v>31485.279999999999</v>
      </c>
      <c r="Q2980">
        <v>5.2</v>
      </c>
      <c r="R2980">
        <v>1.3146E-2</v>
      </c>
    </row>
    <row r="2981" spans="1:18" ht="13.8" outlineLevel="3" x14ac:dyDescent="0.25">
      <c r="A2981">
        <v>101937</v>
      </c>
      <c r="B2981" t="s">
        <v>3554</v>
      </c>
      <c r="C2981" t="s">
        <v>3585</v>
      </c>
      <c r="D2981" s="14" t="s">
        <v>3586</v>
      </c>
      <c r="E2981" s="12" t="s">
        <v>28</v>
      </c>
      <c r="F2981" s="13" t="s">
        <v>29</v>
      </c>
      <c r="G2981">
        <v>1</v>
      </c>
      <c r="H2981" t="s">
        <v>30</v>
      </c>
      <c r="I2981">
        <v>1</v>
      </c>
      <c r="J2981" s="15"/>
      <c r="K2981" s="16">
        <f>52434.42 - (52434.42 * $E$1)</f>
        <v>52434.42</v>
      </c>
      <c r="L2981" s="16">
        <f>42979.03 - (42979.03 * $E$1)</f>
        <v>42979.03</v>
      </c>
      <c r="M2981" s="1">
        <v>52434.42</v>
      </c>
      <c r="N2981" s="1">
        <v>42979.03</v>
      </c>
      <c r="O2981" s="1">
        <v>44569.25</v>
      </c>
      <c r="P2981" s="1">
        <v>36532.18</v>
      </c>
      <c r="Q2981">
        <v>4.3499999999999996</v>
      </c>
      <c r="R2981">
        <v>1.2251E-2</v>
      </c>
    </row>
    <row r="2982" spans="1:18" ht="13.8" outlineLevel="3" x14ac:dyDescent="0.25">
      <c r="A2982">
        <v>49628</v>
      </c>
      <c r="B2982" t="s">
        <v>3557</v>
      </c>
      <c r="C2982" t="s">
        <v>3587</v>
      </c>
      <c r="D2982" s="14" t="s">
        <v>3588</v>
      </c>
      <c r="E2982" s="12" t="s">
        <v>28</v>
      </c>
      <c r="F2982" s="13" t="s">
        <v>29</v>
      </c>
      <c r="G2982">
        <v>1</v>
      </c>
      <c r="H2982" t="s">
        <v>30</v>
      </c>
      <c r="I2982">
        <v>1</v>
      </c>
      <c r="J2982" s="15"/>
      <c r="K2982" s="16">
        <f>9163.19 - (9163.19 * $E$1)</f>
        <v>9163.19</v>
      </c>
      <c r="L2982" s="16">
        <f>7510.81 - (7510.81 * $E$1)</f>
        <v>7510.81</v>
      </c>
      <c r="M2982" s="1">
        <v>9163.19</v>
      </c>
      <c r="N2982" s="1">
        <v>7510.81</v>
      </c>
      <c r="O2982" s="1">
        <v>7788.71</v>
      </c>
      <c r="P2982" s="1">
        <v>6384.19</v>
      </c>
      <c r="Q2982">
        <v>6.14</v>
      </c>
      <c r="R2982">
        <v>9.1199999999999996E-3</v>
      </c>
    </row>
    <row r="2983" spans="1:18" ht="13.8" outlineLevel="3" x14ac:dyDescent="0.25">
      <c r="A2983">
        <v>49627</v>
      </c>
      <c r="B2983" t="s">
        <v>3557</v>
      </c>
      <c r="C2983" t="s">
        <v>3589</v>
      </c>
      <c r="D2983" s="14" t="s">
        <v>3590</v>
      </c>
      <c r="E2983" s="12" t="s">
        <v>28</v>
      </c>
      <c r="F2983" s="13" t="s">
        <v>29</v>
      </c>
      <c r="G2983">
        <v>1</v>
      </c>
      <c r="H2983" t="s">
        <v>30</v>
      </c>
      <c r="I2983">
        <v>1</v>
      </c>
      <c r="J2983" s="15"/>
      <c r="K2983" s="16">
        <f>12013.49 - (12013.49 * $E$1)</f>
        <v>12013.49</v>
      </c>
      <c r="L2983" s="16">
        <f>9847.12 - (9847.12 * $E$1)</f>
        <v>9847.1200000000008</v>
      </c>
      <c r="M2983" s="1">
        <v>12013.49</v>
      </c>
      <c r="N2983" s="1">
        <v>9847.1200000000008</v>
      </c>
      <c r="O2983" s="1">
        <v>10211.459999999999</v>
      </c>
      <c r="P2983" s="1">
        <v>8370.0499999999993</v>
      </c>
      <c r="Q2983">
        <v>6.53</v>
      </c>
      <c r="R2983">
        <v>8.1960000000000002E-3</v>
      </c>
    </row>
    <row r="2984" spans="1:18" ht="13.8" outlineLevel="3" x14ac:dyDescent="0.25">
      <c r="A2984">
        <v>67053</v>
      </c>
      <c r="B2984" t="s">
        <v>3557</v>
      </c>
      <c r="C2984" t="s">
        <v>3591</v>
      </c>
      <c r="D2984" s="14" t="s">
        <v>3592</v>
      </c>
      <c r="E2984" s="12" t="s">
        <v>28</v>
      </c>
      <c r="F2984" s="13" t="s">
        <v>29</v>
      </c>
      <c r="G2984">
        <v>1</v>
      </c>
      <c r="H2984" t="s">
        <v>30</v>
      </c>
      <c r="I2984">
        <v>1</v>
      </c>
      <c r="J2984" s="15"/>
      <c r="K2984" s="16">
        <f>25665.58 - (25665.58 * $E$1)</f>
        <v>25665.58</v>
      </c>
      <c r="L2984" s="16">
        <f>21037.36 - (21037.36 * $E$1)</f>
        <v>21037.360000000001</v>
      </c>
      <c r="M2984" s="1">
        <v>25665.58</v>
      </c>
      <c r="N2984" s="1">
        <v>21037.360000000001</v>
      </c>
      <c r="O2984" s="1">
        <v>21815.74</v>
      </c>
      <c r="P2984" s="1">
        <v>17881.759999999998</v>
      </c>
      <c r="Q2984">
        <v>8.2100000000000009</v>
      </c>
      <c r="R2984">
        <v>1.3310000000000001E-2</v>
      </c>
    </row>
    <row r="2985" spans="1:18" ht="13.8" outlineLevel="3" x14ac:dyDescent="0.25">
      <c r="A2985">
        <v>69282</v>
      </c>
      <c r="B2985" t="s">
        <v>3557</v>
      </c>
      <c r="C2985" t="s">
        <v>3593</v>
      </c>
      <c r="D2985" s="14" t="s">
        <v>3594</v>
      </c>
      <c r="E2985" s="12" t="s">
        <v>28</v>
      </c>
      <c r="F2985" s="13" t="s">
        <v>29</v>
      </c>
      <c r="G2985">
        <v>1</v>
      </c>
      <c r="H2985" t="s">
        <v>30</v>
      </c>
      <c r="I2985">
        <v>1</v>
      </c>
      <c r="J2985" s="15"/>
      <c r="K2985" s="16">
        <f>36462.92 - (36462.92 * $E$1)</f>
        <v>36462.92</v>
      </c>
      <c r="L2985" s="16">
        <f>29887.64 - (29887.64 * $E$1)</f>
        <v>29887.64</v>
      </c>
      <c r="M2985" s="1">
        <v>36462.92</v>
      </c>
      <c r="N2985" s="1">
        <v>29887.64</v>
      </c>
      <c r="O2985" s="1">
        <v>30993.48</v>
      </c>
      <c r="P2985" s="1">
        <v>25404.49</v>
      </c>
      <c r="Q2985">
        <v>6.9</v>
      </c>
      <c r="R2985">
        <v>1.3162E-2</v>
      </c>
    </row>
    <row r="2986" spans="1:18" ht="13.8" outlineLevel="3" x14ac:dyDescent="0.25">
      <c r="A2986">
        <v>54721</v>
      </c>
      <c r="B2986" t="s">
        <v>3557</v>
      </c>
      <c r="C2986" t="s">
        <v>3595</v>
      </c>
      <c r="D2986" s="14" t="s">
        <v>3596</v>
      </c>
      <c r="E2986" s="12" t="s">
        <v>28</v>
      </c>
      <c r="F2986" s="13" t="s">
        <v>29</v>
      </c>
      <c r="G2986">
        <v>1</v>
      </c>
      <c r="H2986" t="s">
        <v>30</v>
      </c>
      <c r="I2986">
        <v>1</v>
      </c>
      <c r="J2986" s="15"/>
      <c r="K2986" s="16">
        <f>71728.84 - (71728.84 * $E$1)</f>
        <v>71728.84</v>
      </c>
      <c r="L2986" s="16">
        <f>58794.13 - (58794.13 * $E$1)</f>
        <v>58794.13</v>
      </c>
      <c r="M2986" s="1">
        <v>71728.84</v>
      </c>
      <c r="N2986" s="1">
        <v>58794.13</v>
      </c>
      <c r="O2986" s="1">
        <v>60969.51</v>
      </c>
      <c r="P2986" s="1">
        <v>49975.01</v>
      </c>
      <c r="Q2986">
        <v>9.9</v>
      </c>
      <c r="R2986">
        <v>1.6863E-2</v>
      </c>
    </row>
    <row r="2987" spans="1:18" ht="13.8" outlineLevel="3" x14ac:dyDescent="0.25">
      <c r="A2987">
        <v>58244</v>
      </c>
      <c r="B2987" t="s">
        <v>3557</v>
      </c>
      <c r="C2987" t="s">
        <v>3597</v>
      </c>
      <c r="D2987" s="14" t="s">
        <v>3598</v>
      </c>
      <c r="E2987" s="12" t="s">
        <v>28</v>
      </c>
      <c r="F2987" s="13" t="s">
        <v>29</v>
      </c>
      <c r="G2987">
        <v>1</v>
      </c>
      <c r="H2987" t="s">
        <v>30</v>
      </c>
      <c r="I2987">
        <v>1</v>
      </c>
      <c r="J2987" s="15"/>
      <c r="K2987" s="16">
        <f>IF($E$1&gt;=$Q$1%,7248.18-(7248.18*$Q$1%),7248.18-(7248.18*$E$1))</f>
        <v>7248.18</v>
      </c>
      <c r="L2987" s="16">
        <f>IF($E$1&gt;=$Q$1%,5941.13-(5941.13*$Q$1%),5941.13-(5941.13*$E$1))</f>
        <v>5941.13</v>
      </c>
      <c r="M2987" s="1">
        <v>7248.18</v>
      </c>
      <c r="N2987" s="1">
        <v>5941.13</v>
      </c>
      <c r="O2987" s="1">
        <v>7248.18</v>
      </c>
      <c r="P2987" s="1">
        <v>5941.13</v>
      </c>
      <c r="Q2987">
        <v>5.3</v>
      </c>
      <c r="R2987">
        <v>9.5549999999999993E-3</v>
      </c>
    </row>
    <row r="2988" spans="1:18" ht="13.8" outlineLevel="3" x14ac:dyDescent="0.25">
      <c r="A2988">
        <v>92048</v>
      </c>
      <c r="B2988" t="s">
        <v>3554</v>
      </c>
      <c r="C2988" t="s">
        <v>3599</v>
      </c>
      <c r="D2988" s="14" t="s">
        <v>3600</v>
      </c>
      <c r="E2988" s="12" t="s">
        <v>28</v>
      </c>
      <c r="F2988" s="13" t="s">
        <v>29</v>
      </c>
      <c r="G2988">
        <v>1</v>
      </c>
      <c r="H2988" t="s">
        <v>30</v>
      </c>
      <c r="I2988">
        <v>1</v>
      </c>
      <c r="J2988" s="15"/>
      <c r="K2988" s="16">
        <f>IF($E$1&gt;=$Q$1%,6199.44-(6199.44*$Q$1%),6199.44-(6199.44*$E$1))</f>
        <v>6199.44</v>
      </c>
      <c r="L2988" s="16">
        <f>IF($E$1&gt;=$Q$1%,5081.51-(5081.51*$Q$1%),5081.51-(5081.51*$E$1))</f>
        <v>5081.51</v>
      </c>
      <c r="M2988" s="1">
        <v>6199.44</v>
      </c>
      <c r="N2988" s="1">
        <v>5081.51</v>
      </c>
      <c r="O2988" s="1">
        <v>6199.44</v>
      </c>
      <c r="P2988" s="1">
        <v>5081.51</v>
      </c>
      <c r="Q2988">
        <v>2.6</v>
      </c>
      <c r="R2988">
        <v>5.0400000000000002E-3</v>
      </c>
    </row>
    <row r="2989" spans="1:18" ht="13.8" outlineLevel="3" x14ac:dyDescent="0.25">
      <c r="A2989">
        <v>105638</v>
      </c>
      <c r="B2989" t="s">
        <v>3564</v>
      </c>
      <c r="C2989" t="s">
        <v>3601</v>
      </c>
      <c r="D2989" s="14" t="s">
        <v>3602</v>
      </c>
      <c r="E2989" s="12" t="s">
        <v>28</v>
      </c>
      <c r="F2989" s="18" t="s">
        <v>1467</v>
      </c>
      <c r="G2989">
        <v>1</v>
      </c>
      <c r="H2989" t="s">
        <v>30</v>
      </c>
      <c r="I2989">
        <v>1</v>
      </c>
      <c r="J2989" s="15"/>
      <c r="K2989" s="16">
        <f>IF($E$1&gt;=$Q$1%,6765.75-(6765.75*$Q$1%),6765.75-(6765.75*$E$1))</f>
        <v>6765.75</v>
      </c>
      <c r="L2989" s="16">
        <f>IF($E$1&gt;=$Q$1%,5545.7-(5545.7*$Q$1%),5545.7-(5545.7*$E$1))</f>
        <v>5545.7</v>
      </c>
      <c r="M2989" s="1">
        <v>6765.75</v>
      </c>
      <c r="N2989" s="1">
        <v>5545.7</v>
      </c>
      <c r="O2989" s="1">
        <v>6765.75</v>
      </c>
      <c r="P2989" s="1">
        <v>5545.7</v>
      </c>
      <c r="Q2989">
        <v>2.9</v>
      </c>
      <c r="R2989">
        <v>4.594E-3</v>
      </c>
    </row>
    <row r="2990" spans="1:18" ht="13.8" outlineLevel="3" x14ac:dyDescent="0.25">
      <c r="A2990">
        <v>92049</v>
      </c>
      <c r="B2990" t="s">
        <v>3554</v>
      </c>
      <c r="C2990" t="s">
        <v>3603</v>
      </c>
      <c r="D2990" s="14" t="s">
        <v>3604</v>
      </c>
      <c r="E2990" s="12" t="s">
        <v>28</v>
      </c>
      <c r="F2990" s="13" t="s">
        <v>29</v>
      </c>
      <c r="G2990">
        <v>1</v>
      </c>
      <c r="H2990" t="s">
        <v>30</v>
      </c>
      <c r="I2990">
        <v>1</v>
      </c>
      <c r="J2990" s="15"/>
      <c r="K2990" s="16">
        <f>IF($E$1&gt;=$Q$1%,10696.48-(10696.48*$Q$1%),10696.48-(10696.48*$E$1))</f>
        <v>10696.48</v>
      </c>
      <c r="L2990" s="16">
        <f>IF($E$1&gt;=$Q$1%,8767.61-(8767.61*$Q$1%),8767.61-(8767.61*$E$1))</f>
        <v>8767.61</v>
      </c>
      <c r="M2990" s="1">
        <v>10696.48</v>
      </c>
      <c r="N2990" s="1">
        <v>8767.61</v>
      </c>
      <c r="O2990" s="1">
        <v>10696.48</v>
      </c>
      <c r="P2990" s="1">
        <v>8767.61</v>
      </c>
      <c r="Q2990">
        <v>4.4000000000000004</v>
      </c>
      <c r="R2990">
        <v>7.3099999999999997E-3</v>
      </c>
    </row>
    <row r="2991" spans="1:18" ht="13.8" outlineLevel="3" x14ac:dyDescent="0.25">
      <c r="A2991">
        <v>109774</v>
      </c>
      <c r="B2991" t="s">
        <v>3605</v>
      </c>
      <c r="C2991" t="s">
        <v>3606</v>
      </c>
      <c r="D2991" s="14" t="s">
        <v>3607</v>
      </c>
      <c r="E2991" s="12" t="s">
        <v>28</v>
      </c>
      <c r="F2991" s="18" t="s">
        <v>1467</v>
      </c>
      <c r="G2991">
        <v>1</v>
      </c>
      <c r="H2991" t="s">
        <v>30</v>
      </c>
      <c r="I2991">
        <v>1</v>
      </c>
      <c r="J2991" s="15"/>
      <c r="K2991" s="16">
        <f>IF($E$1&gt;=$Q$1%,57427.24-(57427.24*$Q$1%),57427.24-(57427.24*$E$1))</f>
        <v>57427.24</v>
      </c>
      <c r="L2991" s="16">
        <f>IF($E$1&gt;=$Q$1%,47071.51-(47071.51*$Q$1%),47071.51-(47071.51*$E$1))</f>
        <v>47071.51</v>
      </c>
      <c r="M2991" s="1">
        <v>57427.24</v>
      </c>
      <c r="N2991" s="1">
        <v>47071.51</v>
      </c>
      <c r="O2991" s="1">
        <v>57427.24</v>
      </c>
      <c r="P2991" s="1">
        <v>47071.51</v>
      </c>
      <c r="Q2991">
        <v>5.89</v>
      </c>
      <c r="R2991">
        <v>2.5675E-2</v>
      </c>
    </row>
    <row r="2992" spans="1:18" ht="13.8" outlineLevel="3" x14ac:dyDescent="0.25">
      <c r="A2992">
        <v>109776</v>
      </c>
      <c r="B2992" t="s">
        <v>3605</v>
      </c>
      <c r="C2992" t="s">
        <v>3608</v>
      </c>
      <c r="D2992" s="14" t="s">
        <v>3609</v>
      </c>
      <c r="E2992" s="12" t="s">
        <v>28</v>
      </c>
      <c r="F2992" s="18" t="s">
        <v>1467</v>
      </c>
      <c r="G2992">
        <v>1</v>
      </c>
      <c r="H2992" t="s">
        <v>30</v>
      </c>
      <c r="I2992">
        <v>1</v>
      </c>
      <c r="J2992" s="15"/>
      <c r="K2992" s="16">
        <f>IF($E$1&gt;=$Q$1%,58937.94-(58937.94*$Q$1%),58937.94-(58937.94*$E$1))</f>
        <v>58937.94</v>
      </c>
      <c r="L2992" s="16">
        <f>IF($E$1&gt;=$Q$1%,48309.79-(48309.79*$Q$1%),48309.79-(48309.79*$E$1))</f>
        <v>48309.79</v>
      </c>
      <c r="M2992" s="1">
        <v>58937.94</v>
      </c>
      <c r="N2992" s="1">
        <v>48309.79</v>
      </c>
      <c r="O2992" s="1">
        <v>58937.94</v>
      </c>
      <c r="P2992" s="1">
        <v>48309.79</v>
      </c>
      <c r="Q2992">
        <v>5.94</v>
      </c>
      <c r="R2992">
        <v>2.5675E-2</v>
      </c>
    </row>
    <row r="2993" spans="1:18" ht="13.8" outlineLevel="3" x14ac:dyDescent="0.25">
      <c r="A2993">
        <v>91796</v>
      </c>
      <c r="B2993" t="s">
        <v>3605</v>
      </c>
      <c r="C2993" t="s">
        <v>3610</v>
      </c>
      <c r="D2993" s="14" t="s">
        <v>3611</v>
      </c>
      <c r="E2993" s="12" t="s">
        <v>28</v>
      </c>
      <c r="F2993" s="13" t="s">
        <v>29</v>
      </c>
      <c r="G2993">
        <v>1</v>
      </c>
      <c r="H2993" t="s">
        <v>30</v>
      </c>
      <c r="I2993">
        <v>1</v>
      </c>
      <c r="J2993" s="15"/>
      <c r="K2993" s="16">
        <f>IF($E$1&gt;=$Q$1%,57427.24-(57427.24*$Q$1%),57427.24-(57427.24*$E$1))</f>
        <v>57427.24</v>
      </c>
      <c r="L2993" s="16">
        <f>IF($E$1&gt;=$Q$1%,47071.51-(47071.51*$Q$1%),47071.51-(47071.51*$E$1))</f>
        <v>47071.51</v>
      </c>
      <c r="M2993" s="1">
        <v>57427.24</v>
      </c>
      <c r="N2993" s="1">
        <v>47071.51</v>
      </c>
      <c r="O2993" s="1">
        <v>57427.24</v>
      </c>
      <c r="P2993" s="1">
        <v>47071.51</v>
      </c>
      <c r="Q2993">
        <v>5.6219999999999999</v>
      </c>
      <c r="R2993">
        <v>1.553E-2</v>
      </c>
    </row>
    <row r="2994" spans="1:18" ht="13.8" outlineLevel="3" x14ac:dyDescent="0.25">
      <c r="A2994">
        <v>68078</v>
      </c>
      <c r="B2994" t="s">
        <v>3612</v>
      </c>
      <c r="C2994" t="s">
        <v>3613</v>
      </c>
      <c r="D2994" s="14" t="s">
        <v>3614</v>
      </c>
      <c r="E2994" s="12" t="s">
        <v>28</v>
      </c>
      <c r="F2994" s="13" t="s">
        <v>29</v>
      </c>
      <c r="G2994">
        <v>1</v>
      </c>
      <c r="H2994" t="s">
        <v>30</v>
      </c>
      <c r="I2994">
        <v>1</v>
      </c>
      <c r="J2994" s="15"/>
      <c r="K2994" s="16">
        <f>IF($E$1&gt;=$Q$1%,105227.59-(105227.59*$Q$1%),105227.59-(105227.59*$E$1))</f>
        <v>105227.59</v>
      </c>
      <c r="L2994" s="16">
        <f>IF($E$1&gt;=$Q$1%,86252.12-(86252.12*$Q$1%),86252.12-(86252.12*$E$1))</f>
        <v>86252.12</v>
      </c>
      <c r="M2994" s="1">
        <v>105227.59</v>
      </c>
      <c r="N2994" s="1">
        <v>86252.12</v>
      </c>
      <c r="O2994" s="1">
        <v>105227.59</v>
      </c>
      <c r="P2994" s="1">
        <v>86252.12</v>
      </c>
      <c r="Q2994">
        <v>7.5</v>
      </c>
      <c r="R2994">
        <v>2.5350000000000001E-2</v>
      </c>
    </row>
    <row r="2995" spans="1:18" ht="13.8" outlineLevel="3" x14ac:dyDescent="0.25">
      <c r="A2995">
        <v>91795</v>
      </c>
      <c r="B2995" t="s">
        <v>3615</v>
      </c>
      <c r="C2995" t="s">
        <v>3616</v>
      </c>
      <c r="D2995" s="14" t="s">
        <v>3617</v>
      </c>
      <c r="E2995" s="12" t="s">
        <v>28</v>
      </c>
      <c r="F2995" s="13" t="s">
        <v>29</v>
      </c>
      <c r="G2995">
        <v>1</v>
      </c>
      <c r="H2995" t="s">
        <v>30</v>
      </c>
      <c r="I2995">
        <v>1</v>
      </c>
      <c r="J2995" s="15"/>
      <c r="K2995" s="16">
        <f>IF($E$1&gt;=$Q$1%,111659.1-(111659.1*$Q$1%),111659.1-(111659.1*$E$1))</f>
        <v>111659.1</v>
      </c>
      <c r="L2995" s="16">
        <f>IF($E$1&gt;=$Q$1%,91523.85-(91523.85*$Q$1%),91523.85-(91523.85*$E$1))</f>
        <v>91523.85</v>
      </c>
      <c r="M2995" s="1">
        <v>111659.1</v>
      </c>
      <c r="N2995" s="1">
        <v>91523.85</v>
      </c>
      <c r="O2995" s="1">
        <v>111659.1</v>
      </c>
      <c r="P2995" s="1">
        <v>91523.85</v>
      </c>
      <c r="Q2995">
        <v>6.4740000000000002</v>
      </c>
      <c r="R2995">
        <v>2.7E-2</v>
      </c>
    </row>
    <row r="2996" spans="1:18" ht="13.8" outlineLevel="3" x14ac:dyDescent="0.25">
      <c r="A2996">
        <v>73859</v>
      </c>
      <c r="B2996" t="s">
        <v>3612</v>
      </c>
      <c r="C2996" t="s">
        <v>3618</v>
      </c>
      <c r="D2996" s="14" t="s">
        <v>3619</v>
      </c>
      <c r="E2996" s="12" t="s">
        <v>28</v>
      </c>
      <c r="F2996" s="13" t="s">
        <v>29</v>
      </c>
      <c r="G2996">
        <v>1</v>
      </c>
      <c r="H2996" t="s">
        <v>30</v>
      </c>
      <c r="I2996">
        <v>1</v>
      </c>
      <c r="J2996" s="15"/>
      <c r="K2996" s="16">
        <f>IF($E$1&gt;=$Q$1%,111916.27-(111916.27*$Q$1%),111916.27-(111916.27*$E$1))</f>
        <v>111916.27</v>
      </c>
      <c r="L2996" s="16">
        <f>IF($E$1&gt;=$Q$1%,91734.65-(91734.65*$Q$1%),91734.65-(91734.65*$E$1))</f>
        <v>91734.65</v>
      </c>
      <c r="M2996" s="1">
        <v>111916.27</v>
      </c>
      <c r="N2996" s="1">
        <v>91734.65</v>
      </c>
      <c r="O2996" s="1">
        <v>111916.27</v>
      </c>
      <c r="P2996" s="1">
        <v>91734.65</v>
      </c>
      <c r="Q2996">
        <v>11.2</v>
      </c>
      <c r="R2996">
        <v>3.159E-2</v>
      </c>
    </row>
    <row r="2997" spans="1:18" ht="13.8" outlineLevel="3" x14ac:dyDescent="0.25">
      <c r="A2997">
        <v>76478</v>
      </c>
      <c r="B2997" t="s">
        <v>3605</v>
      </c>
      <c r="C2997" t="s">
        <v>3620</v>
      </c>
      <c r="D2997" s="14" t="s">
        <v>3621</v>
      </c>
      <c r="E2997" s="12" t="s">
        <v>28</v>
      </c>
      <c r="F2997" s="13" t="s">
        <v>29</v>
      </c>
      <c r="G2997">
        <v>1</v>
      </c>
      <c r="H2997" t="s">
        <v>30</v>
      </c>
      <c r="I2997">
        <v>1</v>
      </c>
      <c r="J2997" s="15"/>
      <c r="K2997" s="16">
        <f>IF($E$1&gt;=$Q$1%,121724.59-(121724.59*$Q$1%),121724.59-(121724.59*$E$1))</f>
        <v>121724.59</v>
      </c>
      <c r="L2997" s="16">
        <f>IF($E$1&gt;=$Q$1%,99774.25-(99774.25*$Q$1%),99774.25-(99774.25*$E$1))</f>
        <v>99774.25</v>
      </c>
      <c r="M2997" s="1">
        <v>121724.59</v>
      </c>
      <c r="N2997" s="1">
        <v>99774.25</v>
      </c>
      <c r="O2997" s="1">
        <v>121724.59</v>
      </c>
      <c r="P2997" s="1">
        <v>99774.25</v>
      </c>
      <c r="Q2997">
        <v>15.5</v>
      </c>
      <c r="R2997">
        <v>3.9711000000000003E-2</v>
      </c>
    </row>
    <row r="2998" spans="1:18" ht="13.8" outlineLevel="3" x14ac:dyDescent="0.25">
      <c r="A2998">
        <v>49625</v>
      </c>
      <c r="B2998" t="s">
        <v>3622</v>
      </c>
      <c r="C2998" t="s">
        <v>3623</v>
      </c>
      <c r="D2998" s="14" t="s">
        <v>3624</v>
      </c>
      <c r="E2998" s="12" t="s">
        <v>28</v>
      </c>
      <c r="F2998" s="13" t="s">
        <v>29</v>
      </c>
      <c r="G2998">
        <v>1</v>
      </c>
      <c r="H2998" t="s">
        <v>30</v>
      </c>
      <c r="I2998">
        <v>1</v>
      </c>
      <c r="J2998" s="15"/>
      <c r="K2998" s="16">
        <f>19326.52 - (19326.52 * $E$1)</f>
        <v>19326.52</v>
      </c>
      <c r="L2998" s="16">
        <f>15841.41 - (15841.41 * $E$1)</f>
        <v>15841.41</v>
      </c>
      <c r="M2998" s="1">
        <v>19326.52</v>
      </c>
      <c r="N2998" s="1">
        <v>15841.41</v>
      </c>
      <c r="O2998" s="1">
        <v>16427.54</v>
      </c>
      <c r="P2998" s="1">
        <v>13465.2</v>
      </c>
      <c r="Q2998">
        <v>9.8000000000000007</v>
      </c>
      <c r="R2998">
        <v>2.6783999999999999E-2</v>
      </c>
    </row>
    <row r="2999" spans="1:18" ht="13.8" outlineLevel="3" x14ac:dyDescent="0.25">
      <c r="A2999">
        <v>101938</v>
      </c>
      <c r="B2999" t="s">
        <v>3625</v>
      </c>
      <c r="C2999" t="s">
        <v>3626</v>
      </c>
      <c r="D2999" s="14" t="s">
        <v>3627</v>
      </c>
      <c r="E2999" s="12" t="s">
        <v>28</v>
      </c>
      <c r="F2999" s="13" t="s">
        <v>29</v>
      </c>
      <c r="G2999">
        <v>1</v>
      </c>
      <c r="H2999" t="s">
        <v>30</v>
      </c>
      <c r="I2999">
        <v>1</v>
      </c>
      <c r="J2999" s="15"/>
      <c r="K2999" s="16">
        <f>32499.52 - (32499.52 * $E$1)</f>
        <v>32499.52</v>
      </c>
      <c r="L2999" s="16">
        <f>26638.95 - (26638.95 * $E$1)</f>
        <v>26638.95</v>
      </c>
      <c r="M2999" s="1">
        <v>32499.52</v>
      </c>
      <c r="N2999" s="1">
        <v>26638.95</v>
      </c>
      <c r="O2999" s="1">
        <v>27624.59</v>
      </c>
      <c r="P2999" s="1">
        <v>22643.11</v>
      </c>
      <c r="Q2999">
        <v>2.59</v>
      </c>
      <c r="R2999">
        <v>6.9300000000000004E-3</v>
      </c>
    </row>
    <row r="3000" spans="1:18" ht="13.8" outlineLevel="3" x14ac:dyDescent="0.25">
      <c r="A3000">
        <v>85528</v>
      </c>
      <c r="B3000" t="s">
        <v>3622</v>
      </c>
      <c r="C3000" t="s">
        <v>3628</v>
      </c>
      <c r="D3000" s="14" t="s">
        <v>3629</v>
      </c>
      <c r="E3000" s="12" t="s">
        <v>28</v>
      </c>
      <c r="F3000" s="13" t="s">
        <v>29</v>
      </c>
      <c r="G3000">
        <v>1</v>
      </c>
      <c r="H3000" t="s">
        <v>30</v>
      </c>
      <c r="I3000">
        <v>1</v>
      </c>
      <c r="J3000" s="15"/>
      <c r="K3000" s="16">
        <f>6660.69 - (6660.69 * $E$1)</f>
        <v>6660.69</v>
      </c>
      <c r="L3000" s="16">
        <f>5459.58 - (5459.58 * $E$1)</f>
        <v>5459.58</v>
      </c>
      <c r="M3000" s="1">
        <v>6660.69</v>
      </c>
      <c r="N3000" s="1">
        <v>5459.58</v>
      </c>
      <c r="O3000" s="1">
        <v>5661.58</v>
      </c>
      <c r="P3000" s="1">
        <v>4640.6400000000003</v>
      </c>
      <c r="Q3000">
        <v>4.9000000000000004</v>
      </c>
      <c r="R3000">
        <v>6.3E-3</v>
      </c>
    </row>
    <row r="3001" spans="1:18" ht="13.8" outlineLevel="3" x14ac:dyDescent="0.25">
      <c r="A3001">
        <v>54949</v>
      </c>
      <c r="B3001" t="s">
        <v>3622</v>
      </c>
      <c r="C3001" t="s">
        <v>3630</v>
      </c>
      <c r="D3001" s="14" t="s">
        <v>3631</v>
      </c>
      <c r="E3001" s="12" t="s">
        <v>28</v>
      </c>
      <c r="F3001" s="13" t="s">
        <v>29</v>
      </c>
      <c r="G3001">
        <v>1</v>
      </c>
      <c r="H3001" t="s">
        <v>30</v>
      </c>
      <c r="I3001">
        <v>1</v>
      </c>
      <c r="J3001" s="15"/>
      <c r="K3001" s="16">
        <f>60456.55 - (60456.55 * $E$1)</f>
        <v>60456.55</v>
      </c>
      <c r="L3001" s="16">
        <f>49554.55 - (49554.55 * $E$1)</f>
        <v>49554.55</v>
      </c>
      <c r="M3001" s="1">
        <v>60456.55</v>
      </c>
      <c r="N3001" s="1">
        <v>49554.55</v>
      </c>
      <c r="O3001" s="1">
        <v>51388.07</v>
      </c>
      <c r="P3001" s="1">
        <v>42121.37</v>
      </c>
      <c r="Q3001">
        <v>15.5</v>
      </c>
      <c r="R3001">
        <v>1.3939E-2</v>
      </c>
    </row>
    <row r="3002" spans="1:18" ht="13.8" outlineLevel="3" x14ac:dyDescent="0.25">
      <c r="A3002">
        <v>54724</v>
      </c>
      <c r="B3002" t="s">
        <v>3622</v>
      </c>
      <c r="C3002" t="s">
        <v>3632</v>
      </c>
      <c r="D3002" s="14" t="s">
        <v>3633</v>
      </c>
      <c r="E3002" s="12" t="s">
        <v>28</v>
      </c>
      <c r="F3002" s="13" t="s">
        <v>29</v>
      </c>
      <c r="G3002">
        <v>1</v>
      </c>
      <c r="H3002" t="s">
        <v>30</v>
      </c>
      <c r="I3002">
        <v>1</v>
      </c>
      <c r="J3002" s="15"/>
      <c r="K3002" s="16">
        <f>143870.01 - (143870.01 * $E$1)</f>
        <v>143870.01</v>
      </c>
      <c r="L3002" s="16">
        <f>117926.24 - (117926.24 * $E$1)</f>
        <v>117926.24</v>
      </c>
      <c r="M3002" s="1">
        <v>143870.01</v>
      </c>
      <c r="N3002" s="1">
        <v>117926.24</v>
      </c>
      <c r="O3002" s="1">
        <v>122289.51</v>
      </c>
      <c r="P3002" s="1">
        <v>100237.3</v>
      </c>
      <c r="Q3002">
        <v>23.2</v>
      </c>
      <c r="R3002">
        <v>2.0282999999999999E-2</v>
      </c>
    </row>
    <row r="3003" spans="1:18" ht="13.8" outlineLevel="3" x14ac:dyDescent="0.25">
      <c r="A3003">
        <v>61033</v>
      </c>
      <c r="B3003" t="s">
        <v>3634</v>
      </c>
      <c r="C3003" t="s">
        <v>3635</v>
      </c>
      <c r="D3003" s="14" t="s">
        <v>3636</v>
      </c>
      <c r="E3003" s="12" t="s">
        <v>28</v>
      </c>
      <c r="F3003" s="13" t="s">
        <v>29</v>
      </c>
      <c r="G3003">
        <v>1</v>
      </c>
      <c r="H3003" t="s">
        <v>30</v>
      </c>
      <c r="I3003">
        <v>1</v>
      </c>
      <c r="J3003" s="15"/>
      <c r="K3003" s="16">
        <f>7975.07 - (7975.07 * $E$1)</f>
        <v>7975.07</v>
      </c>
      <c r="L3003" s="16">
        <f>6536.94 - (6536.94 * $E$1)</f>
        <v>6536.94</v>
      </c>
      <c r="M3003" s="1">
        <v>7975.07</v>
      </c>
      <c r="N3003" s="1">
        <v>6536.94</v>
      </c>
      <c r="O3003" s="1">
        <v>6778.81</v>
      </c>
      <c r="P3003" s="1">
        <v>5556.4</v>
      </c>
      <c r="Q3003">
        <v>1.9</v>
      </c>
      <c r="R3003">
        <v>3.4020000000000001E-3</v>
      </c>
    </row>
    <row r="3004" spans="1:18" ht="13.8" outlineLevel="3" x14ac:dyDescent="0.25">
      <c r="A3004">
        <v>61185</v>
      </c>
      <c r="B3004" t="s">
        <v>3634</v>
      </c>
      <c r="C3004" t="s">
        <v>3637</v>
      </c>
      <c r="D3004" s="14" t="s">
        <v>3638</v>
      </c>
      <c r="E3004" s="12" t="s">
        <v>28</v>
      </c>
      <c r="F3004" s="13" t="s">
        <v>29</v>
      </c>
      <c r="G3004">
        <v>1</v>
      </c>
      <c r="H3004" t="s">
        <v>30</v>
      </c>
      <c r="I3004">
        <v>1</v>
      </c>
      <c r="J3004" s="15"/>
      <c r="K3004" s="16">
        <f>7979.57 - (7979.57 * $E$1)</f>
        <v>7979.57</v>
      </c>
      <c r="L3004" s="16">
        <f>6540.63 - (6540.63 * $E$1)</f>
        <v>6540.63</v>
      </c>
      <c r="M3004" s="1">
        <v>7979.57</v>
      </c>
      <c r="N3004" s="1">
        <v>6540.63</v>
      </c>
      <c r="O3004" s="1">
        <v>6782.63</v>
      </c>
      <c r="P3004" s="1">
        <v>5559.54</v>
      </c>
      <c r="Q3004">
        <v>1.9</v>
      </c>
      <c r="R3004">
        <v>3.4020000000000001E-3</v>
      </c>
    </row>
    <row r="3005" spans="1:18" ht="13.8" outlineLevel="3" x14ac:dyDescent="0.25">
      <c r="A3005">
        <v>61034</v>
      </c>
      <c r="B3005" t="s">
        <v>3634</v>
      </c>
      <c r="C3005" t="s">
        <v>3639</v>
      </c>
      <c r="D3005" s="14" t="s">
        <v>3640</v>
      </c>
      <c r="E3005" s="12" t="s">
        <v>28</v>
      </c>
      <c r="F3005" s="13" t="s">
        <v>29</v>
      </c>
      <c r="G3005">
        <v>1</v>
      </c>
      <c r="H3005" t="s">
        <v>30</v>
      </c>
      <c r="I3005">
        <v>1</v>
      </c>
      <c r="J3005" s="15"/>
      <c r="K3005" s="16">
        <f>7969.86 - (7969.86 * $E$1)</f>
        <v>7969.86</v>
      </c>
      <c r="L3005" s="16">
        <f>6532.67 - (6532.67 * $E$1)</f>
        <v>6532.67</v>
      </c>
      <c r="M3005" s="1">
        <v>7969.86</v>
      </c>
      <c r="N3005" s="1">
        <v>6532.67</v>
      </c>
      <c r="O3005" s="1">
        <v>6774.38</v>
      </c>
      <c r="P3005" s="1">
        <v>5552.77</v>
      </c>
      <c r="Q3005">
        <v>1.9</v>
      </c>
      <c r="R3005">
        <v>3.5560000000000001E-3</v>
      </c>
    </row>
    <row r="3006" spans="1:18" ht="13.8" outlineLevel="3" x14ac:dyDescent="0.25">
      <c r="A3006">
        <v>61036</v>
      </c>
      <c r="B3006" t="s">
        <v>3634</v>
      </c>
      <c r="C3006" t="s">
        <v>3641</v>
      </c>
      <c r="D3006" s="14" t="s">
        <v>3642</v>
      </c>
      <c r="E3006" s="12" t="s">
        <v>28</v>
      </c>
      <c r="F3006" s="13" t="s">
        <v>29</v>
      </c>
      <c r="G3006">
        <v>1</v>
      </c>
      <c r="H3006" t="s">
        <v>30</v>
      </c>
      <c r="I3006">
        <v>1</v>
      </c>
      <c r="J3006" s="15"/>
      <c r="K3006" s="16">
        <f>7982.89 - (7982.89 * $E$1)</f>
        <v>7982.89</v>
      </c>
      <c r="L3006" s="16">
        <f>6543.35 - (6543.35 * $E$1)</f>
        <v>6543.35</v>
      </c>
      <c r="M3006" s="1">
        <v>7982.89</v>
      </c>
      <c r="N3006" s="1">
        <v>6543.35</v>
      </c>
      <c r="O3006" s="1">
        <v>6785.45</v>
      </c>
      <c r="P3006" s="1">
        <v>5561.85</v>
      </c>
      <c r="Q3006">
        <v>2</v>
      </c>
      <c r="R3006">
        <v>3.5560000000000001E-3</v>
      </c>
    </row>
    <row r="3007" spans="1:18" ht="13.8" outlineLevel="3" x14ac:dyDescent="0.25">
      <c r="A3007">
        <v>61035</v>
      </c>
      <c r="B3007" t="s">
        <v>3634</v>
      </c>
      <c r="C3007" t="s">
        <v>3643</v>
      </c>
      <c r="D3007" s="14" t="s">
        <v>3644</v>
      </c>
      <c r="E3007" s="12" t="s">
        <v>28</v>
      </c>
      <c r="F3007" s="13" t="s">
        <v>29</v>
      </c>
      <c r="G3007">
        <v>1</v>
      </c>
      <c r="H3007" t="s">
        <v>30</v>
      </c>
      <c r="I3007">
        <v>1</v>
      </c>
      <c r="J3007" s="15"/>
      <c r="K3007" s="16">
        <f>9259.2 - (9259.2 * $E$1)</f>
        <v>9259.2000000000007</v>
      </c>
      <c r="L3007" s="16">
        <f>7589.51 - (7589.51 * $E$1)</f>
        <v>7589.51</v>
      </c>
      <c r="M3007" s="1">
        <v>9259.2000000000007</v>
      </c>
      <c r="N3007" s="1">
        <v>7589.51</v>
      </c>
      <c r="O3007" s="1">
        <v>7870.32</v>
      </c>
      <c r="P3007" s="1">
        <v>6451.08</v>
      </c>
      <c r="Q3007">
        <v>1.87</v>
      </c>
      <c r="R3007">
        <v>3.8430000000000001E-3</v>
      </c>
    </row>
    <row r="3008" spans="1:18" ht="13.8" outlineLevel="3" x14ac:dyDescent="0.25">
      <c r="A3008">
        <v>61037</v>
      </c>
      <c r="B3008" t="s">
        <v>3634</v>
      </c>
      <c r="C3008" t="s">
        <v>3645</v>
      </c>
      <c r="D3008" s="14" t="s">
        <v>3646</v>
      </c>
      <c r="E3008" s="12" t="s">
        <v>28</v>
      </c>
      <c r="F3008" s="13" t="s">
        <v>29</v>
      </c>
      <c r="G3008">
        <v>1</v>
      </c>
      <c r="H3008" t="s">
        <v>30</v>
      </c>
      <c r="I3008">
        <v>1</v>
      </c>
      <c r="J3008" s="15"/>
      <c r="K3008" s="16">
        <f>6499.04 - (6499.04 * $E$1)</f>
        <v>6499.04</v>
      </c>
      <c r="L3008" s="16">
        <f>5327.08 - (5327.08 * $E$1)</f>
        <v>5327.08</v>
      </c>
      <c r="M3008" s="1">
        <v>6499.04</v>
      </c>
      <c r="N3008" s="1">
        <v>5327.08</v>
      </c>
      <c r="O3008" s="1">
        <v>5524.18</v>
      </c>
      <c r="P3008" s="1">
        <v>4528.0200000000004</v>
      </c>
      <c r="Q3008">
        <v>1.5</v>
      </c>
      <c r="R3008">
        <v>3.4020000000000001E-3</v>
      </c>
    </row>
    <row r="3009" spans="1:18" ht="13.8" outlineLevel="3" x14ac:dyDescent="0.25">
      <c r="A3009">
        <v>53181</v>
      </c>
      <c r="B3009" t="s">
        <v>3647</v>
      </c>
      <c r="C3009" t="s">
        <v>3648</v>
      </c>
      <c r="D3009" s="14" t="s">
        <v>3649</v>
      </c>
      <c r="E3009" s="12" t="s">
        <v>28</v>
      </c>
      <c r="F3009" s="13" t="s">
        <v>29</v>
      </c>
      <c r="G3009">
        <v>1</v>
      </c>
      <c r="H3009" t="s">
        <v>30</v>
      </c>
      <c r="I3009">
        <v>1</v>
      </c>
      <c r="J3009" s="15"/>
      <c r="K3009" s="16">
        <f>11076.98 - (11076.98 * $E$1)</f>
        <v>11076.98</v>
      </c>
      <c r="L3009" s="16">
        <f>9079.49 - (9079.49 * $E$1)</f>
        <v>9079.49</v>
      </c>
      <c r="M3009" s="1">
        <v>11076.98</v>
      </c>
      <c r="N3009" s="1">
        <v>9079.49</v>
      </c>
      <c r="O3009" s="1">
        <v>9415.43</v>
      </c>
      <c r="P3009" s="1">
        <v>7717.57</v>
      </c>
      <c r="Q3009">
        <v>2.7</v>
      </c>
      <c r="R3009">
        <v>3.5560000000000001E-3</v>
      </c>
    </row>
    <row r="3010" spans="1:18" ht="13.8" outlineLevel="3" x14ac:dyDescent="0.25">
      <c r="A3010">
        <v>70329</v>
      </c>
      <c r="B3010" t="s">
        <v>3634</v>
      </c>
      <c r="C3010" t="s">
        <v>3650</v>
      </c>
      <c r="D3010" s="14" t="s">
        <v>3651</v>
      </c>
      <c r="E3010" s="12" t="s">
        <v>28</v>
      </c>
      <c r="F3010" s="13" t="s">
        <v>29</v>
      </c>
      <c r="G3010">
        <v>1</v>
      </c>
      <c r="H3010" t="s">
        <v>30</v>
      </c>
      <c r="I3010">
        <v>1</v>
      </c>
      <c r="J3010" s="15"/>
      <c r="K3010" s="16">
        <f>2475.6 - (2475.6 * $E$1)</f>
        <v>2475.6</v>
      </c>
      <c r="L3010" s="16">
        <f>2029.18 - (2029.18 * $E$1)</f>
        <v>2029.18</v>
      </c>
      <c r="M3010" s="1">
        <v>2475.6</v>
      </c>
      <c r="N3010" s="1">
        <v>2029.18</v>
      </c>
      <c r="O3010" s="1">
        <v>2104.2600000000002</v>
      </c>
      <c r="P3010" s="1">
        <v>1724.8</v>
      </c>
      <c r="Q3010">
        <v>0.4</v>
      </c>
      <c r="R3010">
        <v>4.2999999999999999E-4</v>
      </c>
    </row>
    <row r="3011" spans="1:18" ht="16.5" customHeight="1" outlineLevel="2" x14ac:dyDescent="0.35">
      <c r="A3011" s="9"/>
      <c r="B3011" s="10" t="s">
        <v>3652</v>
      </c>
      <c r="C3011" s="10"/>
      <c r="D3011" s="10"/>
      <c r="E3011" s="10"/>
      <c r="F3011" s="10"/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1"/>
    </row>
    <row r="3012" spans="1:18" ht="13.8" outlineLevel="3" x14ac:dyDescent="0.25">
      <c r="A3012">
        <v>61564</v>
      </c>
      <c r="B3012" t="s">
        <v>3622</v>
      </c>
      <c r="C3012" t="s">
        <v>3653</v>
      </c>
      <c r="D3012" s="14" t="s">
        <v>3654</v>
      </c>
      <c r="E3012" s="12" t="s">
        <v>28</v>
      </c>
      <c r="F3012" s="13" t="s">
        <v>29</v>
      </c>
      <c r="G3012">
        <v>1</v>
      </c>
      <c r="H3012" t="s">
        <v>30</v>
      </c>
      <c r="I3012">
        <v>1</v>
      </c>
      <c r="J3012" s="15"/>
      <c r="K3012" s="16">
        <f>IF($E$1&gt;=$Q$1%,99107.91-(99107.91*$Q$1%),99107.91-(99107.91*$E$1))</f>
        <v>99107.91</v>
      </c>
      <c r="L3012" s="16">
        <f>IF($E$1&gt;=$Q$1%,81235.99-(81235.99*$Q$1%),81235.99-(81235.99*$E$1))</f>
        <v>81235.990000000005</v>
      </c>
      <c r="M3012" s="1">
        <v>99107.91</v>
      </c>
      <c r="N3012" s="1">
        <v>81235.990000000005</v>
      </c>
      <c r="O3012" s="1">
        <v>99107.91</v>
      </c>
      <c r="P3012" s="1">
        <v>81235.990000000005</v>
      </c>
      <c r="Q3012">
        <v>27.4</v>
      </c>
      <c r="R3012">
        <v>3.1025E-2</v>
      </c>
    </row>
    <row r="3013" spans="1:18" ht="13.8" outlineLevel="3" x14ac:dyDescent="0.25">
      <c r="A3013">
        <v>61526</v>
      </c>
      <c r="B3013" t="s">
        <v>3655</v>
      </c>
      <c r="C3013" t="s">
        <v>3656</v>
      </c>
      <c r="D3013" s="14" t="s">
        <v>3657</v>
      </c>
      <c r="E3013" s="12" t="s">
        <v>28</v>
      </c>
      <c r="F3013" s="19" t="s">
        <v>3658</v>
      </c>
      <c r="G3013">
        <v>1</v>
      </c>
      <c r="H3013" t="s">
        <v>1129</v>
      </c>
      <c r="I3013">
        <v>1</v>
      </c>
      <c r="J3013" s="15"/>
      <c r="K3013" s="16">
        <f t="shared" ref="K3013:K3044" si="8">IF($E$1&gt;=$Q$1%,41646.24-(41646.24*$Q$1%),41646.24-(41646.24*$E$1))</f>
        <v>41646.239999999998</v>
      </c>
      <c r="L3013" s="16">
        <f t="shared" ref="L3013:L3044" si="9">IF($E$1&gt;=$Q$1%,34136.26-(34136.26*$Q$1%),34136.26-(34136.26*$E$1))</f>
        <v>34136.26</v>
      </c>
      <c r="M3013" s="1">
        <v>41646.239999999998</v>
      </c>
      <c r="N3013" s="1">
        <v>34136.26</v>
      </c>
      <c r="O3013" s="1">
        <v>41646.239999999998</v>
      </c>
      <c r="P3013" s="1">
        <v>34136.26</v>
      </c>
      <c r="Q3013">
        <v>2.1</v>
      </c>
      <c r="R3013">
        <v>4.1599999999999997E-4</v>
      </c>
    </row>
    <row r="3014" spans="1:18" ht="13.8" outlineLevel="3" x14ac:dyDescent="0.25">
      <c r="A3014">
        <v>61528</v>
      </c>
      <c r="B3014" t="s">
        <v>3655</v>
      </c>
      <c r="C3014" t="s">
        <v>3659</v>
      </c>
      <c r="D3014" s="14" t="s">
        <v>3657</v>
      </c>
      <c r="E3014" s="12" t="s">
        <v>28</v>
      </c>
      <c r="F3014" s="19" t="s">
        <v>3658</v>
      </c>
      <c r="G3014">
        <v>1</v>
      </c>
      <c r="H3014" t="s">
        <v>1129</v>
      </c>
      <c r="I3014">
        <v>1</v>
      </c>
      <c r="J3014" s="15"/>
      <c r="K3014" s="16">
        <f t="shared" si="8"/>
        <v>41646.239999999998</v>
      </c>
      <c r="L3014" s="16">
        <f t="shared" si="9"/>
        <v>34136.26</v>
      </c>
      <c r="M3014" s="1">
        <v>41646.239999999998</v>
      </c>
      <c r="N3014" s="1">
        <v>34136.26</v>
      </c>
      <c r="O3014" s="1">
        <v>41646.239999999998</v>
      </c>
      <c r="P3014" s="1">
        <v>34136.26</v>
      </c>
      <c r="Q3014">
        <v>1.9</v>
      </c>
      <c r="R3014">
        <v>4.1599999999999997E-4</v>
      </c>
    </row>
    <row r="3015" spans="1:18" ht="13.8" outlineLevel="3" x14ac:dyDescent="0.25">
      <c r="A3015">
        <v>61529</v>
      </c>
      <c r="B3015" t="s">
        <v>3655</v>
      </c>
      <c r="C3015" t="s">
        <v>3660</v>
      </c>
      <c r="D3015" s="14" t="s">
        <v>3657</v>
      </c>
      <c r="E3015" s="12" t="s">
        <v>28</v>
      </c>
      <c r="F3015" s="19" t="s">
        <v>3658</v>
      </c>
      <c r="G3015">
        <v>1</v>
      </c>
      <c r="H3015" t="s">
        <v>1129</v>
      </c>
      <c r="I3015">
        <v>1</v>
      </c>
      <c r="J3015" s="15"/>
      <c r="K3015" s="16">
        <f t="shared" si="8"/>
        <v>41646.239999999998</v>
      </c>
      <c r="L3015" s="16">
        <f t="shared" si="9"/>
        <v>34136.26</v>
      </c>
      <c r="M3015" s="1">
        <v>41646.239999999998</v>
      </c>
      <c r="N3015" s="1">
        <v>34136.26</v>
      </c>
      <c r="O3015" s="1">
        <v>41646.239999999998</v>
      </c>
      <c r="P3015" s="1">
        <v>34136.26</v>
      </c>
      <c r="Q3015">
        <v>1.9</v>
      </c>
      <c r="R3015">
        <v>4.1599999999999997E-4</v>
      </c>
    </row>
    <row r="3016" spans="1:18" ht="13.8" outlineLevel="3" x14ac:dyDescent="0.25">
      <c r="A3016">
        <v>64121</v>
      </c>
      <c r="B3016" t="s">
        <v>3655</v>
      </c>
      <c r="C3016" t="s">
        <v>3661</v>
      </c>
      <c r="D3016" s="14" t="s">
        <v>3657</v>
      </c>
      <c r="E3016" s="12" t="s">
        <v>28</v>
      </c>
      <c r="F3016" s="19" t="s">
        <v>3658</v>
      </c>
      <c r="G3016">
        <v>1</v>
      </c>
      <c r="H3016" t="s">
        <v>1129</v>
      </c>
      <c r="I3016">
        <v>1</v>
      </c>
      <c r="J3016" s="15"/>
      <c r="K3016" s="16">
        <f t="shared" si="8"/>
        <v>41646.239999999998</v>
      </c>
      <c r="L3016" s="16">
        <f t="shared" si="9"/>
        <v>34136.26</v>
      </c>
      <c r="M3016" s="1">
        <v>41646.239999999998</v>
      </c>
      <c r="N3016" s="1">
        <v>34136.26</v>
      </c>
      <c r="O3016" s="1">
        <v>41646.239999999998</v>
      </c>
      <c r="P3016" s="1">
        <v>34136.26</v>
      </c>
      <c r="Q3016">
        <v>1.69</v>
      </c>
      <c r="R3016">
        <v>4.4799999999999999E-4</v>
      </c>
    </row>
    <row r="3017" spans="1:18" ht="13.8" outlineLevel="3" x14ac:dyDescent="0.25">
      <c r="A3017">
        <v>61536</v>
      </c>
      <c r="B3017" t="s">
        <v>3655</v>
      </c>
      <c r="C3017" t="s">
        <v>3662</v>
      </c>
      <c r="D3017" s="14" t="s">
        <v>3657</v>
      </c>
      <c r="E3017" s="12" t="s">
        <v>28</v>
      </c>
      <c r="F3017" s="19" t="s">
        <v>3658</v>
      </c>
      <c r="G3017">
        <v>1</v>
      </c>
      <c r="H3017" t="s">
        <v>1129</v>
      </c>
      <c r="I3017">
        <v>1</v>
      </c>
      <c r="J3017" s="15"/>
      <c r="K3017" s="16">
        <f t="shared" si="8"/>
        <v>41646.239999999998</v>
      </c>
      <c r="L3017" s="16">
        <f t="shared" si="9"/>
        <v>34136.26</v>
      </c>
      <c r="M3017" s="1">
        <v>41646.239999999998</v>
      </c>
      <c r="N3017" s="1">
        <v>34136.26</v>
      </c>
      <c r="O3017" s="1">
        <v>41646.239999999998</v>
      </c>
      <c r="P3017" s="1">
        <v>34136.26</v>
      </c>
      <c r="Q3017">
        <v>1.7</v>
      </c>
      <c r="R3017">
        <v>4.1599999999999997E-4</v>
      </c>
    </row>
    <row r="3018" spans="1:18" ht="13.8" outlineLevel="3" x14ac:dyDescent="0.25">
      <c r="A3018">
        <v>66330</v>
      </c>
      <c r="B3018" t="s">
        <v>3655</v>
      </c>
      <c r="C3018" t="s">
        <v>3663</v>
      </c>
      <c r="D3018" s="14" t="s">
        <v>3657</v>
      </c>
      <c r="E3018" s="12" t="s">
        <v>28</v>
      </c>
      <c r="F3018" s="19" t="s">
        <v>3658</v>
      </c>
      <c r="G3018">
        <v>1</v>
      </c>
      <c r="H3018" t="s">
        <v>1129</v>
      </c>
      <c r="I3018">
        <v>1</v>
      </c>
      <c r="J3018" s="15"/>
      <c r="K3018" s="16">
        <f t="shared" si="8"/>
        <v>41646.239999999998</v>
      </c>
      <c r="L3018" s="16">
        <f t="shared" si="9"/>
        <v>34136.26</v>
      </c>
      <c r="M3018" s="1">
        <v>41646.239999999998</v>
      </c>
      <c r="N3018" s="1">
        <v>34136.26</v>
      </c>
      <c r="O3018" s="1">
        <v>41646.239999999998</v>
      </c>
      <c r="P3018" s="1">
        <v>34136.26</v>
      </c>
      <c r="Q3018">
        <v>1.6</v>
      </c>
      <c r="R3018">
        <v>4.1599999999999997E-4</v>
      </c>
    </row>
    <row r="3019" spans="1:18" ht="13.8" outlineLevel="3" x14ac:dyDescent="0.25">
      <c r="A3019">
        <v>61559</v>
      </c>
      <c r="B3019" t="s">
        <v>3655</v>
      </c>
      <c r="C3019" t="s">
        <v>3664</v>
      </c>
      <c r="D3019" s="14" t="s">
        <v>3657</v>
      </c>
      <c r="E3019" s="12" t="s">
        <v>28</v>
      </c>
      <c r="F3019" s="19" t="s">
        <v>3658</v>
      </c>
      <c r="G3019">
        <v>1</v>
      </c>
      <c r="H3019" t="s">
        <v>1129</v>
      </c>
      <c r="I3019">
        <v>1</v>
      </c>
      <c r="J3019" s="15"/>
      <c r="K3019" s="16">
        <f t="shared" si="8"/>
        <v>41646.239999999998</v>
      </c>
      <c r="L3019" s="16">
        <f t="shared" si="9"/>
        <v>34136.26</v>
      </c>
      <c r="M3019" s="1">
        <v>41646.239999999998</v>
      </c>
      <c r="N3019" s="1">
        <v>34136.26</v>
      </c>
      <c r="O3019" s="1">
        <v>41646.239999999998</v>
      </c>
      <c r="P3019" s="1">
        <v>34136.26</v>
      </c>
      <c r="Q3019">
        <v>1.6</v>
      </c>
      <c r="R3019">
        <v>4.1599999999999997E-4</v>
      </c>
    </row>
    <row r="3020" spans="1:18" ht="13.8" outlineLevel="3" x14ac:dyDescent="0.25">
      <c r="A3020">
        <v>61829</v>
      </c>
      <c r="B3020" t="s">
        <v>3655</v>
      </c>
      <c r="C3020" t="s">
        <v>3665</v>
      </c>
      <c r="D3020" s="14" t="s">
        <v>3657</v>
      </c>
      <c r="E3020" s="12" t="s">
        <v>28</v>
      </c>
      <c r="F3020" s="19" t="s">
        <v>3658</v>
      </c>
      <c r="G3020">
        <v>1</v>
      </c>
      <c r="H3020" t="s">
        <v>1129</v>
      </c>
      <c r="I3020">
        <v>1</v>
      </c>
      <c r="J3020" s="15"/>
      <c r="K3020" s="16">
        <f t="shared" si="8"/>
        <v>41646.239999999998</v>
      </c>
      <c r="L3020" s="16">
        <f t="shared" si="9"/>
        <v>34136.26</v>
      </c>
      <c r="M3020" s="1">
        <v>41646.239999999998</v>
      </c>
      <c r="N3020" s="1">
        <v>34136.26</v>
      </c>
      <c r="O3020" s="1">
        <v>41646.239999999998</v>
      </c>
      <c r="P3020" s="1">
        <v>34136.26</v>
      </c>
      <c r="Q3020">
        <v>1.4</v>
      </c>
      <c r="R3020">
        <v>3.8400000000000001E-4</v>
      </c>
    </row>
    <row r="3021" spans="1:18" ht="13.8" outlineLevel="3" x14ac:dyDescent="0.25">
      <c r="A3021">
        <v>62946</v>
      </c>
      <c r="B3021" t="s">
        <v>3655</v>
      </c>
      <c r="C3021" t="s">
        <v>3666</v>
      </c>
      <c r="D3021" s="14" t="s">
        <v>3657</v>
      </c>
      <c r="E3021" s="12" t="s">
        <v>28</v>
      </c>
      <c r="F3021" s="19" t="s">
        <v>3658</v>
      </c>
      <c r="G3021">
        <v>1</v>
      </c>
      <c r="H3021" t="s">
        <v>1129</v>
      </c>
      <c r="I3021">
        <v>1</v>
      </c>
      <c r="J3021" s="15"/>
      <c r="K3021" s="16">
        <f t="shared" si="8"/>
        <v>41646.239999999998</v>
      </c>
      <c r="L3021" s="16">
        <f t="shared" si="9"/>
        <v>34136.26</v>
      </c>
      <c r="M3021" s="1">
        <v>41646.239999999998</v>
      </c>
      <c r="N3021" s="1">
        <v>34136.26</v>
      </c>
      <c r="O3021" s="1">
        <v>41646.239999999998</v>
      </c>
      <c r="P3021" s="1">
        <v>34136.26</v>
      </c>
      <c r="Q3021">
        <v>1.4</v>
      </c>
      <c r="R3021">
        <v>4.1599999999999997E-4</v>
      </c>
    </row>
    <row r="3022" spans="1:18" ht="13.8" outlineLevel="3" x14ac:dyDescent="0.25">
      <c r="A3022">
        <v>62253</v>
      </c>
      <c r="B3022" t="s">
        <v>3655</v>
      </c>
      <c r="C3022" t="s">
        <v>3667</v>
      </c>
      <c r="D3022" s="14" t="s">
        <v>3657</v>
      </c>
      <c r="E3022" s="12" t="s">
        <v>28</v>
      </c>
      <c r="F3022" s="19" t="s">
        <v>3658</v>
      </c>
      <c r="G3022">
        <v>1</v>
      </c>
      <c r="H3022" t="s">
        <v>1129</v>
      </c>
      <c r="I3022">
        <v>1</v>
      </c>
      <c r="J3022" s="15"/>
      <c r="K3022" s="16">
        <f t="shared" si="8"/>
        <v>41646.239999999998</v>
      </c>
      <c r="L3022" s="16">
        <f t="shared" si="9"/>
        <v>34136.26</v>
      </c>
      <c r="M3022" s="1">
        <v>41646.239999999998</v>
      </c>
      <c r="N3022" s="1">
        <v>34136.26</v>
      </c>
      <c r="O3022" s="1">
        <v>41646.239999999998</v>
      </c>
      <c r="P3022" s="1">
        <v>34136.26</v>
      </c>
      <c r="Q3022">
        <v>1.4</v>
      </c>
      <c r="R3022">
        <v>4.1599999999999997E-4</v>
      </c>
    </row>
    <row r="3023" spans="1:18" ht="13.8" outlineLevel="3" x14ac:dyDescent="0.25">
      <c r="A3023">
        <v>62945</v>
      </c>
      <c r="B3023" t="s">
        <v>3655</v>
      </c>
      <c r="C3023" t="s">
        <v>3668</v>
      </c>
      <c r="D3023" s="14" t="s">
        <v>3657</v>
      </c>
      <c r="E3023" s="12" t="s">
        <v>28</v>
      </c>
      <c r="F3023" s="19" t="s">
        <v>3658</v>
      </c>
      <c r="G3023">
        <v>1</v>
      </c>
      <c r="H3023" t="s">
        <v>1129</v>
      </c>
      <c r="I3023">
        <v>1</v>
      </c>
      <c r="J3023" s="15"/>
      <c r="K3023" s="16">
        <f t="shared" si="8"/>
        <v>41646.239999999998</v>
      </c>
      <c r="L3023" s="16">
        <f t="shared" si="9"/>
        <v>34136.26</v>
      </c>
      <c r="M3023" s="1">
        <v>41646.239999999998</v>
      </c>
      <c r="N3023" s="1">
        <v>34136.26</v>
      </c>
      <c r="O3023" s="1">
        <v>41646.239999999998</v>
      </c>
      <c r="P3023" s="1">
        <v>34136.26</v>
      </c>
      <c r="Q3023">
        <v>1.4</v>
      </c>
      <c r="R3023">
        <v>4.1599999999999997E-4</v>
      </c>
    </row>
    <row r="3024" spans="1:18" ht="13.8" outlineLevel="3" x14ac:dyDescent="0.25">
      <c r="A3024">
        <v>60654</v>
      </c>
      <c r="B3024" t="s">
        <v>3655</v>
      </c>
      <c r="C3024" t="s">
        <v>3669</v>
      </c>
      <c r="D3024" s="14" t="s">
        <v>3657</v>
      </c>
      <c r="E3024" s="12" t="s">
        <v>28</v>
      </c>
      <c r="F3024" s="19" t="s">
        <v>3658</v>
      </c>
      <c r="G3024">
        <v>1</v>
      </c>
      <c r="H3024" t="s">
        <v>1129</v>
      </c>
      <c r="I3024">
        <v>1</v>
      </c>
      <c r="J3024" s="15"/>
      <c r="K3024" s="16">
        <f t="shared" si="8"/>
        <v>41646.239999999998</v>
      </c>
      <c r="L3024" s="16">
        <f t="shared" si="9"/>
        <v>34136.26</v>
      </c>
      <c r="M3024" s="1">
        <v>41646.239999999998</v>
      </c>
      <c r="N3024" s="1">
        <v>34136.26</v>
      </c>
      <c r="O3024" s="1">
        <v>41646.239999999998</v>
      </c>
      <c r="P3024" s="1">
        <v>34136.26</v>
      </c>
      <c r="Q3024">
        <v>1.3</v>
      </c>
      <c r="R3024">
        <v>4.1599999999999997E-4</v>
      </c>
    </row>
    <row r="3025" spans="1:18" ht="13.8" outlineLevel="3" x14ac:dyDescent="0.25">
      <c r="A3025">
        <v>62252</v>
      </c>
      <c r="B3025" t="s">
        <v>3655</v>
      </c>
      <c r="C3025" t="s">
        <v>3670</v>
      </c>
      <c r="D3025" s="14" t="s">
        <v>3657</v>
      </c>
      <c r="E3025" s="12" t="s">
        <v>28</v>
      </c>
      <c r="F3025" s="19" t="s">
        <v>3658</v>
      </c>
      <c r="G3025">
        <v>1</v>
      </c>
      <c r="H3025" t="s">
        <v>1129</v>
      </c>
      <c r="I3025">
        <v>1</v>
      </c>
      <c r="J3025" s="15"/>
      <c r="K3025" s="16">
        <f t="shared" si="8"/>
        <v>41646.239999999998</v>
      </c>
      <c r="L3025" s="16">
        <f t="shared" si="9"/>
        <v>34136.26</v>
      </c>
      <c r="M3025" s="1">
        <v>41646.239999999998</v>
      </c>
      <c r="N3025" s="1">
        <v>34136.26</v>
      </c>
      <c r="O3025" s="1">
        <v>41646.239999999998</v>
      </c>
      <c r="P3025" s="1">
        <v>34136.26</v>
      </c>
      <c r="Q3025">
        <v>1.3</v>
      </c>
      <c r="R3025">
        <v>4.1599999999999997E-4</v>
      </c>
    </row>
    <row r="3026" spans="1:18" ht="13.8" outlineLevel="3" x14ac:dyDescent="0.25">
      <c r="A3026">
        <v>63865</v>
      </c>
      <c r="B3026" t="s">
        <v>3655</v>
      </c>
      <c r="C3026" t="s">
        <v>3671</v>
      </c>
      <c r="D3026" s="14" t="s">
        <v>3657</v>
      </c>
      <c r="E3026" s="12" t="s">
        <v>28</v>
      </c>
      <c r="F3026" s="19" t="s">
        <v>3658</v>
      </c>
      <c r="G3026">
        <v>1</v>
      </c>
      <c r="H3026" t="s">
        <v>1129</v>
      </c>
      <c r="I3026">
        <v>1</v>
      </c>
      <c r="J3026" s="15"/>
      <c r="K3026" s="16">
        <f t="shared" si="8"/>
        <v>41646.239999999998</v>
      </c>
      <c r="L3026" s="16">
        <f t="shared" si="9"/>
        <v>34136.26</v>
      </c>
      <c r="M3026" s="1">
        <v>41646.239999999998</v>
      </c>
      <c r="N3026" s="1">
        <v>34136.26</v>
      </c>
      <c r="O3026" s="1">
        <v>41646.239999999998</v>
      </c>
      <c r="P3026" s="1">
        <v>34136.26</v>
      </c>
      <c r="Q3026">
        <v>1.2</v>
      </c>
      <c r="R3026">
        <v>4.1599999999999997E-4</v>
      </c>
    </row>
    <row r="3027" spans="1:18" ht="13.8" outlineLevel="3" x14ac:dyDescent="0.25">
      <c r="A3027">
        <v>65148</v>
      </c>
      <c r="B3027" t="s">
        <v>3655</v>
      </c>
      <c r="C3027" t="s">
        <v>3672</v>
      </c>
      <c r="D3027" s="14" t="s">
        <v>3657</v>
      </c>
      <c r="E3027" s="12" t="s">
        <v>28</v>
      </c>
      <c r="F3027" s="19" t="s">
        <v>3658</v>
      </c>
      <c r="G3027">
        <v>1</v>
      </c>
      <c r="H3027" t="s">
        <v>1129</v>
      </c>
      <c r="I3027">
        <v>1</v>
      </c>
      <c r="J3027" s="15"/>
      <c r="K3027" s="16">
        <f t="shared" si="8"/>
        <v>41646.239999999998</v>
      </c>
      <c r="L3027" s="16">
        <f t="shared" si="9"/>
        <v>34136.26</v>
      </c>
      <c r="M3027" s="1">
        <v>41646.239999999998</v>
      </c>
      <c r="N3027" s="1">
        <v>34136.26</v>
      </c>
      <c r="O3027" s="1">
        <v>41646.239999999998</v>
      </c>
      <c r="P3027" s="1">
        <v>34136.26</v>
      </c>
      <c r="Q3027">
        <v>1.2</v>
      </c>
      <c r="R3027">
        <v>4.1599999999999997E-4</v>
      </c>
    </row>
    <row r="3028" spans="1:18" ht="13.8" outlineLevel="3" x14ac:dyDescent="0.25">
      <c r="A3028">
        <v>66331</v>
      </c>
      <c r="B3028" t="s">
        <v>3673</v>
      </c>
      <c r="C3028" t="s">
        <v>3674</v>
      </c>
      <c r="D3028" s="14" t="s">
        <v>3657</v>
      </c>
      <c r="E3028" s="12" t="s">
        <v>28</v>
      </c>
      <c r="F3028" s="19" t="s">
        <v>3658</v>
      </c>
      <c r="G3028">
        <v>1</v>
      </c>
      <c r="H3028" t="s">
        <v>1129</v>
      </c>
      <c r="I3028">
        <v>1</v>
      </c>
      <c r="J3028" s="15"/>
      <c r="K3028" s="16">
        <f t="shared" si="8"/>
        <v>41646.239999999998</v>
      </c>
      <c r="L3028" s="16">
        <f t="shared" si="9"/>
        <v>34136.26</v>
      </c>
      <c r="M3028" s="1">
        <v>41646.239999999998</v>
      </c>
      <c r="N3028" s="1">
        <v>34136.26</v>
      </c>
      <c r="O3028" s="1">
        <v>41646.239999999998</v>
      </c>
      <c r="P3028" s="1">
        <v>34136.26</v>
      </c>
      <c r="Q3028">
        <v>1.6</v>
      </c>
      <c r="R3028">
        <v>4.1599999999999997E-4</v>
      </c>
    </row>
    <row r="3029" spans="1:18" ht="13.8" outlineLevel="3" x14ac:dyDescent="0.25">
      <c r="A3029">
        <v>62947</v>
      </c>
      <c r="B3029" t="s">
        <v>3673</v>
      </c>
      <c r="C3029" t="s">
        <v>3675</v>
      </c>
      <c r="D3029" s="14" t="s">
        <v>3657</v>
      </c>
      <c r="E3029" s="12" t="s">
        <v>28</v>
      </c>
      <c r="F3029" s="19" t="s">
        <v>3658</v>
      </c>
      <c r="G3029">
        <v>1</v>
      </c>
      <c r="H3029" t="s">
        <v>1129</v>
      </c>
      <c r="I3029">
        <v>1</v>
      </c>
      <c r="J3029" s="15"/>
      <c r="K3029" s="16">
        <f t="shared" si="8"/>
        <v>41646.239999999998</v>
      </c>
      <c r="L3029" s="16">
        <f t="shared" si="9"/>
        <v>34136.26</v>
      </c>
      <c r="M3029" s="1">
        <v>41646.239999999998</v>
      </c>
      <c r="N3029" s="1">
        <v>34136.26</v>
      </c>
      <c r="O3029" s="1">
        <v>41646.239999999998</v>
      </c>
      <c r="P3029" s="1">
        <v>34136.26</v>
      </c>
      <c r="Q3029">
        <v>1.52</v>
      </c>
      <c r="R3029">
        <v>4.4799999999999999E-4</v>
      </c>
    </row>
    <row r="3030" spans="1:18" ht="13.8" outlineLevel="3" x14ac:dyDescent="0.25">
      <c r="A3030">
        <v>62948</v>
      </c>
      <c r="B3030" t="s">
        <v>3673</v>
      </c>
      <c r="C3030" t="s">
        <v>3676</v>
      </c>
      <c r="D3030" s="14" t="s">
        <v>3657</v>
      </c>
      <c r="E3030" s="12" t="s">
        <v>28</v>
      </c>
      <c r="F3030" s="19" t="s">
        <v>3658</v>
      </c>
      <c r="G3030">
        <v>1</v>
      </c>
      <c r="H3030" t="s">
        <v>1129</v>
      </c>
      <c r="I3030">
        <v>1</v>
      </c>
      <c r="J3030" s="15"/>
      <c r="K3030" s="16">
        <f t="shared" si="8"/>
        <v>41646.239999999998</v>
      </c>
      <c r="L3030" s="16">
        <f t="shared" si="9"/>
        <v>34136.26</v>
      </c>
      <c r="M3030" s="1">
        <v>41646.239999999998</v>
      </c>
      <c r="N3030" s="1">
        <v>34136.26</v>
      </c>
      <c r="O3030" s="1">
        <v>41646.239999999998</v>
      </c>
      <c r="P3030" s="1">
        <v>34136.26</v>
      </c>
      <c r="Q3030">
        <v>1.6</v>
      </c>
      <c r="R3030">
        <v>4.1599999999999997E-4</v>
      </c>
    </row>
    <row r="3031" spans="1:18" ht="13.8" outlineLevel="3" x14ac:dyDescent="0.25">
      <c r="A3031">
        <v>62949</v>
      </c>
      <c r="B3031" t="s">
        <v>3673</v>
      </c>
      <c r="C3031" t="s">
        <v>3677</v>
      </c>
      <c r="D3031" s="14" t="s">
        <v>3657</v>
      </c>
      <c r="E3031" s="12" t="s">
        <v>28</v>
      </c>
      <c r="F3031" s="19" t="s">
        <v>3658</v>
      </c>
      <c r="G3031">
        <v>1</v>
      </c>
      <c r="H3031" t="s">
        <v>1129</v>
      </c>
      <c r="I3031">
        <v>1</v>
      </c>
      <c r="J3031" s="15"/>
      <c r="K3031" s="16">
        <f t="shared" si="8"/>
        <v>41646.239999999998</v>
      </c>
      <c r="L3031" s="16">
        <f t="shared" si="9"/>
        <v>34136.26</v>
      </c>
      <c r="M3031" s="1">
        <v>41646.239999999998</v>
      </c>
      <c r="N3031" s="1">
        <v>34136.26</v>
      </c>
      <c r="O3031" s="1">
        <v>41646.239999999998</v>
      </c>
      <c r="P3031" s="1">
        <v>34136.26</v>
      </c>
      <c r="Q3031">
        <v>1.6</v>
      </c>
      <c r="R3031">
        <v>4.1599999999999997E-4</v>
      </c>
    </row>
    <row r="3032" spans="1:18" ht="13.8" outlineLevel="3" x14ac:dyDescent="0.25">
      <c r="A3032">
        <v>60655</v>
      </c>
      <c r="B3032" t="s">
        <v>3673</v>
      </c>
      <c r="C3032" t="s">
        <v>3678</v>
      </c>
      <c r="D3032" s="14" t="s">
        <v>3657</v>
      </c>
      <c r="E3032" s="12" t="s">
        <v>28</v>
      </c>
      <c r="F3032" s="19" t="s">
        <v>3658</v>
      </c>
      <c r="G3032">
        <v>1</v>
      </c>
      <c r="H3032" t="s">
        <v>1129</v>
      </c>
      <c r="I3032">
        <v>1</v>
      </c>
      <c r="J3032" s="15"/>
      <c r="K3032" s="16">
        <f t="shared" si="8"/>
        <v>41646.239999999998</v>
      </c>
      <c r="L3032" s="16">
        <f t="shared" si="9"/>
        <v>34136.26</v>
      </c>
      <c r="M3032" s="1">
        <v>41646.239999999998</v>
      </c>
      <c r="N3032" s="1">
        <v>34136.26</v>
      </c>
      <c r="O3032" s="1">
        <v>41646.239999999998</v>
      </c>
      <c r="P3032" s="1">
        <v>34136.26</v>
      </c>
      <c r="Q3032">
        <v>1.6</v>
      </c>
      <c r="R3032">
        <v>4.1599999999999997E-4</v>
      </c>
    </row>
    <row r="3033" spans="1:18" ht="13.8" outlineLevel="3" x14ac:dyDescent="0.25">
      <c r="A3033">
        <v>61561</v>
      </c>
      <c r="B3033" t="s">
        <v>3673</v>
      </c>
      <c r="C3033" t="s">
        <v>3679</v>
      </c>
      <c r="D3033" s="14" t="s">
        <v>3657</v>
      </c>
      <c r="E3033" s="12" t="s">
        <v>28</v>
      </c>
      <c r="F3033" s="19" t="s">
        <v>3658</v>
      </c>
      <c r="G3033">
        <v>1</v>
      </c>
      <c r="H3033" t="s">
        <v>1129</v>
      </c>
      <c r="I3033">
        <v>1</v>
      </c>
      <c r="J3033" s="15"/>
      <c r="K3033" s="16">
        <f t="shared" si="8"/>
        <v>41646.239999999998</v>
      </c>
      <c r="L3033" s="16">
        <f t="shared" si="9"/>
        <v>34136.26</v>
      </c>
      <c r="M3033" s="1">
        <v>41646.239999999998</v>
      </c>
      <c r="N3033" s="1">
        <v>34136.26</v>
      </c>
      <c r="O3033" s="1">
        <v>41646.239999999998</v>
      </c>
      <c r="P3033" s="1">
        <v>34136.26</v>
      </c>
      <c r="Q3033">
        <v>1.6</v>
      </c>
      <c r="R3033">
        <v>4.1599999999999997E-4</v>
      </c>
    </row>
    <row r="3034" spans="1:18" ht="13.8" outlineLevel="3" x14ac:dyDescent="0.25">
      <c r="A3034">
        <v>62950</v>
      </c>
      <c r="B3034" t="s">
        <v>3673</v>
      </c>
      <c r="C3034" t="s">
        <v>3680</v>
      </c>
      <c r="D3034" s="14" t="s">
        <v>3657</v>
      </c>
      <c r="E3034" s="12" t="s">
        <v>28</v>
      </c>
      <c r="F3034" s="19" t="s">
        <v>3658</v>
      </c>
      <c r="G3034">
        <v>1</v>
      </c>
      <c r="H3034" t="s">
        <v>1129</v>
      </c>
      <c r="I3034">
        <v>1</v>
      </c>
      <c r="J3034" s="15"/>
      <c r="K3034" s="16">
        <f t="shared" si="8"/>
        <v>41646.239999999998</v>
      </c>
      <c r="L3034" s="16">
        <f t="shared" si="9"/>
        <v>34136.26</v>
      </c>
      <c r="M3034" s="1">
        <v>41646.239999999998</v>
      </c>
      <c r="N3034" s="1">
        <v>34136.26</v>
      </c>
      <c r="O3034" s="1">
        <v>41646.239999999998</v>
      </c>
      <c r="P3034" s="1">
        <v>34136.26</v>
      </c>
      <c r="Q3034">
        <v>1.4</v>
      </c>
      <c r="R3034">
        <v>4.4799999999999999E-4</v>
      </c>
    </row>
    <row r="3035" spans="1:18" ht="13.8" outlineLevel="3" x14ac:dyDescent="0.25">
      <c r="A3035">
        <v>61076</v>
      </c>
      <c r="B3035" t="s">
        <v>3673</v>
      </c>
      <c r="C3035" t="s">
        <v>3681</v>
      </c>
      <c r="D3035" s="14" t="s">
        <v>3657</v>
      </c>
      <c r="E3035" s="12" t="s">
        <v>28</v>
      </c>
      <c r="F3035" s="19" t="s">
        <v>3658</v>
      </c>
      <c r="G3035">
        <v>1</v>
      </c>
      <c r="H3035" t="s">
        <v>1129</v>
      </c>
      <c r="I3035">
        <v>1</v>
      </c>
      <c r="J3035" s="15"/>
      <c r="K3035" s="16">
        <f t="shared" si="8"/>
        <v>41646.239999999998</v>
      </c>
      <c r="L3035" s="16">
        <f t="shared" si="9"/>
        <v>34136.26</v>
      </c>
      <c r="M3035" s="1">
        <v>41646.239999999998</v>
      </c>
      <c r="N3035" s="1">
        <v>34136.26</v>
      </c>
      <c r="O3035" s="1">
        <v>41646.239999999998</v>
      </c>
      <c r="P3035" s="1">
        <v>34136.26</v>
      </c>
      <c r="Q3035">
        <v>1.6</v>
      </c>
      <c r="R3035">
        <v>4.1599999999999997E-4</v>
      </c>
    </row>
    <row r="3036" spans="1:18" ht="13.8" outlineLevel="3" x14ac:dyDescent="0.25">
      <c r="A3036">
        <v>66332</v>
      </c>
      <c r="B3036" t="s">
        <v>3673</v>
      </c>
      <c r="C3036" t="s">
        <v>3682</v>
      </c>
      <c r="D3036" s="14" t="s">
        <v>3657</v>
      </c>
      <c r="E3036" s="12" t="s">
        <v>28</v>
      </c>
      <c r="F3036" s="19" t="s">
        <v>3658</v>
      </c>
      <c r="G3036">
        <v>1</v>
      </c>
      <c r="H3036" t="s">
        <v>1129</v>
      </c>
      <c r="I3036">
        <v>1</v>
      </c>
      <c r="J3036" s="15"/>
      <c r="K3036" s="16">
        <f t="shared" si="8"/>
        <v>41646.239999999998</v>
      </c>
      <c r="L3036" s="16">
        <f t="shared" si="9"/>
        <v>34136.26</v>
      </c>
      <c r="M3036" s="1">
        <v>41646.239999999998</v>
      </c>
      <c r="N3036" s="1">
        <v>34136.26</v>
      </c>
      <c r="O3036" s="1">
        <v>41646.239999999998</v>
      </c>
      <c r="P3036" s="1">
        <v>34136.26</v>
      </c>
      <c r="Q3036">
        <v>1.5</v>
      </c>
      <c r="R3036">
        <v>4.1599999999999997E-4</v>
      </c>
    </row>
    <row r="3037" spans="1:18" ht="13.8" outlineLevel="3" x14ac:dyDescent="0.25">
      <c r="A3037">
        <v>63858</v>
      </c>
      <c r="B3037" t="s">
        <v>3673</v>
      </c>
      <c r="C3037" t="s">
        <v>3683</v>
      </c>
      <c r="D3037" s="14" t="s">
        <v>3657</v>
      </c>
      <c r="E3037" s="12" t="s">
        <v>28</v>
      </c>
      <c r="F3037" s="19" t="s">
        <v>3658</v>
      </c>
      <c r="G3037">
        <v>1</v>
      </c>
      <c r="H3037" t="s">
        <v>1129</v>
      </c>
      <c r="I3037">
        <v>1</v>
      </c>
      <c r="J3037" s="15"/>
      <c r="K3037" s="16">
        <f t="shared" si="8"/>
        <v>41646.239999999998</v>
      </c>
      <c r="L3037" s="16">
        <f t="shared" si="9"/>
        <v>34136.26</v>
      </c>
      <c r="M3037" s="1">
        <v>41646.239999999998</v>
      </c>
      <c r="N3037" s="1">
        <v>34136.26</v>
      </c>
      <c r="O3037" s="1">
        <v>41646.239999999998</v>
      </c>
      <c r="P3037" s="1">
        <v>34136.26</v>
      </c>
      <c r="Q3037">
        <v>1.5</v>
      </c>
      <c r="R3037">
        <v>4.1599999999999997E-4</v>
      </c>
    </row>
    <row r="3038" spans="1:18" ht="13.8" outlineLevel="3" x14ac:dyDescent="0.25">
      <c r="A3038">
        <v>61562</v>
      </c>
      <c r="B3038" t="s">
        <v>3673</v>
      </c>
      <c r="C3038" t="s">
        <v>3684</v>
      </c>
      <c r="D3038" s="14" t="s">
        <v>3657</v>
      </c>
      <c r="E3038" s="12" t="s">
        <v>28</v>
      </c>
      <c r="F3038" s="19" t="s">
        <v>3658</v>
      </c>
      <c r="G3038">
        <v>1</v>
      </c>
      <c r="H3038" t="s">
        <v>1129</v>
      </c>
      <c r="I3038">
        <v>1</v>
      </c>
      <c r="J3038" s="15"/>
      <c r="K3038" s="16">
        <f t="shared" si="8"/>
        <v>41646.239999999998</v>
      </c>
      <c r="L3038" s="16">
        <f t="shared" si="9"/>
        <v>34136.26</v>
      </c>
      <c r="M3038" s="1">
        <v>41646.239999999998</v>
      </c>
      <c r="N3038" s="1">
        <v>34136.26</v>
      </c>
      <c r="O3038" s="1">
        <v>41646.239999999998</v>
      </c>
      <c r="P3038" s="1">
        <v>34136.26</v>
      </c>
      <c r="Q3038">
        <v>1.5</v>
      </c>
      <c r="R3038">
        <v>4.1599999999999997E-4</v>
      </c>
    </row>
    <row r="3039" spans="1:18" ht="13.8" outlineLevel="3" x14ac:dyDescent="0.25">
      <c r="A3039">
        <v>62254</v>
      </c>
      <c r="B3039" t="s">
        <v>3673</v>
      </c>
      <c r="C3039" t="s">
        <v>3685</v>
      </c>
      <c r="D3039" s="14" t="s">
        <v>3657</v>
      </c>
      <c r="E3039" s="12" t="s">
        <v>28</v>
      </c>
      <c r="F3039" s="19" t="s">
        <v>3658</v>
      </c>
      <c r="G3039">
        <v>1</v>
      </c>
      <c r="H3039" t="s">
        <v>1129</v>
      </c>
      <c r="I3039">
        <v>1</v>
      </c>
      <c r="J3039" s="15"/>
      <c r="K3039" s="16">
        <f t="shared" si="8"/>
        <v>41646.239999999998</v>
      </c>
      <c r="L3039" s="16">
        <f t="shared" si="9"/>
        <v>34136.26</v>
      </c>
      <c r="M3039" s="1">
        <v>41646.239999999998</v>
      </c>
      <c r="N3039" s="1">
        <v>34136.26</v>
      </c>
      <c r="O3039" s="1">
        <v>41646.239999999998</v>
      </c>
      <c r="P3039" s="1">
        <v>34136.26</v>
      </c>
      <c r="Q3039">
        <v>1.2</v>
      </c>
      <c r="R3039">
        <v>4.1599999999999997E-4</v>
      </c>
    </row>
    <row r="3040" spans="1:18" ht="13.8" outlineLevel="3" x14ac:dyDescent="0.25">
      <c r="A3040">
        <v>63859</v>
      </c>
      <c r="B3040" t="s">
        <v>3673</v>
      </c>
      <c r="C3040" t="s">
        <v>3686</v>
      </c>
      <c r="D3040" s="14" t="s">
        <v>3657</v>
      </c>
      <c r="E3040" s="12" t="s">
        <v>28</v>
      </c>
      <c r="F3040" s="19" t="s">
        <v>3658</v>
      </c>
      <c r="G3040">
        <v>1</v>
      </c>
      <c r="H3040" t="s">
        <v>1129</v>
      </c>
      <c r="I3040">
        <v>1</v>
      </c>
      <c r="J3040" s="15"/>
      <c r="K3040" s="16">
        <f t="shared" si="8"/>
        <v>41646.239999999998</v>
      </c>
      <c r="L3040" s="16">
        <f t="shared" si="9"/>
        <v>34136.26</v>
      </c>
      <c r="M3040" s="1">
        <v>41646.239999999998</v>
      </c>
      <c r="N3040" s="1">
        <v>34136.26</v>
      </c>
      <c r="O3040" s="1">
        <v>41646.239999999998</v>
      </c>
      <c r="P3040" s="1">
        <v>34136.26</v>
      </c>
      <c r="Q3040">
        <v>1.3</v>
      </c>
      <c r="R3040">
        <v>4.1599999999999997E-4</v>
      </c>
    </row>
    <row r="3041" spans="1:18" ht="13.8" outlineLevel="3" x14ac:dyDescent="0.25">
      <c r="A3041">
        <v>62441</v>
      </c>
      <c r="B3041" t="s">
        <v>3687</v>
      </c>
      <c r="C3041" t="s">
        <v>3688</v>
      </c>
      <c r="D3041" s="14" t="s">
        <v>3657</v>
      </c>
      <c r="E3041" s="12" t="s">
        <v>28</v>
      </c>
      <c r="F3041" s="19" t="s">
        <v>3658</v>
      </c>
      <c r="G3041">
        <v>1</v>
      </c>
      <c r="H3041" t="s">
        <v>1129</v>
      </c>
      <c r="I3041">
        <v>1</v>
      </c>
      <c r="J3041" s="15"/>
      <c r="K3041" s="16">
        <f t="shared" si="8"/>
        <v>41646.239999999998</v>
      </c>
      <c r="L3041" s="16">
        <f t="shared" si="9"/>
        <v>34136.26</v>
      </c>
      <c r="M3041" s="1">
        <v>41646.239999999998</v>
      </c>
      <c r="N3041" s="1">
        <v>34136.26</v>
      </c>
      <c r="O3041" s="1">
        <v>41646.239999999998</v>
      </c>
      <c r="P3041" s="1">
        <v>34136.26</v>
      </c>
      <c r="Q3041">
        <v>2.1</v>
      </c>
      <c r="R3041">
        <v>4.4799999999999999E-4</v>
      </c>
    </row>
    <row r="3042" spans="1:18" ht="13.8" outlineLevel="3" x14ac:dyDescent="0.25">
      <c r="A3042">
        <v>62442</v>
      </c>
      <c r="B3042" t="s">
        <v>3687</v>
      </c>
      <c r="C3042" t="s">
        <v>3689</v>
      </c>
      <c r="D3042" s="14" t="s">
        <v>3657</v>
      </c>
      <c r="E3042" s="12" t="s">
        <v>28</v>
      </c>
      <c r="F3042" s="19" t="s">
        <v>3658</v>
      </c>
      <c r="G3042">
        <v>1</v>
      </c>
      <c r="H3042" t="s">
        <v>1129</v>
      </c>
      <c r="I3042">
        <v>1</v>
      </c>
      <c r="J3042" s="15"/>
      <c r="K3042" s="16">
        <f t="shared" si="8"/>
        <v>41646.239999999998</v>
      </c>
      <c r="L3042" s="16">
        <f t="shared" si="9"/>
        <v>34136.26</v>
      </c>
      <c r="M3042" s="1">
        <v>41646.239999999998</v>
      </c>
      <c r="N3042" s="1">
        <v>34136.26</v>
      </c>
      <c r="O3042" s="1">
        <v>41646.239999999998</v>
      </c>
      <c r="P3042" s="1">
        <v>34136.26</v>
      </c>
      <c r="Q3042">
        <v>2.1</v>
      </c>
      <c r="R3042">
        <v>4.4799999999999999E-4</v>
      </c>
    </row>
    <row r="3043" spans="1:18" ht="13.8" outlineLevel="3" x14ac:dyDescent="0.25">
      <c r="A3043">
        <v>63861</v>
      </c>
      <c r="B3043" t="s">
        <v>3687</v>
      </c>
      <c r="C3043" t="s">
        <v>3690</v>
      </c>
      <c r="D3043" s="14" t="s">
        <v>3657</v>
      </c>
      <c r="E3043" s="12" t="s">
        <v>28</v>
      </c>
      <c r="F3043" s="19" t="s">
        <v>3658</v>
      </c>
      <c r="G3043">
        <v>1</v>
      </c>
      <c r="H3043" t="s">
        <v>1129</v>
      </c>
      <c r="I3043">
        <v>1</v>
      </c>
      <c r="J3043" s="15"/>
      <c r="K3043" s="16">
        <f t="shared" si="8"/>
        <v>41646.239999999998</v>
      </c>
      <c r="L3043" s="16">
        <f t="shared" si="9"/>
        <v>34136.26</v>
      </c>
      <c r="M3043" s="1">
        <v>41646.239999999998</v>
      </c>
      <c r="N3043" s="1">
        <v>34136.26</v>
      </c>
      <c r="O3043" s="1">
        <v>41646.239999999998</v>
      </c>
      <c r="P3043" s="1">
        <v>34136.26</v>
      </c>
      <c r="Q3043">
        <v>2</v>
      </c>
      <c r="R3043">
        <v>4.4799999999999999E-4</v>
      </c>
    </row>
    <row r="3044" spans="1:18" ht="13.8" outlineLevel="3" x14ac:dyDescent="0.25">
      <c r="A3044">
        <v>62951</v>
      </c>
      <c r="B3044" t="s">
        <v>3687</v>
      </c>
      <c r="C3044" t="s">
        <v>3691</v>
      </c>
      <c r="D3044" s="14" t="s">
        <v>3657</v>
      </c>
      <c r="E3044" s="12" t="s">
        <v>28</v>
      </c>
      <c r="F3044" s="19" t="s">
        <v>3658</v>
      </c>
      <c r="G3044">
        <v>1</v>
      </c>
      <c r="H3044" t="s">
        <v>1129</v>
      </c>
      <c r="I3044">
        <v>1</v>
      </c>
      <c r="J3044" s="15"/>
      <c r="K3044" s="16">
        <f t="shared" si="8"/>
        <v>41646.239999999998</v>
      </c>
      <c r="L3044" s="16">
        <f t="shared" si="9"/>
        <v>34136.26</v>
      </c>
      <c r="M3044" s="1">
        <v>41646.239999999998</v>
      </c>
      <c r="N3044" s="1">
        <v>34136.26</v>
      </c>
      <c r="O3044" s="1">
        <v>41646.239999999998</v>
      </c>
      <c r="P3044" s="1">
        <v>34136.26</v>
      </c>
      <c r="Q3044">
        <v>1.77</v>
      </c>
      <c r="R3044">
        <v>3.8400000000000001E-4</v>
      </c>
    </row>
    <row r="3045" spans="1:18" ht="13.8" outlineLevel="3" x14ac:dyDescent="0.25">
      <c r="A3045">
        <v>61078</v>
      </c>
      <c r="B3045" t="s">
        <v>3687</v>
      </c>
      <c r="C3045" t="s">
        <v>3692</v>
      </c>
      <c r="D3045" s="14" t="s">
        <v>3657</v>
      </c>
      <c r="E3045" s="12" t="s">
        <v>28</v>
      </c>
      <c r="F3045" s="19" t="s">
        <v>3658</v>
      </c>
      <c r="G3045">
        <v>1</v>
      </c>
      <c r="H3045" t="s">
        <v>1129</v>
      </c>
      <c r="I3045">
        <v>1</v>
      </c>
      <c r="J3045" s="15"/>
      <c r="K3045" s="16">
        <f t="shared" ref="K3045:K3067" si="10">IF($E$1&gt;=$Q$1%,41646.24-(41646.24*$Q$1%),41646.24-(41646.24*$E$1))</f>
        <v>41646.239999999998</v>
      </c>
      <c r="L3045" s="16">
        <f t="shared" ref="L3045:L3067" si="11">IF($E$1&gt;=$Q$1%,34136.26-(34136.26*$Q$1%),34136.26-(34136.26*$E$1))</f>
        <v>34136.26</v>
      </c>
      <c r="M3045" s="1">
        <v>41646.239999999998</v>
      </c>
      <c r="N3045" s="1">
        <v>34136.26</v>
      </c>
      <c r="O3045" s="1">
        <v>41646.239999999998</v>
      </c>
      <c r="P3045" s="1">
        <v>34136.26</v>
      </c>
      <c r="Q3045">
        <v>1.9</v>
      </c>
      <c r="R3045">
        <v>4.4799999999999999E-4</v>
      </c>
    </row>
    <row r="3046" spans="1:18" ht="13.8" outlineLevel="3" x14ac:dyDescent="0.25">
      <c r="A3046">
        <v>62444</v>
      </c>
      <c r="B3046" t="s">
        <v>3687</v>
      </c>
      <c r="C3046" t="s">
        <v>3693</v>
      </c>
      <c r="D3046" s="14" t="s">
        <v>3657</v>
      </c>
      <c r="E3046" s="12" t="s">
        <v>28</v>
      </c>
      <c r="F3046" s="19" t="s">
        <v>3658</v>
      </c>
      <c r="G3046">
        <v>1</v>
      </c>
      <c r="H3046" t="s">
        <v>1129</v>
      </c>
      <c r="I3046">
        <v>1</v>
      </c>
      <c r="J3046" s="15"/>
      <c r="K3046" s="16">
        <f t="shared" si="10"/>
        <v>41646.239999999998</v>
      </c>
      <c r="L3046" s="16">
        <f t="shared" si="11"/>
        <v>34136.26</v>
      </c>
      <c r="M3046" s="1">
        <v>41646.239999999998</v>
      </c>
      <c r="N3046" s="1">
        <v>34136.26</v>
      </c>
      <c r="O3046" s="1">
        <v>41646.239999999998</v>
      </c>
      <c r="P3046" s="1">
        <v>34136.26</v>
      </c>
      <c r="Q3046">
        <v>1.8</v>
      </c>
      <c r="R3046">
        <v>4.4799999999999999E-4</v>
      </c>
    </row>
    <row r="3047" spans="1:18" ht="13.8" outlineLevel="3" x14ac:dyDescent="0.25">
      <c r="A3047">
        <v>63294</v>
      </c>
      <c r="B3047" t="s">
        <v>3687</v>
      </c>
      <c r="C3047" t="s">
        <v>3694</v>
      </c>
      <c r="D3047" s="14" t="s">
        <v>3657</v>
      </c>
      <c r="E3047" s="12" t="s">
        <v>28</v>
      </c>
      <c r="F3047" s="19" t="s">
        <v>3658</v>
      </c>
      <c r="G3047">
        <v>1</v>
      </c>
      <c r="H3047" t="s">
        <v>1129</v>
      </c>
      <c r="I3047">
        <v>1</v>
      </c>
      <c r="J3047" s="15"/>
      <c r="K3047" s="16">
        <f t="shared" si="10"/>
        <v>41646.239999999998</v>
      </c>
      <c r="L3047" s="16">
        <f t="shared" si="11"/>
        <v>34136.26</v>
      </c>
      <c r="M3047" s="1">
        <v>41646.239999999998</v>
      </c>
      <c r="N3047" s="1">
        <v>34136.26</v>
      </c>
      <c r="O3047" s="1">
        <v>41646.239999999998</v>
      </c>
      <c r="P3047" s="1">
        <v>34136.26</v>
      </c>
      <c r="Q3047">
        <v>1.7</v>
      </c>
      <c r="R3047">
        <v>4.4799999999999999E-4</v>
      </c>
    </row>
    <row r="3048" spans="1:18" ht="13.8" outlineLevel="3" x14ac:dyDescent="0.25">
      <c r="A3048">
        <v>62445</v>
      </c>
      <c r="B3048" t="s">
        <v>3687</v>
      </c>
      <c r="C3048" t="s">
        <v>3695</v>
      </c>
      <c r="D3048" s="14" t="s">
        <v>3657</v>
      </c>
      <c r="E3048" s="12" t="s">
        <v>28</v>
      </c>
      <c r="F3048" s="19" t="s">
        <v>3658</v>
      </c>
      <c r="G3048">
        <v>1</v>
      </c>
      <c r="H3048" t="s">
        <v>1129</v>
      </c>
      <c r="I3048">
        <v>1</v>
      </c>
      <c r="J3048" s="15"/>
      <c r="K3048" s="16">
        <f t="shared" si="10"/>
        <v>41646.239999999998</v>
      </c>
      <c r="L3048" s="16">
        <f t="shared" si="11"/>
        <v>34136.26</v>
      </c>
      <c r="M3048" s="1">
        <v>41646.239999999998</v>
      </c>
      <c r="N3048" s="1">
        <v>34136.26</v>
      </c>
      <c r="O3048" s="1">
        <v>41646.239999999998</v>
      </c>
      <c r="P3048" s="1">
        <v>34136.26</v>
      </c>
      <c r="Q3048">
        <v>1.6</v>
      </c>
      <c r="R3048">
        <v>4.4799999999999999E-4</v>
      </c>
    </row>
    <row r="3049" spans="1:18" ht="13.8" outlineLevel="3" x14ac:dyDescent="0.25">
      <c r="A3049">
        <v>69168</v>
      </c>
      <c r="B3049" t="s">
        <v>3696</v>
      </c>
      <c r="C3049" t="s">
        <v>3697</v>
      </c>
      <c r="D3049" s="14" t="s">
        <v>3657</v>
      </c>
      <c r="E3049" s="12" t="s">
        <v>28</v>
      </c>
      <c r="F3049" s="19" t="s">
        <v>3658</v>
      </c>
      <c r="G3049">
        <v>1</v>
      </c>
      <c r="H3049" t="s">
        <v>1129</v>
      </c>
      <c r="I3049">
        <v>1</v>
      </c>
      <c r="J3049" s="15"/>
      <c r="K3049" s="16">
        <f t="shared" si="10"/>
        <v>41646.239999999998</v>
      </c>
      <c r="L3049" s="16">
        <f t="shared" si="11"/>
        <v>34136.26</v>
      </c>
      <c r="M3049" s="1">
        <v>41646.239999999998</v>
      </c>
      <c r="N3049" s="1">
        <v>34136.26</v>
      </c>
      <c r="O3049" s="1">
        <v>41646.239999999998</v>
      </c>
      <c r="P3049" s="1">
        <v>34136.26</v>
      </c>
      <c r="Q3049">
        <v>1.45</v>
      </c>
      <c r="R3049">
        <v>1.56E-3</v>
      </c>
    </row>
    <row r="3050" spans="1:18" ht="13.8" outlineLevel="3" x14ac:dyDescent="0.25">
      <c r="A3050">
        <v>63863</v>
      </c>
      <c r="B3050" t="s">
        <v>3687</v>
      </c>
      <c r="C3050" t="s">
        <v>3698</v>
      </c>
      <c r="D3050" s="14" t="s">
        <v>3657</v>
      </c>
      <c r="E3050" s="12" t="s">
        <v>28</v>
      </c>
      <c r="F3050" s="19" t="s">
        <v>3658</v>
      </c>
      <c r="G3050">
        <v>1</v>
      </c>
      <c r="H3050" t="s">
        <v>1129</v>
      </c>
      <c r="I3050">
        <v>1</v>
      </c>
      <c r="J3050" s="15"/>
      <c r="K3050" s="16">
        <f t="shared" si="10"/>
        <v>41646.239999999998</v>
      </c>
      <c r="L3050" s="16">
        <f t="shared" si="11"/>
        <v>34136.26</v>
      </c>
      <c r="M3050" s="1">
        <v>41646.239999999998</v>
      </c>
      <c r="N3050" s="1">
        <v>34136.26</v>
      </c>
      <c r="O3050" s="1">
        <v>41646.239999999998</v>
      </c>
      <c r="P3050" s="1">
        <v>34136.26</v>
      </c>
      <c r="Q3050">
        <v>1.45</v>
      </c>
      <c r="R3050">
        <v>3.8400000000000001E-4</v>
      </c>
    </row>
    <row r="3051" spans="1:18" ht="13.8" outlineLevel="3" x14ac:dyDescent="0.25">
      <c r="A3051">
        <v>64757</v>
      </c>
      <c r="B3051" t="s">
        <v>3687</v>
      </c>
      <c r="C3051" t="s">
        <v>3699</v>
      </c>
      <c r="D3051" s="14" t="s">
        <v>3657</v>
      </c>
      <c r="E3051" s="12" t="s">
        <v>28</v>
      </c>
      <c r="F3051" s="19" t="s">
        <v>3658</v>
      </c>
      <c r="G3051">
        <v>1</v>
      </c>
      <c r="H3051" t="s">
        <v>1129</v>
      </c>
      <c r="I3051">
        <v>1</v>
      </c>
      <c r="J3051" s="15"/>
      <c r="K3051" s="16">
        <f t="shared" si="10"/>
        <v>41646.239999999998</v>
      </c>
      <c r="L3051" s="16">
        <f t="shared" si="11"/>
        <v>34136.26</v>
      </c>
      <c r="M3051" s="1">
        <v>41646.239999999998</v>
      </c>
      <c r="N3051" s="1">
        <v>34136.26</v>
      </c>
      <c r="O3051" s="1">
        <v>41646.239999999998</v>
      </c>
      <c r="P3051" s="1">
        <v>34136.26</v>
      </c>
      <c r="Q3051">
        <v>1.4</v>
      </c>
      <c r="R3051">
        <v>4.4799999999999999E-4</v>
      </c>
    </row>
    <row r="3052" spans="1:18" ht="13.8" outlineLevel="3" x14ac:dyDescent="0.25">
      <c r="A3052">
        <v>63295</v>
      </c>
      <c r="B3052" t="s">
        <v>3687</v>
      </c>
      <c r="C3052" t="s">
        <v>3700</v>
      </c>
      <c r="D3052" s="14" t="s">
        <v>3657</v>
      </c>
      <c r="E3052" s="12" t="s">
        <v>28</v>
      </c>
      <c r="F3052" s="19" t="s">
        <v>3658</v>
      </c>
      <c r="G3052">
        <v>1</v>
      </c>
      <c r="H3052" t="s">
        <v>1129</v>
      </c>
      <c r="I3052">
        <v>1</v>
      </c>
      <c r="J3052" s="15"/>
      <c r="K3052" s="16">
        <f t="shared" si="10"/>
        <v>41646.239999999998</v>
      </c>
      <c r="L3052" s="16">
        <f t="shared" si="11"/>
        <v>34136.26</v>
      </c>
      <c r="M3052" s="1">
        <v>41646.239999999998</v>
      </c>
      <c r="N3052" s="1">
        <v>34136.26</v>
      </c>
      <c r="O3052" s="1">
        <v>41646.239999999998</v>
      </c>
      <c r="P3052" s="1">
        <v>34136.26</v>
      </c>
      <c r="Q3052">
        <v>1.4</v>
      </c>
      <c r="R3052">
        <v>4.4799999999999999E-4</v>
      </c>
    </row>
    <row r="3053" spans="1:18" ht="13.8" outlineLevel="3" x14ac:dyDescent="0.25">
      <c r="A3053">
        <v>66492</v>
      </c>
      <c r="B3053" t="s">
        <v>3687</v>
      </c>
      <c r="C3053" t="s">
        <v>3701</v>
      </c>
      <c r="D3053" s="14" t="s">
        <v>3657</v>
      </c>
      <c r="E3053" s="12" t="s">
        <v>28</v>
      </c>
      <c r="F3053" s="19" t="s">
        <v>3658</v>
      </c>
      <c r="G3053">
        <v>1</v>
      </c>
      <c r="H3053" t="s">
        <v>1129</v>
      </c>
      <c r="I3053">
        <v>1</v>
      </c>
      <c r="J3053" s="15"/>
      <c r="K3053" s="16">
        <f t="shared" si="10"/>
        <v>41646.239999999998</v>
      </c>
      <c r="L3053" s="16">
        <f t="shared" si="11"/>
        <v>34136.26</v>
      </c>
      <c r="M3053" s="1">
        <v>41646.239999999998</v>
      </c>
      <c r="N3053" s="1">
        <v>34136.26</v>
      </c>
      <c r="O3053" s="1">
        <v>41646.239999999998</v>
      </c>
      <c r="P3053" s="1">
        <v>34136.26</v>
      </c>
      <c r="Q3053">
        <v>1.3</v>
      </c>
      <c r="R3053">
        <v>4.4799999999999999E-4</v>
      </c>
    </row>
    <row r="3054" spans="1:18" ht="13.8" outlineLevel="3" x14ac:dyDescent="0.25">
      <c r="A3054">
        <v>61079</v>
      </c>
      <c r="B3054" t="s">
        <v>3687</v>
      </c>
      <c r="C3054" t="s">
        <v>3702</v>
      </c>
      <c r="D3054" s="14" t="s">
        <v>3657</v>
      </c>
      <c r="E3054" s="12" t="s">
        <v>28</v>
      </c>
      <c r="F3054" s="19" t="s">
        <v>3658</v>
      </c>
      <c r="G3054">
        <v>1</v>
      </c>
      <c r="H3054" t="s">
        <v>1129</v>
      </c>
      <c r="I3054">
        <v>1</v>
      </c>
      <c r="J3054" s="15"/>
      <c r="K3054" s="16">
        <f t="shared" si="10"/>
        <v>41646.239999999998</v>
      </c>
      <c r="L3054" s="16">
        <f t="shared" si="11"/>
        <v>34136.26</v>
      </c>
      <c r="M3054" s="1">
        <v>41646.239999999998</v>
      </c>
      <c r="N3054" s="1">
        <v>34136.26</v>
      </c>
      <c r="O3054" s="1">
        <v>41646.239999999998</v>
      </c>
      <c r="P3054" s="1">
        <v>34136.26</v>
      </c>
      <c r="Q3054">
        <v>1.2</v>
      </c>
      <c r="R3054">
        <v>4.4799999999999999E-4</v>
      </c>
    </row>
    <row r="3055" spans="1:18" ht="13.8" outlineLevel="3" x14ac:dyDescent="0.25">
      <c r="A3055">
        <v>62258</v>
      </c>
      <c r="B3055" t="s">
        <v>3687</v>
      </c>
      <c r="C3055" t="s">
        <v>3703</v>
      </c>
      <c r="D3055" s="14" t="s">
        <v>3657</v>
      </c>
      <c r="E3055" s="12" t="s">
        <v>28</v>
      </c>
      <c r="F3055" s="19" t="s">
        <v>3658</v>
      </c>
      <c r="G3055">
        <v>1</v>
      </c>
      <c r="H3055" t="s">
        <v>1129</v>
      </c>
      <c r="I3055">
        <v>1</v>
      </c>
      <c r="J3055" s="15"/>
      <c r="K3055" s="16">
        <f t="shared" si="10"/>
        <v>41646.239999999998</v>
      </c>
      <c r="L3055" s="16">
        <f t="shared" si="11"/>
        <v>34136.26</v>
      </c>
      <c r="M3055" s="1">
        <v>41646.239999999998</v>
      </c>
      <c r="N3055" s="1">
        <v>34136.26</v>
      </c>
      <c r="O3055" s="1">
        <v>41646.239999999998</v>
      </c>
      <c r="P3055" s="1">
        <v>34136.26</v>
      </c>
      <c r="Q3055">
        <v>1.2</v>
      </c>
      <c r="R3055">
        <v>4.4799999999999999E-4</v>
      </c>
    </row>
    <row r="3056" spans="1:18" ht="13.8" outlineLevel="3" x14ac:dyDescent="0.25">
      <c r="A3056">
        <v>70487</v>
      </c>
      <c r="B3056" t="s">
        <v>3696</v>
      </c>
      <c r="C3056" t="s">
        <v>3704</v>
      </c>
      <c r="D3056" s="14" t="s">
        <v>3657</v>
      </c>
      <c r="E3056" s="12" t="s">
        <v>28</v>
      </c>
      <c r="F3056" s="19" t="s">
        <v>3658</v>
      </c>
      <c r="G3056">
        <v>1</v>
      </c>
      <c r="H3056" t="s">
        <v>1129</v>
      </c>
      <c r="I3056">
        <v>1</v>
      </c>
      <c r="J3056" s="15"/>
      <c r="K3056" s="16">
        <f t="shared" si="10"/>
        <v>41646.239999999998</v>
      </c>
      <c r="L3056" s="16">
        <f t="shared" si="11"/>
        <v>34136.26</v>
      </c>
      <c r="M3056" s="1">
        <v>41646.239999999998</v>
      </c>
      <c r="N3056" s="1">
        <v>34136.26</v>
      </c>
      <c r="O3056" s="1">
        <v>41646.239999999998</v>
      </c>
      <c r="P3056" s="1">
        <v>34136.26</v>
      </c>
      <c r="Q3056">
        <v>1.45</v>
      </c>
      <c r="R3056">
        <v>1.56E-3</v>
      </c>
    </row>
    <row r="3057" spans="1:18" ht="13.8" outlineLevel="3" x14ac:dyDescent="0.25">
      <c r="A3057">
        <v>64756</v>
      </c>
      <c r="B3057" t="s">
        <v>3687</v>
      </c>
      <c r="C3057" t="s">
        <v>3705</v>
      </c>
      <c r="D3057" s="14" t="s">
        <v>3657</v>
      </c>
      <c r="E3057" s="12" t="s">
        <v>28</v>
      </c>
      <c r="F3057" s="19" t="s">
        <v>3658</v>
      </c>
      <c r="G3057">
        <v>1</v>
      </c>
      <c r="H3057" t="s">
        <v>1129</v>
      </c>
      <c r="I3057">
        <v>1</v>
      </c>
      <c r="J3057" s="15"/>
      <c r="K3057" s="16">
        <f t="shared" si="10"/>
        <v>41646.239999999998</v>
      </c>
      <c r="L3057" s="16">
        <f t="shared" si="11"/>
        <v>34136.26</v>
      </c>
      <c r="M3057" s="1">
        <v>41646.239999999998</v>
      </c>
      <c r="N3057" s="1">
        <v>34136.26</v>
      </c>
      <c r="O3057" s="1">
        <v>41646.239999999998</v>
      </c>
      <c r="P3057" s="1">
        <v>34136.26</v>
      </c>
      <c r="Q3057">
        <v>1.1000000000000001</v>
      </c>
      <c r="R3057">
        <v>4.4799999999999999E-4</v>
      </c>
    </row>
    <row r="3058" spans="1:18" ht="13.8" outlineLevel="3" x14ac:dyDescent="0.25">
      <c r="A3058">
        <v>84648</v>
      </c>
      <c r="B3058" t="s">
        <v>3706</v>
      </c>
      <c r="C3058" t="s">
        <v>3707</v>
      </c>
      <c r="D3058" s="14" t="s">
        <v>3657</v>
      </c>
      <c r="E3058" s="12" t="s">
        <v>28</v>
      </c>
      <c r="F3058" s="19" t="s">
        <v>3658</v>
      </c>
      <c r="G3058">
        <v>1</v>
      </c>
      <c r="H3058" t="s">
        <v>1129</v>
      </c>
      <c r="I3058">
        <v>1</v>
      </c>
      <c r="J3058" s="15"/>
      <c r="K3058" s="16">
        <f t="shared" si="10"/>
        <v>41646.239999999998</v>
      </c>
      <c r="L3058" s="16">
        <f t="shared" si="11"/>
        <v>34136.26</v>
      </c>
      <c r="M3058" s="1">
        <v>41646.239999999998</v>
      </c>
      <c r="N3058" s="1">
        <v>34136.26</v>
      </c>
      <c r="O3058" s="1">
        <v>41646.239999999998</v>
      </c>
      <c r="P3058" s="1">
        <v>34136.26</v>
      </c>
      <c r="Q3058">
        <v>1.6</v>
      </c>
      <c r="R3058">
        <v>1.56E-3</v>
      </c>
    </row>
    <row r="3059" spans="1:18" ht="13.8" outlineLevel="3" x14ac:dyDescent="0.25">
      <c r="A3059">
        <v>69169</v>
      </c>
      <c r="B3059" t="s">
        <v>3706</v>
      </c>
      <c r="C3059" t="s">
        <v>3708</v>
      </c>
      <c r="D3059" s="14" t="s">
        <v>3657</v>
      </c>
      <c r="E3059" s="12" t="s">
        <v>28</v>
      </c>
      <c r="F3059" s="19" t="s">
        <v>3658</v>
      </c>
      <c r="G3059">
        <v>1</v>
      </c>
      <c r="H3059" t="s">
        <v>1129</v>
      </c>
      <c r="I3059">
        <v>1</v>
      </c>
      <c r="J3059" s="15"/>
      <c r="K3059" s="16">
        <f t="shared" si="10"/>
        <v>41646.239999999998</v>
      </c>
      <c r="L3059" s="16">
        <f t="shared" si="11"/>
        <v>34136.26</v>
      </c>
      <c r="M3059" s="1">
        <v>41646.239999999998</v>
      </c>
      <c r="N3059" s="1">
        <v>34136.26</v>
      </c>
      <c r="O3059" s="1">
        <v>41646.239999999998</v>
      </c>
      <c r="P3059" s="1">
        <v>34136.26</v>
      </c>
      <c r="Q3059">
        <v>1.6</v>
      </c>
      <c r="R3059">
        <v>1.56E-3</v>
      </c>
    </row>
    <row r="3060" spans="1:18" ht="13.8" outlineLevel="3" x14ac:dyDescent="0.25">
      <c r="A3060">
        <v>65469</v>
      </c>
      <c r="B3060" t="s">
        <v>3706</v>
      </c>
      <c r="C3060" t="s">
        <v>3709</v>
      </c>
      <c r="D3060" s="14" t="s">
        <v>3657</v>
      </c>
      <c r="E3060" s="12" t="s">
        <v>28</v>
      </c>
      <c r="F3060" s="19" t="s">
        <v>3658</v>
      </c>
      <c r="G3060">
        <v>1</v>
      </c>
      <c r="H3060" t="s">
        <v>1129</v>
      </c>
      <c r="I3060">
        <v>1</v>
      </c>
      <c r="J3060" s="15"/>
      <c r="K3060" s="16">
        <f t="shared" si="10"/>
        <v>41646.239999999998</v>
      </c>
      <c r="L3060" s="16">
        <f t="shared" si="11"/>
        <v>34136.26</v>
      </c>
      <c r="M3060" s="1">
        <v>41646.239999999998</v>
      </c>
      <c r="N3060" s="1">
        <v>34136.26</v>
      </c>
      <c r="O3060" s="1">
        <v>41646.239999999998</v>
      </c>
      <c r="P3060" s="1">
        <v>34136.26</v>
      </c>
      <c r="Q3060">
        <v>1.6</v>
      </c>
      <c r="R3060">
        <v>4.4799999999999999E-4</v>
      </c>
    </row>
    <row r="3061" spans="1:18" ht="13.8" outlineLevel="3" x14ac:dyDescent="0.25">
      <c r="A3061">
        <v>69171</v>
      </c>
      <c r="B3061" t="s">
        <v>3706</v>
      </c>
      <c r="C3061" t="s">
        <v>3710</v>
      </c>
      <c r="D3061" s="14" t="s">
        <v>3657</v>
      </c>
      <c r="E3061" s="12" t="s">
        <v>28</v>
      </c>
      <c r="F3061" s="19" t="s">
        <v>3658</v>
      </c>
      <c r="G3061">
        <v>1</v>
      </c>
      <c r="H3061" t="s">
        <v>1129</v>
      </c>
      <c r="I3061">
        <v>1</v>
      </c>
      <c r="J3061" s="15"/>
      <c r="K3061" s="16">
        <f t="shared" si="10"/>
        <v>41646.239999999998</v>
      </c>
      <c r="L3061" s="16">
        <f t="shared" si="11"/>
        <v>34136.26</v>
      </c>
      <c r="M3061" s="1">
        <v>41646.239999999998</v>
      </c>
      <c r="N3061" s="1">
        <v>34136.26</v>
      </c>
      <c r="O3061" s="1">
        <v>41646.239999999998</v>
      </c>
      <c r="P3061" s="1">
        <v>34136.26</v>
      </c>
      <c r="Q3061">
        <v>1.5</v>
      </c>
      <c r="R3061">
        <v>1.56E-3</v>
      </c>
    </row>
    <row r="3062" spans="1:18" ht="13.8" outlineLevel="3" x14ac:dyDescent="0.25">
      <c r="A3062">
        <v>62160</v>
      </c>
      <c r="B3062" t="s">
        <v>3706</v>
      </c>
      <c r="C3062" t="s">
        <v>3711</v>
      </c>
      <c r="D3062" s="14" t="s">
        <v>3657</v>
      </c>
      <c r="E3062" s="12" t="s">
        <v>28</v>
      </c>
      <c r="F3062" s="19" t="s">
        <v>3658</v>
      </c>
      <c r="G3062">
        <v>1</v>
      </c>
      <c r="H3062" t="s">
        <v>1129</v>
      </c>
      <c r="I3062">
        <v>1</v>
      </c>
      <c r="J3062" s="15"/>
      <c r="K3062" s="16">
        <f t="shared" si="10"/>
        <v>41646.239999999998</v>
      </c>
      <c r="L3062" s="16">
        <f t="shared" si="11"/>
        <v>34136.26</v>
      </c>
      <c r="M3062" s="1">
        <v>41646.239999999998</v>
      </c>
      <c r="N3062" s="1">
        <v>34136.26</v>
      </c>
      <c r="O3062" s="1">
        <v>41646.239999999998</v>
      </c>
      <c r="P3062" s="1">
        <v>34136.26</v>
      </c>
      <c r="Q3062">
        <v>1.6</v>
      </c>
      <c r="R3062">
        <v>4.4799999999999999E-4</v>
      </c>
    </row>
    <row r="3063" spans="1:18" ht="13.8" outlineLevel="3" x14ac:dyDescent="0.25">
      <c r="A3063">
        <v>69231</v>
      </c>
      <c r="B3063" t="s">
        <v>3706</v>
      </c>
      <c r="C3063" t="s">
        <v>3712</v>
      </c>
      <c r="D3063" s="14" t="s">
        <v>3657</v>
      </c>
      <c r="E3063" s="12" t="s">
        <v>28</v>
      </c>
      <c r="F3063" s="19" t="s">
        <v>3658</v>
      </c>
      <c r="G3063">
        <v>1</v>
      </c>
      <c r="H3063" t="s">
        <v>1129</v>
      </c>
      <c r="I3063">
        <v>1</v>
      </c>
      <c r="J3063" s="15"/>
      <c r="K3063" s="16">
        <f t="shared" si="10"/>
        <v>41646.239999999998</v>
      </c>
      <c r="L3063" s="16">
        <f t="shared" si="11"/>
        <v>34136.26</v>
      </c>
      <c r="M3063" s="1">
        <v>41646.239999999998</v>
      </c>
      <c r="N3063" s="1">
        <v>34136.26</v>
      </c>
      <c r="O3063" s="1">
        <v>41646.239999999998</v>
      </c>
      <c r="P3063" s="1">
        <v>34136.26</v>
      </c>
      <c r="Q3063">
        <v>1.5</v>
      </c>
      <c r="R3063">
        <v>1.56E-3</v>
      </c>
    </row>
    <row r="3064" spans="1:18" ht="13.8" outlineLevel="3" x14ac:dyDescent="0.25">
      <c r="A3064">
        <v>69232</v>
      </c>
      <c r="B3064" t="s">
        <v>3706</v>
      </c>
      <c r="C3064" t="s">
        <v>3713</v>
      </c>
      <c r="D3064" s="14" t="s">
        <v>3657</v>
      </c>
      <c r="E3064" s="12" t="s">
        <v>28</v>
      </c>
      <c r="F3064" s="19" t="s">
        <v>3658</v>
      </c>
      <c r="G3064">
        <v>1</v>
      </c>
      <c r="H3064" t="s">
        <v>1129</v>
      </c>
      <c r="I3064">
        <v>1</v>
      </c>
      <c r="J3064" s="15"/>
      <c r="K3064" s="16">
        <f t="shared" si="10"/>
        <v>41646.239999999998</v>
      </c>
      <c r="L3064" s="16">
        <f t="shared" si="11"/>
        <v>34136.26</v>
      </c>
      <c r="M3064" s="1">
        <v>41646.239999999998</v>
      </c>
      <c r="N3064" s="1">
        <v>34136.26</v>
      </c>
      <c r="O3064" s="1">
        <v>41646.239999999998</v>
      </c>
      <c r="P3064" s="1">
        <v>34136.26</v>
      </c>
      <c r="Q3064">
        <v>1.5</v>
      </c>
      <c r="R3064">
        <v>1.56E-3</v>
      </c>
    </row>
    <row r="3065" spans="1:18" ht="13.8" outlineLevel="3" x14ac:dyDescent="0.25">
      <c r="A3065">
        <v>63866</v>
      </c>
      <c r="B3065" t="s">
        <v>3706</v>
      </c>
      <c r="C3065" t="s">
        <v>3714</v>
      </c>
      <c r="D3065" s="14" t="s">
        <v>3657</v>
      </c>
      <c r="E3065" s="12" t="s">
        <v>28</v>
      </c>
      <c r="F3065" s="19" t="s">
        <v>3658</v>
      </c>
      <c r="G3065">
        <v>1</v>
      </c>
      <c r="H3065" t="s">
        <v>1129</v>
      </c>
      <c r="I3065">
        <v>1</v>
      </c>
      <c r="J3065" s="15"/>
      <c r="K3065" s="16">
        <f t="shared" si="10"/>
        <v>41646.239999999998</v>
      </c>
      <c r="L3065" s="16">
        <f t="shared" si="11"/>
        <v>34136.26</v>
      </c>
      <c r="M3065" s="1">
        <v>41646.239999999998</v>
      </c>
      <c r="N3065" s="1">
        <v>34136.26</v>
      </c>
      <c r="O3065" s="1">
        <v>41646.239999999998</v>
      </c>
      <c r="P3065" s="1">
        <v>34136.26</v>
      </c>
      <c r="Q3065">
        <v>1.6</v>
      </c>
      <c r="R3065">
        <v>4.4799999999999999E-4</v>
      </c>
    </row>
    <row r="3066" spans="1:18" ht="13.8" outlineLevel="3" x14ac:dyDescent="0.25">
      <c r="A3066">
        <v>69233</v>
      </c>
      <c r="B3066" t="s">
        <v>3706</v>
      </c>
      <c r="C3066" t="s">
        <v>3715</v>
      </c>
      <c r="D3066" s="14" t="s">
        <v>3657</v>
      </c>
      <c r="E3066" s="12" t="s">
        <v>28</v>
      </c>
      <c r="F3066" s="19" t="s">
        <v>3658</v>
      </c>
      <c r="G3066">
        <v>1</v>
      </c>
      <c r="H3066" t="s">
        <v>1129</v>
      </c>
      <c r="I3066">
        <v>1</v>
      </c>
      <c r="J3066" s="15"/>
      <c r="K3066" s="16">
        <f t="shared" si="10"/>
        <v>41646.239999999998</v>
      </c>
      <c r="L3066" s="16">
        <f t="shared" si="11"/>
        <v>34136.26</v>
      </c>
      <c r="M3066" s="1">
        <v>41646.239999999998</v>
      </c>
      <c r="N3066" s="1">
        <v>34136.26</v>
      </c>
      <c r="O3066" s="1">
        <v>41646.239999999998</v>
      </c>
      <c r="P3066" s="1">
        <v>34136.26</v>
      </c>
      <c r="Q3066">
        <v>1.5</v>
      </c>
      <c r="R3066">
        <v>1.56E-3</v>
      </c>
    </row>
    <row r="3067" spans="1:18" ht="13.8" outlineLevel="3" x14ac:dyDescent="0.25">
      <c r="A3067">
        <v>84649</v>
      </c>
      <c r="B3067" t="s">
        <v>3706</v>
      </c>
      <c r="C3067" t="s">
        <v>3716</v>
      </c>
      <c r="D3067" s="14" t="s">
        <v>3657</v>
      </c>
      <c r="E3067" s="12" t="s">
        <v>28</v>
      </c>
      <c r="F3067" s="19" t="s">
        <v>3658</v>
      </c>
      <c r="G3067">
        <v>1</v>
      </c>
      <c r="H3067" t="s">
        <v>1129</v>
      </c>
      <c r="I3067">
        <v>1</v>
      </c>
      <c r="J3067" s="15"/>
      <c r="K3067" s="16">
        <f t="shared" si="10"/>
        <v>41646.239999999998</v>
      </c>
      <c r="L3067" s="16">
        <f t="shared" si="11"/>
        <v>34136.26</v>
      </c>
      <c r="M3067" s="1">
        <v>41646.239999999998</v>
      </c>
      <c r="N3067" s="1">
        <v>34136.26</v>
      </c>
      <c r="O3067" s="1">
        <v>41646.239999999998</v>
      </c>
      <c r="P3067" s="1">
        <v>34136.26</v>
      </c>
      <c r="Q3067">
        <v>1.5</v>
      </c>
      <c r="R3067">
        <v>1.56E-3</v>
      </c>
    </row>
    <row r="3068" spans="1:18" ht="13.8" outlineLevel="3" x14ac:dyDescent="0.25">
      <c r="A3068">
        <v>61066</v>
      </c>
      <c r="B3068" t="s">
        <v>3717</v>
      </c>
      <c r="C3068" t="s">
        <v>3718</v>
      </c>
      <c r="D3068" s="14" t="s">
        <v>3719</v>
      </c>
      <c r="E3068" s="12" t="s">
        <v>28</v>
      </c>
      <c r="G3068">
        <v>1</v>
      </c>
      <c r="H3068" t="s">
        <v>1129</v>
      </c>
      <c r="I3068">
        <v>1</v>
      </c>
      <c r="J3068" s="15"/>
      <c r="K3068" s="16">
        <f t="shared" ref="K3068:K3114" si="12">IF($E$1&gt;=$Q$1%,62651.58-(62651.58*$Q$1%),62651.58-(62651.58*$E$1))</f>
        <v>62651.58</v>
      </c>
      <c r="L3068" s="16">
        <f t="shared" ref="L3068:L3114" si="13">IF($E$1&gt;=$Q$1%,51353.75-(51353.75*$Q$1%),51353.75-(51353.75*$E$1))</f>
        <v>51353.75</v>
      </c>
      <c r="M3068" s="1">
        <v>62651.58</v>
      </c>
      <c r="N3068" s="1">
        <v>51353.75</v>
      </c>
      <c r="O3068" s="1">
        <v>62651.58</v>
      </c>
      <c r="P3068" s="1">
        <v>51353.75</v>
      </c>
      <c r="Q3068">
        <v>6.57</v>
      </c>
      <c r="R3068">
        <v>1.152E-3</v>
      </c>
    </row>
    <row r="3069" spans="1:18" ht="13.8" outlineLevel="3" x14ac:dyDescent="0.25">
      <c r="A3069">
        <v>61067</v>
      </c>
      <c r="B3069" t="s">
        <v>3655</v>
      </c>
      <c r="C3069" t="s">
        <v>3720</v>
      </c>
      <c r="D3069" s="14" t="s">
        <v>3719</v>
      </c>
      <c r="E3069" s="12" t="s">
        <v>28</v>
      </c>
      <c r="G3069">
        <v>1</v>
      </c>
      <c r="H3069" t="s">
        <v>1129</v>
      </c>
      <c r="I3069">
        <v>1</v>
      </c>
      <c r="J3069" s="15"/>
      <c r="K3069" s="16">
        <f t="shared" si="12"/>
        <v>62651.58</v>
      </c>
      <c r="L3069" s="16">
        <f t="shared" si="13"/>
        <v>51353.75</v>
      </c>
      <c r="M3069" s="1">
        <v>62651.58</v>
      </c>
      <c r="N3069" s="1">
        <v>51353.75</v>
      </c>
      <c r="O3069" s="1">
        <v>62651.58</v>
      </c>
      <c r="P3069" s="1">
        <v>51353.75</v>
      </c>
      <c r="Q3069">
        <v>6.2</v>
      </c>
      <c r="R3069">
        <v>1.152E-3</v>
      </c>
    </row>
    <row r="3070" spans="1:18" ht="13.8" outlineLevel="3" x14ac:dyDescent="0.25">
      <c r="A3070">
        <v>66843</v>
      </c>
      <c r="B3070" t="s">
        <v>3655</v>
      </c>
      <c r="C3070" t="s">
        <v>3721</v>
      </c>
      <c r="D3070" s="14" t="s">
        <v>3719</v>
      </c>
      <c r="E3070" s="12" t="s">
        <v>28</v>
      </c>
      <c r="F3070" s="19" t="s">
        <v>3658</v>
      </c>
      <c r="G3070">
        <v>1</v>
      </c>
      <c r="H3070" t="s">
        <v>1129</v>
      </c>
      <c r="I3070">
        <v>1</v>
      </c>
      <c r="J3070" s="15"/>
      <c r="K3070" s="16">
        <f t="shared" si="12"/>
        <v>62651.58</v>
      </c>
      <c r="L3070" s="16">
        <f t="shared" si="13"/>
        <v>51353.75</v>
      </c>
      <c r="M3070" s="1">
        <v>62651.58</v>
      </c>
      <c r="N3070" s="1">
        <v>51353.75</v>
      </c>
      <c r="O3070" s="1">
        <v>62651.58</v>
      </c>
      <c r="P3070" s="1">
        <v>51353.75</v>
      </c>
      <c r="Q3070">
        <v>5.8</v>
      </c>
      <c r="R3070">
        <v>9.2400000000000002E-4</v>
      </c>
    </row>
    <row r="3071" spans="1:18" ht="13.8" outlineLevel="3" x14ac:dyDescent="0.25">
      <c r="A3071">
        <v>61068</v>
      </c>
      <c r="B3071" t="s">
        <v>3717</v>
      </c>
      <c r="C3071" t="s">
        <v>3722</v>
      </c>
      <c r="D3071" s="14" t="s">
        <v>3719</v>
      </c>
      <c r="E3071" s="12" t="s">
        <v>28</v>
      </c>
      <c r="F3071" s="19" t="s">
        <v>3658</v>
      </c>
      <c r="G3071">
        <v>1</v>
      </c>
      <c r="H3071" t="s">
        <v>1129</v>
      </c>
      <c r="I3071">
        <v>1</v>
      </c>
      <c r="J3071" s="15"/>
      <c r="K3071" s="16">
        <f t="shared" si="12"/>
        <v>62651.58</v>
      </c>
      <c r="L3071" s="16">
        <f t="shared" si="13"/>
        <v>51353.75</v>
      </c>
      <c r="M3071" s="1">
        <v>62651.58</v>
      </c>
      <c r="N3071" s="1">
        <v>51353.75</v>
      </c>
      <c r="O3071" s="1">
        <v>62651.58</v>
      </c>
      <c r="P3071" s="1">
        <v>51353.75</v>
      </c>
      <c r="Q3071">
        <v>5.7</v>
      </c>
      <c r="R3071">
        <v>3.2759999999999998E-3</v>
      </c>
    </row>
    <row r="3072" spans="1:18" ht="13.8" outlineLevel="3" x14ac:dyDescent="0.25">
      <c r="A3072">
        <v>65881</v>
      </c>
      <c r="B3072" t="s">
        <v>3717</v>
      </c>
      <c r="C3072" t="s">
        <v>3723</v>
      </c>
      <c r="D3072" s="14" t="s">
        <v>3719</v>
      </c>
      <c r="E3072" s="12" t="s">
        <v>28</v>
      </c>
      <c r="F3072" s="19" t="s">
        <v>3658</v>
      </c>
      <c r="G3072">
        <v>1</v>
      </c>
      <c r="H3072" t="s">
        <v>1129</v>
      </c>
      <c r="I3072">
        <v>1</v>
      </c>
      <c r="J3072" s="15"/>
      <c r="K3072" s="16">
        <f t="shared" si="12"/>
        <v>62651.58</v>
      </c>
      <c r="L3072" s="16">
        <f t="shared" si="13"/>
        <v>51353.75</v>
      </c>
      <c r="M3072" s="1">
        <v>62651.58</v>
      </c>
      <c r="N3072" s="1">
        <v>51353.75</v>
      </c>
      <c r="O3072" s="1">
        <v>62651.58</v>
      </c>
      <c r="P3072" s="1">
        <v>51353.75</v>
      </c>
      <c r="Q3072">
        <v>5.5</v>
      </c>
      <c r="R3072">
        <v>9.2599999999999996E-4</v>
      </c>
    </row>
    <row r="3073" spans="1:18" ht="13.8" outlineLevel="3" x14ac:dyDescent="0.25">
      <c r="A3073">
        <v>65123</v>
      </c>
      <c r="B3073" t="s">
        <v>3717</v>
      </c>
      <c r="C3073" t="s">
        <v>3724</v>
      </c>
      <c r="D3073" s="14" t="s">
        <v>3719</v>
      </c>
      <c r="E3073" s="12" t="s">
        <v>28</v>
      </c>
      <c r="F3073" s="19" t="s">
        <v>3658</v>
      </c>
      <c r="G3073">
        <v>1</v>
      </c>
      <c r="H3073" t="s">
        <v>1129</v>
      </c>
      <c r="I3073">
        <v>1</v>
      </c>
      <c r="J3073" s="15"/>
      <c r="K3073" s="16">
        <f t="shared" si="12"/>
        <v>62651.58</v>
      </c>
      <c r="L3073" s="16">
        <f t="shared" si="13"/>
        <v>51353.75</v>
      </c>
      <c r="M3073" s="1">
        <v>62651.58</v>
      </c>
      <c r="N3073" s="1">
        <v>51353.75</v>
      </c>
      <c r="O3073" s="1">
        <v>62651.58</v>
      </c>
      <c r="P3073" s="1">
        <v>51353.75</v>
      </c>
      <c r="Q3073">
        <v>4.55</v>
      </c>
      <c r="R3073">
        <v>7.9199999999999995E-4</v>
      </c>
    </row>
    <row r="3074" spans="1:18" ht="13.8" outlineLevel="3" x14ac:dyDescent="0.25">
      <c r="A3074">
        <v>65381</v>
      </c>
      <c r="B3074" t="s">
        <v>3717</v>
      </c>
      <c r="C3074" t="s">
        <v>3725</v>
      </c>
      <c r="D3074" s="14" t="s">
        <v>3719</v>
      </c>
      <c r="E3074" s="12" t="s">
        <v>28</v>
      </c>
      <c r="F3074" s="19" t="s">
        <v>3658</v>
      </c>
      <c r="G3074">
        <v>1</v>
      </c>
      <c r="H3074" t="s">
        <v>1129</v>
      </c>
      <c r="I3074">
        <v>1</v>
      </c>
      <c r="J3074" s="15"/>
      <c r="K3074" s="16">
        <f t="shared" si="12"/>
        <v>62651.58</v>
      </c>
      <c r="L3074" s="16">
        <f t="shared" si="13"/>
        <v>51353.75</v>
      </c>
      <c r="M3074" s="1">
        <v>62651.58</v>
      </c>
      <c r="N3074" s="1">
        <v>51353.75</v>
      </c>
      <c r="O3074" s="1">
        <v>62651.58</v>
      </c>
      <c r="P3074" s="1">
        <v>51353.75</v>
      </c>
      <c r="Q3074">
        <v>5.15</v>
      </c>
      <c r="R3074">
        <v>7.9199999999999995E-4</v>
      </c>
    </row>
    <row r="3075" spans="1:18" ht="13.8" outlineLevel="3" x14ac:dyDescent="0.25">
      <c r="A3075">
        <v>61069</v>
      </c>
      <c r="B3075" t="s">
        <v>3717</v>
      </c>
      <c r="C3075" t="s">
        <v>3726</v>
      </c>
      <c r="D3075" s="14" t="s">
        <v>3719</v>
      </c>
      <c r="E3075" s="12" t="s">
        <v>28</v>
      </c>
      <c r="G3075">
        <v>1</v>
      </c>
      <c r="H3075" t="s">
        <v>1129</v>
      </c>
      <c r="I3075">
        <v>1</v>
      </c>
      <c r="J3075" s="15"/>
      <c r="K3075" s="16">
        <f t="shared" si="12"/>
        <v>62651.58</v>
      </c>
      <c r="L3075" s="16">
        <f t="shared" si="13"/>
        <v>51353.75</v>
      </c>
      <c r="M3075" s="1">
        <v>62651.58</v>
      </c>
      <c r="N3075" s="1">
        <v>51353.75</v>
      </c>
      <c r="O3075" s="1">
        <v>62651.58</v>
      </c>
      <c r="P3075" s="1">
        <v>51353.75</v>
      </c>
      <c r="Q3075">
        <v>4.4400000000000004</v>
      </c>
      <c r="R3075">
        <v>7.9199999999999995E-4</v>
      </c>
    </row>
    <row r="3076" spans="1:18" ht="13.8" outlineLevel="3" x14ac:dyDescent="0.25">
      <c r="A3076">
        <v>61070</v>
      </c>
      <c r="B3076" t="s">
        <v>3717</v>
      </c>
      <c r="C3076" t="s">
        <v>3727</v>
      </c>
      <c r="D3076" s="14" t="s">
        <v>3719</v>
      </c>
      <c r="E3076" s="12" t="s">
        <v>28</v>
      </c>
      <c r="F3076" s="19" t="s">
        <v>3658</v>
      </c>
      <c r="G3076">
        <v>1</v>
      </c>
      <c r="H3076" t="s">
        <v>1129</v>
      </c>
      <c r="I3076">
        <v>1</v>
      </c>
      <c r="J3076" s="15"/>
      <c r="K3076" s="16">
        <f t="shared" si="12"/>
        <v>62651.58</v>
      </c>
      <c r="L3076" s="16">
        <f t="shared" si="13"/>
        <v>51353.75</v>
      </c>
      <c r="M3076" s="1">
        <v>62651.58</v>
      </c>
      <c r="N3076" s="1">
        <v>51353.75</v>
      </c>
      <c r="O3076" s="1">
        <v>62651.58</v>
      </c>
      <c r="P3076" s="1">
        <v>51353.75</v>
      </c>
      <c r="Q3076">
        <v>4.37</v>
      </c>
      <c r="R3076">
        <v>7.9199999999999995E-4</v>
      </c>
    </row>
    <row r="3077" spans="1:18" ht="13.8" outlineLevel="3" x14ac:dyDescent="0.25">
      <c r="A3077">
        <v>61494</v>
      </c>
      <c r="B3077" t="s">
        <v>3717</v>
      </c>
      <c r="C3077" t="s">
        <v>3728</v>
      </c>
      <c r="D3077" s="14" t="s">
        <v>3719</v>
      </c>
      <c r="E3077" s="12" t="s">
        <v>28</v>
      </c>
      <c r="F3077" s="19" t="s">
        <v>3658</v>
      </c>
      <c r="G3077">
        <v>1</v>
      </c>
      <c r="H3077" t="s">
        <v>1129</v>
      </c>
      <c r="I3077">
        <v>1</v>
      </c>
      <c r="J3077" s="15"/>
      <c r="K3077" s="16">
        <f t="shared" si="12"/>
        <v>62651.58</v>
      </c>
      <c r="L3077" s="16">
        <f t="shared" si="13"/>
        <v>51353.75</v>
      </c>
      <c r="M3077" s="1">
        <v>62651.58</v>
      </c>
      <c r="N3077" s="1">
        <v>51353.75</v>
      </c>
      <c r="O3077" s="1">
        <v>62651.58</v>
      </c>
      <c r="P3077" s="1">
        <v>51353.75</v>
      </c>
      <c r="Q3077">
        <v>5.15</v>
      </c>
      <c r="R3077">
        <v>7.9199999999999995E-4</v>
      </c>
    </row>
    <row r="3078" spans="1:18" ht="13.8" outlineLevel="3" x14ac:dyDescent="0.25">
      <c r="A3078">
        <v>61071</v>
      </c>
      <c r="B3078" t="s">
        <v>3717</v>
      </c>
      <c r="C3078" t="s">
        <v>3729</v>
      </c>
      <c r="D3078" s="14" t="s">
        <v>3719</v>
      </c>
      <c r="E3078" s="12" t="s">
        <v>28</v>
      </c>
      <c r="F3078" s="19" t="s">
        <v>3658</v>
      </c>
      <c r="G3078">
        <v>1</v>
      </c>
      <c r="H3078" t="s">
        <v>1129</v>
      </c>
      <c r="I3078">
        <v>1</v>
      </c>
      <c r="J3078" s="15"/>
      <c r="K3078" s="16">
        <f t="shared" si="12"/>
        <v>62651.58</v>
      </c>
      <c r="L3078" s="16">
        <f t="shared" si="13"/>
        <v>51353.75</v>
      </c>
      <c r="M3078" s="1">
        <v>62651.58</v>
      </c>
      <c r="N3078" s="1">
        <v>51353.75</v>
      </c>
      <c r="O3078" s="1">
        <v>62651.58</v>
      </c>
      <c r="P3078" s="1">
        <v>51353.75</v>
      </c>
      <c r="Q3078">
        <v>4.2</v>
      </c>
      <c r="R3078">
        <v>8.2799999999999996E-4</v>
      </c>
    </row>
    <row r="3079" spans="1:18" ht="13.8" outlineLevel="3" x14ac:dyDescent="0.25">
      <c r="A3079">
        <v>61244</v>
      </c>
      <c r="B3079" t="s">
        <v>3717</v>
      </c>
      <c r="C3079" t="s">
        <v>3730</v>
      </c>
      <c r="D3079" s="14" t="s">
        <v>3719</v>
      </c>
      <c r="E3079" s="12" t="s">
        <v>28</v>
      </c>
      <c r="F3079" s="19" t="s">
        <v>3658</v>
      </c>
      <c r="G3079">
        <v>1</v>
      </c>
      <c r="H3079" t="s">
        <v>1129</v>
      </c>
      <c r="I3079">
        <v>1</v>
      </c>
      <c r="J3079" s="15"/>
      <c r="K3079" s="16">
        <f t="shared" si="12"/>
        <v>62651.58</v>
      </c>
      <c r="L3079" s="16">
        <f t="shared" si="13"/>
        <v>51353.75</v>
      </c>
      <c r="M3079" s="1">
        <v>62651.58</v>
      </c>
      <c r="N3079" s="1">
        <v>51353.75</v>
      </c>
      <c r="O3079" s="1">
        <v>62651.58</v>
      </c>
      <c r="P3079" s="1">
        <v>51353.75</v>
      </c>
      <c r="Q3079">
        <v>4.16</v>
      </c>
      <c r="R3079">
        <v>7.9199999999999995E-4</v>
      </c>
    </row>
    <row r="3080" spans="1:18" ht="13.8" outlineLevel="3" x14ac:dyDescent="0.25">
      <c r="A3080">
        <v>64414</v>
      </c>
      <c r="B3080" t="s">
        <v>3717</v>
      </c>
      <c r="C3080" t="s">
        <v>3731</v>
      </c>
      <c r="D3080" s="14" t="s">
        <v>3719</v>
      </c>
      <c r="E3080" s="12" t="s">
        <v>28</v>
      </c>
      <c r="F3080" s="19" t="s">
        <v>3658</v>
      </c>
      <c r="G3080">
        <v>1</v>
      </c>
      <c r="H3080" t="s">
        <v>1129</v>
      </c>
      <c r="I3080">
        <v>1</v>
      </c>
      <c r="J3080" s="15"/>
      <c r="K3080" s="16">
        <f t="shared" si="12"/>
        <v>62651.58</v>
      </c>
      <c r="L3080" s="16">
        <f t="shared" si="13"/>
        <v>51353.75</v>
      </c>
      <c r="M3080" s="1">
        <v>62651.58</v>
      </c>
      <c r="N3080" s="1">
        <v>51353.75</v>
      </c>
      <c r="O3080" s="1">
        <v>62651.58</v>
      </c>
      <c r="P3080" s="1">
        <v>51353.75</v>
      </c>
      <c r="Q3080">
        <v>4.0999999999999996</v>
      </c>
      <c r="R3080">
        <v>8.6300000000000005E-4</v>
      </c>
    </row>
    <row r="3081" spans="1:18" ht="13.8" outlineLevel="3" x14ac:dyDescent="0.25">
      <c r="A3081">
        <v>61245</v>
      </c>
      <c r="B3081" t="s">
        <v>3717</v>
      </c>
      <c r="C3081" t="s">
        <v>3732</v>
      </c>
      <c r="D3081" s="14" t="s">
        <v>3719</v>
      </c>
      <c r="E3081" s="12" t="s">
        <v>28</v>
      </c>
      <c r="F3081" s="19" t="s">
        <v>3658</v>
      </c>
      <c r="G3081">
        <v>1</v>
      </c>
      <c r="H3081" t="s">
        <v>1129</v>
      </c>
      <c r="I3081">
        <v>1</v>
      </c>
      <c r="J3081" s="15"/>
      <c r="K3081" s="16">
        <f t="shared" si="12"/>
        <v>62651.58</v>
      </c>
      <c r="L3081" s="16">
        <f t="shared" si="13"/>
        <v>51353.75</v>
      </c>
      <c r="M3081" s="1">
        <v>62651.58</v>
      </c>
      <c r="N3081" s="1">
        <v>51353.75</v>
      </c>
      <c r="O3081" s="1">
        <v>62651.58</v>
      </c>
      <c r="P3081" s="1">
        <v>51353.75</v>
      </c>
      <c r="Q3081">
        <v>5.15</v>
      </c>
      <c r="R3081">
        <v>2.6400000000000002E-4</v>
      </c>
    </row>
    <row r="3082" spans="1:18" ht="13.8" outlineLevel="3" x14ac:dyDescent="0.25">
      <c r="A3082">
        <v>66846</v>
      </c>
      <c r="B3082" t="s">
        <v>3655</v>
      </c>
      <c r="C3082" t="s">
        <v>3733</v>
      </c>
      <c r="D3082" s="14" t="s">
        <v>3719</v>
      </c>
      <c r="E3082" s="12" t="s">
        <v>28</v>
      </c>
      <c r="F3082" s="19" t="s">
        <v>3658</v>
      </c>
      <c r="G3082">
        <v>1</v>
      </c>
      <c r="H3082" t="s">
        <v>1129</v>
      </c>
      <c r="I3082">
        <v>1</v>
      </c>
      <c r="J3082" s="15"/>
      <c r="K3082" s="16">
        <f t="shared" si="12"/>
        <v>62651.58</v>
      </c>
      <c r="L3082" s="16">
        <f t="shared" si="13"/>
        <v>51353.75</v>
      </c>
      <c r="M3082" s="1">
        <v>62651.58</v>
      </c>
      <c r="N3082" s="1">
        <v>51353.75</v>
      </c>
      <c r="O3082" s="1">
        <v>62651.58</v>
      </c>
      <c r="P3082" s="1">
        <v>51353.75</v>
      </c>
      <c r="Q3082">
        <v>3.95</v>
      </c>
      <c r="R3082">
        <v>7.9199999999999995E-4</v>
      </c>
    </row>
    <row r="3083" spans="1:18" ht="13.8" outlineLevel="3" x14ac:dyDescent="0.25">
      <c r="A3083">
        <v>61060</v>
      </c>
      <c r="B3083" t="s">
        <v>3673</v>
      </c>
      <c r="C3083" t="s">
        <v>3734</v>
      </c>
      <c r="D3083" s="14" t="s">
        <v>3719</v>
      </c>
      <c r="E3083" s="12" t="s">
        <v>28</v>
      </c>
      <c r="F3083" s="19" t="s">
        <v>3658</v>
      </c>
      <c r="G3083">
        <v>1</v>
      </c>
      <c r="H3083" t="s">
        <v>1129</v>
      </c>
      <c r="I3083">
        <v>1</v>
      </c>
      <c r="J3083" s="15"/>
      <c r="K3083" s="16">
        <f t="shared" si="12"/>
        <v>62651.58</v>
      </c>
      <c r="L3083" s="16">
        <f t="shared" si="13"/>
        <v>51353.75</v>
      </c>
      <c r="M3083" s="1">
        <v>62651.58</v>
      </c>
      <c r="N3083" s="1">
        <v>51353.75</v>
      </c>
      <c r="O3083" s="1">
        <v>62651.58</v>
      </c>
      <c r="P3083" s="1">
        <v>51353.75</v>
      </c>
      <c r="Q3083">
        <v>6</v>
      </c>
      <c r="R3083">
        <v>9.4200000000000002E-4</v>
      </c>
    </row>
    <row r="3084" spans="1:18" ht="13.8" outlineLevel="3" x14ac:dyDescent="0.25">
      <c r="A3084">
        <v>61500</v>
      </c>
      <c r="B3084" t="s">
        <v>3673</v>
      </c>
      <c r="C3084" t="s">
        <v>3735</v>
      </c>
      <c r="D3084" s="14" t="s">
        <v>3719</v>
      </c>
      <c r="E3084" s="12" t="s">
        <v>28</v>
      </c>
      <c r="F3084" s="19" t="s">
        <v>3658</v>
      </c>
      <c r="G3084">
        <v>1</v>
      </c>
      <c r="H3084" t="s">
        <v>1129</v>
      </c>
      <c r="I3084">
        <v>1</v>
      </c>
      <c r="J3084" s="15"/>
      <c r="K3084" s="16">
        <f t="shared" si="12"/>
        <v>62651.58</v>
      </c>
      <c r="L3084" s="16">
        <f t="shared" si="13"/>
        <v>51353.75</v>
      </c>
      <c r="M3084" s="1">
        <v>62651.58</v>
      </c>
      <c r="N3084" s="1">
        <v>51353.75</v>
      </c>
      <c r="O3084" s="1">
        <v>62651.58</v>
      </c>
      <c r="P3084" s="1">
        <v>51353.75</v>
      </c>
      <c r="Q3084">
        <v>5.9</v>
      </c>
      <c r="R3084">
        <v>9.4200000000000002E-4</v>
      </c>
    </row>
    <row r="3085" spans="1:18" ht="13.8" outlineLevel="3" x14ac:dyDescent="0.25">
      <c r="A3085">
        <v>61072</v>
      </c>
      <c r="B3085" t="s">
        <v>3673</v>
      </c>
      <c r="C3085" t="s">
        <v>3736</v>
      </c>
      <c r="D3085" s="14" t="s">
        <v>3719</v>
      </c>
      <c r="E3085" s="12" t="s">
        <v>28</v>
      </c>
      <c r="F3085" s="19" t="s">
        <v>3658</v>
      </c>
      <c r="G3085">
        <v>1</v>
      </c>
      <c r="H3085" t="s">
        <v>1129</v>
      </c>
      <c r="I3085">
        <v>1</v>
      </c>
      <c r="J3085" s="15"/>
      <c r="K3085" s="16">
        <f t="shared" si="12"/>
        <v>62651.58</v>
      </c>
      <c r="L3085" s="16">
        <f t="shared" si="13"/>
        <v>51353.75</v>
      </c>
      <c r="M3085" s="1">
        <v>62651.58</v>
      </c>
      <c r="N3085" s="1">
        <v>51353.75</v>
      </c>
      <c r="O3085" s="1">
        <v>62651.58</v>
      </c>
      <c r="P3085" s="1">
        <v>51353.75</v>
      </c>
      <c r="Q3085">
        <v>5.9</v>
      </c>
      <c r="R3085">
        <v>9.4200000000000002E-4</v>
      </c>
    </row>
    <row r="3086" spans="1:18" ht="13.8" outlineLevel="3" x14ac:dyDescent="0.25">
      <c r="A3086">
        <v>61073</v>
      </c>
      <c r="B3086" t="s">
        <v>3673</v>
      </c>
      <c r="C3086" t="s">
        <v>3737</v>
      </c>
      <c r="D3086" s="14" t="s">
        <v>3719</v>
      </c>
      <c r="E3086" s="12" t="s">
        <v>28</v>
      </c>
      <c r="F3086" s="19" t="s">
        <v>3658</v>
      </c>
      <c r="G3086">
        <v>1</v>
      </c>
      <c r="H3086" t="s">
        <v>1129</v>
      </c>
      <c r="I3086">
        <v>1</v>
      </c>
      <c r="J3086" s="15"/>
      <c r="K3086" s="16">
        <f t="shared" si="12"/>
        <v>62651.58</v>
      </c>
      <c r="L3086" s="16">
        <f t="shared" si="13"/>
        <v>51353.75</v>
      </c>
      <c r="M3086" s="1">
        <v>62651.58</v>
      </c>
      <c r="N3086" s="1">
        <v>51353.75</v>
      </c>
      <c r="O3086" s="1">
        <v>62651.58</v>
      </c>
      <c r="P3086" s="1">
        <v>51353.75</v>
      </c>
      <c r="Q3086">
        <v>6.15</v>
      </c>
      <c r="R3086">
        <v>5.5000000000000002E-5</v>
      </c>
    </row>
    <row r="3087" spans="1:18" ht="13.8" outlineLevel="3" x14ac:dyDescent="0.25">
      <c r="A3087">
        <v>61074</v>
      </c>
      <c r="B3087" t="s">
        <v>3673</v>
      </c>
      <c r="C3087" t="s">
        <v>3738</v>
      </c>
      <c r="D3087" s="14" t="s">
        <v>3719</v>
      </c>
      <c r="E3087" s="12" t="s">
        <v>28</v>
      </c>
      <c r="F3087" s="19" t="s">
        <v>3658</v>
      </c>
      <c r="G3087">
        <v>1</v>
      </c>
      <c r="H3087" t="s">
        <v>1129</v>
      </c>
      <c r="I3087">
        <v>1</v>
      </c>
      <c r="J3087" s="15"/>
      <c r="K3087" s="16">
        <f t="shared" si="12"/>
        <v>62651.58</v>
      </c>
      <c r="L3087" s="16">
        <f t="shared" si="13"/>
        <v>51353.75</v>
      </c>
      <c r="M3087" s="1">
        <v>62651.58</v>
      </c>
      <c r="N3087" s="1">
        <v>51353.75</v>
      </c>
      <c r="O3087" s="1">
        <v>62651.58</v>
      </c>
      <c r="P3087" s="1">
        <v>51353.75</v>
      </c>
      <c r="Q3087">
        <v>6.1</v>
      </c>
      <c r="R3087">
        <v>5.5000000000000002E-5</v>
      </c>
    </row>
    <row r="3088" spans="1:18" ht="13.8" outlineLevel="3" x14ac:dyDescent="0.25">
      <c r="A3088">
        <v>61493</v>
      </c>
      <c r="B3088" t="s">
        <v>3673</v>
      </c>
      <c r="C3088" t="s">
        <v>3739</v>
      </c>
      <c r="D3088" s="14" t="s">
        <v>3719</v>
      </c>
      <c r="E3088" s="12" t="s">
        <v>28</v>
      </c>
      <c r="F3088" s="19" t="s">
        <v>3658</v>
      </c>
      <c r="G3088">
        <v>1</v>
      </c>
      <c r="H3088" t="s">
        <v>1129</v>
      </c>
      <c r="I3088">
        <v>1</v>
      </c>
      <c r="J3088" s="15"/>
      <c r="K3088" s="16">
        <f t="shared" si="12"/>
        <v>62651.58</v>
      </c>
      <c r="L3088" s="16">
        <f t="shared" si="13"/>
        <v>51353.75</v>
      </c>
      <c r="M3088" s="1">
        <v>62651.58</v>
      </c>
      <c r="N3088" s="1">
        <v>51353.75</v>
      </c>
      <c r="O3088" s="1">
        <v>62651.58</v>
      </c>
      <c r="P3088" s="1">
        <v>51353.75</v>
      </c>
      <c r="Q3088">
        <v>5.87</v>
      </c>
      <c r="R3088">
        <v>9.2400000000000002E-4</v>
      </c>
    </row>
    <row r="3089" spans="1:18" ht="13.8" outlineLevel="3" x14ac:dyDescent="0.25">
      <c r="A3089">
        <v>61190</v>
      </c>
      <c r="B3089" t="s">
        <v>3673</v>
      </c>
      <c r="C3089" t="s">
        <v>3740</v>
      </c>
      <c r="D3089" s="14" t="s">
        <v>3719</v>
      </c>
      <c r="E3089" s="12" t="s">
        <v>28</v>
      </c>
      <c r="F3089" s="19" t="s">
        <v>3658</v>
      </c>
      <c r="G3089">
        <v>1</v>
      </c>
      <c r="H3089" t="s">
        <v>1129</v>
      </c>
      <c r="I3089">
        <v>1</v>
      </c>
      <c r="J3089" s="15"/>
      <c r="K3089" s="16">
        <f t="shared" si="12"/>
        <v>62651.58</v>
      </c>
      <c r="L3089" s="16">
        <f t="shared" si="13"/>
        <v>51353.75</v>
      </c>
      <c r="M3089" s="1">
        <v>62651.58</v>
      </c>
      <c r="N3089" s="1">
        <v>51353.75</v>
      </c>
      <c r="O3089" s="1">
        <v>62651.58</v>
      </c>
      <c r="P3089" s="1">
        <v>51353.75</v>
      </c>
      <c r="Q3089">
        <v>5.55</v>
      </c>
      <c r="R3089">
        <v>9.2400000000000002E-4</v>
      </c>
    </row>
    <row r="3090" spans="1:18" ht="13.8" outlineLevel="3" x14ac:dyDescent="0.25">
      <c r="A3090">
        <v>61061</v>
      </c>
      <c r="B3090" t="s">
        <v>3673</v>
      </c>
      <c r="C3090" t="s">
        <v>3741</v>
      </c>
      <c r="D3090" s="14" t="s">
        <v>3719</v>
      </c>
      <c r="E3090" s="12" t="s">
        <v>28</v>
      </c>
      <c r="F3090" s="19" t="s">
        <v>3658</v>
      </c>
      <c r="G3090">
        <v>1</v>
      </c>
      <c r="H3090" t="s">
        <v>1129</v>
      </c>
      <c r="I3090">
        <v>1</v>
      </c>
      <c r="J3090" s="15"/>
      <c r="K3090" s="16">
        <f t="shared" si="12"/>
        <v>62651.58</v>
      </c>
      <c r="L3090" s="16">
        <f t="shared" si="13"/>
        <v>51353.75</v>
      </c>
      <c r="M3090" s="1">
        <v>62651.58</v>
      </c>
      <c r="N3090" s="1">
        <v>51353.75</v>
      </c>
      <c r="O3090" s="1">
        <v>62651.58</v>
      </c>
      <c r="P3090" s="1">
        <v>51353.75</v>
      </c>
      <c r="Q3090">
        <v>5.4</v>
      </c>
      <c r="R3090">
        <v>9.6599999999999995E-4</v>
      </c>
    </row>
    <row r="3091" spans="1:18" ht="13.8" outlineLevel="3" x14ac:dyDescent="0.25">
      <c r="A3091">
        <v>61448</v>
      </c>
      <c r="B3091" t="s">
        <v>3673</v>
      </c>
      <c r="C3091" t="s">
        <v>3742</v>
      </c>
      <c r="D3091" s="14" t="s">
        <v>3719</v>
      </c>
      <c r="E3091" s="12" t="s">
        <v>28</v>
      </c>
      <c r="F3091" s="19" t="s">
        <v>3658</v>
      </c>
      <c r="G3091">
        <v>1</v>
      </c>
      <c r="H3091" t="s">
        <v>1129</v>
      </c>
      <c r="I3091">
        <v>1</v>
      </c>
      <c r="J3091" s="15"/>
      <c r="K3091" s="16">
        <f t="shared" si="12"/>
        <v>62651.58</v>
      </c>
      <c r="L3091" s="16">
        <f t="shared" si="13"/>
        <v>51353.75</v>
      </c>
      <c r="M3091" s="1">
        <v>62651.58</v>
      </c>
      <c r="N3091" s="1">
        <v>51353.75</v>
      </c>
      <c r="O3091" s="1">
        <v>62651.58</v>
      </c>
      <c r="P3091" s="1">
        <v>51353.75</v>
      </c>
      <c r="Q3091">
        <v>5.3</v>
      </c>
      <c r="R3091">
        <v>9.4200000000000002E-4</v>
      </c>
    </row>
    <row r="3092" spans="1:18" ht="13.8" outlineLevel="3" x14ac:dyDescent="0.25">
      <c r="A3092">
        <v>61260</v>
      </c>
      <c r="B3092" t="s">
        <v>3673</v>
      </c>
      <c r="C3092" t="s">
        <v>3743</v>
      </c>
      <c r="D3092" s="14" t="s">
        <v>3719</v>
      </c>
      <c r="E3092" s="12" t="s">
        <v>28</v>
      </c>
      <c r="F3092" s="19" t="s">
        <v>3658</v>
      </c>
      <c r="G3092">
        <v>1</v>
      </c>
      <c r="H3092" t="s">
        <v>1129</v>
      </c>
      <c r="I3092">
        <v>1</v>
      </c>
      <c r="J3092" s="15"/>
      <c r="K3092" s="16">
        <f t="shared" si="12"/>
        <v>62651.58</v>
      </c>
      <c r="L3092" s="16">
        <f t="shared" si="13"/>
        <v>51353.75</v>
      </c>
      <c r="M3092" s="1">
        <v>62651.58</v>
      </c>
      <c r="N3092" s="1">
        <v>51353.75</v>
      </c>
      <c r="O3092" s="1">
        <v>62651.58</v>
      </c>
      <c r="P3092" s="1">
        <v>51353.75</v>
      </c>
      <c r="Q3092">
        <v>5.2</v>
      </c>
      <c r="R3092">
        <v>9.4200000000000002E-4</v>
      </c>
    </row>
    <row r="3093" spans="1:18" ht="13.8" outlineLevel="3" x14ac:dyDescent="0.25">
      <c r="A3093">
        <v>61247</v>
      </c>
      <c r="B3093" t="s">
        <v>3673</v>
      </c>
      <c r="C3093" t="s">
        <v>3744</v>
      </c>
      <c r="D3093" s="14" t="s">
        <v>3719</v>
      </c>
      <c r="E3093" s="12" t="s">
        <v>28</v>
      </c>
      <c r="F3093" s="19" t="s">
        <v>3658</v>
      </c>
      <c r="G3093">
        <v>1</v>
      </c>
      <c r="H3093" t="s">
        <v>1129</v>
      </c>
      <c r="I3093">
        <v>1</v>
      </c>
      <c r="J3093" s="15"/>
      <c r="K3093" s="16">
        <f t="shared" si="12"/>
        <v>62651.58</v>
      </c>
      <c r="L3093" s="16">
        <f t="shared" si="13"/>
        <v>51353.75</v>
      </c>
      <c r="M3093" s="1">
        <v>62651.58</v>
      </c>
      <c r="N3093" s="1">
        <v>51353.75</v>
      </c>
      <c r="O3093" s="1">
        <v>62651.58</v>
      </c>
      <c r="P3093" s="1">
        <v>51353.75</v>
      </c>
      <c r="Q3093">
        <v>5.5</v>
      </c>
      <c r="R3093">
        <v>7.94E-4</v>
      </c>
    </row>
    <row r="3094" spans="1:18" ht="13.8" outlineLevel="3" x14ac:dyDescent="0.25">
      <c r="A3094">
        <v>63411</v>
      </c>
      <c r="B3094" t="s">
        <v>3696</v>
      </c>
      <c r="C3094" t="s">
        <v>3745</v>
      </c>
      <c r="D3094" s="14" t="s">
        <v>3719</v>
      </c>
      <c r="E3094" s="12" t="s">
        <v>28</v>
      </c>
      <c r="F3094" s="19" t="s">
        <v>3658</v>
      </c>
      <c r="G3094">
        <v>1</v>
      </c>
      <c r="H3094" t="s">
        <v>1129</v>
      </c>
      <c r="I3094">
        <v>1</v>
      </c>
      <c r="J3094" s="15"/>
      <c r="K3094" s="16">
        <f t="shared" si="12"/>
        <v>62651.58</v>
      </c>
      <c r="L3094" s="16">
        <f t="shared" si="13"/>
        <v>51353.75</v>
      </c>
      <c r="M3094" s="1">
        <v>62651.58</v>
      </c>
      <c r="N3094" s="1">
        <v>51353.75</v>
      </c>
      <c r="O3094" s="1">
        <v>62651.58</v>
      </c>
      <c r="P3094" s="1">
        <v>51353.75</v>
      </c>
      <c r="Q3094">
        <v>6.8</v>
      </c>
      <c r="R3094">
        <v>1.0579999999999999E-3</v>
      </c>
    </row>
    <row r="3095" spans="1:18" ht="13.8" outlineLevel="3" x14ac:dyDescent="0.25">
      <c r="A3095">
        <v>63413</v>
      </c>
      <c r="B3095" t="s">
        <v>3696</v>
      </c>
      <c r="C3095" t="s">
        <v>3746</v>
      </c>
      <c r="D3095" s="14" t="s">
        <v>3719</v>
      </c>
      <c r="E3095" s="12" t="s">
        <v>28</v>
      </c>
      <c r="F3095" s="19" t="s">
        <v>3658</v>
      </c>
      <c r="G3095">
        <v>1</v>
      </c>
      <c r="H3095" t="s">
        <v>1129</v>
      </c>
      <c r="I3095">
        <v>1</v>
      </c>
      <c r="J3095" s="15"/>
      <c r="K3095" s="16">
        <f t="shared" si="12"/>
        <v>62651.58</v>
      </c>
      <c r="L3095" s="16">
        <f t="shared" si="13"/>
        <v>51353.75</v>
      </c>
      <c r="M3095" s="1">
        <v>62651.58</v>
      </c>
      <c r="N3095" s="1">
        <v>51353.75</v>
      </c>
      <c r="O3095" s="1">
        <v>62651.58</v>
      </c>
      <c r="P3095" s="1">
        <v>51353.75</v>
      </c>
      <c r="Q3095">
        <v>6.9</v>
      </c>
      <c r="R3095">
        <v>1.0759999999999999E-3</v>
      </c>
    </row>
    <row r="3096" spans="1:18" ht="13.8" outlineLevel="3" x14ac:dyDescent="0.25">
      <c r="A3096">
        <v>63414</v>
      </c>
      <c r="B3096" t="s">
        <v>3696</v>
      </c>
      <c r="C3096" t="s">
        <v>3747</v>
      </c>
      <c r="D3096" s="14" t="s">
        <v>3719</v>
      </c>
      <c r="E3096" s="12" t="s">
        <v>28</v>
      </c>
      <c r="F3096" s="19" t="s">
        <v>3658</v>
      </c>
      <c r="G3096">
        <v>1</v>
      </c>
      <c r="H3096" t="s">
        <v>1129</v>
      </c>
      <c r="I3096">
        <v>1</v>
      </c>
      <c r="J3096" s="15"/>
      <c r="K3096" s="16">
        <f t="shared" si="12"/>
        <v>62651.58</v>
      </c>
      <c r="L3096" s="16">
        <f t="shared" si="13"/>
        <v>51353.75</v>
      </c>
      <c r="M3096" s="1">
        <v>62651.58</v>
      </c>
      <c r="N3096" s="1">
        <v>51353.75</v>
      </c>
      <c r="O3096" s="1">
        <v>62651.58</v>
      </c>
      <c r="P3096" s="1">
        <v>51353.75</v>
      </c>
      <c r="Q3096">
        <v>6.8</v>
      </c>
      <c r="R3096">
        <v>1.0759999999999999E-3</v>
      </c>
    </row>
    <row r="3097" spans="1:18" ht="13.8" outlineLevel="3" x14ac:dyDescent="0.25">
      <c r="A3097">
        <v>63415</v>
      </c>
      <c r="B3097" t="s">
        <v>3696</v>
      </c>
      <c r="C3097" t="s">
        <v>3748</v>
      </c>
      <c r="D3097" s="14" t="s">
        <v>3719</v>
      </c>
      <c r="E3097" s="12" t="s">
        <v>28</v>
      </c>
      <c r="F3097" s="19" t="s">
        <v>3658</v>
      </c>
      <c r="G3097">
        <v>1</v>
      </c>
      <c r="H3097" t="s">
        <v>1129</v>
      </c>
      <c r="I3097">
        <v>1</v>
      </c>
      <c r="J3097" s="15"/>
      <c r="K3097" s="16">
        <f t="shared" si="12"/>
        <v>62651.58</v>
      </c>
      <c r="L3097" s="16">
        <f t="shared" si="13"/>
        <v>51353.75</v>
      </c>
      <c r="M3097" s="1">
        <v>62651.58</v>
      </c>
      <c r="N3097" s="1">
        <v>51353.75</v>
      </c>
      <c r="O3097" s="1">
        <v>62651.58</v>
      </c>
      <c r="P3097" s="1">
        <v>51353.75</v>
      </c>
      <c r="Q3097">
        <v>6.8</v>
      </c>
      <c r="R3097">
        <v>1.0759999999999999E-3</v>
      </c>
    </row>
    <row r="3098" spans="1:18" ht="13.8" outlineLevel="3" x14ac:dyDescent="0.25">
      <c r="A3098">
        <v>61266</v>
      </c>
      <c r="B3098" t="s">
        <v>3696</v>
      </c>
      <c r="C3098" t="s">
        <v>3749</v>
      </c>
      <c r="D3098" s="14" t="s">
        <v>3719</v>
      </c>
      <c r="E3098" s="12" t="s">
        <v>28</v>
      </c>
      <c r="F3098" s="19" t="s">
        <v>3658</v>
      </c>
      <c r="G3098">
        <v>1</v>
      </c>
      <c r="H3098" t="s">
        <v>1129</v>
      </c>
      <c r="I3098">
        <v>1</v>
      </c>
      <c r="J3098" s="15"/>
      <c r="K3098" s="16">
        <f t="shared" si="12"/>
        <v>62651.58</v>
      </c>
      <c r="L3098" s="16">
        <f t="shared" si="13"/>
        <v>51353.75</v>
      </c>
      <c r="M3098" s="1">
        <v>62651.58</v>
      </c>
      <c r="N3098" s="1">
        <v>51353.75</v>
      </c>
      <c r="O3098" s="1">
        <v>62651.58</v>
      </c>
      <c r="P3098" s="1">
        <v>51353.75</v>
      </c>
      <c r="Q3098">
        <v>6.5</v>
      </c>
      <c r="R3098">
        <v>1.0759999999999999E-3</v>
      </c>
    </row>
    <row r="3099" spans="1:18" ht="13.8" outlineLevel="3" x14ac:dyDescent="0.25">
      <c r="A3099">
        <v>61720</v>
      </c>
      <c r="B3099" t="s">
        <v>3696</v>
      </c>
      <c r="C3099" t="s">
        <v>3750</v>
      </c>
      <c r="D3099" s="14" t="s">
        <v>3719</v>
      </c>
      <c r="E3099" s="12" t="s">
        <v>28</v>
      </c>
      <c r="F3099" s="19" t="s">
        <v>3658</v>
      </c>
      <c r="G3099">
        <v>1</v>
      </c>
      <c r="H3099" t="s">
        <v>1129</v>
      </c>
      <c r="I3099">
        <v>1</v>
      </c>
      <c r="J3099" s="15"/>
      <c r="K3099" s="16">
        <f t="shared" si="12"/>
        <v>62651.58</v>
      </c>
      <c r="L3099" s="16">
        <f t="shared" si="13"/>
        <v>51353.75</v>
      </c>
      <c r="M3099" s="1">
        <v>62651.58</v>
      </c>
      <c r="N3099" s="1">
        <v>51353.75</v>
      </c>
      <c r="O3099" s="1">
        <v>62651.58</v>
      </c>
      <c r="P3099" s="1">
        <v>51353.75</v>
      </c>
      <c r="Q3099">
        <v>5.55</v>
      </c>
      <c r="R3099">
        <v>9.2400000000000002E-4</v>
      </c>
    </row>
    <row r="3100" spans="1:18" ht="13.8" outlineLevel="3" x14ac:dyDescent="0.25">
      <c r="A3100">
        <v>61721</v>
      </c>
      <c r="B3100" t="s">
        <v>3696</v>
      </c>
      <c r="C3100" t="s">
        <v>3751</v>
      </c>
      <c r="D3100" s="14" t="s">
        <v>3719</v>
      </c>
      <c r="E3100" s="12" t="s">
        <v>28</v>
      </c>
      <c r="F3100" s="19" t="s">
        <v>3658</v>
      </c>
      <c r="G3100">
        <v>1</v>
      </c>
      <c r="H3100" t="s">
        <v>1129</v>
      </c>
      <c r="I3100">
        <v>1</v>
      </c>
      <c r="J3100" s="15"/>
      <c r="K3100" s="16">
        <f t="shared" si="12"/>
        <v>62651.58</v>
      </c>
      <c r="L3100" s="16">
        <f t="shared" si="13"/>
        <v>51353.75</v>
      </c>
      <c r="M3100" s="1">
        <v>62651.58</v>
      </c>
      <c r="N3100" s="1">
        <v>51353.75</v>
      </c>
      <c r="O3100" s="1">
        <v>62651.58</v>
      </c>
      <c r="P3100" s="1">
        <v>51353.75</v>
      </c>
      <c r="Q3100">
        <v>5.6</v>
      </c>
      <c r="R3100">
        <v>9.4200000000000002E-4</v>
      </c>
    </row>
    <row r="3101" spans="1:18" ht="13.8" outlineLevel="3" x14ac:dyDescent="0.25">
      <c r="A3101">
        <v>65385</v>
      </c>
      <c r="B3101" t="s">
        <v>3687</v>
      </c>
      <c r="C3101" t="s">
        <v>3752</v>
      </c>
      <c r="D3101" s="14" t="s">
        <v>3719</v>
      </c>
      <c r="E3101" s="12" t="s">
        <v>28</v>
      </c>
      <c r="F3101" s="19" t="s">
        <v>3658</v>
      </c>
      <c r="G3101">
        <v>1</v>
      </c>
      <c r="H3101" t="s">
        <v>1129</v>
      </c>
      <c r="I3101">
        <v>1</v>
      </c>
      <c r="J3101" s="15"/>
      <c r="K3101" s="16">
        <f t="shared" si="12"/>
        <v>62651.58</v>
      </c>
      <c r="L3101" s="16">
        <f t="shared" si="13"/>
        <v>51353.75</v>
      </c>
      <c r="M3101" s="1">
        <v>62651.58</v>
      </c>
      <c r="N3101" s="1">
        <v>51353.75</v>
      </c>
      <c r="O3101" s="1">
        <v>62651.58</v>
      </c>
      <c r="P3101" s="1">
        <v>51353.75</v>
      </c>
      <c r="Q3101">
        <v>4.9000000000000004</v>
      </c>
      <c r="R3101">
        <v>8.4599999999999996E-4</v>
      </c>
    </row>
    <row r="3102" spans="1:18" ht="13.8" outlineLevel="3" x14ac:dyDescent="0.25">
      <c r="A3102">
        <v>67868</v>
      </c>
      <c r="B3102" t="s">
        <v>3696</v>
      </c>
      <c r="C3102" t="s">
        <v>3753</v>
      </c>
      <c r="D3102" s="14" t="s">
        <v>3719</v>
      </c>
      <c r="E3102" s="12" t="s">
        <v>28</v>
      </c>
      <c r="F3102" s="19" t="s">
        <v>3658</v>
      </c>
      <c r="G3102">
        <v>1</v>
      </c>
      <c r="H3102" t="s">
        <v>1129</v>
      </c>
      <c r="I3102">
        <v>1</v>
      </c>
      <c r="J3102" s="15"/>
      <c r="K3102" s="16">
        <f t="shared" si="12"/>
        <v>62651.58</v>
      </c>
      <c r="L3102" s="16">
        <f t="shared" si="13"/>
        <v>51353.75</v>
      </c>
      <c r="M3102" s="1">
        <v>62651.58</v>
      </c>
      <c r="N3102" s="1">
        <v>51353.75</v>
      </c>
      <c r="O3102" s="1">
        <v>62651.58</v>
      </c>
      <c r="P3102" s="1">
        <v>51353.75</v>
      </c>
      <c r="Q3102">
        <v>5.5</v>
      </c>
      <c r="R3102">
        <v>3.8219999999999999E-3</v>
      </c>
    </row>
    <row r="3103" spans="1:18" ht="13.8" outlineLevel="3" x14ac:dyDescent="0.25">
      <c r="A3103">
        <v>65382</v>
      </c>
      <c r="B3103" t="s">
        <v>3687</v>
      </c>
      <c r="C3103" t="s">
        <v>3754</v>
      </c>
      <c r="D3103" s="14" t="s">
        <v>3719</v>
      </c>
      <c r="E3103" s="12" t="s">
        <v>28</v>
      </c>
      <c r="F3103" s="19" t="s">
        <v>3658</v>
      </c>
      <c r="G3103">
        <v>1</v>
      </c>
      <c r="H3103" t="s">
        <v>1129</v>
      </c>
      <c r="I3103">
        <v>1</v>
      </c>
      <c r="J3103" s="15"/>
      <c r="K3103" s="16">
        <f t="shared" si="12"/>
        <v>62651.58</v>
      </c>
      <c r="L3103" s="16">
        <f t="shared" si="13"/>
        <v>51353.75</v>
      </c>
      <c r="M3103" s="1">
        <v>62651.58</v>
      </c>
      <c r="N3103" s="1">
        <v>51353.75</v>
      </c>
      <c r="O3103" s="1">
        <v>62651.58</v>
      </c>
      <c r="P3103" s="1">
        <v>51353.75</v>
      </c>
      <c r="Q3103">
        <v>4.7</v>
      </c>
      <c r="R3103">
        <v>8.0699999999999999E-4</v>
      </c>
    </row>
    <row r="3104" spans="1:18" ht="13.8" outlineLevel="3" x14ac:dyDescent="0.25">
      <c r="A3104">
        <v>61269</v>
      </c>
      <c r="B3104" t="s">
        <v>3687</v>
      </c>
      <c r="C3104" t="s">
        <v>3755</v>
      </c>
      <c r="D3104" s="14" t="s">
        <v>3719</v>
      </c>
      <c r="E3104" s="12" t="s">
        <v>28</v>
      </c>
      <c r="F3104" s="19" t="s">
        <v>3658</v>
      </c>
      <c r="G3104">
        <v>1</v>
      </c>
      <c r="H3104" t="s">
        <v>1129</v>
      </c>
      <c r="I3104">
        <v>1</v>
      </c>
      <c r="J3104" s="15"/>
      <c r="K3104" s="16">
        <f t="shared" si="12"/>
        <v>62651.58</v>
      </c>
      <c r="L3104" s="16">
        <f t="shared" si="13"/>
        <v>51353.75</v>
      </c>
      <c r="M3104" s="1">
        <v>62651.58</v>
      </c>
      <c r="N3104" s="1">
        <v>51353.75</v>
      </c>
      <c r="O3104" s="1">
        <v>62651.58</v>
      </c>
      <c r="P3104" s="1">
        <v>51353.75</v>
      </c>
      <c r="Q3104">
        <v>4.7</v>
      </c>
      <c r="R3104">
        <v>8.0699999999999999E-4</v>
      </c>
    </row>
    <row r="3105" spans="1:18" ht="13.8" outlineLevel="3" x14ac:dyDescent="0.25">
      <c r="A3105">
        <v>65383</v>
      </c>
      <c r="B3105" t="s">
        <v>3687</v>
      </c>
      <c r="C3105" t="s">
        <v>3756</v>
      </c>
      <c r="D3105" s="14" t="s">
        <v>3719</v>
      </c>
      <c r="E3105" s="12" t="s">
        <v>28</v>
      </c>
      <c r="F3105" s="19" t="s">
        <v>3658</v>
      </c>
      <c r="G3105">
        <v>1</v>
      </c>
      <c r="H3105" t="s">
        <v>1129</v>
      </c>
      <c r="I3105">
        <v>1</v>
      </c>
      <c r="J3105" s="15"/>
      <c r="K3105" s="16">
        <f t="shared" si="12"/>
        <v>62651.58</v>
      </c>
      <c r="L3105" s="16">
        <f t="shared" si="13"/>
        <v>51353.75</v>
      </c>
      <c r="M3105" s="1">
        <v>62651.58</v>
      </c>
      <c r="N3105" s="1">
        <v>51353.75</v>
      </c>
      <c r="O3105" s="1">
        <v>62651.58</v>
      </c>
      <c r="P3105" s="1">
        <v>51353.75</v>
      </c>
      <c r="Q3105">
        <v>4.3</v>
      </c>
      <c r="R3105">
        <v>8.0699999999999999E-4</v>
      </c>
    </row>
    <row r="3106" spans="1:18" ht="13.8" outlineLevel="3" x14ac:dyDescent="0.25">
      <c r="A3106">
        <v>65466</v>
      </c>
      <c r="B3106" t="s">
        <v>3687</v>
      </c>
      <c r="C3106" t="s">
        <v>3757</v>
      </c>
      <c r="D3106" s="14" t="s">
        <v>3719</v>
      </c>
      <c r="E3106" s="12" t="s">
        <v>28</v>
      </c>
      <c r="F3106" s="19" t="s">
        <v>3658</v>
      </c>
      <c r="G3106">
        <v>1</v>
      </c>
      <c r="H3106" t="s">
        <v>1129</v>
      </c>
      <c r="I3106">
        <v>1</v>
      </c>
      <c r="J3106" s="15"/>
      <c r="K3106" s="16">
        <f t="shared" si="12"/>
        <v>62651.58</v>
      </c>
      <c r="L3106" s="16">
        <f t="shared" si="13"/>
        <v>51353.75</v>
      </c>
      <c r="M3106" s="1">
        <v>62651.58</v>
      </c>
      <c r="N3106" s="1">
        <v>51353.75</v>
      </c>
      <c r="O3106" s="1">
        <v>62651.58</v>
      </c>
      <c r="P3106" s="1">
        <v>51353.75</v>
      </c>
      <c r="Q3106">
        <v>4.0999999999999996</v>
      </c>
      <c r="R3106">
        <v>7.94E-4</v>
      </c>
    </row>
    <row r="3107" spans="1:18" ht="13.8" outlineLevel="3" x14ac:dyDescent="0.25">
      <c r="A3107">
        <v>64905</v>
      </c>
      <c r="B3107" t="s">
        <v>3687</v>
      </c>
      <c r="C3107" t="s">
        <v>3758</v>
      </c>
      <c r="D3107" s="14" t="s">
        <v>3719</v>
      </c>
      <c r="E3107" s="12" t="s">
        <v>28</v>
      </c>
      <c r="F3107" s="19" t="s">
        <v>3658</v>
      </c>
      <c r="G3107">
        <v>1</v>
      </c>
      <c r="H3107" t="s">
        <v>1129</v>
      </c>
      <c r="I3107">
        <v>1</v>
      </c>
      <c r="J3107" s="15"/>
      <c r="K3107" s="16">
        <f t="shared" si="12"/>
        <v>62651.58</v>
      </c>
      <c r="L3107" s="16">
        <f t="shared" si="13"/>
        <v>51353.75</v>
      </c>
      <c r="M3107" s="1">
        <v>62651.58</v>
      </c>
      <c r="N3107" s="1">
        <v>51353.75</v>
      </c>
      <c r="O3107" s="1">
        <v>62651.58</v>
      </c>
      <c r="P3107" s="1">
        <v>51353.75</v>
      </c>
      <c r="Q3107">
        <v>4.3</v>
      </c>
      <c r="R3107">
        <v>8.0699999999999999E-4</v>
      </c>
    </row>
    <row r="3108" spans="1:18" ht="13.8" outlineLevel="3" x14ac:dyDescent="0.25">
      <c r="A3108">
        <v>65467</v>
      </c>
      <c r="B3108" t="s">
        <v>3687</v>
      </c>
      <c r="C3108" t="s">
        <v>3759</v>
      </c>
      <c r="D3108" s="14" t="s">
        <v>3719</v>
      </c>
      <c r="E3108" s="12" t="s">
        <v>28</v>
      </c>
      <c r="F3108" s="19" t="s">
        <v>3658</v>
      </c>
      <c r="G3108">
        <v>1</v>
      </c>
      <c r="H3108" t="s">
        <v>1129</v>
      </c>
      <c r="I3108">
        <v>1</v>
      </c>
      <c r="J3108" s="15"/>
      <c r="K3108" s="16">
        <f t="shared" si="12"/>
        <v>62651.58</v>
      </c>
      <c r="L3108" s="16">
        <f t="shared" si="13"/>
        <v>51353.75</v>
      </c>
      <c r="M3108" s="1">
        <v>62651.58</v>
      </c>
      <c r="N3108" s="1">
        <v>51353.75</v>
      </c>
      <c r="O3108" s="1">
        <v>62651.58</v>
      </c>
      <c r="P3108" s="1">
        <v>51353.75</v>
      </c>
      <c r="Q3108">
        <v>4.2</v>
      </c>
      <c r="R3108">
        <v>8.0699999999999999E-4</v>
      </c>
    </row>
    <row r="3109" spans="1:18" ht="13.8" outlineLevel="3" x14ac:dyDescent="0.25">
      <c r="A3109">
        <v>65386</v>
      </c>
      <c r="B3109" t="s">
        <v>3687</v>
      </c>
      <c r="C3109" t="s">
        <v>3760</v>
      </c>
      <c r="D3109" s="14" t="s">
        <v>3719</v>
      </c>
      <c r="E3109" s="12" t="s">
        <v>28</v>
      </c>
      <c r="F3109" s="19" t="s">
        <v>3658</v>
      </c>
      <c r="G3109">
        <v>1</v>
      </c>
      <c r="H3109" t="s">
        <v>1129</v>
      </c>
      <c r="I3109">
        <v>1</v>
      </c>
      <c r="J3109" s="15"/>
      <c r="K3109" s="16">
        <f t="shared" si="12"/>
        <v>62651.58</v>
      </c>
      <c r="L3109" s="16">
        <f t="shared" si="13"/>
        <v>51353.75</v>
      </c>
      <c r="M3109" s="1">
        <v>62651.58</v>
      </c>
      <c r="N3109" s="1">
        <v>51353.75</v>
      </c>
      <c r="O3109" s="1">
        <v>62651.58</v>
      </c>
      <c r="P3109" s="1">
        <v>51353.75</v>
      </c>
      <c r="Q3109">
        <v>4.0999999999999996</v>
      </c>
      <c r="R3109">
        <v>8.0699999999999999E-4</v>
      </c>
    </row>
    <row r="3110" spans="1:18" ht="13.8" outlineLevel="3" x14ac:dyDescent="0.25">
      <c r="A3110">
        <v>63579</v>
      </c>
      <c r="B3110" t="s">
        <v>3706</v>
      </c>
      <c r="C3110" t="s">
        <v>3761</v>
      </c>
      <c r="D3110" s="14" t="s">
        <v>3719</v>
      </c>
      <c r="E3110" s="12" t="s">
        <v>28</v>
      </c>
      <c r="F3110" s="19" t="s">
        <v>3658</v>
      </c>
      <c r="G3110">
        <v>1</v>
      </c>
      <c r="H3110" t="s">
        <v>1129</v>
      </c>
      <c r="I3110">
        <v>1</v>
      </c>
      <c r="J3110" s="15"/>
      <c r="K3110" s="16">
        <f t="shared" si="12"/>
        <v>62651.58</v>
      </c>
      <c r="L3110" s="16">
        <f t="shared" si="13"/>
        <v>51353.75</v>
      </c>
      <c r="M3110" s="1">
        <v>62651.58</v>
      </c>
      <c r="N3110" s="1">
        <v>51353.75</v>
      </c>
      <c r="O3110" s="1">
        <v>62651.58</v>
      </c>
      <c r="P3110" s="1">
        <v>51353.75</v>
      </c>
      <c r="Q3110">
        <v>7.1</v>
      </c>
      <c r="R3110">
        <v>1.1440000000000001E-3</v>
      </c>
    </row>
    <row r="3111" spans="1:18" ht="13.8" outlineLevel="3" x14ac:dyDescent="0.25">
      <c r="A3111">
        <v>61278</v>
      </c>
      <c r="B3111" t="s">
        <v>3706</v>
      </c>
      <c r="C3111" t="s">
        <v>3762</v>
      </c>
      <c r="D3111" s="14" t="s">
        <v>3719</v>
      </c>
      <c r="E3111" s="12" t="s">
        <v>28</v>
      </c>
      <c r="F3111" s="19" t="s">
        <v>3658</v>
      </c>
      <c r="G3111">
        <v>1</v>
      </c>
      <c r="H3111" t="s">
        <v>1129</v>
      </c>
      <c r="I3111">
        <v>1</v>
      </c>
      <c r="J3111" s="15"/>
      <c r="K3111" s="16">
        <f t="shared" si="12"/>
        <v>62651.58</v>
      </c>
      <c r="L3111" s="16">
        <f t="shared" si="13"/>
        <v>51353.75</v>
      </c>
      <c r="M3111" s="1">
        <v>62651.58</v>
      </c>
      <c r="N3111" s="1">
        <v>51353.75</v>
      </c>
      <c r="O3111" s="1">
        <v>62651.58</v>
      </c>
      <c r="P3111" s="1">
        <v>51353.75</v>
      </c>
      <c r="Q3111">
        <v>5.9</v>
      </c>
      <c r="R3111">
        <v>9.3400000000000004E-4</v>
      </c>
    </row>
    <row r="3112" spans="1:18" ht="13.8" outlineLevel="3" x14ac:dyDescent="0.25">
      <c r="A3112">
        <v>61504</v>
      </c>
      <c r="B3112" t="s">
        <v>3706</v>
      </c>
      <c r="C3112" t="s">
        <v>3763</v>
      </c>
      <c r="D3112" s="14" t="s">
        <v>3719</v>
      </c>
      <c r="E3112" s="12" t="s">
        <v>28</v>
      </c>
      <c r="F3112" s="19" t="s">
        <v>3658</v>
      </c>
      <c r="G3112">
        <v>1</v>
      </c>
      <c r="H3112" t="s">
        <v>1129</v>
      </c>
      <c r="I3112">
        <v>1</v>
      </c>
      <c r="J3112" s="15"/>
      <c r="K3112" s="16">
        <f t="shared" si="12"/>
        <v>62651.58</v>
      </c>
      <c r="L3112" s="16">
        <f t="shared" si="13"/>
        <v>51353.75</v>
      </c>
      <c r="M3112" s="1">
        <v>62651.58</v>
      </c>
      <c r="N3112" s="1">
        <v>51353.75</v>
      </c>
      <c r="O3112" s="1">
        <v>62651.58</v>
      </c>
      <c r="P3112" s="1">
        <v>51353.75</v>
      </c>
      <c r="Q3112">
        <v>6</v>
      </c>
      <c r="R3112">
        <v>9.4200000000000002E-4</v>
      </c>
    </row>
    <row r="3113" spans="1:18" ht="13.8" outlineLevel="3" x14ac:dyDescent="0.25">
      <c r="A3113">
        <v>60661</v>
      </c>
      <c r="B3113" t="s">
        <v>3706</v>
      </c>
      <c r="C3113" t="s">
        <v>3764</v>
      </c>
      <c r="D3113" s="14" t="s">
        <v>3719</v>
      </c>
      <c r="E3113" s="12" t="s">
        <v>28</v>
      </c>
      <c r="G3113">
        <v>1</v>
      </c>
      <c r="H3113" t="s">
        <v>1129</v>
      </c>
      <c r="I3113">
        <v>1</v>
      </c>
      <c r="J3113" s="15"/>
      <c r="K3113" s="16">
        <f t="shared" si="12"/>
        <v>62651.58</v>
      </c>
      <c r="L3113" s="16">
        <f t="shared" si="13"/>
        <v>51353.75</v>
      </c>
      <c r="M3113" s="1">
        <v>62651.58</v>
      </c>
      <c r="N3113" s="1">
        <v>51353.75</v>
      </c>
      <c r="O3113" s="1">
        <v>62651.58</v>
      </c>
      <c r="P3113" s="1">
        <v>51353.75</v>
      </c>
      <c r="Q3113">
        <v>5.32</v>
      </c>
      <c r="R3113">
        <v>9.2400000000000002E-4</v>
      </c>
    </row>
    <row r="3114" spans="1:18" ht="13.8" outlineLevel="3" x14ac:dyDescent="0.25">
      <c r="A3114">
        <v>65387</v>
      </c>
      <c r="B3114" t="s">
        <v>3706</v>
      </c>
      <c r="C3114" t="s">
        <v>3765</v>
      </c>
      <c r="D3114" s="14" t="s">
        <v>3719</v>
      </c>
      <c r="E3114" s="12" t="s">
        <v>28</v>
      </c>
      <c r="F3114" s="19" t="s">
        <v>3658</v>
      </c>
      <c r="G3114">
        <v>1</v>
      </c>
      <c r="H3114" t="s">
        <v>1129</v>
      </c>
      <c r="I3114">
        <v>1</v>
      </c>
      <c r="J3114" s="15"/>
      <c r="K3114" s="16">
        <f t="shared" si="12"/>
        <v>62651.58</v>
      </c>
      <c r="L3114" s="16">
        <f t="shared" si="13"/>
        <v>51353.75</v>
      </c>
      <c r="M3114" s="1">
        <v>62651.58</v>
      </c>
      <c r="N3114" s="1">
        <v>51353.75</v>
      </c>
      <c r="O3114" s="1">
        <v>62651.58</v>
      </c>
      <c r="P3114" s="1">
        <v>51353.75</v>
      </c>
      <c r="Q3114">
        <v>5.55</v>
      </c>
      <c r="R3114">
        <v>9.2400000000000002E-4</v>
      </c>
    </row>
    <row r="3115" spans="1:18" ht="16.5" customHeight="1" outlineLevel="1" x14ac:dyDescent="0.35">
      <c r="A3115" s="9"/>
      <c r="B3115" s="10" t="s">
        <v>3766</v>
      </c>
      <c r="C3115" s="10"/>
      <c r="D3115" s="10"/>
      <c r="E3115" s="10"/>
      <c r="F3115" s="10"/>
      <c r="G3115" s="10"/>
      <c r="H3115" s="10"/>
      <c r="I3115" s="10"/>
      <c r="J3115" s="10"/>
      <c r="K3115" s="10"/>
      <c r="L3115" s="10"/>
      <c r="M3115" s="10"/>
      <c r="N3115" s="10"/>
      <c r="O3115" s="10"/>
      <c r="P3115" s="10"/>
      <c r="Q3115" s="10"/>
      <c r="R3115" s="11"/>
    </row>
    <row r="3116" spans="1:18" ht="16.5" customHeight="1" outlineLevel="2" x14ac:dyDescent="0.35">
      <c r="A3116" s="9"/>
      <c r="B3116" s="10" t="s">
        <v>3767</v>
      </c>
      <c r="C3116" s="10"/>
      <c r="D3116" s="10"/>
      <c r="E3116" s="10"/>
      <c r="F3116" s="10"/>
      <c r="G3116" s="10"/>
      <c r="H3116" s="10"/>
      <c r="I3116" s="10"/>
      <c r="J3116" s="10"/>
      <c r="K3116" s="10"/>
      <c r="L3116" s="10"/>
      <c r="M3116" s="10"/>
      <c r="N3116" s="10"/>
      <c r="O3116" s="10"/>
      <c r="P3116" s="10"/>
      <c r="Q3116" s="10"/>
      <c r="R3116" s="11"/>
    </row>
    <row r="3117" spans="1:18" ht="13.8" outlineLevel="3" x14ac:dyDescent="0.25">
      <c r="A3117">
        <v>92317</v>
      </c>
      <c r="B3117" t="s">
        <v>3768</v>
      </c>
      <c r="C3117" t="s">
        <v>3769</v>
      </c>
      <c r="D3117" s="14" t="s">
        <v>3770</v>
      </c>
      <c r="E3117" s="12" t="s">
        <v>28</v>
      </c>
      <c r="F3117" s="13" t="s">
        <v>29</v>
      </c>
      <c r="G3117">
        <v>1</v>
      </c>
      <c r="H3117" t="s">
        <v>30</v>
      </c>
      <c r="I3117">
        <v>1</v>
      </c>
      <c r="J3117" s="15"/>
      <c r="K3117" s="16">
        <f>IF($E$1&gt;=$Q$1%,719.59-(719.59*$Q$1%),719.59-(719.59*$E$1))</f>
        <v>719.59</v>
      </c>
      <c r="L3117" s="16">
        <f>IF($E$1&gt;=$Q$1%,589.83-(589.83*$Q$1%),589.83-(589.83*$E$1))</f>
        <v>589.83000000000004</v>
      </c>
      <c r="M3117" s="1">
        <v>719.59</v>
      </c>
      <c r="N3117" s="1">
        <v>589.83000000000004</v>
      </c>
      <c r="O3117" s="1">
        <v>719.59</v>
      </c>
      <c r="P3117" s="1">
        <v>589.83000000000004</v>
      </c>
      <c r="Q3117">
        <v>0.14000000000000001</v>
      </c>
      <c r="R3117">
        <v>4.1399999999999998E-4</v>
      </c>
    </row>
    <row r="3118" spans="1:18" ht="13.8" outlineLevel="3" x14ac:dyDescent="0.25">
      <c r="A3118">
        <v>55941</v>
      </c>
      <c r="B3118" t="s">
        <v>3771</v>
      </c>
      <c r="C3118" t="s">
        <v>3772</v>
      </c>
      <c r="D3118" s="14" t="s">
        <v>3773</v>
      </c>
      <c r="E3118" s="12" t="s">
        <v>28</v>
      </c>
      <c r="F3118" s="13" t="s">
        <v>29</v>
      </c>
      <c r="G3118">
        <v>1</v>
      </c>
      <c r="H3118" t="s">
        <v>30</v>
      </c>
      <c r="I3118">
        <v>1</v>
      </c>
      <c r="J3118" s="15"/>
      <c r="K3118" s="16">
        <f>IF($E$1&gt;=$Q$1%,1143.32-(1143.32*$Q$1%),1143.32-(1143.32*$E$1))</f>
        <v>1143.32</v>
      </c>
      <c r="L3118" s="16">
        <f>IF($E$1&gt;=$Q$1%,937.15-(937.15*$Q$1%),937.15-(937.15*$E$1))</f>
        <v>937.15</v>
      </c>
      <c r="M3118" s="1">
        <v>1143.32</v>
      </c>
      <c r="N3118" s="1">
        <v>937.15</v>
      </c>
      <c r="O3118" s="1">
        <v>1143.32</v>
      </c>
      <c r="P3118" s="1">
        <v>937.15</v>
      </c>
      <c r="Q3118">
        <v>0.31</v>
      </c>
      <c r="R3118">
        <v>6.3000000000000003E-4</v>
      </c>
    </row>
    <row r="3119" spans="1:18" ht="13.8" outlineLevel="3" x14ac:dyDescent="0.25">
      <c r="A3119">
        <v>60948</v>
      </c>
      <c r="B3119" t="s">
        <v>3771</v>
      </c>
      <c r="C3119" t="s">
        <v>3774</v>
      </c>
      <c r="D3119" s="14" t="s">
        <v>3775</v>
      </c>
      <c r="E3119" s="12" t="s">
        <v>28</v>
      </c>
      <c r="F3119" s="13" t="s">
        <v>29</v>
      </c>
      <c r="G3119">
        <v>1</v>
      </c>
      <c r="H3119" t="s">
        <v>30</v>
      </c>
      <c r="I3119">
        <v>1</v>
      </c>
      <c r="J3119" s="15"/>
      <c r="K3119" s="16">
        <f>IF($E$1&gt;=$Q$1%,2005-(2005*$Q$1%),2005-(2005*$E$1))</f>
        <v>2005</v>
      </c>
      <c r="L3119" s="16">
        <f>IF($E$1&gt;=$Q$1%,1643.44-(1643.44*$Q$1%),1643.44-(1643.44*$E$1))</f>
        <v>1643.44</v>
      </c>
      <c r="M3119" s="1">
        <v>2005</v>
      </c>
      <c r="N3119" s="1">
        <v>1643.44</v>
      </c>
      <c r="O3119" s="1">
        <v>2005</v>
      </c>
      <c r="P3119" s="1">
        <v>1643.44</v>
      </c>
      <c r="Q3119">
        <v>0.214</v>
      </c>
      <c r="R3119">
        <v>6.9800000000000005E-4</v>
      </c>
    </row>
    <row r="3120" spans="1:18" ht="13.8" outlineLevel="3" x14ac:dyDescent="0.25">
      <c r="A3120">
        <v>69279</v>
      </c>
      <c r="B3120" t="s">
        <v>3771</v>
      </c>
      <c r="C3120" t="s">
        <v>3776</v>
      </c>
      <c r="D3120" s="14" t="s">
        <v>3777</v>
      </c>
      <c r="E3120" s="12" t="s">
        <v>28</v>
      </c>
      <c r="F3120" s="13" t="s">
        <v>29</v>
      </c>
      <c r="G3120">
        <v>1</v>
      </c>
      <c r="H3120" t="s">
        <v>30</v>
      </c>
      <c r="I3120">
        <v>1</v>
      </c>
      <c r="J3120" s="15"/>
      <c r="K3120" s="16">
        <f>IF($E$1&gt;=$Q$1%,793.07-(793.07*$Q$1%),793.07-(793.07*$E$1))</f>
        <v>793.07</v>
      </c>
      <c r="L3120" s="16">
        <f>IF($E$1&gt;=$Q$1%,650.06-(650.06*$Q$1%),650.06-(650.06*$E$1))</f>
        <v>650.05999999999995</v>
      </c>
      <c r="M3120" s="1">
        <v>793.07</v>
      </c>
      <c r="N3120" s="1">
        <v>650.05999999999995</v>
      </c>
      <c r="O3120" s="1">
        <v>793.07</v>
      </c>
      <c r="P3120" s="1">
        <v>650.05999999999995</v>
      </c>
      <c r="Q3120">
        <v>0.2</v>
      </c>
      <c r="R3120">
        <v>5.4799999999999998E-4</v>
      </c>
    </row>
    <row r="3121" spans="1:18" ht="13.8" outlineLevel="3" x14ac:dyDescent="0.25">
      <c r="A3121">
        <v>85934</v>
      </c>
      <c r="B3121" t="s">
        <v>3771</v>
      </c>
      <c r="C3121" t="s">
        <v>3778</v>
      </c>
      <c r="D3121" s="14" t="s">
        <v>3779</v>
      </c>
      <c r="E3121" s="12" t="s">
        <v>28</v>
      </c>
      <c r="F3121" s="13" t="s">
        <v>29</v>
      </c>
      <c r="G3121">
        <v>1</v>
      </c>
      <c r="H3121" t="s">
        <v>30</v>
      </c>
      <c r="I3121">
        <v>1</v>
      </c>
      <c r="J3121" s="15"/>
      <c r="K3121" s="16">
        <f>IF($E$1&gt;=$Q$1%,799.38-(799.38*$Q$1%),799.38-(799.38*$E$1))</f>
        <v>799.38</v>
      </c>
      <c r="L3121" s="16">
        <f>IF($E$1&gt;=$Q$1%,655.23-(655.23*$Q$1%),655.23-(655.23*$E$1))</f>
        <v>655.23</v>
      </c>
      <c r="M3121" s="1">
        <v>799.38</v>
      </c>
      <c r="N3121" s="1">
        <v>655.23</v>
      </c>
      <c r="O3121" s="1">
        <v>799.38</v>
      </c>
      <c r="P3121" s="1">
        <v>655.23</v>
      </c>
      <c r="Q3121">
        <v>0.23</v>
      </c>
      <c r="R3121">
        <v>6.3000000000000003E-4</v>
      </c>
    </row>
    <row r="3122" spans="1:18" ht="13.8" outlineLevel="3" x14ac:dyDescent="0.25">
      <c r="A3122">
        <v>86619</v>
      </c>
      <c r="B3122" t="s">
        <v>3771</v>
      </c>
      <c r="C3122" t="s">
        <v>3780</v>
      </c>
      <c r="D3122" s="14" t="s">
        <v>3781</v>
      </c>
      <c r="E3122" s="12" t="s">
        <v>28</v>
      </c>
      <c r="F3122" s="13" t="s">
        <v>29</v>
      </c>
      <c r="G3122">
        <v>1</v>
      </c>
      <c r="H3122" t="s">
        <v>30</v>
      </c>
      <c r="I3122">
        <v>1</v>
      </c>
      <c r="J3122" s="15"/>
      <c r="K3122" s="16">
        <f>IF($E$1&gt;=$Q$1%,798.71-(798.71*$Q$1%),798.71-(798.71*$E$1))</f>
        <v>798.71</v>
      </c>
      <c r="L3122" s="16">
        <f>IF($E$1&gt;=$Q$1%,654.68-(654.68*$Q$1%),654.68-(654.68*$E$1))</f>
        <v>654.67999999999995</v>
      </c>
      <c r="M3122" s="1">
        <v>798.71</v>
      </c>
      <c r="N3122" s="1">
        <v>654.67999999999995</v>
      </c>
      <c r="O3122" s="1">
        <v>798.71</v>
      </c>
      <c r="P3122" s="1">
        <v>654.67999999999995</v>
      </c>
      <c r="Q3122">
        <v>0.22500000000000001</v>
      </c>
      <c r="R3122">
        <v>5.4799999999999998E-4</v>
      </c>
    </row>
    <row r="3123" spans="1:18" ht="13.8" outlineLevel="3" x14ac:dyDescent="0.25">
      <c r="A3123">
        <v>103211</v>
      </c>
      <c r="B3123" t="s">
        <v>3782</v>
      </c>
      <c r="C3123" t="s">
        <v>3783</v>
      </c>
      <c r="D3123" s="14" t="s">
        <v>3784</v>
      </c>
      <c r="E3123" s="12" t="s">
        <v>28</v>
      </c>
      <c r="F3123" s="13" t="s">
        <v>29</v>
      </c>
      <c r="G3123">
        <v>1</v>
      </c>
      <c r="H3123" t="s">
        <v>30</v>
      </c>
      <c r="I3123">
        <v>1</v>
      </c>
      <c r="J3123" s="15"/>
      <c r="K3123" s="16">
        <f>IF($E$1&gt;=$Q$1%,1024.29-(1024.29*$Q$1%),1024.29-(1024.29*$E$1))</f>
        <v>1024.29</v>
      </c>
      <c r="L3123" s="16">
        <f>IF($E$1&gt;=$Q$1%,839.58-(839.58*$Q$1%),839.58-(839.58*$E$1))</f>
        <v>839.58</v>
      </c>
      <c r="M3123" s="1">
        <v>1024.29</v>
      </c>
      <c r="N3123" s="1">
        <v>839.58</v>
      </c>
      <c r="O3123" s="1">
        <v>1024.29</v>
      </c>
      <c r="P3123" s="1">
        <v>839.58</v>
      </c>
      <c r="Q3123">
        <v>0.19</v>
      </c>
      <c r="R3123">
        <v>5.22E-4</v>
      </c>
    </row>
    <row r="3124" spans="1:18" ht="13.8" outlineLevel="3" x14ac:dyDescent="0.25">
      <c r="A3124">
        <v>101853</v>
      </c>
      <c r="C3124" t="s">
        <v>3785</v>
      </c>
      <c r="D3124" s="14" t="s">
        <v>3786</v>
      </c>
      <c r="E3124" s="12" t="s">
        <v>28</v>
      </c>
      <c r="F3124" s="13" t="s">
        <v>29</v>
      </c>
      <c r="G3124">
        <v>1</v>
      </c>
      <c r="H3124" t="s">
        <v>30</v>
      </c>
      <c r="I3124">
        <v>1</v>
      </c>
      <c r="J3124" s="15"/>
      <c r="K3124" s="16">
        <f>461.87 - (461.87 * $E$1)</f>
        <v>461.87</v>
      </c>
      <c r="L3124" s="16">
        <f>378.58 - (378.58 * $E$1)</f>
        <v>378.58</v>
      </c>
      <c r="M3124" s="1">
        <v>461.87</v>
      </c>
      <c r="N3124" s="1">
        <v>378.58</v>
      </c>
      <c r="O3124" s="1">
        <v>392.59</v>
      </c>
      <c r="P3124" s="1">
        <v>321.79000000000002</v>
      </c>
      <c r="Q3124">
        <v>0.19</v>
      </c>
      <c r="R3124">
        <v>2.52E-4</v>
      </c>
    </row>
    <row r="3125" spans="1:18" ht="13.8" outlineLevel="3" x14ac:dyDescent="0.25">
      <c r="A3125">
        <v>101854</v>
      </c>
      <c r="C3125" t="s">
        <v>3787</v>
      </c>
      <c r="D3125" s="14" t="s">
        <v>3788</v>
      </c>
      <c r="E3125" s="12" t="s">
        <v>28</v>
      </c>
      <c r="F3125" s="13" t="s">
        <v>29</v>
      </c>
      <c r="G3125">
        <v>1</v>
      </c>
      <c r="H3125" t="s">
        <v>30</v>
      </c>
      <c r="I3125">
        <v>1</v>
      </c>
      <c r="J3125" s="15"/>
      <c r="K3125" s="16">
        <f>588.03 - (588.03 * $E$1)</f>
        <v>588.03</v>
      </c>
      <c r="L3125" s="16">
        <f>481.99 - (481.99 * $E$1)</f>
        <v>481.99</v>
      </c>
      <c r="M3125" s="1">
        <v>588.03</v>
      </c>
      <c r="N3125" s="1">
        <v>481.99</v>
      </c>
      <c r="O3125" s="1">
        <v>499.82</v>
      </c>
      <c r="P3125" s="1">
        <v>409.69</v>
      </c>
      <c r="Q3125">
        <v>0.28000000000000003</v>
      </c>
      <c r="R3125">
        <v>3.7100000000000002E-4</v>
      </c>
    </row>
    <row r="3126" spans="1:18" ht="13.8" outlineLevel="3" x14ac:dyDescent="0.25">
      <c r="A3126">
        <v>101855</v>
      </c>
      <c r="C3126" t="s">
        <v>3789</v>
      </c>
      <c r="D3126" s="14" t="s">
        <v>3790</v>
      </c>
      <c r="E3126" s="12" t="s">
        <v>28</v>
      </c>
      <c r="F3126" s="13" t="s">
        <v>29</v>
      </c>
      <c r="G3126">
        <v>1</v>
      </c>
      <c r="H3126" t="s">
        <v>30</v>
      </c>
      <c r="I3126">
        <v>1</v>
      </c>
      <c r="J3126" s="15"/>
      <c r="K3126" s="16">
        <f>795.77 - (795.77 * $E$1)</f>
        <v>795.77</v>
      </c>
      <c r="L3126" s="16">
        <f>652.27 - (652.27 * $E$1)</f>
        <v>652.27</v>
      </c>
      <c r="M3126" s="1">
        <v>795.77</v>
      </c>
      <c r="N3126" s="1">
        <v>652.27</v>
      </c>
      <c r="O3126" s="1">
        <v>676.4</v>
      </c>
      <c r="P3126" s="1">
        <v>554.42999999999995</v>
      </c>
      <c r="Q3126">
        <v>0.44</v>
      </c>
      <c r="R3126">
        <v>4.2000000000000002E-4</v>
      </c>
    </row>
    <row r="3127" spans="1:18" ht="13.8" outlineLevel="3" x14ac:dyDescent="0.25">
      <c r="A3127">
        <v>101965</v>
      </c>
      <c r="B3127" t="s">
        <v>3782</v>
      </c>
      <c r="C3127" t="s">
        <v>3791</v>
      </c>
      <c r="D3127" s="14" t="s">
        <v>3792</v>
      </c>
      <c r="E3127" s="12" t="s">
        <v>28</v>
      </c>
      <c r="F3127" s="13" t="s">
        <v>29</v>
      </c>
      <c r="G3127">
        <v>1</v>
      </c>
      <c r="H3127" t="s">
        <v>30</v>
      </c>
      <c r="I3127">
        <v>1</v>
      </c>
      <c r="J3127" s="15"/>
      <c r="K3127" s="16">
        <f>2141.38 - (2141.38 * $E$1)</f>
        <v>2141.38</v>
      </c>
      <c r="L3127" s="16">
        <f>1755.23 - (1755.23 * $E$1)</f>
        <v>1755.23</v>
      </c>
      <c r="M3127" s="1">
        <v>2141.38</v>
      </c>
      <c r="N3127" s="1">
        <v>1755.23</v>
      </c>
      <c r="O3127" s="1">
        <v>1820.17</v>
      </c>
      <c r="P3127" s="1">
        <v>1491.95</v>
      </c>
      <c r="Q3127">
        <v>1.04</v>
      </c>
      <c r="R3127">
        <v>2.0579999999999999E-3</v>
      </c>
    </row>
    <row r="3128" spans="1:18" ht="13.8" outlineLevel="3" x14ac:dyDescent="0.25">
      <c r="A3128">
        <v>101857</v>
      </c>
      <c r="B3128" t="s">
        <v>3782</v>
      </c>
      <c r="C3128" t="s">
        <v>3793</v>
      </c>
      <c r="D3128" s="14" t="s">
        <v>3794</v>
      </c>
      <c r="E3128" s="12" t="s">
        <v>28</v>
      </c>
      <c r="F3128" s="13" t="s">
        <v>29</v>
      </c>
      <c r="G3128">
        <v>1</v>
      </c>
      <c r="H3128" t="s">
        <v>30</v>
      </c>
      <c r="I3128">
        <v>1</v>
      </c>
      <c r="J3128" s="15"/>
      <c r="K3128" s="16">
        <f>3172.6 - (3172.6 * $E$1)</f>
        <v>3172.6</v>
      </c>
      <c r="L3128" s="16">
        <f>2600.49 - (2600.49 * $E$1)</f>
        <v>2600.4899999999998</v>
      </c>
      <c r="M3128" s="1">
        <v>3172.6</v>
      </c>
      <c r="N3128" s="1">
        <v>2600.4899999999998</v>
      </c>
      <c r="O3128" s="1">
        <v>2696.71</v>
      </c>
      <c r="P3128" s="1">
        <v>2210.42</v>
      </c>
      <c r="Q3128">
        <v>2</v>
      </c>
      <c r="R3128">
        <v>4.0920000000000002E-3</v>
      </c>
    </row>
    <row r="3129" spans="1:18" ht="13.8" outlineLevel="3" x14ac:dyDescent="0.25">
      <c r="A3129">
        <v>101858</v>
      </c>
      <c r="B3129" t="s">
        <v>3782</v>
      </c>
      <c r="C3129" t="s">
        <v>3795</v>
      </c>
      <c r="D3129" s="14" t="s">
        <v>1072</v>
      </c>
      <c r="E3129" s="12" t="s">
        <v>28</v>
      </c>
      <c r="F3129" s="13" t="s">
        <v>29</v>
      </c>
      <c r="G3129">
        <v>1</v>
      </c>
      <c r="H3129" t="s">
        <v>30</v>
      </c>
      <c r="I3129">
        <v>1</v>
      </c>
      <c r="J3129" s="15"/>
      <c r="K3129" s="16">
        <f>5583.93 - (5583.93 * $E$1)</f>
        <v>5583.93</v>
      </c>
      <c r="L3129" s="16">
        <f>4576.99 - (4576.99 * $E$1)</f>
        <v>4576.99</v>
      </c>
      <c r="M3129" s="1">
        <v>5583.93</v>
      </c>
      <c r="N3129" s="1">
        <v>4576.99</v>
      </c>
      <c r="O3129" s="1">
        <v>4746.34</v>
      </c>
      <c r="P3129" s="1">
        <v>3890.44</v>
      </c>
      <c r="Q3129">
        <v>4.33</v>
      </c>
      <c r="R3129">
        <v>6.9189999999999998E-3</v>
      </c>
    </row>
    <row r="3130" spans="1:18" ht="13.8" outlineLevel="3" x14ac:dyDescent="0.25">
      <c r="A3130">
        <v>56549</v>
      </c>
      <c r="B3130" t="s">
        <v>3771</v>
      </c>
      <c r="C3130" t="s">
        <v>3796</v>
      </c>
      <c r="D3130" s="14" t="s">
        <v>3797</v>
      </c>
      <c r="E3130" s="12" t="s">
        <v>28</v>
      </c>
      <c r="F3130" s="13" t="s">
        <v>29</v>
      </c>
      <c r="G3130">
        <v>1</v>
      </c>
      <c r="H3130" t="s">
        <v>30</v>
      </c>
      <c r="I3130">
        <v>1</v>
      </c>
      <c r="J3130" s="15"/>
      <c r="K3130" s="16">
        <f>5046.24 - (5046.24 * $E$1)</f>
        <v>5046.24</v>
      </c>
      <c r="L3130" s="16">
        <f>4136.26 - (4136.26 * $E$1)</f>
        <v>4136.26</v>
      </c>
      <c r="M3130" s="1">
        <v>5046.24</v>
      </c>
      <c r="N3130" s="1">
        <v>4136.26</v>
      </c>
      <c r="O3130" s="1">
        <v>4289.3</v>
      </c>
      <c r="P3130" s="1">
        <v>3515.82</v>
      </c>
      <c r="Q3130">
        <v>1.8</v>
      </c>
      <c r="R3130">
        <v>4.6664999999999998E-2</v>
      </c>
    </row>
    <row r="3131" spans="1:18" ht="13.8" outlineLevel="3" x14ac:dyDescent="0.25">
      <c r="A3131">
        <v>56550</v>
      </c>
      <c r="B3131" t="s">
        <v>3771</v>
      </c>
      <c r="C3131" t="s">
        <v>3798</v>
      </c>
      <c r="D3131" s="14" t="s">
        <v>3799</v>
      </c>
      <c r="E3131" s="12" t="s">
        <v>28</v>
      </c>
      <c r="F3131" s="13" t="s">
        <v>29</v>
      </c>
      <c r="G3131">
        <v>1</v>
      </c>
      <c r="H3131" t="s">
        <v>30</v>
      </c>
      <c r="I3131">
        <v>1</v>
      </c>
      <c r="J3131" s="15"/>
      <c r="K3131" s="16">
        <f>9945.38 - (9945.38 * $E$1)</f>
        <v>9945.3799999999992</v>
      </c>
      <c r="L3131" s="16">
        <f>8151.95 - (8151.95 * $E$1)</f>
        <v>8151.95</v>
      </c>
      <c r="M3131" s="1">
        <v>9945.3799999999992</v>
      </c>
      <c r="N3131" s="1">
        <v>8151.95</v>
      </c>
      <c r="O3131" s="1">
        <v>8453.57</v>
      </c>
      <c r="P3131" s="1">
        <v>6929.16</v>
      </c>
      <c r="Q3131">
        <v>3</v>
      </c>
      <c r="R3131">
        <v>7.3350000000000004E-3</v>
      </c>
    </row>
    <row r="3132" spans="1:18" ht="13.8" outlineLevel="3" x14ac:dyDescent="0.25">
      <c r="A3132">
        <v>53143</v>
      </c>
      <c r="B3132" t="s">
        <v>3771</v>
      </c>
      <c r="C3132" t="s">
        <v>3800</v>
      </c>
      <c r="D3132" s="14" t="s">
        <v>3801</v>
      </c>
      <c r="E3132" s="12" t="s">
        <v>28</v>
      </c>
      <c r="F3132" s="13" t="s">
        <v>29</v>
      </c>
      <c r="G3132">
        <v>1</v>
      </c>
      <c r="H3132" t="s">
        <v>30</v>
      </c>
      <c r="I3132">
        <v>1</v>
      </c>
      <c r="J3132" s="15"/>
      <c r="K3132" s="16">
        <f>8648.53 - (8648.53 * $E$1)</f>
        <v>8648.5300000000007</v>
      </c>
      <c r="L3132" s="16">
        <f>7088.96 - (7088.96 * $E$1)</f>
        <v>7088.96</v>
      </c>
      <c r="M3132" s="1">
        <v>8648.5300000000007</v>
      </c>
      <c r="N3132" s="1">
        <v>7088.96</v>
      </c>
      <c r="O3132" s="1">
        <v>7351.25</v>
      </c>
      <c r="P3132" s="1">
        <v>6025.62</v>
      </c>
      <c r="Q3132">
        <v>2.92</v>
      </c>
      <c r="R3132">
        <v>4.0800000000000003E-3</v>
      </c>
    </row>
    <row r="3133" spans="1:18" ht="13.8" outlineLevel="3" x14ac:dyDescent="0.25">
      <c r="A3133">
        <v>57132</v>
      </c>
      <c r="B3133" t="s">
        <v>3802</v>
      </c>
      <c r="C3133" t="s">
        <v>3803</v>
      </c>
      <c r="D3133" s="14" t="s">
        <v>3804</v>
      </c>
      <c r="E3133" s="12" t="s">
        <v>28</v>
      </c>
      <c r="F3133" s="13" t="s">
        <v>29</v>
      </c>
      <c r="G3133">
        <v>1</v>
      </c>
      <c r="H3133" t="s">
        <v>30</v>
      </c>
      <c r="I3133">
        <v>1</v>
      </c>
      <c r="J3133" s="15"/>
      <c r="K3133" s="16">
        <f>IF($E$1&gt;=$Q$1%,579.91-(579.91*$Q$1%),579.91-(579.91*$E$1))</f>
        <v>579.91</v>
      </c>
      <c r="L3133" s="16">
        <f>IF($E$1&gt;=$Q$1%,475.34-(475.34*$Q$1%),475.34-(475.34*$E$1))</f>
        <v>475.34</v>
      </c>
      <c r="M3133" s="1">
        <v>579.91</v>
      </c>
      <c r="N3133" s="1">
        <v>475.34</v>
      </c>
      <c r="O3133" s="1">
        <v>579.91</v>
      </c>
      <c r="P3133" s="1">
        <v>475.34</v>
      </c>
      <c r="Q3133">
        <v>0.1</v>
      </c>
      <c r="R3133">
        <v>4.6799999999999999E-4</v>
      </c>
    </row>
    <row r="3134" spans="1:18" ht="13.8" outlineLevel="3" x14ac:dyDescent="0.25">
      <c r="A3134">
        <v>102358</v>
      </c>
      <c r="B3134" t="s">
        <v>3802</v>
      </c>
      <c r="C3134" t="s">
        <v>3805</v>
      </c>
      <c r="D3134" s="14" t="s">
        <v>3806</v>
      </c>
      <c r="E3134" s="12" t="s">
        <v>28</v>
      </c>
      <c r="F3134" s="18" t="s">
        <v>1467</v>
      </c>
      <c r="G3134">
        <v>1</v>
      </c>
      <c r="H3134" t="s">
        <v>30</v>
      </c>
      <c r="I3134">
        <v>1</v>
      </c>
      <c r="J3134" s="15"/>
      <c r="K3134" s="16">
        <f>IF($E$1&gt;=$Q$1%,866.53-(866.53*$Q$1%),866.53-(866.53*$E$1))</f>
        <v>866.53</v>
      </c>
      <c r="L3134" s="16">
        <f>IF($E$1&gt;=$Q$1%,710.27-(710.27*$Q$1%),710.27-(710.27*$E$1))</f>
        <v>710.27</v>
      </c>
      <c r="M3134" s="1">
        <v>866.53</v>
      </c>
      <c r="N3134" s="1">
        <v>710.27</v>
      </c>
      <c r="O3134" s="1">
        <v>866.53</v>
      </c>
      <c r="P3134" s="1">
        <v>710.27</v>
      </c>
      <c r="Q3134">
        <v>0.15</v>
      </c>
      <c r="R3134">
        <v>9.1500000000000001E-4</v>
      </c>
    </row>
    <row r="3135" spans="1:18" ht="13.8" outlineLevel="3" x14ac:dyDescent="0.25">
      <c r="A3135">
        <v>102359</v>
      </c>
      <c r="B3135" t="s">
        <v>3802</v>
      </c>
      <c r="C3135" t="s">
        <v>3807</v>
      </c>
      <c r="D3135" s="14" t="s">
        <v>3808</v>
      </c>
      <c r="E3135" s="12" t="s">
        <v>28</v>
      </c>
      <c r="F3135" s="18" t="s">
        <v>1467</v>
      </c>
      <c r="G3135">
        <v>1</v>
      </c>
      <c r="H3135" t="s">
        <v>30</v>
      </c>
      <c r="I3135">
        <v>1</v>
      </c>
      <c r="J3135" s="15"/>
      <c r="K3135" s="16">
        <f>IF($E$1&gt;=$Q$1%,604.69-(604.69*$Q$1%),604.69-(604.69*$E$1))</f>
        <v>604.69000000000005</v>
      </c>
      <c r="L3135" s="16">
        <f>IF($E$1&gt;=$Q$1%,495.65-(495.65*$Q$1%),495.65-(495.65*$E$1))</f>
        <v>495.65</v>
      </c>
      <c r="M3135" s="1">
        <v>604.69000000000005</v>
      </c>
      <c r="N3135" s="1">
        <v>495.65</v>
      </c>
      <c r="O3135" s="1">
        <v>604.69000000000005</v>
      </c>
      <c r="P3135" s="1">
        <v>495.65</v>
      </c>
      <c r="Q3135">
        <v>0.13</v>
      </c>
      <c r="R3135">
        <v>1.17E-3</v>
      </c>
    </row>
    <row r="3136" spans="1:18" ht="16.5" customHeight="1" outlineLevel="2" x14ac:dyDescent="0.35">
      <c r="A3136" s="9"/>
      <c r="B3136" s="10" t="s">
        <v>3809</v>
      </c>
      <c r="C3136" s="10"/>
      <c r="D3136" s="10"/>
      <c r="E3136" s="10"/>
      <c r="F3136" s="10"/>
      <c r="G3136" s="10"/>
      <c r="H3136" s="10"/>
      <c r="I3136" s="10"/>
      <c r="J3136" s="10"/>
      <c r="K3136" s="10"/>
      <c r="L3136" s="10"/>
      <c r="M3136" s="10"/>
      <c r="N3136" s="10"/>
      <c r="O3136" s="10"/>
      <c r="P3136" s="10"/>
      <c r="Q3136" s="10"/>
      <c r="R3136" s="11"/>
    </row>
    <row r="3137" spans="1:18" ht="13.8" outlineLevel="3" x14ac:dyDescent="0.25">
      <c r="A3137">
        <v>47546</v>
      </c>
      <c r="B3137" t="s">
        <v>3810</v>
      </c>
      <c r="C3137" t="s">
        <v>3811</v>
      </c>
      <c r="D3137" s="14" t="s">
        <v>3812</v>
      </c>
      <c r="E3137" s="12" t="s">
        <v>28</v>
      </c>
      <c r="F3137" s="13" t="s">
        <v>29</v>
      </c>
      <c r="G3137">
        <v>1</v>
      </c>
      <c r="H3137" t="s">
        <v>30</v>
      </c>
      <c r="I3137">
        <v>1</v>
      </c>
      <c r="J3137" s="15"/>
      <c r="K3137" s="16">
        <f>5360.69 - (5360.69 * $E$1)</f>
        <v>5360.69</v>
      </c>
      <c r="L3137" s="16">
        <f>4394.01 - (4394.01 * $E$1)</f>
        <v>4394.01</v>
      </c>
      <c r="M3137" s="1">
        <v>5360.69</v>
      </c>
      <c r="N3137" s="1">
        <v>4394.01</v>
      </c>
      <c r="O3137" s="1">
        <v>4556.59</v>
      </c>
      <c r="P3137" s="1">
        <v>3734.91</v>
      </c>
      <c r="Q3137">
        <v>0.64</v>
      </c>
      <c r="R3137">
        <v>1.8600000000000001E-3</v>
      </c>
    </row>
    <row r="3138" spans="1:18" ht="13.8" outlineLevel="3" x14ac:dyDescent="0.25">
      <c r="A3138">
        <v>84393</v>
      </c>
      <c r="B3138" t="s">
        <v>3810</v>
      </c>
      <c r="C3138" t="s">
        <v>3813</v>
      </c>
      <c r="D3138" s="14" t="s">
        <v>3814</v>
      </c>
      <c r="E3138" s="12" t="s">
        <v>28</v>
      </c>
      <c r="F3138" s="13" t="s">
        <v>29</v>
      </c>
      <c r="G3138">
        <v>1</v>
      </c>
      <c r="H3138" t="s">
        <v>30</v>
      </c>
      <c r="I3138">
        <v>1</v>
      </c>
      <c r="J3138" s="15"/>
      <c r="K3138" s="16">
        <f>9533.37 - (9533.37 * $E$1)</f>
        <v>9533.3700000000008</v>
      </c>
      <c r="L3138" s="16">
        <f>7814.24 - (7814.24 * $E$1)</f>
        <v>7814.24</v>
      </c>
      <c r="M3138" s="1">
        <v>9533.3700000000008</v>
      </c>
      <c r="N3138" s="1">
        <v>7814.24</v>
      </c>
      <c r="O3138" s="1">
        <v>8103.37</v>
      </c>
      <c r="P3138" s="1">
        <v>6642.1</v>
      </c>
      <c r="Q3138">
        <v>1.1000000000000001</v>
      </c>
      <c r="R3138">
        <v>1.2960000000000001E-3</v>
      </c>
    </row>
    <row r="3139" spans="1:18" ht="13.8" outlineLevel="3" x14ac:dyDescent="0.25">
      <c r="A3139">
        <v>84394</v>
      </c>
      <c r="B3139" t="s">
        <v>3810</v>
      </c>
      <c r="C3139" t="s">
        <v>3815</v>
      </c>
      <c r="D3139" s="14" t="s">
        <v>3816</v>
      </c>
      <c r="E3139" s="12" t="s">
        <v>28</v>
      </c>
      <c r="F3139" s="13" t="s">
        <v>29</v>
      </c>
      <c r="G3139">
        <v>1</v>
      </c>
      <c r="H3139" t="s">
        <v>30</v>
      </c>
      <c r="I3139">
        <v>1</v>
      </c>
      <c r="J3139" s="15"/>
      <c r="K3139" s="16">
        <f>12925 - (12925 * $E$1)</f>
        <v>12925</v>
      </c>
      <c r="L3139" s="16">
        <f>10594.26 - (10594.26 * $E$1)</f>
        <v>10594.26</v>
      </c>
      <c r="M3139" s="1">
        <v>12925</v>
      </c>
      <c r="N3139" s="1">
        <v>10594.26</v>
      </c>
      <c r="O3139" s="1">
        <v>10986.25</v>
      </c>
      <c r="P3139" s="1">
        <v>9005.1200000000008</v>
      </c>
      <c r="Q3139">
        <v>1.6</v>
      </c>
      <c r="R3139">
        <v>2.6640000000000001E-3</v>
      </c>
    </row>
    <row r="3140" spans="1:18" ht="13.8" outlineLevel="3" x14ac:dyDescent="0.25">
      <c r="A3140">
        <v>53809</v>
      </c>
      <c r="B3140" t="s">
        <v>3810</v>
      </c>
      <c r="C3140" t="s">
        <v>3817</v>
      </c>
      <c r="D3140" s="14" t="s">
        <v>3818</v>
      </c>
      <c r="E3140" s="12" t="s">
        <v>28</v>
      </c>
      <c r="F3140" s="13" t="s">
        <v>29</v>
      </c>
      <c r="G3140">
        <v>1</v>
      </c>
      <c r="H3140" t="s">
        <v>30</v>
      </c>
      <c r="I3140">
        <v>1</v>
      </c>
      <c r="J3140" s="15"/>
      <c r="K3140" s="16">
        <f>26264.51 - (26264.51 * $E$1)</f>
        <v>26264.51</v>
      </c>
      <c r="L3140" s="16">
        <f>21528.29 - (21528.29 * $E$1)</f>
        <v>21528.29</v>
      </c>
      <c r="M3140" s="1">
        <v>26264.51</v>
      </c>
      <c r="N3140" s="1">
        <v>21528.29</v>
      </c>
      <c r="O3140" s="1">
        <v>22324.84</v>
      </c>
      <c r="P3140" s="1">
        <v>18299.05</v>
      </c>
      <c r="Q3140">
        <v>4.2699999999999996</v>
      </c>
      <c r="R3140">
        <v>6.1739999999999998E-3</v>
      </c>
    </row>
    <row r="3141" spans="1:18" ht="13.8" outlineLevel="3" x14ac:dyDescent="0.25">
      <c r="A3141">
        <v>84395</v>
      </c>
      <c r="B3141" t="s">
        <v>3819</v>
      </c>
      <c r="C3141" t="s">
        <v>3820</v>
      </c>
      <c r="D3141" s="14" t="s">
        <v>3821</v>
      </c>
      <c r="E3141" s="12" t="s">
        <v>28</v>
      </c>
      <c r="F3141" s="13" t="s">
        <v>29</v>
      </c>
      <c r="G3141">
        <v>1</v>
      </c>
      <c r="H3141" t="s">
        <v>30</v>
      </c>
      <c r="I3141">
        <v>1</v>
      </c>
      <c r="J3141" s="15"/>
      <c r="K3141" s="16">
        <f>15181.13 - (15181.13 * $E$1)</f>
        <v>15181.13</v>
      </c>
      <c r="L3141" s="16">
        <f>12443.55 - (12443.55 * $E$1)</f>
        <v>12443.55</v>
      </c>
      <c r="M3141" s="1">
        <v>15181.13</v>
      </c>
      <c r="N3141" s="1">
        <v>12443.55</v>
      </c>
      <c r="O3141" s="1">
        <v>12903.96</v>
      </c>
      <c r="P3141" s="1">
        <v>10577.02</v>
      </c>
      <c r="Q3141">
        <v>1.7</v>
      </c>
      <c r="R3141">
        <v>2.6640000000000001E-3</v>
      </c>
    </row>
    <row r="3142" spans="1:18" ht="13.8" outlineLevel="3" x14ac:dyDescent="0.25">
      <c r="A3142">
        <v>53142</v>
      </c>
      <c r="B3142" t="s">
        <v>3810</v>
      </c>
      <c r="C3142" t="s">
        <v>3822</v>
      </c>
      <c r="D3142" s="14" t="s">
        <v>3823</v>
      </c>
      <c r="E3142" s="12" t="s">
        <v>28</v>
      </c>
      <c r="F3142" s="13" t="s">
        <v>29</v>
      </c>
      <c r="G3142">
        <v>1</v>
      </c>
      <c r="H3142" t="s">
        <v>30</v>
      </c>
      <c r="I3142">
        <v>1</v>
      </c>
      <c r="J3142" s="15"/>
      <c r="K3142" s="16">
        <f>11415.1 - (11415.1 * $E$1)</f>
        <v>11415.1</v>
      </c>
      <c r="L3142" s="16">
        <f>9356.64 - (9356.64 * $E$1)</f>
        <v>9356.64</v>
      </c>
      <c r="M3142" s="1">
        <v>11415.1</v>
      </c>
      <c r="N3142" s="1">
        <v>9356.64</v>
      </c>
      <c r="O3142" s="1">
        <v>9702.84</v>
      </c>
      <c r="P3142" s="1">
        <v>7953.14</v>
      </c>
      <c r="Q3142">
        <v>1.63</v>
      </c>
      <c r="R3142">
        <v>3.2729999999999999E-3</v>
      </c>
    </row>
    <row r="3143" spans="1:18" ht="13.8" outlineLevel="3" x14ac:dyDescent="0.25">
      <c r="A3143">
        <v>55942</v>
      </c>
      <c r="B3143" t="s">
        <v>3810</v>
      </c>
      <c r="C3143" t="s">
        <v>3824</v>
      </c>
      <c r="D3143" s="14" t="s">
        <v>3825</v>
      </c>
      <c r="E3143" s="12" t="s">
        <v>28</v>
      </c>
      <c r="F3143" s="13" t="s">
        <v>29</v>
      </c>
      <c r="G3143">
        <v>1</v>
      </c>
      <c r="H3143" t="s">
        <v>30</v>
      </c>
      <c r="I3143">
        <v>1</v>
      </c>
      <c r="J3143" s="15"/>
      <c r="K3143" s="16">
        <f>11649.4 - (11649.4 * $E$1)</f>
        <v>11649.4</v>
      </c>
      <c r="L3143" s="16">
        <f>9548.69 - (9548.69 * $E$1)</f>
        <v>9548.69</v>
      </c>
      <c r="M3143" s="1">
        <v>11649.4</v>
      </c>
      <c r="N3143" s="1">
        <v>9548.69</v>
      </c>
      <c r="O3143" s="1">
        <v>9901.99</v>
      </c>
      <c r="P3143" s="1">
        <v>8116.39</v>
      </c>
      <c r="Q3143">
        <v>1</v>
      </c>
      <c r="R3143">
        <v>1.428E-3</v>
      </c>
    </row>
    <row r="3144" spans="1:18" ht="13.8" outlineLevel="3" x14ac:dyDescent="0.25">
      <c r="A3144">
        <v>53054</v>
      </c>
      <c r="B3144" t="s">
        <v>3810</v>
      </c>
      <c r="C3144" t="s">
        <v>3826</v>
      </c>
      <c r="D3144" s="14" t="s">
        <v>3827</v>
      </c>
      <c r="E3144" s="12" t="s">
        <v>28</v>
      </c>
      <c r="F3144" s="13" t="s">
        <v>29</v>
      </c>
      <c r="G3144">
        <v>1</v>
      </c>
      <c r="H3144" t="s">
        <v>30</v>
      </c>
      <c r="I3144">
        <v>1</v>
      </c>
      <c r="J3144" s="15"/>
      <c r="K3144" s="16">
        <f>36895.58 - (36895.58 * $E$1)</f>
        <v>36895.58</v>
      </c>
      <c r="L3144" s="16">
        <f>30242.28 - (30242.28 * $E$1)</f>
        <v>30242.28</v>
      </c>
      <c r="M3144" s="1">
        <v>36895.58</v>
      </c>
      <c r="N3144" s="1">
        <v>30242.28</v>
      </c>
      <c r="O3144" s="1">
        <v>31361.24</v>
      </c>
      <c r="P3144" s="1">
        <v>25705.94</v>
      </c>
      <c r="Q3144">
        <v>7.8</v>
      </c>
      <c r="R3144">
        <v>8.8280000000000008E-3</v>
      </c>
    </row>
    <row r="3145" spans="1:18" ht="13.8" outlineLevel="3" x14ac:dyDescent="0.25">
      <c r="A3145">
        <v>53053</v>
      </c>
      <c r="B3145" t="s">
        <v>3810</v>
      </c>
      <c r="C3145" t="s">
        <v>3828</v>
      </c>
      <c r="D3145" s="14" t="s">
        <v>3829</v>
      </c>
      <c r="E3145" s="12" t="s">
        <v>28</v>
      </c>
      <c r="F3145" s="13" t="s">
        <v>29</v>
      </c>
      <c r="G3145">
        <v>1</v>
      </c>
      <c r="H3145" t="s">
        <v>30</v>
      </c>
      <c r="I3145">
        <v>1</v>
      </c>
      <c r="J3145" s="15"/>
      <c r="K3145" s="16">
        <f>19531.93 - (19531.93 * $E$1)</f>
        <v>19531.93</v>
      </c>
      <c r="L3145" s="16">
        <f>16009.78 - (16009.78 * $E$1)</f>
        <v>16009.78</v>
      </c>
      <c r="M3145" s="1">
        <v>19531.93</v>
      </c>
      <c r="N3145" s="1">
        <v>16009.78</v>
      </c>
      <c r="O3145" s="1">
        <v>16602.14</v>
      </c>
      <c r="P3145" s="1">
        <v>13608.31</v>
      </c>
      <c r="Q3145">
        <v>3.98</v>
      </c>
      <c r="R3145">
        <v>7.6E-3</v>
      </c>
    </row>
    <row r="3146" spans="1:18" ht="13.8" outlineLevel="3" x14ac:dyDescent="0.25">
      <c r="A3146">
        <v>84391</v>
      </c>
      <c r="B3146" t="s">
        <v>3810</v>
      </c>
      <c r="C3146" t="s">
        <v>3830</v>
      </c>
      <c r="D3146" s="14" t="s">
        <v>3831</v>
      </c>
      <c r="E3146" s="12" t="s">
        <v>28</v>
      </c>
      <c r="F3146" s="13" t="s">
        <v>29</v>
      </c>
      <c r="G3146">
        <v>1</v>
      </c>
      <c r="H3146" t="s">
        <v>30</v>
      </c>
      <c r="I3146">
        <v>1</v>
      </c>
      <c r="J3146" s="15"/>
      <c r="K3146" s="16">
        <f>18291.36 - (18291.36 * $E$1)</f>
        <v>18291.36</v>
      </c>
      <c r="L3146" s="16">
        <f>14992.92 - (14992.92 * $E$1)</f>
        <v>14992.92</v>
      </c>
      <c r="M3146" s="1">
        <v>18291.36</v>
      </c>
      <c r="N3146" s="1">
        <v>14992.92</v>
      </c>
      <c r="O3146" s="1">
        <v>15547.66</v>
      </c>
      <c r="P3146" s="1">
        <v>12743.98</v>
      </c>
      <c r="Q3146">
        <v>3.8</v>
      </c>
      <c r="R3146">
        <v>4.3E-3</v>
      </c>
    </row>
    <row r="3147" spans="1:18" ht="13.8" outlineLevel="3" x14ac:dyDescent="0.25">
      <c r="A3147">
        <v>91814</v>
      </c>
      <c r="B3147" t="s">
        <v>3832</v>
      </c>
      <c r="C3147" t="s">
        <v>3833</v>
      </c>
      <c r="D3147" s="14" t="s">
        <v>3834</v>
      </c>
      <c r="E3147" s="12" t="s">
        <v>28</v>
      </c>
      <c r="F3147" s="13" t="s">
        <v>29</v>
      </c>
      <c r="G3147">
        <v>1</v>
      </c>
      <c r="H3147" t="s">
        <v>30</v>
      </c>
      <c r="I3147">
        <v>1</v>
      </c>
      <c r="J3147" s="15"/>
      <c r="K3147" s="16">
        <f>22152.16 - (22152.16 * $E$1)</f>
        <v>22152.16</v>
      </c>
      <c r="L3147" s="16">
        <f>18157.51 - (18157.51 * $E$1)</f>
        <v>18157.509999999998</v>
      </c>
      <c r="M3147" s="1">
        <v>22152.16</v>
      </c>
      <c r="N3147" s="1">
        <v>18157.509999999998</v>
      </c>
      <c r="O3147" s="1">
        <v>18829.34</v>
      </c>
      <c r="P3147" s="1">
        <v>15433.88</v>
      </c>
      <c r="Q3147">
        <v>4.25</v>
      </c>
      <c r="R3147">
        <v>7.5900000000000004E-3</v>
      </c>
    </row>
    <row r="3148" spans="1:18" ht="13.8" outlineLevel="3" x14ac:dyDescent="0.25">
      <c r="A3148">
        <v>84392</v>
      </c>
      <c r="B3148" t="s">
        <v>3810</v>
      </c>
      <c r="C3148" t="s">
        <v>3835</v>
      </c>
      <c r="D3148" s="14" t="s">
        <v>3836</v>
      </c>
      <c r="E3148" s="12" t="s">
        <v>28</v>
      </c>
      <c r="F3148" s="13" t="s">
        <v>29</v>
      </c>
      <c r="G3148">
        <v>1</v>
      </c>
      <c r="H3148" t="s">
        <v>30</v>
      </c>
      <c r="I3148">
        <v>1</v>
      </c>
      <c r="J3148" s="15"/>
      <c r="K3148" s="16">
        <f>21822.52 - (21822.52 * $E$1)</f>
        <v>21822.52</v>
      </c>
      <c r="L3148" s="16">
        <f>17887.31 - (17887.31 * $E$1)</f>
        <v>17887.310000000001</v>
      </c>
      <c r="M3148" s="1">
        <v>21822.52</v>
      </c>
      <c r="N3148" s="1">
        <v>17887.310000000001</v>
      </c>
      <c r="O3148" s="1">
        <v>18549.14</v>
      </c>
      <c r="P3148" s="1">
        <v>15204.21</v>
      </c>
      <c r="Q3148">
        <v>5</v>
      </c>
      <c r="R3148">
        <v>8.3999999999999995E-3</v>
      </c>
    </row>
    <row r="3149" spans="1:18" ht="13.8" outlineLevel="3" x14ac:dyDescent="0.25">
      <c r="A3149">
        <v>101939</v>
      </c>
      <c r="B3149" t="s">
        <v>3832</v>
      </c>
      <c r="C3149" t="s">
        <v>3837</v>
      </c>
      <c r="D3149" s="14" t="s">
        <v>3838</v>
      </c>
      <c r="E3149" s="12" t="s">
        <v>28</v>
      </c>
      <c r="F3149" s="13" t="s">
        <v>29</v>
      </c>
      <c r="G3149">
        <v>1</v>
      </c>
      <c r="H3149" t="s">
        <v>30</v>
      </c>
      <c r="I3149">
        <v>1</v>
      </c>
      <c r="J3149" s="15"/>
      <c r="K3149" s="16">
        <f>25969.63 - (25969.63 * $E$1)</f>
        <v>25969.63</v>
      </c>
      <c r="L3149" s="16">
        <f>21286.58 - (21286.58 * $E$1)</f>
        <v>21286.58</v>
      </c>
      <c r="M3149" s="1">
        <v>25969.63</v>
      </c>
      <c r="N3149" s="1">
        <v>21286.58</v>
      </c>
      <c r="O3149" s="1">
        <v>22074.18</v>
      </c>
      <c r="P3149" s="1">
        <v>18093.59</v>
      </c>
      <c r="Q3149">
        <v>5.43</v>
      </c>
      <c r="R3149">
        <v>9.7649999999999994E-3</v>
      </c>
    </row>
    <row r="3150" spans="1:18" ht="13.8" outlineLevel="3" x14ac:dyDescent="0.25">
      <c r="A3150">
        <v>53808</v>
      </c>
      <c r="B3150" t="s">
        <v>3810</v>
      </c>
      <c r="C3150" t="s">
        <v>3839</v>
      </c>
      <c r="D3150" s="14" t="s">
        <v>3840</v>
      </c>
      <c r="E3150" s="12" t="s">
        <v>28</v>
      </c>
      <c r="F3150" s="13" t="s">
        <v>29</v>
      </c>
      <c r="G3150">
        <v>1</v>
      </c>
      <c r="H3150" t="s">
        <v>30</v>
      </c>
      <c r="I3150">
        <v>1</v>
      </c>
      <c r="J3150" s="15"/>
      <c r="K3150" s="16">
        <f>30388.47 - (30388.47 * $E$1)</f>
        <v>30388.47</v>
      </c>
      <c r="L3150" s="16">
        <f>24908.58 - (24908.58 * $E$1)</f>
        <v>24908.58</v>
      </c>
      <c r="M3150" s="1">
        <v>30388.47</v>
      </c>
      <c r="N3150" s="1">
        <v>24908.58</v>
      </c>
      <c r="O3150" s="1">
        <v>25830.2</v>
      </c>
      <c r="P3150" s="1">
        <v>21172.29</v>
      </c>
      <c r="Q3150">
        <v>8.6</v>
      </c>
      <c r="R3150">
        <v>2.1018999999999999E-2</v>
      </c>
    </row>
    <row r="3151" spans="1:18" ht="13.8" outlineLevel="3" x14ac:dyDescent="0.25">
      <c r="A3151">
        <v>54569</v>
      </c>
      <c r="B3151" t="s">
        <v>3841</v>
      </c>
      <c r="C3151" t="s">
        <v>3842</v>
      </c>
      <c r="D3151" s="14" t="s">
        <v>3843</v>
      </c>
      <c r="E3151" s="12" t="s">
        <v>28</v>
      </c>
      <c r="F3151" s="13" t="s">
        <v>29</v>
      </c>
      <c r="G3151">
        <v>1</v>
      </c>
      <c r="H3151" t="s">
        <v>30</v>
      </c>
      <c r="I3151">
        <v>1</v>
      </c>
      <c r="J3151" s="15"/>
      <c r="K3151" s="16">
        <f>37608.57 - (37608.57 * $E$1)</f>
        <v>37608.57</v>
      </c>
      <c r="L3151" s="16">
        <f>30826.7 - (30826.7 * $E$1)</f>
        <v>30826.7</v>
      </c>
      <c r="M3151" s="1">
        <v>37608.57</v>
      </c>
      <c r="N3151" s="1">
        <v>30826.7</v>
      </c>
      <c r="O3151" s="1">
        <v>31967.29</v>
      </c>
      <c r="P3151" s="1">
        <v>26202.7</v>
      </c>
      <c r="Q3151">
        <v>9.6</v>
      </c>
      <c r="R3151">
        <v>2.1018999999999999E-2</v>
      </c>
    </row>
    <row r="3152" spans="1:18" ht="13.8" outlineLevel="3" x14ac:dyDescent="0.25">
      <c r="A3152">
        <v>91860</v>
      </c>
      <c r="B3152" t="s">
        <v>3844</v>
      </c>
      <c r="C3152" t="s">
        <v>3845</v>
      </c>
      <c r="D3152" s="14" t="s">
        <v>3846</v>
      </c>
      <c r="E3152" s="12" t="s">
        <v>28</v>
      </c>
      <c r="F3152" s="13" t="s">
        <v>29</v>
      </c>
      <c r="G3152">
        <v>1</v>
      </c>
      <c r="H3152" t="s">
        <v>30</v>
      </c>
      <c r="I3152">
        <v>1</v>
      </c>
      <c r="J3152" s="15"/>
      <c r="K3152" s="16">
        <f>IF($E$1&gt;=$Q$1%,75617.93-(75617.93*$Q$1%),75617.93-(75617.93*$E$1))</f>
        <v>75617.929999999993</v>
      </c>
      <c r="L3152" s="16">
        <f>IF($E$1&gt;=$Q$1%,61981.91-(61981.91*$Q$1%),61981.91-(61981.91*$E$1))</f>
        <v>61981.91</v>
      </c>
      <c r="M3152" s="1">
        <v>75617.929999999993</v>
      </c>
      <c r="N3152" s="1">
        <v>61981.91</v>
      </c>
      <c r="O3152" s="1">
        <v>75617.929999999993</v>
      </c>
      <c r="P3152" s="1">
        <v>61981.91</v>
      </c>
      <c r="Q3152">
        <v>6.73</v>
      </c>
      <c r="R3152">
        <v>2.664E-2</v>
      </c>
    </row>
    <row r="3153" spans="1:18" ht="13.8" outlineLevel="3" x14ac:dyDescent="0.25">
      <c r="A3153">
        <v>104522</v>
      </c>
      <c r="B3153" t="s">
        <v>3844</v>
      </c>
      <c r="C3153" t="s">
        <v>3847</v>
      </c>
      <c r="D3153" s="14" t="s">
        <v>3848</v>
      </c>
      <c r="E3153" s="12" t="s">
        <v>28</v>
      </c>
      <c r="F3153" s="13" t="s">
        <v>29</v>
      </c>
      <c r="G3153">
        <v>1</v>
      </c>
      <c r="H3153" t="s">
        <v>30</v>
      </c>
      <c r="I3153">
        <v>1</v>
      </c>
      <c r="J3153" s="15"/>
      <c r="K3153" s="16">
        <f>IF($E$1&gt;=$Q$1%,82120.86-(82120.86*$Q$1%),82120.86-(82120.86*$E$1))</f>
        <v>82120.86</v>
      </c>
      <c r="L3153" s="16">
        <f>IF($E$1&gt;=$Q$1%,67312.18-(67312.18*$Q$1%),67312.18-(67312.18*$E$1))</f>
        <v>67312.179999999993</v>
      </c>
      <c r="M3153" s="1">
        <v>82120.86</v>
      </c>
      <c r="N3153" s="1">
        <v>67312.179999999993</v>
      </c>
      <c r="O3153" s="1">
        <v>82120.86</v>
      </c>
      <c r="P3153" s="1">
        <v>67312.179999999993</v>
      </c>
      <c r="Q3153">
        <v>7.18</v>
      </c>
      <c r="R3153">
        <v>2.6363000000000001E-2</v>
      </c>
    </row>
    <row r="3154" spans="1:18" ht="13.8" outlineLevel="3" x14ac:dyDescent="0.25">
      <c r="A3154">
        <v>54965</v>
      </c>
      <c r="B3154" t="s">
        <v>3849</v>
      </c>
      <c r="C3154" t="s">
        <v>3850</v>
      </c>
      <c r="D3154" s="14" t="s">
        <v>3850</v>
      </c>
      <c r="E3154" s="12" t="s">
        <v>28</v>
      </c>
      <c r="F3154" s="13" t="s">
        <v>29</v>
      </c>
      <c r="G3154">
        <v>1</v>
      </c>
      <c r="H3154" t="s">
        <v>30</v>
      </c>
      <c r="I3154">
        <v>1</v>
      </c>
      <c r="J3154" s="15"/>
      <c r="K3154" s="16">
        <f>9226.8 - (9226.8 * $E$1)</f>
        <v>9226.7999999999993</v>
      </c>
      <c r="L3154" s="16">
        <f>7562.95 - (7562.95 * $E$1)</f>
        <v>7562.95</v>
      </c>
      <c r="M3154" s="1">
        <v>9226.7999999999993</v>
      </c>
      <c r="N3154" s="1">
        <v>7562.95</v>
      </c>
      <c r="O3154" s="1">
        <v>7842.78</v>
      </c>
      <c r="P3154" s="1">
        <v>6428.51</v>
      </c>
      <c r="Q3154">
        <v>0.21</v>
      </c>
      <c r="R3154">
        <v>6.9999999999999994E-5</v>
      </c>
    </row>
    <row r="3155" spans="1:18" ht="13.8" outlineLevel="3" x14ac:dyDescent="0.25">
      <c r="A3155">
        <v>54966</v>
      </c>
      <c r="B3155" t="s">
        <v>3849</v>
      </c>
      <c r="C3155" t="s">
        <v>3851</v>
      </c>
      <c r="D3155" s="14" t="s">
        <v>3851</v>
      </c>
      <c r="E3155" s="12" t="s">
        <v>28</v>
      </c>
      <c r="F3155" s="13" t="s">
        <v>29</v>
      </c>
      <c r="G3155">
        <v>1</v>
      </c>
      <c r="H3155" t="s">
        <v>30</v>
      </c>
      <c r="I3155">
        <v>1</v>
      </c>
      <c r="J3155" s="15"/>
      <c r="K3155" s="16">
        <f>11558.18 - (11558.18 * $E$1)</f>
        <v>11558.18</v>
      </c>
      <c r="L3155" s="16">
        <f>9473.92 - (9473.92 * $E$1)</f>
        <v>9473.92</v>
      </c>
      <c r="M3155" s="1">
        <v>11558.18</v>
      </c>
      <c r="N3155" s="1">
        <v>9473.92</v>
      </c>
      <c r="O3155" s="1">
        <v>9824.4599999999991</v>
      </c>
      <c r="P3155" s="1">
        <v>8052.83</v>
      </c>
      <c r="Q3155">
        <v>0.36</v>
      </c>
      <c r="R3155">
        <v>2.9999999999999997E-4</v>
      </c>
    </row>
    <row r="3156" spans="1:18" ht="16.5" customHeight="1" outlineLevel="2" x14ac:dyDescent="0.35">
      <c r="A3156" s="9"/>
      <c r="B3156" s="10" t="s">
        <v>3852</v>
      </c>
      <c r="C3156" s="10"/>
      <c r="D3156" s="10"/>
      <c r="E3156" s="10"/>
      <c r="F3156" s="10"/>
      <c r="G3156" s="10"/>
      <c r="H3156" s="10"/>
      <c r="I3156" s="10"/>
      <c r="J3156" s="10"/>
      <c r="K3156" s="10"/>
      <c r="L3156" s="10"/>
      <c r="M3156" s="10"/>
      <c r="N3156" s="10"/>
      <c r="O3156" s="10"/>
      <c r="P3156" s="10"/>
      <c r="Q3156" s="10"/>
      <c r="R3156" s="11"/>
    </row>
    <row r="3157" spans="1:18" ht="13.8" outlineLevel="3" x14ac:dyDescent="0.25">
      <c r="A3157">
        <v>59947</v>
      </c>
      <c r="B3157" t="s">
        <v>3853</v>
      </c>
      <c r="C3157" t="s">
        <v>3854</v>
      </c>
      <c r="D3157" s="14" t="s">
        <v>3855</v>
      </c>
      <c r="E3157" s="12" t="s">
        <v>28</v>
      </c>
      <c r="F3157" s="13" t="s">
        <v>29</v>
      </c>
      <c r="G3157">
        <v>1</v>
      </c>
      <c r="H3157" t="s">
        <v>30</v>
      </c>
      <c r="I3157">
        <v>1</v>
      </c>
      <c r="J3157" s="15"/>
      <c r="K3157" s="16">
        <f>26319.37 - (26319.37 * $E$1)</f>
        <v>26319.37</v>
      </c>
      <c r="L3157" s="16">
        <f>21573.25 - (21573.25 * $E$1)</f>
        <v>21573.25</v>
      </c>
      <c r="M3157" s="1">
        <v>26319.37</v>
      </c>
      <c r="N3157" s="1">
        <v>21573.25</v>
      </c>
      <c r="O3157" s="1">
        <v>22371.46</v>
      </c>
      <c r="P3157" s="1">
        <v>18337.259999999998</v>
      </c>
      <c r="Q3157">
        <v>4.0999999999999996</v>
      </c>
      <c r="R3157">
        <v>7.2680000000000002E-3</v>
      </c>
    </row>
    <row r="3158" spans="1:18" ht="13.8" outlineLevel="3" x14ac:dyDescent="0.25">
      <c r="A3158">
        <v>76563</v>
      </c>
      <c r="B3158" t="s">
        <v>3853</v>
      </c>
      <c r="C3158" t="s">
        <v>3856</v>
      </c>
      <c r="D3158" s="14" t="s">
        <v>3857</v>
      </c>
      <c r="E3158" s="12" t="s">
        <v>28</v>
      </c>
      <c r="F3158" s="13" t="s">
        <v>29</v>
      </c>
      <c r="G3158">
        <v>1</v>
      </c>
      <c r="H3158" t="s">
        <v>30</v>
      </c>
      <c r="I3158">
        <v>1</v>
      </c>
      <c r="J3158" s="15"/>
      <c r="K3158" s="16">
        <f>35525.08 - (35525.08 * $E$1)</f>
        <v>35525.08</v>
      </c>
      <c r="L3158" s="16">
        <f>29118.92 - (29118.92 * $E$1)</f>
        <v>29118.92</v>
      </c>
      <c r="M3158" s="1">
        <v>35525.08</v>
      </c>
      <c r="N3158" s="1">
        <v>29118.92</v>
      </c>
      <c r="O3158" s="1">
        <v>30196.32</v>
      </c>
      <c r="P3158" s="1">
        <v>24751.08</v>
      </c>
      <c r="Q3158">
        <v>5.2</v>
      </c>
      <c r="R3158">
        <v>1.1407E-2</v>
      </c>
    </row>
    <row r="3159" spans="1:18" ht="13.8" outlineLevel="3" x14ac:dyDescent="0.25">
      <c r="A3159">
        <v>60946</v>
      </c>
      <c r="B3159" t="s">
        <v>3853</v>
      </c>
      <c r="C3159" t="s">
        <v>3858</v>
      </c>
      <c r="D3159" s="14" t="s">
        <v>3859</v>
      </c>
      <c r="E3159" s="12" t="s">
        <v>28</v>
      </c>
      <c r="F3159" s="13" t="s">
        <v>29</v>
      </c>
      <c r="G3159">
        <v>1</v>
      </c>
      <c r="H3159" t="s">
        <v>30</v>
      </c>
      <c r="I3159">
        <v>1</v>
      </c>
      <c r="J3159" s="15"/>
      <c r="K3159" s="16">
        <f>36976.11 - (36976.11 * $E$1)</f>
        <v>36976.11</v>
      </c>
      <c r="L3159" s="16">
        <f>30308.29 - (30308.29 * $E$1)</f>
        <v>30308.29</v>
      </c>
      <c r="M3159" s="1">
        <v>36976.11</v>
      </c>
      <c r="N3159" s="1">
        <v>30308.29</v>
      </c>
      <c r="O3159" s="1">
        <v>31429.7</v>
      </c>
      <c r="P3159" s="1">
        <v>25762.05</v>
      </c>
      <c r="Q3159">
        <v>8</v>
      </c>
      <c r="R3159">
        <v>1.9220999999999999E-2</v>
      </c>
    </row>
    <row r="3160" spans="1:18" ht="13.8" outlineLevel="3" x14ac:dyDescent="0.25">
      <c r="A3160">
        <v>59948</v>
      </c>
      <c r="B3160" t="s">
        <v>3853</v>
      </c>
      <c r="C3160" t="s">
        <v>3860</v>
      </c>
      <c r="D3160" s="14" t="s">
        <v>3861</v>
      </c>
      <c r="E3160" s="12" t="s">
        <v>28</v>
      </c>
      <c r="F3160" s="13" t="s">
        <v>29</v>
      </c>
      <c r="G3160">
        <v>1</v>
      </c>
      <c r="H3160" t="s">
        <v>30</v>
      </c>
      <c r="I3160">
        <v>1</v>
      </c>
      <c r="J3160" s="15"/>
      <c r="K3160" s="16">
        <f>38252.2 - (38252.2 * $E$1)</f>
        <v>38252.199999999997</v>
      </c>
      <c r="L3160" s="16">
        <f>31354.26 - (31354.26 * $E$1)</f>
        <v>31354.26</v>
      </c>
      <c r="M3160" s="1">
        <v>38252.199999999997</v>
      </c>
      <c r="N3160" s="1">
        <v>31354.26</v>
      </c>
      <c r="O3160" s="1">
        <v>32514.37</v>
      </c>
      <c r="P3160" s="1">
        <v>26651.119999999999</v>
      </c>
      <c r="Q3160">
        <v>8.4</v>
      </c>
      <c r="R3160">
        <v>1.941E-2</v>
      </c>
    </row>
    <row r="3161" spans="1:18" ht="13.8" outlineLevel="3" x14ac:dyDescent="0.25">
      <c r="A3161">
        <v>63014</v>
      </c>
      <c r="B3161" t="s">
        <v>3853</v>
      </c>
      <c r="C3161" t="s">
        <v>3862</v>
      </c>
      <c r="D3161" s="14" t="s">
        <v>3863</v>
      </c>
      <c r="E3161" s="12" t="s">
        <v>28</v>
      </c>
      <c r="F3161" s="13" t="s">
        <v>29</v>
      </c>
      <c r="G3161">
        <v>1</v>
      </c>
      <c r="H3161" t="s">
        <v>30</v>
      </c>
      <c r="I3161">
        <v>1</v>
      </c>
      <c r="J3161" s="15"/>
      <c r="K3161" s="16">
        <f>73548.79 - (73548.79 * $E$1)</f>
        <v>73548.789999999994</v>
      </c>
      <c r="L3161" s="16">
        <f>60285.89 - (60285.89 * $E$1)</f>
        <v>60285.89</v>
      </c>
      <c r="M3161" s="1">
        <v>73548.789999999994</v>
      </c>
      <c r="N3161" s="1">
        <v>60285.89</v>
      </c>
      <c r="O3161" s="1">
        <v>62516.47</v>
      </c>
      <c r="P3161" s="1">
        <v>51243.01</v>
      </c>
      <c r="Q3161">
        <v>14.1</v>
      </c>
      <c r="R3161">
        <v>2.1714000000000001E-2</v>
      </c>
    </row>
    <row r="3162" spans="1:18" ht="13.8" outlineLevel="3" x14ac:dyDescent="0.25">
      <c r="A3162">
        <v>63015</v>
      </c>
      <c r="B3162" t="s">
        <v>3853</v>
      </c>
      <c r="C3162" t="s">
        <v>3864</v>
      </c>
      <c r="D3162" s="14" t="s">
        <v>3865</v>
      </c>
      <c r="E3162" s="12" t="s">
        <v>28</v>
      </c>
      <c r="F3162" s="13" t="s">
        <v>29</v>
      </c>
      <c r="G3162">
        <v>1</v>
      </c>
      <c r="H3162" t="s">
        <v>30</v>
      </c>
      <c r="I3162">
        <v>1</v>
      </c>
      <c r="J3162" s="15"/>
      <c r="K3162" s="16">
        <f>82425.36 - (82425.36 * $E$1)</f>
        <v>82425.36</v>
      </c>
      <c r="L3162" s="16">
        <f>67561.77 - (67561.77 * $E$1)</f>
        <v>67561.77</v>
      </c>
      <c r="M3162" s="1">
        <v>82425.36</v>
      </c>
      <c r="N3162" s="1">
        <v>67561.77</v>
      </c>
      <c r="O3162" s="1">
        <v>70061.56</v>
      </c>
      <c r="P3162" s="1">
        <v>57427.5</v>
      </c>
      <c r="Q3162">
        <v>15.2</v>
      </c>
      <c r="R3162">
        <v>2.1714000000000001E-2</v>
      </c>
    </row>
    <row r="3163" spans="1:18" ht="13.8" outlineLevel="3" x14ac:dyDescent="0.25">
      <c r="A3163">
        <v>60947</v>
      </c>
      <c r="B3163" t="s">
        <v>3866</v>
      </c>
      <c r="C3163" t="s">
        <v>3867</v>
      </c>
      <c r="D3163" s="14" t="s">
        <v>3868</v>
      </c>
      <c r="E3163" s="12" t="s">
        <v>28</v>
      </c>
      <c r="F3163" s="13" t="s">
        <v>29</v>
      </c>
      <c r="G3163">
        <v>1</v>
      </c>
      <c r="H3163" t="s">
        <v>30</v>
      </c>
      <c r="I3163">
        <v>1</v>
      </c>
      <c r="J3163" s="15"/>
      <c r="K3163" s="16">
        <f>41797.55 - (41797.55 * $E$1)</f>
        <v>41797.550000000003</v>
      </c>
      <c r="L3163" s="16">
        <f>34260.29 - (34260.29 * $E$1)</f>
        <v>34260.29</v>
      </c>
      <c r="M3163" s="1">
        <v>41797.550000000003</v>
      </c>
      <c r="N3163" s="1">
        <v>34260.29</v>
      </c>
      <c r="O3163" s="1">
        <v>35527.919999999998</v>
      </c>
      <c r="P3163" s="1">
        <v>29121.25</v>
      </c>
      <c r="Q3163">
        <v>8.9</v>
      </c>
      <c r="R3163">
        <v>6.7200000000000003E-3</v>
      </c>
    </row>
    <row r="3164" spans="1:18" ht="13.8" outlineLevel="3" x14ac:dyDescent="0.25">
      <c r="A3164">
        <v>54953</v>
      </c>
      <c r="B3164" t="s">
        <v>3866</v>
      </c>
      <c r="C3164" t="s">
        <v>3869</v>
      </c>
      <c r="D3164" s="14" t="s">
        <v>3870</v>
      </c>
      <c r="E3164" s="12" t="s">
        <v>28</v>
      </c>
      <c r="F3164" s="13" t="s">
        <v>29</v>
      </c>
      <c r="G3164">
        <v>1</v>
      </c>
      <c r="H3164" t="s">
        <v>30</v>
      </c>
      <c r="I3164">
        <v>1</v>
      </c>
      <c r="J3164" s="15"/>
      <c r="K3164" s="16">
        <f>54746.74 - (54746.74 * $E$1)</f>
        <v>54746.74</v>
      </c>
      <c r="L3164" s="16">
        <f>44874.38 - (44874.38 * $E$1)</f>
        <v>44874.38</v>
      </c>
      <c r="M3164" s="1">
        <v>54746.74</v>
      </c>
      <c r="N3164" s="1">
        <v>44874.38</v>
      </c>
      <c r="O3164" s="1">
        <v>46534.73</v>
      </c>
      <c r="P3164" s="1">
        <v>38143.22</v>
      </c>
      <c r="Q3164">
        <v>9.77</v>
      </c>
      <c r="R3164">
        <v>6.7200000000000003E-3</v>
      </c>
    </row>
    <row r="3165" spans="1:18" ht="13.8" outlineLevel="3" x14ac:dyDescent="0.25">
      <c r="A3165">
        <v>64083</v>
      </c>
      <c r="B3165" t="s">
        <v>3866</v>
      </c>
      <c r="C3165" t="s">
        <v>3871</v>
      </c>
      <c r="D3165" s="14" t="s">
        <v>3872</v>
      </c>
      <c r="E3165" s="12" t="s">
        <v>28</v>
      </c>
      <c r="F3165" s="13" t="s">
        <v>29</v>
      </c>
      <c r="G3165">
        <v>1</v>
      </c>
      <c r="H3165" t="s">
        <v>30</v>
      </c>
      <c r="I3165">
        <v>1</v>
      </c>
      <c r="J3165" s="15"/>
      <c r="K3165" s="16">
        <f>61134.54 - (61134.54 * $E$1)</f>
        <v>61134.54</v>
      </c>
      <c r="L3165" s="16">
        <f>50110.28 - (50110.28 * $E$1)</f>
        <v>50110.28</v>
      </c>
      <c r="M3165" s="1">
        <v>61134.54</v>
      </c>
      <c r="N3165" s="1">
        <v>50110.28</v>
      </c>
      <c r="O3165" s="1">
        <v>51964.36</v>
      </c>
      <c r="P3165" s="1">
        <v>42593.74</v>
      </c>
      <c r="Q3165">
        <v>10.199999999999999</v>
      </c>
      <c r="R3165">
        <v>1.7808000000000001E-2</v>
      </c>
    </row>
    <row r="3166" spans="1:18" ht="13.8" outlineLevel="3" x14ac:dyDescent="0.25">
      <c r="A3166">
        <v>66149</v>
      </c>
      <c r="B3166" t="s">
        <v>3866</v>
      </c>
      <c r="C3166" t="s">
        <v>3873</v>
      </c>
      <c r="D3166" s="14" t="s">
        <v>3874</v>
      </c>
      <c r="E3166" s="12" t="s">
        <v>28</v>
      </c>
      <c r="F3166" s="13" t="s">
        <v>29</v>
      </c>
      <c r="G3166">
        <v>1</v>
      </c>
      <c r="H3166" t="s">
        <v>30</v>
      </c>
      <c r="I3166">
        <v>1</v>
      </c>
      <c r="J3166" s="15"/>
      <c r="K3166" s="16">
        <f>72832.56 - (72832.56 * $E$1)</f>
        <v>72832.56</v>
      </c>
      <c r="L3166" s="16">
        <f>59698.82 - (59698.82 * $E$1)</f>
        <v>59698.82</v>
      </c>
      <c r="M3166" s="1">
        <v>72832.56</v>
      </c>
      <c r="N3166" s="1">
        <v>59698.82</v>
      </c>
      <c r="O3166" s="1">
        <v>61907.68</v>
      </c>
      <c r="P3166" s="1">
        <v>50744</v>
      </c>
      <c r="Q3166">
        <v>16.3</v>
      </c>
      <c r="R3166">
        <v>2.5529E-2</v>
      </c>
    </row>
    <row r="3167" spans="1:18" ht="13.8" outlineLevel="3" x14ac:dyDescent="0.25">
      <c r="A3167">
        <v>66150</v>
      </c>
      <c r="B3167" t="s">
        <v>3866</v>
      </c>
      <c r="C3167" t="s">
        <v>3875</v>
      </c>
      <c r="D3167" s="14" t="s">
        <v>3876</v>
      </c>
      <c r="E3167" s="12" t="s">
        <v>28</v>
      </c>
      <c r="F3167" s="13" t="s">
        <v>29</v>
      </c>
      <c r="G3167">
        <v>1</v>
      </c>
      <c r="H3167" t="s">
        <v>30</v>
      </c>
      <c r="I3167">
        <v>1</v>
      </c>
      <c r="J3167" s="15"/>
      <c r="K3167" s="16">
        <f>88769.91 - (88769.91 * $E$1)</f>
        <v>88769.91</v>
      </c>
      <c r="L3167" s="16">
        <f>72762.22 - (72762.22 * $E$1)</f>
        <v>72762.22</v>
      </c>
      <c r="M3167" s="1">
        <v>88769.91</v>
      </c>
      <c r="N3167" s="1">
        <v>72762.22</v>
      </c>
      <c r="O3167" s="1">
        <v>75454.42</v>
      </c>
      <c r="P3167" s="1">
        <v>61847.89</v>
      </c>
      <c r="Q3167">
        <v>21.2</v>
      </c>
      <c r="R3167">
        <v>4.5045000000000002E-2</v>
      </c>
    </row>
    <row r="3168" spans="1:18" ht="13.8" outlineLevel="3" x14ac:dyDescent="0.25">
      <c r="A3168">
        <v>105682</v>
      </c>
      <c r="B3168" t="s">
        <v>3877</v>
      </c>
      <c r="C3168" t="s">
        <v>3878</v>
      </c>
      <c r="D3168" s="14" t="s">
        <v>3879</v>
      </c>
      <c r="E3168" s="12" t="s">
        <v>28</v>
      </c>
      <c r="F3168" s="13" t="s">
        <v>29</v>
      </c>
      <c r="G3168">
        <v>1</v>
      </c>
      <c r="H3168" t="s">
        <v>30</v>
      </c>
      <c r="I3168">
        <v>1</v>
      </c>
      <c r="J3168" s="15"/>
      <c r="K3168" s="16">
        <f>IF($E$1&gt;=$Q$1%,106893.51-(106893.51*$Q$1%),106893.51-(106893.51*$E$1))</f>
        <v>106893.51</v>
      </c>
      <c r="L3168" s="16">
        <f>IF($E$1&gt;=$Q$1%,87617.63-(87617.63*$Q$1%),87617.63-(87617.63*$E$1))</f>
        <v>87617.63</v>
      </c>
      <c r="M3168" s="1">
        <v>106893.51</v>
      </c>
      <c r="N3168" s="1">
        <v>87617.63</v>
      </c>
      <c r="O3168" s="1">
        <v>106893.51</v>
      </c>
      <c r="P3168" s="1">
        <v>87617.63</v>
      </c>
      <c r="Q3168">
        <v>7.3</v>
      </c>
      <c r="R3168">
        <v>2.7269999999999999E-2</v>
      </c>
    </row>
    <row r="3169" spans="1:18" ht="13.8" outlineLevel="3" x14ac:dyDescent="0.25">
      <c r="A3169">
        <v>73864</v>
      </c>
      <c r="B3169" t="s">
        <v>3880</v>
      </c>
      <c r="C3169" t="s">
        <v>3881</v>
      </c>
      <c r="D3169" s="14" t="s">
        <v>3882</v>
      </c>
      <c r="E3169" s="12" t="s">
        <v>28</v>
      </c>
      <c r="F3169" s="13" t="s">
        <v>29</v>
      </c>
      <c r="G3169">
        <v>1</v>
      </c>
      <c r="H3169" t="s">
        <v>30</v>
      </c>
      <c r="I3169">
        <v>1</v>
      </c>
      <c r="J3169" s="15"/>
      <c r="K3169" s="16">
        <f>IF($E$1&gt;=$Q$1%,116158.1-(116158.1*$Q$1%),116158.1-(116158.1*$E$1))</f>
        <v>116158.1</v>
      </c>
      <c r="L3169" s="16">
        <f>IF($E$1&gt;=$Q$1%,95211.56-(95211.56*$Q$1%),95211.56-(95211.56*$E$1))</f>
        <v>95211.56</v>
      </c>
      <c r="M3169" s="1">
        <v>116158.1</v>
      </c>
      <c r="N3169" s="1">
        <v>95211.56</v>
      </c>
      <c r="O3169" s="1">
        <v>116158.1</v>
      </c>
      <c r="P3169" s="1">
        <v>95211.56</v>
      </c>
      <c r="Q3169">
        <v>11.3</v>
      </c>
      <c r="R3169">
        <v>3.2528000000000001E-2</v>
      </c>
    </row>
    <row r="3170" spans="1:18" ht="13.8" outlineLevel="3" x14ac:dyDescent="0.25">
      <c r="A3170">
        <v>61843</v>
      </c>
      <c r="B3170" t="s">
        <v>3883</v>
      </c>
      <c r="C3170" t="s">
        <v>3884</v>
      </c>
      <c r="D3170" s="14" t="s">
        <v>3885</v>
      </c>
      <c r="E3170" s="12" t="s">
        <v>28</v>
      </c>
      <c r="F3170" s="13" t="s">
        <v>29</v>
      </c>
      <c r="G3170">
        <v>1</v>
      </c>
      <c r="H3170" t="s">
        <v>30</v>
      </c>
      <c r="I3170">
        <v>1</v>
      </c>
      <c r="J3170" s="15"/>
      <c r="K3170" s="16">
        <f>236680.37 - (236680.37 * $E$1)</f>
        <v>236680.37</v>
      </c>
      <c r="L3170" s="16">
        <f>194000.3 - (194000.3 * $E$1)</f>
        <v>194000.3</v>
      </c>
      <c r="M3170" s="1">
        <v>236680.37</v>
      </c>
      <c r="N3170" s="1">
        <v>194000.3</v>
      </c>
      <c r="O3170" s="1">
        <v>201178.31</v>
      </c>
      <c r="P3170" s="1">
        <v>164900.26</v>
      </c>
      <c r="Q3170">
        <v>34</v>
      </c>
      <c r="R3170">
        <v>5.3199999999999997E-2</v>
      </c>
    </row>
    <row r="3171" spans="1:18" ht="13.8" outlineLevel="3" x14ac:dyDescent="0.25">
      <c r="A3171">
        <v>69477</v>
      </c>
      <c r="B3171" t="s">
        <v>3883</v>
      </c>
      <c r="C3171" t="s">
        <v>3886</v>
      </c>
      <c r="D3171" s="14" t="s">
        <v>3887</v>
      </c>
      <c r="E3171" s="12" t="s">
        <v>28</v>
      </c>
      <c r="F3171" s="13" t="s">
        <v>29</v>
      </c>
      <c r="G3171">
        <v>1</v>
      </c>
      <c r="H3171" t="s">
        <v>30</v>
      </c>
      <c r="I3171">
        <v>1</v>
      </c>
      <c r="J3171" s="15"/>
      <c r="K3171" s="16">
        <f>255194.74 - (255194.74 * $E$1)</f>
        <v>255194.74</v>
      </c>
      <c r="L3171" s="16">
        <f>209176.02 - (209176.02 * $E$1)</f>
        <v>209176.02</v>
      </c>
      <c r="M3171" s="1">
        <v>255194.74</v>
      </c>
      <c r="N3171" s="1">
        <v>209176.02</v>
      </c>
      <c r="O3171" s="1">
        <v>216915.53</v>
      </c>
      <c r="P3171" s="1">
        <v>177799.62</v>
      </c>
      <c r="Q3171">
        <v>39.5</v>
      </c>
      <c r="R3171">
        <v>6.5100000000000005E-2</v>
      </c>
    </row>
    <row r="3172" spans="1:18" ht="16.5" customHeight="1" outlineLevel="2" x14ac:dyDescent="0.35">
      <c r="A3172" s="9"/>
      <c r="B3172" s="10" t="s">
        <v>3888</v>
      </c>
      <c r="C3172" s="10"/>
      <c r="D3172" s="10"/>
      <c r="E3172" s="10"/>
      <c r="F3172" s="10"/>
      <c r="G3172" s="10"/>
      <c r="H3172" s="10"/>
      <c r="I3172" s="10"/>
      <c r="J3172" s="10"/>
      <c r="K3172" s="10"/>
      <c r="L3172" s="10"/>
      <c r="M3172" s="10"/>
      <c r="N3172" s="10"/>
      <c r="O3172" s="10"/>
      <c r="P3172" s="10"/>
      <c r="Q3172" s="10"/>
      <c r="R3172" s="11"/>
    </row>
    <row r="3173" spans="1:18" ht="13.8" outlineLevel="3" x14ac:dyDescent="0.25">
      <c r="A3173">
        <v>79822</v>
      </c>
      <c r="B3173" t="s">
        <v>3889</v>
      </c>
      <c r="C3173" t="s">
        <v>3890</v>
      </c>
      <c r="D3173" s="14" t="s">
        <v>3891</v>
      </c>
      <c r="E3173" s="12" t="s">
        <v>28</v>
      </c>
      <c r="F3173" s="13" t="s">
        <v>29</v>
      </c>
      <c r="G3173">
        <v>1</v>
      </c>
      <c r="H3173" t="s">
        <v>30</v>
      </c>
      <c r="I3173">
        <v>1</v>
      </c>
      <c r="J3173" s="15"/>
      <c r="K3173" s="16">
        <f>IF($E$1&gt;=$Q$1%,1446.09-(1446.09*$Q$1%),1446.09-(1446.09*$E$1))</f>
        <v>1446.09</v>
      </c>
      <c r="L3173" s="16">
        <f>IF($E$1&gt;=$Q$1%,1185.32-(1185.32*$Q$1%),1185.32-(1185.32*$E$1))</f>
        <v>1185.32</v>
      </c>
      <c r="M3173" s="1">
        <v>1446.09</v>
      </c>
      <c r="N3173" s="1">
        <v>1185.32</v>
      </c>
      <c r="O3173" s="1">
        <v>1446.09</v>
      </c>
      <c r="P3173" s="1">
        <v>1185.32</v>
      </c>
      <c r="Q3173">
        <v>0.5</v>
      </c>
      <c r="R3173">
        <v>4.0959999999999998E-3</v>
      </c>
    </row>
    <row r="3174" spans="1:18" ht="13.8" outlineLevel="3" x14ac:dyDescent="0.25">
      <c r="A3174">
        <v>79823</v>
      </c>
      <c r="B3174" t="s">
        <v>3889</v>
      </c>
      <c r="C3174" t="s">
        <v>3892</v>
      </c>
      <c r="D3174" s="14" t="s">
        <v>3893</v>
      </c>
      <c r="E3174" s="12" t="s">
        <v>28</v>
      </c>
      <c r="F3174" s="13" t="s">
        <v>29</v>
      </c>
      <c r="G3174">
        <v>1</v>
      </c>
      <c r="H3174" t="s">
        <v>30</v>
      </c>
      <c r="I3174">
        <v>1</v>
      </c>
      <c r="J3174" s="15"/>
      <c r="K3174" s="16">
        <f>IF($E$1&gt;=$Q$1%,3069.83-(3069.83*$Q$1%),3069.83-(3069.83*$E$1))</f>
        <v>3069.83</v>
      </c>
      <c r="L3174" s="16">
        <f>IF($E$1&gt;=$Q$1%,2516.25-(2516.25*$Q$1%),2516.25-(2516.25*$E$1))</f>
        <v>2516.25</v>
      </c>
      <c r="M3174" s="1">
        <v>3069.83</v>
      </c>
      <c r="N3174" s="1">
        <v>2516.25</v>
      </c>
      <c r="O3174" s="1">
        <v>3069.83</v>
      </c>
      <c r="P3174" s="1">
        <v>2516.25</v>
      </c>
      <c r="Q3174">
        <v>0.8</v>
      </c>
      <c r="R3174">
        <v>2.7139999999999998E-3</v>
      </c>
    </row>
    <row r="3175" spans="1:18" ht="16.5" customHeight="1" outlineLevel="1" x14ac:dyDescent="0.35">
      <c r="A3175" s="9"/>
      <c r="B3175" s="10" t="s">
        <v>3894</v>
      </c>
      <c r="C3175" s="10"/>
      <c r="D3175" s="10"/>
      <c r="E3175" s="10"/>
      <c r="F3175" s="10"/>
      <c r="G3175" s="10"/>
      <c r="H3175" s="10"/>
      <c r="I3175" s="10"/>
      <c r="J3175" s="10"/>
      <c r="K3175" s="10"/>
      <c r="L3175" s="10"/>
      <c r="M3175" s="10"/>
      <c r="N3175" s="10"/>
      <c r="O3175" s="10"/>
      <c r="P3175" s="10"/>
      <c r="Q3175" s="10"/>
      <c r="R3175" s="11"/>
    </row>
    <row r="3176" spans="1:18" ht="13.8" outlineLevel="2" x14ac:dyDescent="0.25">
      <c r="A3176">
        <v>55938</v>
      </c>
      <c r="B3176" t="s">
        <v>3895</v>
      </c>
      <c r="C3176" t="s">
        <v>3896</v>
      </c>
      <c r="D3176" s="14" t="s">
        <v>3897</v>
      </c>
      <c r="E3176" s="12" t="s">
        <v>28</v>
      </c>
      <c r="F3176" s="13" t="s">
        <v>29</v>
      </c>
      <c r="G3176">
        <v>1</v>
      </c>
      <c r="H3176" t="s">
        <v>30</v>
      </c>
      <c r="I3176">
        <v>1</v>
      </c>
      <c r="J3176" s="15"/>
      <c r="K3176" s="16">
        <f>563.49 - (563.49 * $E$1)</f>
        <v>563.49</v>
      </c>
      <c r="L3176" s="16">
        <f>461.88 - (461.88 * $E$1)</f>
        <v>461.88</v>
      </c>
      <c r="M3176" s="1">
        <v>563.49</v>
      </c>
      <c r="N3176" s="1">
        <v>461.88</v>
      </c>
      <c r="O3176" s="1">
        <v>478.97</v>
      </c>
      <c r="P3176" s="1">
        <v>392.6</v>
      </c>
      <c r="Q3176">
        <v>0.06</v>
      </c>
      <c r="R3176">
        <v>2.3599999999999999E-4</v>
      </c>
    </row>
    <row r="3177" spans="1:18" ht="13.8" outlineLevel="2" x14ac:dyDescent="0.25">
      <c r="A3177">
        <v>86590</v>
      </c>
      <c r="B3177" t="s">
        <v>3898</v>
      </c>
      <c r="C3177" t="s">
        <v>3899</v>
      </c>
      <c r="D3177" s="14" t="s">
        <v>3900</v>
      </c>
      <c r="E3177" s="12" t="s">
        <v>28</v>
      </c>
      <c r="F3177" s="13" t="s">
        <v>29</v>
      </c>
      <c r="G3177">
        <v>1</v>
      </c>
      <c r="H3177" t="s">
        <v>30</v>
      </c>
      <c r="I3177">
        <v>1</v>
      </c>
      <c r="J3177" s="15"/>
      <c r="K3177" s="16">
        <f>597.52 - (597.52 * $E$1)</f>
        <v>597.52</v>
      </c>
      <c r="L3177" s="16">
        <f>489.77 - (489.77 * $E$1)</f>
        <v>489.77</v>
      </c>
      <c r="M3177" s="1">
        <v>597.52</v>
      </c>
      <c r="N3177" s="1">
        <v>489.77</v>
      </c>
      <c r="O3177" s="1">
        <v>507.89</v>
      </c>
      <c r="P3177" s="1">
        <v>416.3</v>
      </c>
      <c r="Q3177">
        <v>6.2E-2</v>
      </c>
      <c r="R3177">
        <v>2.14E-4</v>
      </c>
    </row>
    <row r="3178" spans="1:18" ht="13.8" outlineLevel="2" x14ac:dyDescent="0.25">
      <c r="A3178">
        <v>86591</v>
      </c>
      <c r="B3178" t="s">
        <v>3895</v>
      </c>
      <c r="C3178" t="s">
        <v>3901</v>
      </c>
      <c r="D3178" s="14" t="s">
        <v>3902</v>
      </c>
      <c r="E3178" s="12" t="s">
        <v>28</v>
      </c>
      <c r="F3178" s="13" t="s">
        <v>29</v>
      </c>
      <c r="G3178">
        <v>1</v>
      </c>
      <c r="H3178" t="s">
        <v>30</v>
      </c>
      <c r="I3178">
        <v>1</v>
      </c>
      <c r="J3178" s="15"/>
      <c r="K3178" s="16">
        <f>613.21 - (613.21 * $E$1)</f>
        <v>613.21</v>
      </c>
      <c r="L3178" s="16">
        <f>502.63 - (502.63 * $E$1)</f>
        <v>502.63</v>
      </c>
      <c r="M3178" s="1">
        <v>613.21</v>
      </c>
      <c r="N3178" s="1">
        <v>502.63</v>
      </c>
      <c r="O3178" s="1">
        <v>521.23</v>
      </c>
      <c r="P3178" s="1">
        <v>427.24</v>
      </c>
      <c r="Q3178">
        <v>0.06</v>
      </c>
      <c r="R3178">
        <v>2.8499999999999999E-4</v>
      </c>
    </row>
    <row r="3179" spans="1:18" ht="13.8" outlineLevel="2" x14ac:dyDescent="0.25">
      <c r="A3179">
        <v>86592</v>
      </c>
      <c r="B3179" t="s">
        <v>3895</v>
      </c>
      <c r="C3179" t="s">
        <v>3903</v>
      </c>
      <c r="D3179" s="14" t="s">
        <v>3904</v>
      </c>
      <c r="E3179" s="12" t="s">
        <v>28</v>
      </c>
      <c r="F3179" s="13" t="s">
        <v>29</v>
      </c>
      <c r="G3179">
        <v>1</v>
      </c>
      <c r="H3179" t="s">
        <v>30</v>
      </c>
      <c r="I3179">
        <v>1</v>
      </c>
      <c r="J3179" s="15"/>
      <c r="K3179" s="16">
        <f>881.54 - (881.54 * $E$1)</f>
        <v>881.54</v>
      </c>
      <c r="L3179" s="16">
        <f>722.57 - (722.57 * $E$1)</f>
        <v>722.57</v>
      </c>
      <c r="M3179" s="1">
        <v>881.54</v>
      </c>
      <c r="N3179" s="1">
        <v>722.57</v>
      </c>
      <c r="O3179" s="1">
        <v>749.31</v>
      </c>
      <c r="P3179" s="1">
        <v>614.17999999999995</v>
      </c>
      <c r="Q3179">
        <v>7.5999999999999998E-2</v>
      </c>
      <c r="R3179">
        <v>2.9300000000000002E-4</v>
      </c>
    </row>
    <row r="3180" spans="1:18" ht="13.8" outlineLevel="2" x14ac:dyDescent="0.25">
      <c r="A3180">
        <v>86593</v>
      </c>
      <c r="B3180" t="s">
        <v>3895</v>
      </c>
      <c r="C3180" t="s">
        <v>3905</v>
      </c>
      <c r="D3180" s="14" t="s">
        <v>3906</v>
      </c>
      <c r="E3180" s="12" t="s">
        <v>28</v>
      </c>
      <c r="F3180" s="13" t="s">
        <v>29</v>
      </c>
      <c r="G3180">
        <v>1</v>
      </c>
      <c r="H3180" t="s">
        <v>30</v>
      </c>
      <c r="I3180">
        <v>1</v>
      </c>
      <c r="J3180" s="15"/>
      <c r="K3180" s="16">
        <f>522.39 - (522.39 * $E$1)</f>
        <v>522.39</v>
      </c>
      <c r="L3180" s="16">
        <f>428.19 - (428.19 * $E$1)</f>
        <v>428.19</v>
      </c>
      <c r="M3180" s="1">
        <v>522.39</v>
      </c>
      <c r="N3180" s="1">
        <v>428.19</v>
      </c>
      <c r="O3180" s="1">
        <v>444.03</v>
      </c>
      <c r="P3180" s="1">
        <v>363.96</v>
      </c>
      <c r="Q3180">
        <v>6.8000000000000005E-2</v>
      </c>
      <c r="R3180">
        <v>2.8499999999999999E-4</v>
      </c>
    </row>
    <row r="3181" spans="1:18" ht="13.8" outlineLevel="2" x14ac:dyDescent="0.25">
      <c r="A3181">
        <v>92060</v>
      </c>
      <c r="B3181" t="s">
        <v>3907</v>
      </c>
      <c r="C3181" t="s">
        <v>3908</v>
      </c>
      <c r="D3181" s="14" t="s">
        <v>3909</v>
      </c>
      <c r="E3181" s="12" t="s">
        <v>28</v>
      </c>
      <c r="F3181" s="13" t="s">
        <v>29</v>
      </c>
      <c r="G3181">
        <v>1</v>
      </c>
      <c r="H3181" t="s">
        <v>30</v>
      </c>
      <c r="I3181">
        <v>1</v>
      </c>
      <c r="J3181" s="15"/>
      <c r="K3181" s="16">
        <f>726.45 - (726.45 * $E$1)</f>
        <v>726.45</v>
      </c>
      <c r="L3181" s="16">
        <f>595.45 - (595.45 * $E$1)</f>
        <v>595.45000000000005</v>
      </c>
      <c r="M3181" s="1">
        <v>726.45</v>
      </c>
      <c r="N3181" s="1">
        <v>595.45000000000005</v>
      </c>
      <c r="O3181" s="1">
        <v>617.48</v>
      </c>
      <c r="P3181" s="1">
        <v>506.13</v>
      </c>
      <c r="Q3181">
        <v>8.2000000000000003E-2</v>
      </c>
      <c r="R3181">
        <v>3.1500000000000001E-4</v>
      </c>
    </row>
    <row r="3182" spans="1:18" ht="16.5" customHeight="1" outlineLevel="1" x14ac:dyDescent="0.35">
      <c r="A3182" s="9"/>
      <c r="B3182" s="10" t="s">
        <v>3910</v>
      </c>
      <c r="C3182" s="10"/>
      <c r="D3182" s="10"/>
      <c r="E3182" s="10"/>
      <c r="F3182" s="10"/>
      <c r="G3182" s="10"/>
      <c r="H3182" s="10"/>
      <c r="I3182" s="10"/>
      <c r="J3182" s="10"/>
      <c r="K3182" s="10"/>
      <c r="L3182" s="10"/>
      <c r="M3182" s="10"/>
      <c r="N3182" s="10"/>
      <c r="O3182" s="10"/>
      <c r="P3182" s="10"/>
      <c r="Q3182" s="10"/>
      <c r="R3182" s="11"/>
    </row>
    <row r="3183" spans="1:18" ht="16.5" customHeight="1" outlineLevel="2" x14ac:dyDescent="0.35">
      <c r="A3183" s="9"/>
      <c r="B3183" s="10" t="s">
        <v>3911</v>
      </c>
      <c r="C3183" s="10"/>
      <c r="D3183" s="10"/>
      <c r="E3183" s="10"/>
      <c r="F3183" s="10"/>
      <c r="G3183" s="10"/>
      <c r="H3183" s="10"/>
      <c r="I3183" s="10"/>
      <c r="J3183" s="10"/>
      <c r="K3183" s="10"/>
      <c r="L3183" s="10"/>
      <c r="M3183" s="10"/>
      <c r="N3183" s="10"/>
      <c r="O3183" s="10"/>
      <c r="P3183" s="10"/>
      <c r="Q3183" s="10"/>
      <c r="R3183" s="11"/>
    </row>
    <row r="3184" spans="1:18" ht="13.8" outlineLevel="3" x14ac:dyDescent="0.25">
      <c r="A3184">
        <v>92123</v>
      </c>
      <c r="B3184" t="s">
        <v>3912</v>
      </c>
      <c r="C3184" t="s">
        <v>3913</v>
      </c>
      <c r="D3184" s="14" t="s">
        <v>3914</v>
      </c>
      <c r="E3184" s="12" t="s">
        <v>28</v>
      </c>
      <c r="F3184" s="13" t="s">
        <v>29</v>
      </c>
      <c r="G3184">
        <v>1</v>
      </c>
      <c r="H3184" t="s">
        <v>30</v>
      </c>
      <c r="I3184">
        <v>1</v>
      </c>
      <c r="J3184" s="15"/>
      <c r="K3184" s="21" t="s">
        <v>3915</v>
      </c>
      <c r="L3184" s="21" t="s">
        <v>3916</v>
      </c>
      <c r="M3184" s="1">
        <v>824.9</v>
      </c>
      <c r="N3184" s="1">
        <v>676.15</v>
      </c>
      <c r="O3184" s="1">
        <v>701.17</v>
      </c>
      <c r="P3184" s="1">
        <v>574.73</v>
      </c>
      <c r="Q3184">
        <v>0.32400000000000001</v>
      </c>
      <c r="R3184">
        <v>7.1599999999999995E-4</v>
      </c>
    </row>
    <row r="3185" spans="1:18" ht="13.8" outlineLevel="3" x14ac:dyDescent="0.25">
      <c r="A3185">
        <v>92124</v>
      </c>
      <c r="B3185" t="s">
        <v>3912</v>
      </c>
      <c r="C3185" t="s">
        <v>3917</v>
      </c>
      <c r="D3185" s="14" t="s">
        <v>3918</v>
      </c>
      <c r="E3185" s="12" t="s">
        <v>28</v>
      </c>
      <c r="F3185" s="13" t="s">
        <v>29</v>
      </c>
      <c r="G3185">
        <v>1</v>
      </c>
      <c r="H3185" t="s">
        <v>30</v>
      </c>
      <c r="I3185">
        <v>1</v>
      </c>
      <c r="J3185" s="15"/>
      <c r="K3185" s="21" t="s">
        <v>3919</v>
      </c>
      <c r="L3185" s="21" t="s">
        <v>3920</v>
      </c>
      <c r="M3185" s="1">
        <v>843.86</v>
      </c>
      <c r="N3185" s="1">
        <v>691.69</v>
      </c>
      <c r="O3185" s="1">
        <v>717.28</v>
      </c>
      <c r="P3185" s="1">
        <v>587.94000000000005</v>
      </c>
      <c r="Q3185">
        <v>0.34399999999999997</v>
      </c>
      <c r="R3185">
        <v>4.8999999999999998E-4</v>
      </c>
    </row>
    <row r="3186" spans="1:18" ht="13.8" outlineLevel="3" x14ac:dyDescent="0.25">
      <c r="A3186">
        <v>59940</v>
      </c>
      <c r="B3186" t="s">
        <v>3921</v>
      </c>
      <c r="C3186" t="s">
        <v>3922</v>
      </c>
      <c r="D3186" s="14" t="s">
        <v>3923</v>
      </c>
      <c r="E3186" s="12" t="s">
        <v>28</v>
      </c>
      <c r="F3186" s="13" t="s">
        <v>29</v>
      </c>
      <c r="G3186">
        <v>1</v>
      </c>
      <c r="H3186" t="s">
        <v>30</v>
      </c>
      <c r="I3186">
        <v>1</v>
      </c>
      <c r="J3186" s="15"/>
      <c r="K3186" s="16">
        <f>IF($E$1&gt;=$Q$1%,3908.92-(3908.92*$Q$1%),3908.92-(3908.92*$E$1))</f>
        <v>3908.92</v>
      </c>
      <c r="L3186" s="16">
        <f>IF($E$1&gt;=$Q$1%,3204.03-(3204.03*$Q$1%),3204.03-(3204.03*$E$1))</f>
        <v>3204.03</v>
      </c>
      <c r="M3186" s="1">
        <v>3908.92</v>
      </c>
      <c r="N3186" s="1">
        <v>3204.03</v>
      </c>
      <c r="O3186" s="1">
        <v>3908.92</v>
      </c>
      <c r="P3186" s="1">
        <v>3204.03</v>
      </c>
      <c r="Q3186">
        <v>0.8</v>
      </c>
      <c r="R3186">
        <v>1.2880000000000001E-3</v>
      </c>
    </row>
    <row r="3187" spans="1:18" ht="13.8" outlineLevel="3" x14ac:dyDescent="0.25">
      <c r="A3187">
        <v>58594</v>
      </c>
      <c r="B3187" t="s">
        <v>3921</v>
      </c>
      <c r="C3187" t="s">
        <v>3924</v>
      </c>
      <c r="D3187" s="14" t="s">
        <v>3925</v>
      </c>
      <c r="E3187" s="12" t="s">
        <v>28</v>
      </c>
      <c r="F3187" s="13" t="s">
        <v>29</v>
      </c>
      <c r="G3187">
        <v>1</v>
      </c>
      <c r="H3187" t="s">
        <v>30</v>
      </c>
      <c r="I3187">
        <v>1</v>
      </c>
      <c r="J3187" s="15"/>
      <c r="K3187" s="16">
        <f>IF($E$1&gt;=$Q$1%,5294.74-(5294.74*$Q$1%),5294.74-(5294.74*$E$1))</f>
        <v>5294.74</v>
      </c>
      <c r="L3187" s="16">
        <f>IF($E$1&gt;=$Q$1%,4339.95-(4339.95*$Q$1%),4339.95-(4339.95*$E$1))</f>
        <v>4339.95</v>
      </c>
      <c r="M3187" s="1">
        <v>5294.74</v>
      </c>
      <c r="N3187" s="1">
        <v>4339.95</v>
      </c>
      <c r="O3187" s="1">
        <v>5294.74</v>
      </c>
      <c r="P3187" s="1">
        <v>4339.95</v>
      </c>
      <c r="Q3187">
        <v>1.8</v>
      </c>
      <c r="R3187">
        <v>4.6670000000000001E-3</v>
      </c>
    </row>
    <row r="3188" spans="1:18" ht="13.8" outlineLevel="3" x14ac:dyDescent="0.25">
      <c r="A3188">
        <v>67656</v>
      </c>
      <c r="B3188" t="s">
        <v>3921</v>
      </c>
      <c r="C3188" t="s">
        <v>3926</v>
      </c>
      <c r="D3188" s="14" t="s">
        <v>3927</v>
      </c>
      <c r="E3188" s="12" t="s">
        <v>28</v>
      </c>
      <c r="F3188" s="13" t="s">
        <v>29</v>
      </c>
      <c r="G3188">
        <v>1</v>
      </c>
      <c r="H3188" t="s">
        <v>30</v>
      </c>
      <c r="I3188">
        <v>1</v>
      </c>
      <c r="J3188" s="15"/>
      <c r="K3188" s="16">
        <f>IF($E$1&gt;=$Q$1%,9857.16-(9857.16*$Q$1%),9857.16-(9857.16*$E$1))</f>
        <v>9857.16</v>
      </c>
      <c r="L3188" s="16">
        <f>IF($E$1&gt;=$Q$1%,8079.64-(8079.64*$Q$1%),8079.64-(8079.64*$E$1))</f>
        <v>8079.64</v>
      </c>
      <c r="M3188" s="1">
        <v>9857.16</v>
      </c>
      <c r="N3188" s="1">
        <v>8079.64</v>
      </c>
      <c r="O3188" s="1">
        <v>9857.16</v>
      </c>
      <c r="P3188" s="1">
        <v>8079.64</v>
      </c>
      <c r="Q3188">
        <v>2.9</v>
      </c>
      <c r="R3188">
        <v>7.2899999999999996E-3</v>
      </c>
    </row>
    <row r="3189" spans="1:18" ht="13.8" outlineLevel="3" x14ac:dyDescent="0.25">
      <c r="A3189">
        <v>101990</v>
      </c>
      <c r="B3189" t="s">
        <v>3912</v>
      </c>
      <c r="C3189" t="s">
        <v>3928</v>
      </c>
      <c r="D3189" s="14" t="s">
        <v>3929</v>
      </c>
      <c r="E3189" s="12" t="s">
        <v>28</v>
      </c>
      <c r="F3189" s="13" t="s">
        <v>29</v>
      </c>
      <c r="G3189">
        <v>1</v>
      </c>
      <c r="H3189" t="s">
        <v>30</v>
      </c>
      <c r="I3189">
        <v>1</v>
      </c>
      <c r="J3189" s="15"/>
      <c r="K3189" s="21" t="s">
        <v>3930</v>
      </c>
      <c r="L3189" s="21" t="s">
        <v>3931</v>
      </c>
      <c r="M3189" s="1">
        <v>2864.62</v>
      </c>
      <c r="N3189" s="1">
        <v>2348.0500000000002</v>
      </c>
      <c r="O3189" s="1">
        <v>2434.9299999999998</v>
      </c>
      <c r="P3189" s="1">
        <v>1995.84</v>
      </c>
      <c r="Q3189">
        <v>2.68</v>
      </c>
      <c r="R3189">
        <v>3.9060000000000002E-3</v>
      </c>
    </row>
    <row r="3190" spans="1:18" ht="13.8" outlineLevel="3" x14ac:dyDescent="0.25">
      <c r="A3190">
        <v>101991</v>
      </c>
      <c r="B3190" t="s">
        <v>3912</v>
      </c>
      <c r="C3190" t="s">
        <v>3932</v>
      </c>
      <c r="D3190" s="14" t="s">
        <v>3933</v>
      </c>
      <c r="E3190" s="12" t="s">
        <v>28</v>
      </c>
      <c r="F3190" s="13" t="s">
        <v>29</v>
      </c>
      <c r="G3190">
        <v>1</v>
      </c>
      <c r="H3190" t="s">
        <v>30</v>
      </c>
      <c r="I3190">
        <v>1</v>
      </c>
      <c r="J3190" s="15"/>
      <c r="K3190" s="21" t="s">
        <v>3934</v>
      </c>
      <c r="L3190" s="21" t="s">
        <v>3935</v>
      </c>
      <c r="M3190" s="1">
        <v>4639.78</v>
      </c>
      <c r="N3190" s="1">
        <v>3803.1</v>
      </c>
      <c r="O3190" s="1">
        <v>3943.81</v>
      </c>
      <c r="P3190" s="1">
        <v>3232.64</v>
      </c>
      <c r="Q3190">
        <v>5.07</v>
      </c>
      <c r="R3190">
        <v>9.6600000000000002E-3</v>
      </c>
    </row>
    <row r="3191" spans="1:18" ht="13.8" outlineLevel="3" x14ac:dyDescent="0.25">
      <c r="A3191">
        <v>67270</v>
      </c>
      <c r="B3191" t="s">
        <v>3921</v>
      </c>
      <c r="C3191" t="s">
        <v>3936</v>
      </c>
      <c r="D3191" s="14" t="s">
        <v>3937</v>
      </c>
      <c r="E3191" s="12" t="s">
        <v>28</v>
      </c>
      <c r="F3191" s="13" t="s">
        <v>29</v>
      </c>
      <c r="G3191">
        <v>1</v>
      </c>
      <c r="H3191" t="s">
        <v>30</v>
      </c>
      <c r="I3191">
        <v>1</v>
      </c>
      <c r="J3191" s="15"/>
      <c r="K3191" s="16">
        <f>IF($E$1&gt;=$Q$1%,5646.82-(5646.82*$Q$1%),5646.82-(5646.82*$E$1))</f>
        <v>5646.82</v>
      </c>
      <c r="L3191" s="16">
        <f>IF($E$1&gt;=$Q$1%,4628.54-(4628.54*$Q$1%),4628.54-(4628.54*$E$1))</f>
        <v>4628.54</v>
      </c>
      <c r="M3191" s="1">
        <v>5646.82</v>
      </c>
      <c r="N3191" s="1">
        <v>4628.54</v>
      </c>
      <c r="O3191" s="1">
        <v>5646.82</v>
      </c>
      <c r="P3191" s="1">
        <v>4628.54</v>
      </c>
      <c r="Q3191">
        <v>1.7</v>
      </c>
      <c r="R3191">
        <v>2.1090000000000002E-3</v>
      </c>
    </row>
    <row r="3192" spans="1:18" ht="13.8" outlineLevel="3" x14ac:dyDescent="0.25">
      <c r="A3192">
        <v>59941</v>
      </c>
      <c r="B3192" t="s">
        <v>3921</v>
      </c>
      <c r="C3192" t="s">
        <v>3938</v>
      </c>
      <c r="D3192" s="14" t="s">
        <v>3939</v>
      </c>
      <c r="E3192" s="12" t="s">
        <v>28</v>
      </c>
      <c r="F3192" s="13" t="s">
        <v>29</v>
      </c>
      <c r="G3192">
        <v>1</v>
      </c>
      <c r="H3192" t="s">
        <v>30</v>
      </c>
      <c r="I3192">
        <v>1</v>
      </c>
      <c r="J3192" s="15"/>
      <c r="K3192" s="16">
        <f>IF($E$1&gt;=$Q$1%,7104.66-(7104.66*$Q$1%),7104.66-(7104.66*$E$1))</f>
        <v>7104.66</v>
      </c>
      <c r="L3192" s="16">
        <f>IF($E$1&gt;=$Q$1%,5823.49-(5823.49*$Q$1%),5823.49-(5823.49*$E$1))</f>
        <v>5823.49</v>
      </c>
      <c r="M3192" s="1">
        <v>7104.66</v>
      </c>
      <c r="N3192" s="1">
        <v>5823.49</v>
      </c>
      <c r="O3192" s="1">
        <v>7104.66</v>
      </c>
      <c r="P3192" s="1">
        <v>5823.49</v>
      </c>
      <c r="Q3192">
        <v>2.9</v>
      </c>
      <c r="R3192">
        <v>3.5639999999999999E-3</v>
      </c>
    </row>
    <row r="3193" spans="1:18" ht="13.8" outlineLevel="3" x14ac:dyDescent="0.25">
      <c r="A3193">
        <v>67055</v>
      </c>
      <c r="B3193" t="s">
        <v>3940</v>
      </c>
      <c r="C3193" t="s">
        <v>3941</v>
      </c>
      <c r="D3193" s="14" t="s">
        <v>3942</v>
      </c>
      <c r="E3193" s="12" t="s">
        <v>28</v>
      </c>
      <c r="F3193" s="13" t="s">
        <v>29</v>
      </c>
      <c r="G3193">
        <v>1</v>
      </c>
      <c r="H3193" t="s">
        <v>30</v>
      </c>
      <c r="I3193">
        <v>1</v>
      </c>
      <c r="J3193" s="15"/>
      <c r="K3193" s="16">
        <f>IF($E$1&gt;=$Q$1%,39899.64-(39899.64*$Q$1%),39899.64-(39899.64*$E$1))</f>
        <v>39899.64</v>
      </c>
      <c r="L3193" s="16">
        <f>IF($E$1&gt;=$Q$1%,32704.62-(32704.62*$Q$1%),32704.62-(32704.62*$E$1))</f>
        <v>32704.62</v>
      </c>
      <c r="M3193" s="1">
        <v>39899.64</v>
      </c>
      <c r="N3193" s="1">
        <v>32704.62</v>
      </c>
      <c r="O3193" s="1">
        <v>39899.64</v>
      </c>
      <c r="P3193" s="1">
        <v>32704.62</v>
      </c>
      <c r="Q3193">
        <v>4.3899999999999997</v>
      </c>
      <c r="R3193">
        <v>6.8450000000000004E-3</v>
      </c>
    </row>
    <row r="3194" spans="1:18" ht="13.8" outlineLevel="3" x14ac:dyDescent="0.25">
      <c r="A3194">
        <v>91797</v>
      </c>
      <c r="B3194" t="s">
        <v>3943</v>
      </c>
      <c r="C3194" t="s">
        <v>3944</v>
      </c>
      <c r="D3194" s="14" t="s">
        <v>3945</v>
      </c>
      <c r="E3194" s="12" t="s">
        <v>28</v>
      </c>
      <c r="F3194" s="13" t="s">
        <v>29</v>
      </c>
      <c r="G3194">
        <v>1</v>
      </c>
      <c r="H3194" t="s">
        <v>30</v>
      </c>
      <c r="I3194">
        <v>1</v>
      </c>
      <c r="J3194" s="15"/>
      <c r="K3194" s="16">
        <f>IF($E$1&gt;=$Q$1%,103408.8-(103408.8*$Q$1%),103408.8-(103408.8*$E$1))</f>
        <v>103408.8</v>
      </c>
      <c r="L3194" s="16">
        <f>IF($E$1&gt;=$Q$1%,84761.31-(84761.31*$Q$1%),84761.31-(84761.31*$E$1))</f>
        <v>84761.31</v>
      </c>
      <c r="M3194" s="1">
        <v>103408.8</v>
      </c>
      <c r="N3194" s="1">
        <v>84761.31</v>
      </c>
      <c r="O3194" s="1">
        <v>103408.8</v>
      </c>
      <c r="P3194" s="1">
        <v>84761.31</v>
      </c>
      <c r="Q3194">
        <v>6.56</v>
      </c>
      <c r="R3194">
        <v>2.5999999999999999E-2</v>
      </c>
    </row>
    <row r="3195" spans="1:18" ht="13.8" outlineLevel="3" x14ac:dyDescent="0.25">
      <c r="A3195">
        <v>89255</v>
      </c>
      <c r="B3195" t="s">
        <v>3946</v>
      </c>
      <c r="C3195" t="s">
        <v>3947</v>
      </c>
      <c r="D3195" s="14" t="s">
        <v>3948</v>
      </c>
      <c r="E3195" s="12" t="s">
        <v>28</v>
      </c>
      <c r="F3195" s="13" t="s">
        <v>29</v>
      </c>
      <c r="G3195">
        <v>1</v>
      </c>
      <c r="H3195" t="s">
        <v>30</v>
      </c>
      <c r="I3195">
        <v>1</v>
      </c>
      <c r="J3195" s="15"/>
      <c r="K3195" s="16">
        <f>IF($E$1&gt;=$Q$1%,20706.67-(20706.67*$Q$1%),20706.67-(20706.67*$E$1))</f>
        <v>20706.669999999998</v>
      </c>
      <c r="L3195" s="16">
        <f>IF($E$1&gt;=$Q$1%,16972.68-(16972.68*$Q$1%),16972.68-(16972.68*$E$1))</f>
        <v>16972.68</v>
      </c>
      <c r="M3195" s="1">
        <v>20706.669999999998</v>
      </c>
      <c r="N3195" s="1">
        <v>16972.68</v>
      </c>
      <c r="O3195" s="1">
        <v>20706.669999999998</v>
      </c>
      <c r="P3195" s="1">
        <v>16972.68</v>
      </c>
      <c r="Q3195">
        <v>16.8</v>
      </c>
      <c r="R3195">
        <v>1.4112E-2</v>
      </c>
    </row>
    <row r="3196" spans="1:18" ht="13.8" outlineLevel="3" x14ac:dyDescent="0.25">
      <c r="A3196">
        <v>89256</v>
      </c>
      <c r="B3196" t="s">
        <v>3946</v>
      </c>
      <c r="C3196" t="s">
        <v>3949</v>
      </c>
      <c r="D3196" s="14" t="s">
        <v>3950</v>
      </c>
      <c r="E3196" s="12" t="s">
        <v>28</v>
      </c>
      <c r="F3196" s="13" t="s">
        <v>29</v>
      </c>
      <c r="G3196">
        <v>1</v>
      </c>
      <c r="H3196" t="s">
        <v>30</v>
      </c>
      <c r="I3196">
        <v>1</v>
      </c>
      <c r="J3196" s="15"/>
      <c r="K3196" s="16">
        <f>IF($E$1&gt;=$Q$1%,49498.05-(49498.05*$Q$1%),49498.05-(49498.05*$E$1))</f>
        <v>49498.05</v>
      </c>
      <c r="L3196" s="16">
        <f>IF($E$1&gt;=$Q$1%,40572.17-(40572.17*$Q$1%),40572.17-(40572.17*$E$1))</f>
        <v>40572.17</v>
      </c>
      <c r="M3196" s="1">
        <v>49498.05</v>
      </c>
      <c r="N3196" s="1">
        <v>40572.17</v>
      </c>
      <c r="O3196" s="1">
        <v>49498.05</v>
      </c>
      <c r="P3196" s="1">
        <v>40572.17</v>
      </c>
      <c r="Q3196">
        <v>30.7</v>
      </c>
      <c r="R3196">
        <v>2.1600000000000001E-2</v>
      </c>
    </row>
    <row r="3197" spans="1:18" ht="16.5" customHeight="1" outlineLevel="2" x14ac:dyDescent="0.35">
      <c r="A3197" s="9"/>
      <c r="B3197" s="10" t="s">
        <v>3951</v>
      </c>
      <c r="C3197" s="10"/>
      <c r="D3197" s="10"/>
      <c r="E3197" s="10"/>
      <c r="F3197" s="10"/>
      <c r="G3197" s="10"/>
      <c r="H3197" s="10"/>
      <c r="I3197" s="10"/>
      <c r="J3197" s="10"/>
      <c r="K3197" s="10"/>
      <c r="L3197" s="10"/>
      <c r="M3197" s="10"/>
      <c r="N3197" s="10"/>
      <c r="O3197" s="10"/>
      <c r="P3197" s="10"/>
      <c r="Q3197" s="10"/>
      <c r="R3197" s="11"/>
    </row>
    <row r="3198" spans="1:18" ht="13.8" outlineLevel="3" x14ac:dyDescent="0.25">
      <c r="A3198">
        <v>67356</v>
      </c>
      <c r="B3198" t="s">
        <v>3952</v>
      </c>
      <c r="C3198" t="s">
        <v>3953</v>
      </c>
      <c r="D3198" s="14" t="s">
        <v>3954</v>
      </c>
      <c r="E3198" s="12" t="s">
        <v>28</v>
      </c>
      <c r="F3198" s="13" t="s">
        <v>29</v>
      </c>
      <c r="G3198">
        <v>1</v>
      </c>
      <c r="H3198" t="s">
        <v>30</v>
      </c>
      <c r="I3198">
        <v>1</v>
      </c>
      <c r="J3198" s="15"/>
      <c r="K3198" s="21" t="s">
        <v>3955</v>
      </c>
      <c r="L3198" s="21" t="s">
        <v>3956</v>
      </c>
      <c r="M3198" s="1">
        <v>881.15</v>
      </c>
      <c r="N3198" s="1">
        <v>722.25</v>
      </c>
      <c r="O3198" s="1">
        <v>748.97</v>
      </c>
      <c r="P3198" s="1">
        <v>613.91</v>
      </c>
      <c r="Q3198">
        <v>0.3</v>
      </c>
      <c r="R3198">
        <v>2.5000000000000001E-4</v>
      </c>
    </row>
    <row r="3199" spans="1:18" ht="13.8" outlineLevel="3" x14ac:dyDescent="0.25">
      <c r="A3199">
        <v>92308</v>
      </c>
      <c r="B3199" t="s">
        <v>3957</v>
      </c>
      <c r="C3199" t="s">
        <v>3958</v>
      </c>
      <c r="D3199" s="14" t="s">
        <v>3959</v>
      </c>
      <c r="E3199" s="12" t="s">
        <v>28</v>
      </c>
      <c r="F3199" s="13" t="s">
        <v>29</v>
      </c>
      <c r="G3199">
        <v>1</v>
      </c>
      <c r="H3199" t="s">
        <v>30</v>
      </c>
      <c r="I3199">
        <v>1</v>
      </c>
      <c r="J3199" s="15"/>
      <c r="K3199" s="21" t="s">
        <v>3960</v>
      </c>
      <c r="L3199" s="21" t="s">
        <v>3961</v>
      </c>
      <c r="M3199" s="1">
        <v>1135.48</v>
      </c>
      <c r="N3199" s="1">
        <v>930.72</v>
      </c>
      <c r="O3199" s="1">
        <v>965.16</v>
      </c>
      <c r="P3199" s="1">
        <v>791.11</v>
      </c>
      <c r="Q3199">
        <v>0.41</v>
      </c>
      <c r="R3199">
        <v>4.7699999999999999E-4</v>
      </c>
    </row>
    <row r="3200" spans="1:18" ht="13.8" outlineLevel="3" x14ac:dyDescent="0.25">
      <c r="A3200">
        <v>86928</v>
      </c>
      <c r="B3200" t="s">
        <v>3952</v>
      </c>
      <c r="C3200" t="s">
        <v>3962</v>
      </c>
      <c r="D3200" s="14" t="s">
        <v>3963</v>
      </c>
      <c r="E3200" s="12" t="s">
        <v>28</v>
      </c>
      <c r="F3200" s="13" t="s">
        <v>29</v>
      </c>
      <c r="G3200">
        <v>1</v>
      </c>
      <c r="H3200" t="s">
        <v>30</v>
      </c>
      <c r="I3200">
        <v>1</v>
      </c>
      <c r="J3200" s="15"/>
      <c r="K3200" s="21" t="s">
        <v>3964</v>
      </c>
      <c r="L3200" s="21" t="s">
        <v>3965</v>
      </c>
      <c r="M3200" s="1">
        <v>863.75</v>
      </c>
      <c r="N3200" s="1">
        <v>707.99</v>
      </c>
      <c r="O3200" s="1">
        <v>734.19</v>
      </c>
      <c r="P3200" s="1">
        <v>601.79</v>
      </c>
      <c r="Q3200">
        <v>0.42</v>
      </c>
      <c r="R3200">
        <v>5.13E-4</v>
      </c>
    </row>
    <row r="3201" spans="1:18" ht="13.8" outlineLevel="3" x14ac:dyDescent="0.25">
      <c r="A3201">
        <v>92310</v>
      </c>
      <c r="B3201" t="s">
        <v>3957</v>
      </c>
      <c r="C3201" t="s">
        <v>3966</v>
      </c>
      <c r="D3201" s="14" t="s">
        <v>3967</v>
      </c>
      <c r="E3201" s="12" t="s">
        <v>28</v>
      </c>
      <c r="F3201" s="13" t="s">
        <v>29</v>
      </c>
      <c r="G3201">
        <v>1</v>
      </c>
      <c r="H3201" t="s">
        <v>30</v>
      </c>
      <c r="I3201">
        <v>1</v>
      </c>
      <c r="J3201" s="15"/>
      <c r="K3201" s="21" t="s">
        <v>3968</v>
      </c>
      <c r="L3201" s="21" t="s">
        <v>3969</v>
      </c>
      <c r="M3201" s="1">
        <v>1343.88</v>
      </c>
      <c r="N3201" s="1">
        <v>1101.54</v>
      </c>
      <c r="O3201" s="1">
        <v>1142.3</v>
      </c>
      <c r="P3201" s="1">
        <v>936.31</v>
      </c>
      <c r="Q3201">
        <v>0.5</v>
      </c>
      <c r="R3201">
        <v>5.4000000000000001E-4</v>
      </c>
    </row>
    <row r="3202" spans="1:18" ht="13.8" outlineLevel="3" x14ac:dyDescent="0.25">
      <c r="A3202">
        <v>69579</v>
      </c>
      <c r="B3202" t="s">
        <v>3970</v>
      </c>
      <c r="C3202" t="s">
        <v>3971</v>
      </c>
      <c r="D3202" s="14" t="s">
        <v>3972</v>
      </c>
      <c r="E3202" s="12" t="s">
        <v>28</v>
      </c>
      <c r="F3202" s="13" t="s">
        <v>29</v>
      </c>
      <c r="G3202">
        <v>1</v>
      </c>
      <c r="H3202" t="s">
        <v>30</v>
      </c>
      <c r="I3202">
        <v>1</v>
      </c>
      <c r="J3202" s="15"/>
      <c r="K3202" s="21" t="s">
        <v>3973</v>
      </c>
      <c r="L3202" s="21" t="s">
        <v>3974</v>
      </c>
      <c r="M3202" s="1">
        <v>1871.04</v>
      </c>
      <c r="N3202" s="1">
        <v>1533.64</v>
      </c>
      <c r="O3202" s="1">
        <v>1590.38</v>
      </c>
      <c r="P3202" s="1">
        <v>1303.5899999999999</v>
      </c>
      <c r="Q3202">
        <v>0.34499999999999997</v>
      </c>
      <c r="R3202">
        <v>4.6799999999999999E-4</v>
      </c>
    </row>
    <row r="3203" spans="1:18" ht="13.8" outlineLevel="3" x14ac:dyDescent="0.25">
      <c r="A3203">
        <v>92109</v>
      </c>
      <c r="B3203" t="s">
        <v>3957</v>
      </c>
      <c r="C3203" t="s">
        <v>3975</v>
      </c>
      <c r="D3203" s="14" t="s">
        <v>3976</v>
      </c>
      <c r="E3203" s="12" t="s">
        <v>28</v>
      </c>
      <c r="F3203" s="13" t="s">
        <v>29</v>
      </c>
      <c r="G3203">
        <v>1</v>
      </c>
      <c r="H3203" t="s">
        <v>30</v>
      </c>
      <c r="I3203">
        <v>1</v>
      </c>
      <c r="J3203" s="15"/>
      <c r="K3203" s="16">
        <f>IF($E$1&gt;=$Q$1%,1119.61-(1119.61*$Q$1%),1119.61-(1119.61*$E$1))</f>
        <v>1119.6099999999999</v>
      </c>
      <c r="L3203" s="16">
        <f>IF($E$1&gt;=$Q$1%,917.71-(917.71*$Q$1%),917.71-(917.71*$E$1))</f>
        <v>917.71</v>
      </c>
      <c r="M3203" s="1">
        <v>1119.6099999999999</v>
      </c>
      <c r="N3203" s="1">
        <v>917.71</v>
      </c>
      <c r="O3203" s="1">
        <v>1119.6099999999999</v>
      </c>
      <c r="P3203" s="1">
        <v>917.71</v>
      </c>
      <c r="Q3203">
        <v>0.94399999999999995</v>
      </c>
      <c r="R3203">
        <v>4.313E-3</v>
      </c>
    </row>
    <row r="3204" spans="1:18" ht="13.8" outlineLevel="3" x14ac:dyDescent="0.25">
      <c r="A3204">
        <v>67837</v>
      </c>
      <c r="B3204" t="s">
        <v>3952</v>
      </c>
      <c r="C3204" t="s">
        <v>3977</v>
      </c>
      <c r="D3204" s="14" t="s">
        <v>3978</v>
      </c>
      <c r="E3204" s="12" t="s">
        <v>28</v>
      </c>
      <c r="F3204" s="13" t="s">
        <v>29</v>
      </c>
      <c r="G3204">
        <v>1</v>
      </c>
      <c r="H3204" t="s">
        <v>30</v>
      </c>
      <c r="I3204">
        <v>1</v>
      </c>
      <c r="J3204" s="15"/>
      <c r="K3204" s="16">
        <f>IF($E$1&gt;=$Q$1%,1454.52-(1454.52*$Q$1%),1454.52-(1454.52*$E$1))</f>
        <v>1454.52</v>
      </c>
      <c r="L3204" s="16">
        <f>IF($E$1&gt;=$Q$1%,1192.23-(1192.23*$Q$1%),1192.23-(1192.23*$E$1))</f>
        <v>1192.23</v>
      </c>
      <c r="M3204" s="1">
        <v>1454.52</v>
      </c>
      <c r="N3204" s="1">
        <v>1192.23</v>
      </c>
      <c r="O3204" s="1">
        <v>1454.52</v>
      </c>
      <c r="P3204" s="1">
        <v>1192.23</v>
      </c>
      <c r="Q3204">
        <v>1.5</v>
      </c>
      <c r="R3204">
        <v>1.9040000000000001E-3</v>
      </c>
    </row>
    <row r="3205" spans="1:18" ht="13.8" outlineLevel="3" x14ac:dyDescent="0.25">
      <c r="A3205">
        <v>67838</v>
      </c>
      <c r="B3205" t="s">
        <v>3952</v>
      </c>
      <c r="C3205" t="s">
        <v>3979</v>
      </c>
      <c r="D3205" s="14" t="s">
        <v>3980</v>
      </c>
      <c r="E3205" s="12" t="s">
        <v>28</v>
      </c>
      <c r="F3205" s="13" t="s">
        <v>29</v>
      </c>
      <c r="G3205">
        <v>1</v>
      </c>
      <c r="H3205" t="s">
        <v>30</v>
      </c>
      <c r="I3205">
        <v>1</v>
      </c>
      <c r="J3205" s="15"/>
      <c r="K3205" s="16">
        <f>IF($E$1&gt;=$Q$1%,2068.07-(2068.07*$Q$1%),2068.07-(2068.07*$E$1))</f>
        <v>2068.0700000000002</v>
      </c>
      <c r="L3205" s="16">
        <f>IF($E$1&gt;=$Q$1%,1695.14-(1695.14*$Q$1%),1695.14-(1695.14*$E$1))</f>
        <v>1695.14</v>
      </c>
      <c r="M3205" s="1">
        <v>2068.0700000000002</v>
      </c>
      <c r="N3205" s="1">
        <v>1695.14</v>
      </c>
      <c r="O3205" s="1">
        <v>2068.0700000000002</v>
      </c>
      <c r="P3205" s="1">
        <v>1695.14</v>
      </c>
      <c r="Q3205">
        <v>2.3839999999999999</v>
      </c>
      <c r="R3205">
        <v>2.9299999999999999E-3</v>
      </c>
    </row>
    <row r="3206" spans="1:18" ht="13.8" outlineLevel="3" x14ac:dyDescent="0.25">
      <c r="A3206">
        <v>67839</v>
      </c>
      <c r="B3206" t="s">
        <v>3952</v>
      </c>
      <c r="C3206" t="s">
        <v>3981</v>
      </c>
      <c r="D3206" s="14" t="s">
        <v>3982</v>
      </c>
      <c r="E3206" s="12" t="s">
        <v>28</v>
      </c>
      <c r="F3206" s="13" t="s">
        <v>29</v>
      </c>
      <c r="G3206">
        <v>1</v>
      </c>
      <c r="H3206" t="s">
        <v>30</v>
      </c>
      <c r="I3206">
        <v>1</v>
      </c>
      <c r="J3206" s="15"/>
      <c r="K3206" s="16">
        <f>IF($E$1&gt;=$Q$1%,3073.5-(3073.5*$Q$1%),3073.5-(3073.5*$E$1))</f>
        <v>3073.5</v>
      </c>
      <c r="L3206" s="16">
        <f>IF($E$1&gt;=$Q$1%,2519.26-(2519.26*$Q$1%),2519.26-(2519.26*$E$1))</f>
        <v>2519.2600000000002</v>
      </c>
      <c r="M3206" s="1">
        <v>3073.5</v>
      </c>
      <c r="N3206" s="1">
        <v>2519.2600000000002</v>
      </c>
      <c r="O3206" s="1">
        <v>3073.5</v>
      </c>
      <c r="P3206" s="1">
        <v>2519.2600000000002</v>
      </c>
      <c r="Q3206">
        <v>3.89</v>
      </c>
      <c r="R3206">
        <v>5.2700000000000004E-3</v>
      </c>
    </row>
    <row r="3207" spans="1:18" ht="13.8" outlineLevel="3" x14ac:dyDescent="0.25">
      <c r="A3207">
        <v>67840</v>
      </c>
      <c r="B3207" t="s">
        <v>3952</v>
      </c>
      <c r="C3207" t="s">
        <v>3983</v>
      </c>
      <c r="D3207" s="14" t="s">
        <v>3984</v>
      </c>
      <c r="E3207" s="12" t="s">
        <v>28</v>
      </c>
      <c r="F3207" s="13" t="s">
        <v>29</v>
      </c>
      <c r="G3207">
        <v>1</v>
      </c>
      <c r="H3207" t="s">
        <v>30</v>
      </c>
      <c r="I3207">
        <v>1</v>
      </c>
      <c r="J3207" s="15"/>
      <c r="K3207" s="16">
        <f>IF($E$1&gt;=$Q$1%,3893.48-(3893.48*$Q$1%),3893.48-(3893.48*$E$1))</f>
        <v>3893.48</v>
      </c>
      <c r="L3207" s="16">
        <f>IF($E$1&gt;=$Q$1%,3191.38-(3191.38*$Q$1%),3191.38-(3191.38*$E$1))</f>
        <v>3191.38</v>
      </c>
      <c r="M3207" s="1">
        <v>3893.48</v>
      </c>
      <c r="N3207" s="1">
        <v>3191.38</v>
      </c>
      <c r="O3207" s="1">
        <v>3893.48</v>
      </c>
      <c r="P3207" s="1">
        <v>3191.38</v>
      </c>
      <c r="Q3207">
        <v>5.22</v>
      </c>
      <c r="R3207">
        <v>6.992E-3</v>
      </c>
    </row>
    <row r="3208" spans="1:18" ht="13.8" outlineLevel="3" x14ac:dyDescent="0.25">
      <c r="A3208">
        <v>92110</v>
      </c>
      <c r="B3208" t="s">
        <v>3957</v>
      </c>
      <c r="C3208" t="s">
        <v>3985</v>
      </c>
      <c r="D3208" s="14" t="s">
        <v>3986</v>
      </c>
      <c r="E3208" s="12" t="s">
        <v>28</v>
      </c>
      <c r="F3208" s="13" t="s">
        <v>29</v>
      </c>
      <c r="G3208">
        <v>1</v>
      </c>
      <c r="H3208" t="s">
        <v>30</v>
      </c>
      <c r="I3208">
        <v>1</v>
      </c>
      <c r="J3208" s="15"/>
      <c r="K3208" s="16">
        <f>IF($E$1&gt;=$Q$1%,5699.83-(5699.83*$Q$1%),5699.83-(5699.83*$E$1))</f>
        <v>5699.83</v>
      </c>
      <c r="L3208" s="16">
        <f>IF($E$1&gt;=$Q$1%,4671.99-(4671.99*$Q$1%),4671.99-(4671.99*$E$1))</f>
        <v>4671.99</v>
      </c>
      <c r="M3208" s="1">
        <v>5699.83</v>
      </c>
      <c r="N3208" s="1">
        <v>4671.99</v>
      </c>
      <c r="O3208" s="1">
        <v>5699.83</v>
      </c>
      <c r="P3208" s="1">
        <v>4671.99</v>
      </c>
      <c r="Q3208">
        <v>8.08</v>
      </c>
      <c r="R3208">
        <v>1.1368E-2</v>
      </c>
    </row>
    <row r="3209" spans="1:18" ht="13.8" outlineLevel="3" x14ac:dyDescent="0.25">
      <c r="A3209">
        <v>67841</v>
      </c>
      <c r="B3209" t="s">
        <v>3952</v>
      </c>
      <c r="C3209" t="s">
        <v>3987</v>
      </c>
      <c r="D3209" s="14" t="s">
        <v>3988</v>
      </c>
      <c r="E3209" s="12" t="s">
        <v>28</v>
      </c>
      <c r="F3209" s="13" t="s">
        <v>29</v>
      </c>
      <c r="G3209">
        <v>1</v>
      </c>
      <c r="H3209" t="s">
        <v>30</v>
      </c>
      <c r="I3209">
        <v>1</v>
      </c>
      <c r="J3209" s="15"/>
      <c r="K3209" s="16">
        <f>IF($E$1&gt;=$Q$1%,6005.3-(6005.3*$Q$1%),6005.3-(6005.3*$E$1))</f>
        <v>6005.3</v>
      </c>
      <c r="L3209" s="16">
        <f>IF($E$1&gt;=$Q$1%,4922.38-(4922.38*$Q$1%),4922.38-(4922.38*$E$1))</f>
        <v>4922.38</v>
      </c>
      <c r="M3209" s="1">
        <v>6005.3</v>
      </c>
      <c r="N3209" s="1">
        <v>4922.38</v>
      </c>
      <c r="O3209" s="1">
        <v>6005.3</v>
      </c>
      <c r="P3209" s="1">
        <v>4922.38</v>
      </c>
      <c r="Q3209">
        <v>8.66</v>
      </c>
      <c r="R3209">
        <v>1.2626999999999999E-2</v>
      </c>
    </row>
    <row r="3210" spans="1:18" ht="13.8" outlineLevel="3" x14ac:dyDescent="0.25">
      <c r="A3210">
        <v>92111</v>
      </c>
      <c r="B3210" t="s">
        <v>3957</v>
      </c>
      <c r="C3210" t="s">
        <v>3989</v>
      </c>
      <c r="D3210" s="14" t="s">
        <v>3990</v>
      </c>
      <c r="E3210" s="12" t="s">
        <v>28</v>
      </c>
      <c r="F3210" s="13" t="s">
        <v>29</v>
      </c>
      <c r="G3210">
        <v>1</v>
      </c>
      <c r="H3210" t="s">
        <v>30</v>
      </c>
      <c r="I3210">
        <v>1</v>
      </c>
      <c r="J3210" s="15"/>
      <c r="K3210" s="21" t="s">
        <v>3991</v>
      </c>
      <c r="L3210" s="21" t="s">
        <v>3992</v>
      </c>
      <c r="M3210" s="1">
        <v>1191.9000000000001</v>
      </c>
      <c r="N3210" s="1">
        <v>976.97</v>
      </c>
      <c r="O3210" s="1">
        <v>1013.12</v>
      </c>
      <c r="P3210" s="1">
        <v>830.42</v>
      </c>
      <c r="Q3210">
        <v>1.454</v>
      </c>
      <c r="R3210">
        <v>1.9740000000000001E-3</v>
      </c>
    </row>
    <row r="3211" spans="1:18" ht="13.8" outlineLevel="3" x14ac:dyDescent="0.25">
      <c r="A3211">
        <v>92112</v>
      </c>
      <c r="B3211" t="s">
        <v>3957</v>
      </c>
      <c r="C3211" t="s">
        <v>3993</v>
      </c>
      <c r="D3211" s="14" t="s">
        <v>3994</v>
      </c>
      <c r="E3211" s="12" t="s">
        <v>28</v>
      </c>
      <c r="F3211" s="13" t="s">
        <v>29</v>
      </c>
      <c r="G3211">
        <v>1</v>
      </c>
      <c r="H3211" t="s">
        <v>30</v>
      </c>
      <c r="I3211">
        <v>1</v>
      </c>
      <c r="J3211" s="15"/>
      <c r="K3211" s="21" t="s">
        <v>3995</v>
      </c>
      <c r="L3211" s="21" t="s">
        <v>3996</v>
      </c>
      <c r="M3211" s="1">
        <v>1704.38</v>
      </c>
      <c r="N3211" s="1">
        <v>1397.03</v>
      </c>
      <c r="O3211" s="1">
        <v>1448.72</v>
      </c>
      <c r="P3211" s="1">
        <v>1187.48</v>
      </c>
      <c r="Q3211">
        <v>2.2799999999999998</v>
      </c>
      <c r="R3211">
        <v>2.9299999999999999E-3</v>
      </c>
    </row>
    <row r="3212" spans="1:18" ht="13.8" outlineLevel="3" x14ac:dyDescent="0.25">
      <c r="A3212">
        <v>92113</v>
      </c>
      <c r="B3212" t="s">
        <v>3957</v>
      </c>
      <c r="C3212" t="s">
        <v>3997</v>
      </c>
      <c r="D3212" s="14" t="s">
        <v>3998</v>
      </c>
      <c r="E3212" s="12" t="s">
        <v>28</v>
      </c>
      <c r="F3212" s="13" t="s">
        <v>29</v>
      </c>
      <c r="G3212">
        <v>1</v>
      </c>
      <c r="H3212" t="s">
        <v>30</v>
      </c>
      <c r="I3212">
        <v>1</v>
      </c>
      <c r="J3212" s="15"/>
      <c r="K3212" s="21" t="s">
        <v>3999</v>
      </c>
      <c r="L3212" s="21" t="s">
        <v>4000</v>
      </c>
      <c r="M3212" s="1">
        <v>2505.6999999999998</v>
      </c>
      <c r="N3212" s="1">
        <v>2053.85</v>
      </c>
      <c r="O3212" s="1">
        <v>2129.84</v>
      </c>
      <c r="P3212" s="1">
        <v>1745.77</v>
      </c>
      <c r="Q3212">
        <v>3.79</v>
      </c>
      <c r="R3212">
        <v>5.2360000000000002E-3</v>
      </c>
    </row>
    <row r="3213" spans="1:18" ht="13.8" outlineLevel="3" x14ac:dyDescent="0.25">
      <c r="A3213">
        <v>92114</v>
      </c>
      <c r="B3213" t="s">
        <v>3957</v>
      </c>
      <c r="C3213" t="s">
        <v>4001</v>
      </c>
      <c r="D3213" s="14" t="s">
        <v>4002</v>
      </c>
      <c r="E3213" s="12" t="s">
        <v>28</v>
      </c>
      <c r="F3213" s="13" t="s">
        <v>29</v>
      </c>
      <c r="G3213">
        <v>1</v>
      </c>
      <c r="H3213" t="s">
        <v>30</v>
      </c>
      <c r="I3213">
        <v>1</v>
      </c>
      <c r="J3213" s="15"/>
      <c r="K3213" s="21" t="s">
        <v>4003</v>
      </c>
      <c r="L3213" s="21" t="s">
        <v>4004</v>
      </c>
      <c r="M3213" s="1">
        <v>3176.21</v>
      </c>
      <c r="N3213" s="1">
        <v>2603.4499999999998</v>
      </c>
      <c r="O3213" s="1">
        <v>2699.78</v>
      </c>
      <c r="P3213" s="1">
        <v>2212.9299999999998</v>
      </c>
      <c r="Q3213">
        <v>4.9260000000000002</v>
      </c>
      <c r="R3213">
        <v>6.992E-3</v>
      </c>
    </row>
    <row r="3214" spans="1:18" ht="13.8" outlineLevel="3" x14ac:dyDescent="0.25">
      <c r="A3214">
        <v>92115</v>
      </c>
      <c r="B3214" t="s">
        <v>3957</v>
      </c>
      <c r="C3214" t="s">
        <v>4005</v>
      </c>
      <c r="D3214" s="14" t="s">
        <v>4006</v>
      </c>
      <c r="E3214" s="12" t="s">
        <v>28</v>
      </c>
      <c r="F3214" s="13" t="s">
        <v>29</v>
      </c>
      <c r="G3214">
        <v>1</v>
      </c>
      <c r="H3214" t="s">
        <v>30</v>
      </c>
      <c r="I3214">
        <v>1</v>
      </c>
      <c r="J3214" s="15"/>
      <c r="K3214" s="21" t="s">
        <v>4007</v>
      </c>
      <c r="L3214" s="21" t="s">
        <v>4008</v>
      </c>
      <c r="M3214" s="1">
        <v>4672.71</v>
      </c>
      <c r="N3214" s="1">
        <v>3830.09</v>
      </c>
      <c r="O3214" s="1">
        <v>3971.8</v>
      </c>
      <c r="P3214" s="1">
        <v>3255.58</v>
      </c>
      <c r="Q3214">
        <v>7.82</v>
      </c>
      <c r="R3214">
        <v>1.1368E-2</v>
      </c>
    </row>
    <row r="3215" spans="1:18" ht="13.8" outlineLevel="3" x14ac:dyDescent="0.25">
      <c r="A3215">
        <v>67657</v>
      </c>
      <c r="B3215" t="s">
        <v>4009</v>
      </c>
      <c r="C3215" t="s">
        <v>4010</v>
      </c>
      <c r="D3215" s="14" t="s">
        <v>4011</v>
      </c>
      <c r="E3215" s="12" t="s">
        <v>28</v>
      </c>
      <c r="F3215" s="13" t="s">
        <v>29</v>
      </c>
      <c r="G3215">
        <v>1</v>
      </c>
      <c r="H3215" t="s">
        <v>30</v>
      </c>
      <c r="I3215">
        <v>1</v>
      </c>
      <c r="J3215" s="15"/>
      <c r="K3215" s="16">
        <f>IF($E$1&gt;=$Q$1%,5214.61-(5214.61*$Q$1%),5214.61-(5214.61*$E$1))</f>
        <v>5214.6099999999997</v>
      </c>
      <c r="L3215" s="16">
        <f>IF($E$1&gt;=$Q$1%,4274.27-(4274.27*$Q$1%),4274.27-(4274.27*$E$1))</f>
        <v>4274.2700000000004</v>
      </c>
      <c r="M3215" s="1">
        <v>5214.6099999999997</v>
      </c>
      <c r="N3215" s="1">
        <v>4274.2700000000004</v>
      </c>
      <c r="O3215" s="1">
        <v>5214.6099999999997</v>
      </c>
      <c r="P3215" s="1">
        <v>4274.2700000000004</v>
      </c>
      <c r="Q3215">
        <v>2.2999999999999998</v>
      </c>
      <c r="R3215">
        <v>4.3059999999999999E-3</v>
      </c>
    </row>
    <row r="3216" spans="1:18" ht="13.8" outlineLevel="3" x14ac:dyDescent="0.25">
      <c r="A3216">
        <v>67658</v>
      </c>
      <c r="B3216" t="s">
        <v>4009</v>
      </c>
      <c r="C3216" t="s">
        <v>4012</v>
      </c>
      <c r="D3216" s="14" t="s">
        <v>4013</v>
      </c>
      <c r="E3216" s="12" t="s">
        <v>28</v>
      </c>
      <c r="F3216" s="13" t="s">
        <v>29</v>
      </c>
      <c r="G3216">
        <v>1</v>
      </c>
      <c r="H3216" t="s">
        <v>30</v>
      </c>
      <c r="I3216">
        <v>1</v>
      </c>
      <c r="J3216" s="15"/>
      <c r="K3216" s="16">
        <f>IF($E$1&gt;=$Q$1%,8828.99-(8828.99*$Q$1%),8828.99-(8828.99*$E$1))</f>
        <v>8828.99</v>
      </c>
      <c r="L3216" s="16">
        <f>IF($E$1&gt;=$Q$1%,7236.88-(7236.88*$Q$1%),7236.88-(7236.88*$E$1))</f>
        <v>7236.88</v>
      </c>
      <c r="M3216" s="1">
        <v>8828.99</v>
      </c>
      <c r="N3216" s="1">
        <v>7236.88</v>
      </c>
      <c r="O3216" s="1">
        <v>8828.99</v>
      </c>
      <c r="P3216" s="1">
        <v>7236.88</v>
      </c>
      <c r="Q3216">
        <v>4.0999999999999996</v>
      </c>
      <c r="R3216">
        <v>7.3439999999999998E-3</v>
      </c>
    </row>
    <row r="3217" spans="1:18" ht="13.8" outlineLevel="3" x14ac:dyDescent="0.25">
      <c r="A3217">
        <v>69243</v>
      </c>
      <c r="B3217" t="s">
        <v>4009</v>
      </c>
      <c r="C3217" t="s">
        <v>4014</v>
      </c>
      <c r="D3217" s="14" t="s">
        <v>4015</v>
      </c>
      <c r="E3217" s="12" t="s">
        <v>28</v>
      </c>
      <c r="F3217" s="13" t="s">
        <v>29</v>
      </c>
      <c r="G3217">
        <v>1</v>
      </c>
      <c r="H3217" t="s">
        <v>30</v>
      </c>
      <c r="I3217">
        <v>1</v>
      </c>
      <c r="J3217" s="15"/>
      <c r="K3217" s="16">
        <f>IF($E$1&gt;=$Q$1%,13639.61-(13639.61*$Q$1%),13639.61-(13639.61*$E$1))</f>
        <v>13639.61</v>
      </c>
      <c r="L3217" s="16">
        <f>IF($E$1&gt;=$Q$1%,11180.01-(11180.01*$Q$1%),11180.01-(11180.01*$E$1))</f>
        <v>11180.01</v>
      </c>
      <c r="M3217" s="1">
        <v>13639.61</v>
      </c>
      <c r="N3217" s="1">
        <v>11180.01</v>
      </c>
      <c r="O3217" s="1">
        <v>13639.61</v>
      </c>
      <c r="P3217" s="1">
        <v>11180.01</v>
      </c>
      <c r="Q3217">
        <v>6.5</v>
      </c>
      <c r="R3217">
        <v>1.452E-2</v>
      </c>
    </row>
    <row r="3218" spans="1:18" ht="16.5" customHeight="1" outlineLevel="2" x14ac:dyDescent="0.35">
      <c r="A3218" s="9"/>
      <c r="B3218" s="10" t="s">
        <v>4016</v>
      </c>
      <c r="C3218" s="10"/>
      <c r="D3218" s="10"/>
      <c r="E3218" s="10"/>
      <c r="F3218" s="10"/>
      <c r="G3218" s="10"/>
      <c r="H3218" s="10"/>
      <c r="I3218" s="10"/>
      <c r="J3218" s="10"/>
      <c r="K3218" s="10"/>
      <c r="L3218" s="10"/>
      <c r="M3218" s="10"/>
      <c r="N3218" s="10"/>
      <c r="O3218" s="10"/>
      <c r="P3218" s="10"/>
      <c r="Q3218" s="10"/>
      <c r="R3218" s="11"/>
    </row>
    <row r="3219" spans="1:18" ht="13.8" outlineLevel="3" x14ac:dyDescent="0.25">
      <c r="A3219">
        <v>58562</v>
      </c>
      <c r="B3219" t="s">
        <v>4017</v>
      </c>
      <c r="C3219" t="s">
        <v>4018</v>
      </c>
      <c r="D3219" s="14" t="s">
        <v>4019</v>
      </c>
      <c r="E3219" s="12" t="s">
        <v>28</v>
      </c>
      <c r="F3219" s="13" t="s">
        <v>29</v>
      </c>
      <c r="G3219">
        <v>1</v>
      </c>
      <c r="H3219" t="s">
        <v>30</v>
      </c>
      <c r="I3219">
        <v>1</v>
      </c>
      <c r="J3219" s="15"/>
      <c r="K3219" s="16">
        <f>28851.06 - (28851.06 * $E$1)</f>
        <v>28851.06</v>
      </c>
      <c r="L3219" s="16">
        <f>23648.41 - (23648.41 * $E$1)</f>
        <v>23648.41</v>
      </c>
      <c r="M3219" s="1">
        <v>28851.06</v>
      </c>
      <c r="N3219" s="1">
        <v>23648.41</v>
      </c>
      <c r="O3219" s="1">
        <v>24523.4</v>
      </c>
      <c r="P3219" s="1">
        <v>20101.150000000001</v>
      </c>
      <c r="Q3219">
        <v>10.199999999999999</v>
      </c>
      <c r="R3219">
        <v>2.7788E-2</v>
      </c>
    </row>
    <row r="3220" spans="1:18" ht="13.8" outlineLevel="3" x14ac:dyDescent="0.25">
      <c r="A3220">
        <v>89396</v>
      </c>
      <c r="B3220" t="s">
        <v>4016</v>
      </c>
      <c r="C3220" t="s">
        <v>4020</v>
      </c>
      <c r="D3220" s="14" t="s">
        <v>4021</v>
      </c>
      <c r="E3220" s="12" t="s">
        <v>28</v>
      </c>
      <c r="F3220" s="13" t="s">
        <v>29</v>
      </c>
      <c r="G3220">
        <v>1</v>
      </c>
      <c r="H3220" t="s">
        <v>30</v>
      </c>
      <c r="I3220">
        <v>1</v>
      </c>
      <c r="J3220" s="15"/>
      <c r="K3220" s="16">
        <f>41464.49 - (41464.49 * $E$1)</f>
        <v>41464.49</v>
      </c>
      <c r="L3220" s="16">
        <f>33987.29 - (33987.29 * $E$1)</f>
        <v>33987.29</v>
      </c>
      <c r="M3220" s="1">
        <v>41464.49</v>
      </c>
      <c r="N3220" s="1">
        <v>33987.29</v>
      </c>
      <c r="O3220" s="1">
        <v>35244.82</v>
      </c>
      <c r="P3220" s="1">
        <v>28889.200000000001</v>
      </c>
      <c r="Q3220">
        <v>11.2</v>
      </c>
      <c r="R3220">
        <v>2.1741E-2</v>
      </c>
    </row>
    <row r="3221" spans="1:18" ht="16.5" customHeight="1" outlineLevel="1" x14ac:dyDescent="0.35">
      <c r="A3221" s="9"/>
      <c r="B3221" s="10" t="s">
        <v>4022</v>
      </c>
      <c r="C3221" s="10"/>
      <c r="D3221" s="10"/>
      <c r="E3221" s="10"/>
      <c r="F3221" s="10"/>
      <c r="G3221" s="10"/>
      <c r="H3221" s="10"/>
      <c r="I3221" s="10"/>
      <c r="J3221" s="10"/>
      <c r="K3221" s="10"/>
      <c r="L3221" s="10"/>
      <c r="M3221" s="10"/>
      <c r="N3221" s="10"/>
      <c r="O3221" s="10"/>
      <c r="P3221" s="10"/>
      <c r="Q3221" s="10"/>
      <c r="R3221" s="11"/>
    </row>
    <row r="3222" spans="1:18" ht="16.5" customHeight="1" outlineLevel="2" x14ac:dyDescent="0.35">
      <c r="A3222" s="9"/>
      <c r="B3222" s="10" t="s">
        <v>4023</v>
      </c>
      <c r="C3222" s="10"/>
      <c r="D3222" s="10"/>
      <c r="E3222" s="10"/>
      <c r="F3222" s="10"/>
      <c r="G3222" s="10"/>
      <c r="H3222" s="10"/>
      <c r="I3222" s="10"/>
      <c r="J3222" s="10"/>
      <c r="K3222" s="10"/>
      <c r="L3222" s="10"/>
      <c r="M3222" s="10"/>
      <c r="N3222" s="10"/>
      <c r="O3222" s="10"/>
      <c r="P3222" s="10"/>
      <c r="Q3222" s="10"/>
      <c r="R3222" s="11"/>
    </row>
    <row r="3223" spans="1:18" ht="13.8" outlineLevel="3" x14ac:dyDescent="0.25">
      <c r="A3223">
        <v>55953</v>
      </c>
      <c r="B3223" t="s">
        <v>4024</v>
      </c>
      <c r="C3223" t="s">
        <v>4025</v>
      </c>
      <c r="D3223" s="14" t="s">
        <v>4026</v>
      </c>
      <c r="E3223" s="12" t="s">
        <v>28</v>
      </c>
      <c r="F3223" s="13" t="s">
        <v>29</v>
      </c>
      <c r="G3223">
        <v>1</v>
      </c>
      <c r="H3223" t="s">
        <v>30</v>
      </c>
      <c r="I3223">
        <v>1</v>
      </c>
      <c r="J3223" s="15"/>
      <c r="K3223" s="16">
        <f>1972.02 - (1972.02 * $E$1)</f>
        <v>1972.02</v>
      </c>
      <c r="L3223" s="16">
        <f>1616.41 - (1616.41 * $E$1)</f>
        <v>1616.41</v>
      </c>
      <c r="M3223" s="1">
        <v>1972.02</v>
      </c>
      <c r="N3223" s="1">
        <v>1616.41</v>
      </c>
      <c r="O3223" s="1">
        <v>1676.22</v>
      </c>
      <c r="P3223" s="1">
        <v>1373.95</v>
      </c>
      <c r="Q3223">
        <v>0.2</v>
      </c>
      <c r="R3223">
        <v>1.2520000000000001E-3</v>
      </c>
    </row>
    <row r="3224" spans="1:18" ht="13.8" outlineLevel="3" x14ac:dyDescent="0.25">
      <c r="A3224">
        <v>61671</v>
      </c>
      <c r="B3224" t="s">
        <v>4024</v>
      </c>
      <c r="C3224" t="s">
        <v>4027</v>
      </c>
      <c r="D3224" s="14" t="s">
        <v>4028</v>
      </c>
      <c r="E3224" s="12" t="s">
        <v>28</v>
      </c>
      <c r="F3224" s="13" t="s">
        <v>29</v>
      </c>
      <c r="G3224">
        <v>1</v>
      </c>
      <c r="H3224" t="s">
        <v>30</v>
      </c>
      <c r="I3224">
        <v>1</v>
      </c>
      <c r="J3224" s="15"/>
      <c r="K3224" s="16">
        <f>1586.18 - (1586.18 * $E$1)</f>
        <v>1586.18</v>
      </c>
      <c r="L3224" s="16">
        <f>1300.15 - (1300.15 * $E$1)</f>
        <v>1300.1500000000001</v>
      </c>
      <c r="M3224" s="1">
        <v>1586.18</v>
      </c>
      <c r="N3224" s="1">
        <v>1300.1500000000001</v>
      </c>
      <c r="O3224" s="1">
        <v>1348.26</v>
      </c>
      <c r="P3224" s="1">
        <v>1105.1300000000001</v>
      </c>
      <c r="Q3224">
        <v>0.06</v>
      </c>
      <c r="R3224">
        <v>4.0000000000000001E-3</v>
      </c>
    </row>
    <row r="3225" spans="1:18" ht="13.8" outlineLevel="3" x14ac:dyDescent="0.25">
      <c r="A3225">
        <v>77668</v>
      </c>
      <c r="B3225" t="s">
        <v>4024</v>
      </c>
      <c r="C3225" t="s">
        <v>4029</v>
      </c>
      <c r="D3225" s="14" t="s">
        <v>4030</v>
      </c>
      <c r="E3225" s="12" t="s">
        <v>28</v>
      </c>
      <c r="F3225" s="13" t="s">
        <v>29</v>
      </c>
      <c r="G3225">
        <v>1</v>
      </c>
      <c r="H3225" t="s">
        <v>30</v>
      </c>
      <c r="I3225">
        <v>1</v>
      </c>
      <c r="J3225" s="15"/>
      <c r="K3225" s="16">
        <f>3226.61 - (3226.61 * $E$1)</f>
        <v>3226.61</v>
      </c>
      <c r="L3225" s="16">
        <f>2644.76 - (2644.76 * $E$1)</f>
        <v>2644.76</v>
      </c>
      <c r="M3225" s="1">
        <v>3226.61</v>
      </c>
      <c r="N3225" s="1">
        <v>2644.76</v>
      </c>
      <c r="O3225" s="1">
        <v>2742.62</v>
      </c>
      <c r="P3225" s="1">
        <v>2248.0500000000002</v>
      </c>
      <c r="Q3225">
        <v>0.09</v>
      </c>
      <c r="R3225">
        <v>6.4000000000000005E-4</v>
      </c>
    </row>
    <row r="3226" spans="1:18" ht="13.8" outlineLevel="3" x14ac:dyDescent="0.25">
      <c r="A3226">
        <v>77667</v>
      </c>
      <c r="B3226" t="s">
        <v>4024</v>
      </c>
      <c r="C3226" t="s">
        <v>4031</v>
      </c>
      <c r="D3226" s="14" t="s">
        <v>4032</v>
      </c>
      <c r="E3226" s="12" t="s">
        <v>28</v>
      </c>
      <c r="F3226" s="13" t="s">
        <v>29</v>
      </c>
      <c r="G3226">
        <v>1</v>
      </c>
      <c r="H3226" t="s">
        <v>30</v>
      </c>
      <c r="I3226">
        <v>1</v>
      </c>
      <c r="J3226" s="15"/>
      <c r="K3226" s="16">
        <f>2279.03 - (2279.03 * $E$1)</f>
        <v>2279.0300000000002</v>
      </c>
      <c r="L3226" s="16">
        <f>1868.06 - (1868.06 * $E$1)</f>
        <v>1868.06</v>
      </c>
      <c r="M3226" s="1">
        <v>2279.0300000000002</v>
      </c>
      <c r="N3226" s="1">
        <v>1868.06</v>
      </c>
      <c r="O3226" s="1">
        <v>1937.18</v>
      </c>
      <c r="P3226" s="1">
        <v>1587.85</v>
      </c>
      <c r="Q3226">
        <v>7.0000000000000007E-2</v>
      </c>
      <c r="R3226">
        <v>4.8000000000000001E-4</v>
      </c>
    </row>
    <row r="3227" spans="1:18" ht="13.8" outlineLevel="3" x14ac:dyDescent="0.25">
      <c r="A3227">
        <v>104426</v>
      </c>
      <c r="B3227" t="s">
        <v>4022</v>
      </c>
      <c r="C3227" t="s">
        <v>4033</v>
      </c>
      <c r="D3227" s="14" t="s">
        <v>4034</v>
      </c>
      <c r="E3227" s="12" t="s">
        <v>28</v>
      </c>
      <c r="F3227" s="18" t="s">
        <v>1467</v>
      </c>
      <c r="G3227">
        <v>1</v>
      </c>
      <c r="H3227" t="s">
        <v>30</v>
      </c>
      <c r="I3227">
        <v>1</v>
      </c>
      <c r="J3227" s="15"/>
      <c r="K3227" s="16">
        <f>1611.07 - (1611.07 * $E$1)</f>
        <v>1611.07</v>
      </c>
      <c r="L3227" s="16">
        <f>1320.55 - (1320.55 * $E$1)</f>
        <v>1320.55</v>
      </c>
      <c r="M3227" s="1">
        <v>1611.07</v>
      </c>
      <c r="N3227" s="1">
        <v>1320.55</v>
      </c>
      <c r="O3227" s="1">
        <v>1369.41</v>
      </c>
      <c r="P3227" s="1">
        <v>1122.47</v>
      </c>
      <c r="Q3227">
        <v>7.4999999999999997E-2</v>
      </c>
      <c r="R3227">
        <v>7.2499999999999995E-4</v>
      </c>
    </row>
    <row r="3228" spans="1:18" ht="13.8" outlineLevel="3" x14ac:dyDescent="0.25">
      <c r="A3228">
        <v>102403</v>
      </c>
      <c r="B3228" t="s">
        <v>4022</v>
      </c>
      <c r="C3228" t="s">
        <v>4035</v>
      </c>
      <c r="D3228" s="14" t="s">
        <v>4036</v>
      </c>
      <c r="E3228" s="12" t="s">
        <v>28</v>
      </c>
      <c r="F3228" s="13" t="s">
        <v>29</v>
      </c>
      <c r="G3228">
        <v>1</v>
      </c>
      <c r="H3228" t="s">
        <v>30</v>
      </c>
      <c r="I3228">
        <v>1</v>
      </c>
      <c r="J3228" s="15"/>
      <c r="K3228" s="16">
        <f>723.98 - (723.98 * $E$1)</f>
        <v>723.98</v>
      </c>
      <c r="L3228" s="16">
        <f>593.43 - (593.43 * $E$1)</f>
        <v>593.42999999999995</v>
      </c>
      <c r="M3228" s="1">
        <v>723.98</v>
      </c>
      <c r="N3228" s="1">
        <v>593.42999999999995</v>
      </c>
      <c r="O3228" s="1">
        <v>615.39</v>
      </c>
      <c r="P3228" s="1">
        <v>504.42</v>
      </c>
      <c r="Q3228">
        <v>0.16</v>
      </c>
      <c r="R3228">
        <v>3.3599999999999998E-4</v>
      </c>
    </row>
    <row r="3229" spans="1:18" ht="13.8" outlineLevel="3" x14ac:dyDescent="0.25">
      <c r="A3229">
        <v>55947</v>
      </c>
      <c r="B3229" t="s">
        <v>4024</v>
      </c>
      <c r="C3229" t="s">
        <v>4037</v>
      </c>
      <c r="D3229" s="14" t="s">
        <v>4038</v>
      </c>
      <c r="E3229" s="12" t="s">
        <v>28</v>
      </c>
      <c r="F3229" s="13" t="s">
        <v>29</v>
      </c>
      <c r="G3229">
        <v>1</v>
      </c>
      <c r="H3229" t="s">
        <v>30</v>
      </c>
      <c r="I3229">
        <v>1</v>
      </c>
      <c r="J3229" s="15"/>
      <c r="K3229" s="16">
        <f>706.05 - (706.05 * $E$1)</f>
        <v>706.05</v>
      </c>
      <c r="L3229" s="16">
        <f>578.73 - (578.73 * $E$1)</f>
        <v>578.73</v>
      </c>
      <c r="M3229" s="1">
        <v>706.05</v>
      </c>
      <c r="N3229" s="1">
        <v>578.73</v>
      </c>
      <c r="O3229" s="1">
        <v>600.14</v>
      </c>
      <c r="P3229" s="1">
        <v>491.92</v>
      </c>
      <c r="Q3229">
        <v>0.18</v>
      </c>
      <c r="R3229">
        <v>4.4999999999999999E-4</v>
      </c>
    </row>
    <row r="3230" spans="1:18" ht="13.8" outlineLevel="3" x14ac:dyDescent="0.25">
      <c r="A3230">
        <v>55948</v>
      </c>
      <c r="B3230" t="s">
        <v>4022</v>
      </c>
      <c r="C3230" t="s">
        <v>4039</v>
      </c>
      <c r="D3230" s="14" t="s">
        <v>4040</v>
      </c>
      <c r="E3230" s="12" t="s">
        <v>28</v>
      </c>
      <c r="F3230" s="13" t="s">
        <v>29</v>
      </c>
      <c r="G3230">
        <v>1</v>
      </c>
      <c r="H3230" t="s">
        <v>30</v>
      </c>
      <c r="I3230">
        <v>1</v>
      </c>
      <c r="J3230" s="15"/>
      <c r="K3230" s="16">
        <f>1230.53 - (1230.53 * $E$1)</f>
        <v>1230.53</v>
      </c>
      <c r="L3230" s="16">
        <f>1008.63 - (1008.63 * $E$1)</f>
        <v>1008.63</v>
      </c>
      <c r="M3230" s="1">
        <v>1230.53</v>
      </c>
      <c r="N3230" s="1">
        <v>1008.63</v>
      </c>
      <c r="O3230" s="1">
        <v>1045.95</v>
      </c>
      <c r="P3230" s="1">
        <v>857.34</v>
      </c>
      <c r="Q3230">
        <v>0.2</v>
      </c>
      <c r="R3230">
        <v>5.5099999999999995E-4</v>
      </c>
    </row>
    <row r="3231" spans="1:18" ht="13.8" outlineLevel="3" x14ac:dyDescent="0.25">
      <c r="A3231">
        <v>101541</v>
      </c>
      <c r="B3231" t="s">
        <v>4022</v>
      </c>
      <c r="C3231" t="s">
        <v>4041</v>
      </c>
      <c r="D3231" s="14" t="s">
        <v>4042</v>
      </c>
      <c r="E3231" s="12" t="s">
        <v>28</v>
      </c>
      <c r="F3231" s="13" t="s">
        <v>29</v>
      </c>
      <c r="G3231">
        <v>1</v>
      </c>
      <c r="H3231" t="s">
        <v>30</v>
      </c>
      <c r="I3231">
        <v>1</v>
      </c>
      <c r="J3231" s="15"/>
      <c r="K3231" s="16">
        <f>765.43 - (765.43 * $E$1)</f>
        <v>765.43</v>
      </c>
      <c r="L3231" s="16">
        <f>627.4 - (627.4 * $E$1)</f>
        <v>627.4</v>
      </c>
      <c r="M3231" s="1">
        <v>765.43</v>
      </c>
      <c r="N3231" s="1">
        <v>627.4</v>
      </c>
      <c r="O3231" s="1">
        <v>650.61</v>
      </c>
      <c r="P3231" s="1">
        <v>533.29</v>
      </c>
      <c r="Q3231">
        <v>0.22</v>
      </c>
      <c r="R3231">
        <v>5.04E-4</v>
      </c>
    </row>
    <row r="3232" spans="1:18" ht="13.8" outlineLevel="3" x14ac:dyDescent="0.25">
      <c r="A3232">
        <v>102398</v>
      </c>
      <c r="B3232" t="s">
        <v>4022</v>
      </c>
      <c r="C3232" t="s">
        <v>4043</v>
      </c>
      <c r="D3232" s="14" t="s">
        <v>4044</v>
      </c>
      <c r="E3232" s="12" t="s">
        <v>28</v>
      </c>
      <c r="F3232" s="13" t="s">
        <v>29</v>
      </c>
      <c r="G3232">
        <v>1</v>
      </c>
      <c r="H3232" t="s">
        <v>30</v>
      </c>
      <c r="I3232">
        <v>1</v>
      </c>
      <c r="J3232" s="15"/>
      <c r="K3232" s="16">
        <f>1169.39 - (1169.39 * $E$1)</f>
        <v>1169.3900000000001</v>
      </c>
      <c r="L3232" s="16">
        <f>958.52 - (958.52 * $E$1)</f>
        <v>958.52</v>
      </c>
      <c r="M3232" s="1">
        <v>1169.3900000000001</v>
      </c>
      <c r="N3232" s="1">
        <v>958.52</v>
      </c>
      <c r="O3232" s="1">
        <v>993.99</v>
      </c>
      <c r="P3232" s="1">
        <v>814.74</v>
      </c>
      <c r="Q3232">
        <v>0.2</v>
      </c>
      <c r="R3232">
        <v>3.8299999999999999E-4</v>
      </c>
    </row>
    <row r="3233" spans="1:18" ht="13.8" outlineLevel="3" x14ac:dyDescent="0.25">
      <c r="A3233">
        <v>102399</v>
      </c>
      <c r="B3233" t="s">
        <v>4022</v>
      </c>
      <c r="C3233" t="s">
        <v>4045</v>
      </c>
      <c r="D3233" s="14" t="s">
        <v>4046</v>
      </c>
      <c r="E3233" s="12" t="s">
        <v>28</v>
      </c>
      <c r="F3233" s="13" t="s">
        <v>29</v>
      </c>
      <c r="G3233">
        <v>1</v>
      </c>
      <c r="H3233" t="s">
        <v>30</v>
      </c>
      <c r="I3233">
        <v>1</v>
      </c>
      <c r="J3233" s="15"/>
      <c r="K3233" s="16">
        <f>1299.67 - (1299.67 * $E$1)</f>
        <v>1299.67</v>
      </c>
      <c r="L3233" s="16">
        <f>1065.3 - (1065.3 * $E$1)</f>
        <v>1065.3</v>
      </c>
      <c r="M3233" s="1">
        <v>1299.67</v>
      </c>
      <c r="N3233" s="1">
        <v>1065.3</v>
      </c>
      <c r="O3233" s="1">
        <v>1104.72</v>
      </c>
      <c r="P3233" s="1">
        <v>905.51</v>
      </c>
      <c r="Q3233">
        <v>0.18</v>
      </c>
      <c r="R3233">
        <v>4.4999999999999999E-4</v>
      </c>
    </row>
    <row r="3234" spans="1:18" ht="13.8" outlineLevel="3" x14ac:dyDescent="0.25">
      <c r="A3234">
        <v>102400</v>
      </c>
      <c r="B3234" t="s">
        <v>4022</v>
      </c>
      <c r="C3234" t="s">
        <v>4047</v>
      </c>
      <c r="D3234" s="14" t="s">
        <v>4048</v>
      </c>
      <c r="E3234" s="12" t="s">
        <v>28</v>
      </c>
      <c r="F3234" s="13" t="s">
        <v>29</v>
      </c>
      <c r="G3234">
        <v>1</v>
      </c>
      <c r="H3234" t="s">
        <v>30</v>
      </c>
      <c r="I3234">
        <v>1</v>
      </c>
      <c r="J3234" s="15"/>
      <c r="K3234" s="16">
        <f>1393.56 - (1393.56 * $E$1)</f>
        <v>1393.56</v>
      </c>
      <c r="L3234" s="16">
        <f>1142.26 - (1142.26 * $E$1)</f>
        <v>1142.26</v>
      </c>
      <c r="M3234" s="1">
        <v>1393.56</v>
      </c>
      <c r="N3234" s="1">
        <v>1142.26</v>
      </c>
      <c r="O3234" s="1">
        <v>1184.52</v>
      </c>
      <c r="P3234" s="1">
        <v>970.92</v>
      </c>
      <c r="Q3234">
        <v>0.26</v>
      </c>
      <c r="R3234">
        <v>5.5999999999999995E-4</v>
      </c>
    </row>
    <row r="3235" spans="1:18" ht="13.8" outlineLevel="3" x14ac:dyDescent="0.25">
      <c r="A3235">
        <v>101542</v>
      </c>
      <c r="B3235" t="s">
        <v>4022</v>
      </c>
      <c r="C3235" t="s">
        <v>4049</v>
      </c>
      <c r="D3235" s="14" t="s">
        <v>4050</v>
      </c>
      <c r="E3235" s="12" t="s">
        <v>28</v>
      </c>
      <c r="F3235" s="13" t="s">
        <v>29</v>
      </c>
      <c r="G3235">
        <v>1</v>
      </c>
      <c r="H3235" t="s">
        <v>30</v>
      </c>
      <c r="I3235">
        <v>1</v>
      </c>
      <c r="J3235" s="15"/>
      <c r="K3235" s="16">
        <f>1509.52 - (1509.52 * $E$1)</f>
        <v>1509.52</v>
      </c>
      <c r="L3235" s="16">
        <f>1237.31 - (1237.31 * $E$1)</f>
        <v>1237.31</v>
      </c>
      <c r="M3235" s="1">
        <v>1509.52</v>
      </c>
      <c r="N3235" s="1">
        <v>1237.31</v>
      </c>
      <c r="O3235" s="1">
        <v>1283.0899999999999</v>
      </c>
      <c r="P3235" s="1">
        <v>1051.71</v>
      </c>
      <c r="Q3235">
        <v>0.35</v>
      </c>
      <c r="R3235">
        <v>1.3439999999999999E-3</v>
      </c>
    </row>
    <row r="3236" spans="1:18" ht="13.8" outlineLevel="3" x14ac:dyDescent="0.25">
      <c r="A3236">
        <v>61668</v>
      </c>
      <c r="B3236" t="s">
        <v>4024</v>
      </c>
      <c r="C3236" t="s">
        <v>4051</v>
      </c>
      <c r="D3236" s="14" t="s">
        <v>4052</v>
      </c>
      <c r="E3236" s="12" t="s">
        <v>28</v>
      </c>
      <c r="F3236" s="13" t="s">
        <v>29</v>
      </c>
      <c r="G3236">
        <v>1</v>
      </c>
      <c r="H3236" t="s">
        <v>30</v>
      </c>
      <c r="I3236">
        <v>1</v>
      </c>
      <c r="J3236" s="15"/>
      <c r="K3236" s="16">
        <f>1838.5 - (1838.5 * $E$1)</f>
        <v>1838.5</v>
      </c>
      <c r="L3236" s="16">
        <f>1506.97 - (1506.97 * $E$1)</f>
        <v>1506.97</v>
      </c>
      <c r="M3236" s="1">
        <v>1838.5</v>
      </c>
      <c r="N3236" s="1">
        <v>1506.97</v>
      </c>
      <c r="O3236" s="1">
        <v>1562.73</v>
      </c>
      <c r="P3236" s="1">
        <v>1280.92</v>
      </c>
      <c r="Q3236">
        <v>0.4</v>
      </c>
      <c r="R3236">
        <v>9.6599999999999995E-4</v>
      </c>
    </row>
    <row r="3237" spans="1:18" ht="13.8" outlineLevel="3" x14ac:dyDescent="0.25">
      <c r="A3237">
        <v>61670</v>
      </c>
      <c r="B3237" t="s">
        <v>4024</v>
      </c>
      <c r="C3237" t="s">
        <v>4053</v>
      </c>
      <c r="D3237" s="14" t="s">
        <v>4054</v>
      </c>
      <c r="E3237" s="12" t="s">
        <v>28</v>
      </c>
      <c r="F3237" s="13" t="s">
        <v>29</v>
      </c>
      <c r="G3237">
        <v>1</v>
      </c>
      <c r="H3237" t="s">
        <v>30</v>
      </c>
      <c r="I3237">
        <v>1</v>
      </c>
      <c r="J3237" s="15"/>
      <c r="K3237" s="16">
        <f>1900.48 - (1900.48 * $E$1)</f>
        <v>1900.48</v>
      </c>
      <c r="L3237" s="16">
        <f>1557.77 - (1557.77 * $E$1)</f>
        <v>1557.77</v>
      </c>
      <c r="M3237" s="1">
        <v>1900.48</v>
      </c>
      <c r="N3237" s="1">
        <v>1557.77</v>
      </c>
      <c r="O3237" s="1">
        <v>1615.41</v>
      </c>
      <c r="P3237" s="1">
        <v>1324.1</v>
      </c>
      <c r="Q3237">
        <v>0.41</v>
      </c>
      <c r="R3237">
        <v>1.2290000000000001E-3</v>
      </c>
    </row>
    <row r="3238" spans="1:18" ht="13.8" outlineLevel="3" x14ac:dyDescent="0.25">
      <c r="A3238">
        <v>69278</v>
      </c>
      <c r="B3238" t="s">
        <v>4024</v>
      </c>
      <c r="C3238" t="s">
        <v>4055</v>
      </c>
      <c r="D3238" s="14" t="s">
        <v>4056</v>
      </c>
      <c r="E3238" s="12" t="s">
        <v>28</v>
      </c>
      <c r="F3238" s="13" t="s">
        <v>29</v>
      </c>
      <c r="G3238">
        <v>1</v>
      </c>
      <c r="H3238" t="s">
        <v>30</v>
      </c>
      <c r="I3238">
        <v>1</v>
      </c>
      <c r="J3238" s="15"/>
      <c r="K3238" s="16">
        <f>2613.74 - (2613.74 * $E$1)</f>
        <v>2613.7399999999998</v>
      </c>
      <c r="L3238" s="16">
        <f>2142.41 - (2142.41 * $E$1)</f>
        <v>2142.41</v>
      </c>
      <c r="M3238" s="1">
        <v>2613.7399999999998</v>
      </c>
      <c r="N3238" s="1">
        <v>2142.41</v>
      </c>
      <c r="O3238" s="1">
        <v>2221.6799999999998</v>
      </c>
      <c r="P3238" s="1">
        <v>1821.05</v>
      </c>
      <c r="Q3238">
        <v>0.436</v>
      </c>
      <c r="R3238">
        <v>1.049E-3</v>
      </c>
    </row>
    <row r="3239" spans="1:18" ht="13.8" outlineLevel="3" x14ac:dyDescent="0.25">
      <c r="A3239">
        <v>69476</v>
      </c>
      <c r="B3239" t="s">
        <v>4024</v>
      </c>
      <c r="C3239" t="s">
        <v>4057</v>
      </c>
      <c r="D3239" s="14" t="s">
        <v>4058</v>
      </c>
      <c r="E3239" s="12" t="s">
        <v>28</v>
      </c>
      <c r="F3239" s="13" t="s">
        <v>29</v>
      </c>
      <c r="G3239">
        <v>1</v>
      </c>
      <c r="H3239" t="s">
        <v>30</v>
      </c>
      <c r="I3239">
        <v>1</v>
      </c>
      <c r="J3239" s="15"/>
      <c r="K3239" s="16">
        <f>2306.07 - (2306.07 * $E$1)</f>
        <v>2306.0700000000002</v>
      </c>
      <c r="L3239" s="16">
        <f>1890.22 - (1890.22 * $E$1)</f>
        <v>1890.22</v>
      </c>
      <c r="M3239" s="1">
        <v>2306.0700000000002</v>
      </c>
      <c r="N3239" s="1">
        <v>1890.22</v>
      </c>
      <c r="O3239" s="1">
        <v>1960.16</v>
      </c>
      <c r="P3239" s="1">
        <v>1606.69</v>
      </c>
      <c r="Q3239">
        <v>0.4</v>
      </c>
      <c r="R3239">
        <v>1.4040000000000001E-3</v>
      </c>
    </row>
    <row r="3240" spans="1:18" ht="13.8" outlineLevel="3" x14ac:dyDescent="0.25">
      <c r="A3240">
        <v>84418</v>
      </c>
      <c r="B3240" t="s">
        <v>4024</v>
      </c>
      <c r="C3240" t="s">
        <v>4059</v>
      </c>
      <c r="D3240" s="14" t="s">
        <v>4060</v>
      </c>
      <c r="E3240" s="12" t="s">
        <v>28</v>
      </c>
      <c r="F3240" s="13" t="s">
        <v>29</v>
      </c>
      <c r="G3240">
        <v>1</v>
      </c>
      <c r="H3240" t="s">
        <v>30</v>
      </c>
      <c r="I3240">
        <v>1</v>
      </c>
      <c r="J3240" s="15"/>
      <c r="K3240" s="16">
        <f>2987.01 - (2987.01 * $E$1)</f>
        <v>2987.01</v>
      </c>
      <c r="L3240" s="16">
        <f>2448.37 - (2448.37 * $E$1)</f>
        <v>2448.37</v>
      </c>
      <c r="M3240" s="1">
        <v>2987.01</v>
      </c>
      <c r="N3240" s="1">
        <v>2448.37</v>
      </c>
      <c r="O3240" s="1">
        <v>2538.96</v>
      </c>
      <c r="P3240" s="1">
        <v>2081.11</v>
      </c>
      <c r="Q3240">
        <v>0.36</v>
      </c>
      <c r="R3240">
        <v>1.145E-3</v>
      </c>
    </row>
    <row r="3241" spans="1:18" ht="13.8" outlineLevel="3" x14ac:dyDescent="0.25">
      <c r="A3241">
        <v>87581</v>
      </c>
      <c r="B3241" t="s">
        <v>4024</v>
      </c>
      <c r="C3241" t="s">
        <v>4061</v>
      </c>
      <c r="D3241" s="14" t="s">
        <v>4062</v>
      </c>
      <c r="E3241" s="12" t="s">
        <v>28</v>
      </c>
      <c r="F3241" s="13" t="s">
        <v>29</v>
      </c>
      <c r="G3241">
        <v>1</v>
      </c>
      <c r="H3241" t="s">
        <v>30</v>
      </c>
      <c r="I3241">
        <v>1</v>
      </c>
      <c r="J3241" s="15"/>
      <c r="K3241" s="16">
        <f>3532.66 - (3532.66 * $E$1)</f>
        <v>3532.66</v>
      </c>
      <c r="L3241" s="16">
        <f>2895.62 - (2895.62 * $E$1)</f>
        <v>2895.62</v>
      </c>
      <c r="M3241" s="1">
        <v>3532.66</v>
      </c>
      <c r="N3241" s="1">
        <v>2895.62</v>
      </c>
      <c r="O3241" s="1">
        <v>3002.76</v>
      </c>
      <c r="P3241" s="1">
        <v>2461.2800000000002</v>
      </c>
      <c r="Q3241">
        <v>0.442</v>
      </c>
      <c r="R3241">
        <v>9.859999999999999E-4</v>
      </c>
    </row>
    <row r="3242" spans="1:18" ht="13.8" outlineLevel="3" x14ac:dyDescent="0.25">
      <c r="A3242">
        <v>89424</v>
      </c>
      <c r="B3242" t="s">
        <v>4022</v>
      </c>
      <c r="C3242" t="s">
        <v>4063</v>
      </c>
      <c r="D3242" s="14" t="s">
        <v>4063</v>
      </c>
      <c r="E3242" s="12" t="s">
        <v>28</v>
      </c>
      <c r="F3242" s="13" t="s">
        <v>29</v>
      </c>
      <c r="G3242">
        <v>1</v>
      </c>
      <c r="H3242" t="s">
        <v>30</v>
      </c>
      <c r="I3242">
        <v>1</v>
      </c>
      <c r="J3242" s="15"/>
      <c r="K3242" s="16">
        <f>3760.38 - (3760.38 * $E$1)</f>
        <v>3760.38</v>
      </c>
      <c r="L3242" s="16">
        <f>3082.28 - (3082.28 * $E$1)</f>
        <v>3082.28</v>
      </c>
      <c r="M3242" s="1">
        <v>3760.38</v>
      </c>
      <c r="N3242" s="1">
        <v>3082.28</v>
      </c>
      <c r="O3242" s="1">
        <v>3196.32</v>
      </c>
      <c r="P3242" s="1">
        <v>2619.94</v>
      </c>
      <c r="Q3242">
        <v>0.42199999999999999</v>
      </c>
      <c r="R3242">
        <v>1.0139999999999999E-3</v>
      </c>
    </row>
    <row r="3243" spans="1:18" ht="13.8" outlineLevel="3" x14ac:dyDescent="0.25">
      <c r="A3243">
        <v>104425</v>
      </c>
      <c r="B3243" t="s">
        <v>4022</v>
      </c>
      <c r="C3243" t="s">
        <v>4064</v>
      </c>
      <c r="D3243" s="14" t="s">
        <v>4065</v>
      </c>
      <c r="E3243" s="12" t="s">
        <v>28</v>
      </c>
      <c r="F3243" s="13" t="s">
        <v>29</v>
      </c>
      <c r="G3243">
        <v>1</v>
      </c>
      <c r="H3243" t="s">
        <v>30</v>
      </c>
      <c r="I3243">
        <v>1</v>
      </c>
      <c r="J3243" s="15"/>
      <c r="K3243" s="16">
        <f>1824.63 - (1824.63 * $E$1)</f>
        <v>1824.63</v>
      </c>
      <c r="L3243" s="16">
        <f>1495.6 - (1495.6 * $E$1)</f>
        <v>1495.6</v>
      </c>
      <c r="M3243" s="1">
        <v>1824.63</v>
      </c>
      <c r="N3243" s="1">
        <v>1495.6</v>
      </c>
      <c r="O3243" s="1">
        <v>1550.94</v>
      </c>
      <c r="P3243" s="1">
        <v>1271.26</v>
      </c>
      <c r="Q3243">
        <v>0.39</v>
      </c>
      <c r="R3243">
        <v>1.4040000000000001E-3</v>
      </c>
    </row>
    <row r="3244" spans="1:18" ht="13.8" outlineLevel="3" x14ac:dyDescent="0.25">
      <c r="A3244">
        <v>77665</v>
      </c>
      <c r="B3244" t="s">
        <v>4024</v>
      </c>
      <c r="C3244" t="s">
        <v>4066</v>
      </c>
      <c r="D3244" s="14" t="s">
        <v>4067</v>
      </c>
      <c r="E3244" s="12" t="s">
        <v>28</v>
      </c>
      <c r="F3244" s="13" t="s">
        <v>29</v>
      </c>
      <c r="G3244">
        <v>1</v>
      </c>
      <c r="H3244" t="s">
        <v>30</v>
      </c>
      <c r="I3244">
        <v>1</v>
      </c>
      <c r="J3244" s="15"/>
      <c r="K3244" s="16">
        <f>4678.81 - (4678.81 * $E$1)</f>
        <v>4678.8100000000004</v>
      </c>
      <c r="L3244" s="16">
        <f>3835.09 - (3835.09 * $E$1)</f>
        <v>3835.09</v>
      </c>
      <c r="M3244" s="1">
        <v>4678.8100000000004</v>
      </c>
      <c r="N3244" s="1">
        <v>3835.09</v>
      </c>
      <c r="O3244" s="1">
        <v>3976.99</v>
      </c>
      <c r="P3244" s="1">
        <v>3259.83</v>
      </c>
      <c r="Q3244">
        <v>0.42</v>
      </c>
      <c r="R3244">
        <v>1.248E-3</v>
      </c>
    </row>
    <row r="3245" spans="1:18" ht="13.8" outlineLevel="3" x14ac:dyDescent="0.25">
      <c r="A3245">
        <v>77666</v>
      </c>
      <c r="B3245" t="s">
        <v>4024</v>
      </c>
      <c r="C3245" t="s">
        <v>4068</v>
      </c>
      <c r="D3245" s="14" t="s">
        <v>4069</v>
      </c>
      <c r="E3245" s="12" t="s">
        <v>28</v>
      </c>
      <c r="F3245" s="17" t="s">
        <v>549</v>
      </c>
      <c r="G3245">
        <v>1</v>
      </c>
      <c r="H3245" t="s">
        <v>30</v>
      </c>
      <c r="I3245">
        <v>1</v>
      </c>
      <c r="J3245" s="15"/>
      <c r="K3245" s="16">
        <f>4753.38 - (4753.38 * $E$1)</f>
        <v>4753.38</v>
      </c>
      <c r="L3245" s="16">
        <f>3896.21 - (3896.21 * $E$1)</f>
        <v>3896.21</v>
      </c>
      <c r="M3245" s="1">
        <v>4753.38</v>
      </c>
      <c r="N3245" s="1">
        <v>3896.21</v>
      </c>
      <c r="O3245" s="1">
        <v>4040.37</v>
      </c>
      <c r="P3245" s="1">
        <v>3311.78</v>
      </c>
      <c r="Q3245">
        <v>0.43</v>
      </c>
      <c r="R3245">
        <v>1.248E-3</v>
      </c>
    </row>
    <row r="3246" spans="1:18" ht="13.8" outlineLevel="3" x14ac:dyDescent="0.25">
      <c r="A3246">
        <v>60409</v>
      </c>
      <c r="B3246" t="s">
        <v>4024</v>
      </c>
      <c r="C3246" t="s">
        <v>4070</v>
      </c>
      <c r="D3246" s="14" t="s">
        <v>4071</v>
      </c>
      <c r="E3246" s="12" t="s">
        <v>28</v>
      </c>
      <c r="F3246" s="13" t="s">
        <v>29</v>
      </c>
      <c r="G3246">
        <v>1</v>
      </c>
      <c r="H3246" t="s">
        <v>30</v>
      </c>
      <c r="I3246">
        <v>1</v>
      </c>
      <c r="J3246" s="15"/>
      <c r="K3246" s="16">
        <f>2030.41 - (2030.41 * $E$1)</f>
        <v>2030.41</v>
      </c>
      <c r="L3246" s="16">
        <f>1664.27 - (1664.27 * $E$1)</f>
        <v>1664.27</v>
      </c>
      <c r="M3246" s="1">
        <v>2030.41</v>
      </c>
      <c r="N3246" s="1">
        <v>1664.27</v>
      </c>
      <c r="O3246" s="1">
        <v>1725.85</v>
      </c>
      <c r="P3246" s="1">
        <v>1414.63</v>
      </c>
      <c r="Q3246">
        <v>0.16300000000000001</v>
      </c>
      <c r="R3246">
        <v>6.69E-4</v>
      </c>
    </row>
    <row r="3247" spans="1:18" ht="13.8" outlineLevel="3" x14ac:dyDescent="0.25">
      <c r="A3247">
        <v>106408</v>
      </c>
      <c r="B3247" t="s">
        <v>4072</v>
      </c>
      <c r="C3247" t="s">
        <v>4073</v>
      </c>
      <c r="D3247" s="14" t="s">
        <v>4074</v>
      </c>
      <c r="E3247" s="12" t="s">
        <v>28</v>
      </c>
      <c r="F3247" s="18" t="s">
        <v>1467</v>
      </c>
      <c r="G3247">
        <v>1</v>
      </c>
      <c r="H3247" t="s">
        <v>30</v>
      </c>
      <c r="I3247">
        <v>1</v>
      </c>
      <c r="J3247" s="15"/>
      <c r="K3247" s="16">
        <f>2025.47 - (2025.47 * $E$1)</f>
        <v>2025.47</v>
      </c>
      <c r="L3247" s="16">
        <f>1660.22 - (1660.22 * $E$1)</f>
        <v>1660.22</v>
      </c>
      <c r="M3247" s="1">
        <v>2025.47</v>
      </c>
      <c r="N3247" s="1">
        <v>1660.22</v>
      </c>
      <c r="O3247" s="1">
        <v>1721.65</v>
      </c>
      <c r="P3247" s="1">
        <v>1411.19</v>
      </c>
      <c r="Q3247">
        <v>0.16</v>
      </c>
    </row>
    <row r="3248" spans="1:18" ht="13.8" outlineLevel="3" x14ac:dyDescent="0.25">
      <c r="A3248">
        <v>90987</v>
      </c>
      <c r="B3248" t="s">
        <v>4022</v>
      </c>
      <c r="C3248" t="s">
        <v>4075</v>
      </c>
      <c r="D3248" s="14" t="s">
        <v>4076</v>
      </c>
      <c r="E3248" s="12" t="s">
        <v>28</v>
      </c>
      <c r="F3248" s="13" t="s">
        <v>29</v>
      </c>
      <c r="G3248">
        <v>1</v>
      </c>
      <c r="H3248" t="s">
        <v>30</v>
      </c>
      <c r="I3248">
        <v>1</v>
      </c>
      <c r="J3248" s="15"/>
      <c r="K3248" s="16">
        <f>2283.33 - (2283.33 * $E$1)</f>
        <v>2283.33</v>
      </c>
      <c r="L3248" s="16">
        <f>1871.58 - (1871.58 * $E$1)</f>
        <v>1871.58</v>
      </c>
      <c r="M3248" s="1">
        <v>2283.33</v>
      </c>
      <c r="N3248" s="1">
        <v>1871.58</v>
      </c>
      <c r="O3248" s="1">
        <v>1940.83</v>
      </c>
      <c r="P3248" s="1">
        <v>1590.84</v>
      </c>
      <c r="Q3248">
        <v>0.16200000000000001</v>
      </c>
      <c r="R3248">
        <v>8.25E-4</v>
      </c>
    </row>
    <row r="3249" spans="1:18" ht="13.8" outlineLevel="3" x14ac:dyDescent="0.25">
      <c r="A3249">
        <v>86599</v>
      </c>
      <c r="B3249" t="s">
        <v>4024</v>
      </c>
      <c r="C3249" t="s">
        <v>4077</v>
      </c>
      <c r="D3249" s="14" t="s">
        <v>4078</v>
      </c>
      <c r="E3249" s="12" t="s">
        <v>28</v>
      </c>
      <c r="F3249" s="13" t="s">
        <v>29</v>
      </c>
      <c r="G3249">
        <v>1</v>
      </c>
      <c r="H3249" t="s">
        <v>30</v>
      </c>
      <c r="I3249">
        <v>1</v>
      </c>
      <c r="J3249" s="15"/>
      <c r="K3249" s="16">
        <f>2709.42 - (2709.42 * $E$1)</f>
        <v>2709.42</v>
      </c>
      <c r="L3249" s="16">
        <f>2220.84 - (2220.84 * $E$1)</f>
        <v>2220.84</v>
      </c>
      <c r="M3249" s="1">
        <v>2709.42</v>
      </c>
      <c r="N3249" s="1">
        <v>2220.84</v>
      </c>
      <c r="O3249" s="1">
        <v>2303.0100000000002</v>
      </c>
      <c r="P3249" s="1">
        <v>1887.71</v>
      </c>
      <c r="Q3249">
        <v>0.18</v>
      </c>
      <c r="R3249">
        <v>6.9999999999999999E-4</v>
      </c>
    </row>
    <row r="3250" spans="1:18" ht="16.5" customHeight="1" outlineLevel="2" x14ac:dyDescent="0.35">
      <c r="A3250" s="9"/>
      <c r="B3250" s="10" t="s">
        <v>4079</v>
      </c>
      <c r="C3250" s="10"/>
      <c r="D3250" s="10"/>
      <c r="E3250" s="10"/>
      <c r="F3250" s="10"/>
      <c r="G3250" s="10"/>
      <c r="H3250" s="10"/>
      <c r="I3250" s="10"/>
      <c r="J3250" s="10"/>
      <c r="K3250" s="10"/>
      <c r="L3250" s="10"/>
      <c r="M3250" s="10"/>
      <c r="N3250" s="10"/>
      <c r="O3250" s="10"/>
      <c r="P3250" s="10"/>
      <c r="Q3250" s="10"/>
      <c r="R3250" s="11"/>
    </row>
    <row r="3251" spans="1:18" ht="13.8" outlineLevel="3" x14ac:dyDescent="0.25">
      <c r="A3251">
        <v>55842</v>
      </c>
      <c r="B3251" t="s">
        <v>4024</v>
      </c>
      <c r="C3251" t="s">
        <v>4080</v>
      </c>
      <c r="D3251" s="14" t="s">
        <v>4081</v>
      </c>
      <c r="E3251" s="12" t="s">
        <v>28</v>
      </c>
      <c r="F3251" s="13" t="s">
        <v>29</v>
      </c>
      <c r="G3251">
        <v>1</v>
      </c>
      <c r="H3251" t="s">
        <v>30</v>
      </c>
      <c r="I3251">
        <v>1</v>
      </c>
      <c r="J3251" s="15"/>
      <c r="K3251" s="16">
        <f>3413.91 - (3413.91 * $E$1)</f>
        <v>3413.91</v>
      </c>
      <c r="L3251" s="16">
        <f>2798.29 - (2798.29 * $E$1)</f>
        <v>2798.29</v>
      </c>
      <c r="M3251" s="1">
        <v>3413.91</v>
      </c>
      <c r="N3251" s="1">
        <v>2798.29</v>
      </c>
      <c r="O3251" s="1">
        <v>2901.83</v>
      </c>
      <c r="P3251" s="1">
        <v>2378.5500000000002</v>
      </c>
      <c r="Q3251">
        <v>0.2</v>
      </c>
      <c r="R3251">
        <v>5.2599999999999999E-4</v>
      </c>
    </row>
    <row r="3252" spans="1:18" ht="13.8" outlineLevel="3" x14ac:dyDescent="0.25">
      <c r="A3252">
        <v>58746</v>
      </c>
      <c r="B3252" t="s">
        <v>4024</v>
      </c>
      <c r="C3252" t="s">
        <v>4082</v>
      </c>
      <c r="D3252" s="14" t="s">
        <v>4083</v>
      </c>
      <c r="E3252" s="12" t="s">
        <v>28</v>
      </c>
      <c r="F3252" s="13" t="s">
        <v>29</v>
      </c>
      <c r="G3252">
        <v>1</v>
      </c>
      <c r="H3252" t="s">
        <v>30</v>
      </c>
      <c r="I3252">
        <v>1</v>
      </c>
      <c r="J3252" s="15"/>
      <c r="K3252" s="16">
        <f>2735.18 - (2735.18 * $E$1)</f>
        <v>2735.18</v>
      </c>
      <c r="L3252" s="16">
        <f>2241.95 - (2241.95 * $E$1)</f>
        <v>2241.9499999999998</v>
      </c>
      <c r="M3252" s="1">
        <v>2735.18</v>
      </c>
      <c r="N3252" s="1">
        <v>2241.9499999999998</v>
      </c>
      <c r="O3252" s="1">
        <v>2324.9</v>
      </c>
      <c r="P3252" s="1">
        <v>1905.66</v>
      </c>
      <c r="Q3252">
        <v>0.16</v>
      </c>
      <c r="R3252">
        <v>1E-3</v>
      </c>
    </row>
    <row r="3253" spans="1:18" ht="13.8" outlineLevel="3" x14ac:dyDescent="0.25">
      <c r="A3253">
        <v>66257</v>
      </c>
      <c r="B3253" t="s">
        <v>4024</v>
      </c>
      <c r="C3253" t="s">
        <v>4084</v>
      </c>
      <c r="D3253" s="14" t="s">
        <v>4085</v>
      </c>
      <c r="E3253" s="12" t="s">
        <v>28</v>
      </c>
      <c r="F3253" s="13" t="s">
        <v>29</v>
      </c>
      <c r="G3253">
        <v>1</v>
      </c>
      <c r="H3253" t="s">
        <v>30</v>
      </c>
      <c r="I3253">
        <v>1</v>
      </c>
      <c r="J3253" s="15"/>
      <c r="K3253" s="16">
        <f>1597.32 - (1597.32 * $E$1)</f>
        <v>1597.32</v>
      </c>
      <c r="L3253" s="16">
        <f>1309.28 - (1309.28 * $E$1)</f>
        <v>1309.28</v>
      </c>
      <c r="M3253" s="1">
        <v>1597.32</v>
      </c>
      <c r="N3253" s="1">
        <v>1309.28</v>
      </c>
      <c r="O3253" s="1">
        <v>1357.72</v>
      </c>
      <c r="P3253" s="1">
        <v>1112.8900000000001</v>
      </c>
      <c r="Q3253">
        <v>0.08</v>
      </c>
      <c r="R3253">
        <v>4.0000000000000001E-3</v>
      </c>
    </row>
    <row r="3254" spans="1:18" ht="13.8" outlineLevel="3" x14ac:dyDescent="0.25">
      <c r="A3254">
        <v>70438</v>
      </c>
      <c r="B3254" t="s">
        <v>4024</v>
      </c>
      <c r="C3254" t="s">
        <v>4086</v>
      </c>
      <c r="D3254" s="14" t="s">
        <v>4087</v>
      </c>
      <c r="E3254" s="12" t="s">
        <v>28</v>
      </c>
      <c r="F3254" s="17" t="s">
        <v>549</v>
      </c>
      <c r="G3254">
        <v>1</v>
      </c>
      <c r="H3254" t="s">
        <v>30</v>
      </c>
      <c r="I3254">
        <v>1</v>
      </c>
      <c r="J3254" s="15"/>
      <c r="K3254" s="16">
        <f>2007.42 - (2007.42 * $E$1)</f>
        <v>2007.42</v>
      </c>
      <c r="L3254" s="16">
        <f>1645.43 - (1645.43 * $E$1)</f>
        <v>1645.43</v>
      </c>
      <c r="M3254" s="1">
        <v>2007.42</v>
      </c>
      <c r="N3254" s="1">
        <v>1645.43</v>
      </c>
      <c r="O3254" s="1">
        <v>1706.31</v>
      </c>
      <c r="P3254" s="1">
        <v>1398.62</v>
      </c>
      <c r="Q3254">
        <v>0.1</v>
      </c>
      <c r="R3254">
        <v>6.2699999999999995E-4</v>
      </c>
    </row>
    <row r="3255" spans="1:18" ht="13.8" outlineLevel="3" x14ac:dyDescent="0.25">
      <c r="A3255">
        <v>70439</v>
      </c>
      <c r="B3255" t="s">
        <v>4024</v>
      </c>
      <c r="C3255" t="s">
        <v>4088</v>
      </c>
      <c r="D3255" s="14" t="s">
        <v>4089</v>
      </c>
      <c r="E3255" s="12" t="s">
        <v>28</v>
      </c>
      <c r="F3255" s="13" t="s">
        <v>29</v>
      </c>
      <c r="G3255">
        <v>1</v>
      </c>
      <c r="H3255" t="s">
        <v>30</v>
      </c>
      <c r="I3255">
        <v>1</v>
      </c>
      <c r="J3255" s="15"/>
      <c r="K3255" s="16">
        <f>2130.45 - (2130.45 * $E$1)</f>
        <v>2130.4499999999998</v>
      </c>
      <c r="L3255" s="16">
        <f>1746.27 - (1746.27 * $E$1)</f>
        <v>1746.27</v>
      </c>
      <c r="M3255" s="1">
        <v>2130.4499999999998</v>
      </c>
      <c r="N3255" s="1">
        <v>1746.27</v>
      </c>
      <c r="O3255" s="1">
        <v>1810.88</v>
      </c>
      <c r="P3255" s="1">
        <v>1484.33</v>
      </c>
      <c r="Q3255">
        <v>0.14000000000000001</v>
      </c>
      <c r="R3255">
        <v>7.1599999999999995E-4</v>
      </c>
    </row>
    <row r="3256" spans="1:18" ht="16.5" customHeight="1" outlineLevel="2" x14ac:dyDescent="0.35">
      <c r="A3256" s="9"/>
      <c r="B3256" s="10" t="s">
        <v>4090</v>
      </c>
      <c r="C3256" s="10"/>
      <c r="D3256" s="10"/>
      <c r="E3256" s="10"/>
      <c r="F3256" s="10"/>
      <c r="G3256" s="10"/>
      <c r="H3256" s="10"/>
      <c r="I3256" s="10"/>
      <c r="J3256" s="10"/>
      <c r="K3256" s="10"/>
      <c r="L3256" s="10"/>
      <c r="M3256" s="10"/>
      <c r="N3256" s="10"/>
      <c r="O3256" s="10"/>
      <c r="P3256" s="10"/>
      <c r="Q3256" s="10"/>
      <c r="R3256" s="11"/>
    </row>
    <row r="3257" spans="1:18" ht="13.8" outlineLevel="3" x14ac:dyDescent="0.25">
      <c r="A3257">
        <v>101903</v>
      </c>
      <c r="B3257" t="s">
        <v>4091</v>
      </c>
      <c r="C3257" t="s">
        <v>4092</v>
      </c>
      <c r="D3257" s="14" t="s">
        <v>4093</v>
      </c>
      <c r="E3257" s="12" t="s">
        <v>28</v>
      </c>
      <c r="F3257" s="13" t="s">
        <v>29</v>
      </c>
      <c r="G3257">
        <v>1</v>
      </c>
      <c r="H3257" t="s">
        <v>30</v>
      </c>
      <c r="I3257">
        <v>1</v>
      </c>
      <c r="J3257" s="15"/>
      <c r="K3257" s="16">
        <f>41673.77 - (41673.77 * $E$1)</f>
        <v>41673.769999999997</v>
      </c>
      <c r="L3257" s="16">
        <f>34158.83 - (34158.83 * $E$1)</f>
        <v>34158.83</v>
      </c>
      <c r="M3257" s="1">
        <v>41673.769999999997</v>
      </c>
      <c r="N3257" s="1">
        <v>34158.83</v>
      </c>
      <c r="O3257" s="1">
        <v>35422.71</v>
      </c>
      <c r="P3257" s="1">
        <v>29035.01</v>
      </c>
      <c r="Q3257">
        <v>1.03</v>
      </c>
      <c r="R3257">
        <v>3.6870000000000002E-3</v>
      </c>
    </row>
    <row r="3258" spans="1:18" ht="13.8" outlineLevel="3" x14ac:dyDescent="0.25">
      <c r="A3258">
        <v>101904</v>
      </c>
      <c r="B3258" t="s">
        <v>4091</v>
      </c>
      <c r="C3258" t="s">
        <v>4094</v>
      </c>
      <c r="D3258" s="14" t="s">
        <v>4095</v>
      </c>
      <c r="E3258" s="12" t="s">
        <v>28</v>
      </c>
      <c r="F3258" s="13" t="s">
        <v>29</v>
      </c>
      <c r="G3258">
        <v>1</v>
      </c>
      <c r="H3258" t="s">
        <v>30</v>
      </c>
      <c r="I3258">
        <v>1</v>
      </c>
      <c r="J3258" s="15"/>
      <c r="K3258" s="16">
        <f>44104.24 - (44104.24 * $E$1)</f>
        <v>44104.24</v>
      </c>
      <c r="L3258" s="16">
        <f>36151.02 - (36151.02 * $E$1)</f>
        <v>36151.019999999997</v>
      </c>
      <c r="M3258" s="1">
        <v>44104.24</v>
      </c>
      <c r="N3258" s="1">
        <v>36151.019999999997</v>
      </c>
      <c r="O3258" s="1">
        <v>37488.61</v>
      </c>
      <c r="P3258" s="1">
        <v>30728.37</v>
      </c>
      <c r="Q3258">
        <v>1.0900000000000001</v>
      </c>
      <c r="R3258">
        <v>3.6870000000000002E-3</v>
      </c>
    </row>
    <row r="3259" spans="1:18" ht="13.8" outlineLevel="3" x14ac:dyDescent="0.25">
      <c r="A3259">
        <v>109652</v>
      </c>
      <c r="B3259" t="s">
        <v>4096</v>
      </c>
      <c r="C3259" t="s">
        <v>4097</v>
      </c>
      <c r="D3259" s="14" t="s">
        <v>4098</v>
      </c>
      <c r="E3259" s="12" t="s">
        <v>28</v>
      </c>
      <c r="F3259" s="18" t="s">
        <v>1467</v>
      </c>
      <c r="G3259">
        <v>1</v>
      </c>
      <c r="H3259" t="s">
        <v>30</v>
      </c>
      <c r="I3259">
        <v>1</v>
      </c>
      <c r="J3259" s="15"/>
      <c r="K3259" s="16">
        <f>21414.77 - (21414.77 * $E$1)</f>
        <v>21414.77</v>
      </c>
      <c r="L3259" s="16">
        <f>17553.09 - (17553.09 * $E$1)</f>
        <v>17553.09</v>
      </c>
      <c r="M3259" s="1">
        <v>21414.77</v>
      </c>
      <c r="N3259" s="1">
        <v>17553.09</v>
      </c>
      <c r="O3259" s="1">
        <v>18202.55</v>
      </c>
      <c r="P3259" s="1">
        <v>14920.13</v>
      </c>
      <c r="Q3259">
        <v>0.8</v>
      </c>
      <c r="R3259">
        <v>3.5750000000000001E-3</v>
      </c>
    </row>
    <row r="3260" spans="1:18" ht="13.8" outlineLevel="3" x14ac:dyDescent="0.25">
      <c r="A3260">
        <v>101905</v>
      </c>
      <c r="B3260" t="s">
        <v>4099</v>
      </c>
      <c r="C3260" t="s">
        <v>4100</v>
      </c>
      <c r="D3260" s="14" t="s">
        <v>4101</v>
      </c>
      <c r="E3260" s="12" t="s">
        <v>28</v>
      </c>
      <c r="F3260" s="13" t="s">
        <v>29</v>
      </c>
      <c r="G3260">
        <v>1</v>
      </c>
      <c r="H3260" t="s">
        <v>30</v>
      </c>
      <c r="I3260">
        <v>1</v>
      </c>
      <c r="J3260" s="15"/>
      <c r="K3260" s="16">
        <f>85539.08 - (85539.08 * $E$1)</f>
        <v>85539.08</v>
      </c>
      <c r="L3260" s="16">
        <f>70114 - (70114 * $E$1)</f>
        <v>70114</v>
      </c>
      <c r="M3260" s="1">
        <v>85539.08</v>
      </c>
      <c r="N3260" s="1">
        <v>70114</v>
      </c>
      <c r="O3260" s="1">
        <v>72708.22</v>
      </c>
      <c r="P3260" s="1">
        <v>59596.9</v>
      </c>
      <c r="Q3260">
        <v>1.82</v>
      </c>
      <c r="R3260">
        <v>4.8599999999999997E-3</v>
      </c>
    </row>
    <row r="3261" spans="1:18" ht="13.8" outlineLevel="3" x14ac:dyDescent="0.25">
      <c r="A3261">
        <v>109779</v>
      </c>
      <c r="B3261" t="s">
        <v>4102</v>
      </c>
      <c r="C3261" t="s">
        <v>4103</v>
      </c>
      <c r="D3261" s="14" t="s">
        <v>4104</v>
      </c>
      <c r="E3261" s="12" t="s">
        <v>28</v>
      </c>
      <c r="F3261" s="18" t="s">
        <v>1467</v>
      </c>
      <c r="G3261">
        <v>1</v>
      </c>
      <c r="H3261" t="s">
        <v>30</v>
      </c>
      <c r="I3261">
        <v>1</v>
      </c>
      <c r="J3261" s="15"/>
      <c r="K3261" s="16">
        <f>111115.88 - (111115.88 * $E$1)</f>
        <v>111115.88</v>
      </c>
      <c r="L3261" s="16">
        <f>91078.59 - (91078.59 * $E$1)</f>
        <v>91078.59</v>
      </c>
      <c r="M3261" s="1">
        <v>111115.88</v>
      </c>
      <c r="N3261" s="1">
        <v>91078.59</v>
      </c>
      <c r="O3261" s="1">
        <v>94448.5</v>
      </c>
      <c r="P3261" s="1">
        <v>77416.800000000003</v>
      </c>
      <c r="Q3261">
        <v>2.9</v>
      </c>
      <c r="R3261">
        <v>9.3439999999999999E-3</v>
      </c>
    </row>
    <row r="3262" spans="1:18" ht="13.8" outlineLevel="3" x14ac:dyDescent="0.25">
      <c r="A3262">
        <v>55908</v>
      </c>
      <c r="B3262" t="s">
        <v>4105</v>
      </c>
      <c r="C3262" t="s">
        <v>4106</v>
      </c>
      <c r="D3262" s="14" t="s">
        <v>4107</v>
      </c>
      <c r="E3262" s="12" t="s">
        <v>28</v>
      </c>
      <c r="F3262" s="13" t="s">
        <v>29</v>
      </c>
      <c r="G3262">
        <v>1</v>
      </c>
      <c r="H3262" t="s">
        <v>30</v>
      </c>
      <c r="I3262">
        <v>1</v>
      </c>
      <c r="J3262" s="15"/>
      <c r="K3262" s="16">
        <f>23216.11 - (23216.11 * $E$1)</f>
        <v>23216.11</v>
      </c>
      <c r="L3262" s="16">
        <f>19029.6 - (19029.6 * $E$1)</f>
        <v>19029.599999999999</v>
      </c>
      <c r="M3262" s="1">
        <v>23216.11</v>
      </c>
      <c r="N3262" s="1">
        <v>19029.599999999999</v>
      </c>
      <c r="O3262" s="1">
        <v>19733.7</v>
      </c>
      <c r="P3262" s="1">
        <v>16175.16</v>
      </c>
      <c r="Q3262">
        <v>1.68</v>
      </c>
      <c r="R3262">
        <v>6.3E-3</v>
      </c>
    </row>
    <row r="3263" spans="1:18" ht="13.8" outlineLevel="3" x14ac:dyDescent="0.25">
      <c r="A3263">
        <v>61005</v>
      </c>
      <c r="B3263" t="s">
        <v>4105</v>
      </c>
      <c r="C3263" t="s">
        <v>4108</v>
      </c>
      <c r="D3263" s="14" t="s">
        <v>4109</v>
      </c>
      <c r="E3263" s="12" t="s">
        <v>28</v>
      </c>
      <c r="F3263" s="13" t="s">
        <v>29</v>
      </c>
      <c r="G3263">
        <v>1</v>
      </c>
      <c r="H3263" t="s">
        <v>30</v>
      </c>
      <c r="I3263">
        <v>1</v>
      </c>
      <c r="J3263" s="15"/>
      <c r="K3263" s="16">
        <f>23833.74 - (23833.74 * $E$1)</f>
        <v>23833.74</v>
      </c>
      <c r="L3263" s="16">
        <f>19535.85 - (19535.85 * $E$1)</f>
        <v>19535.849999999999</v>
      </c>
      <c r="M3263" s="1">
        <v>23833.74</v>
      </c>
      <c r="N3263" s="1">
        <v>19535.849999999999</v>
      </c>
      <c r="O3263" s="1">
        <v>20258.68</v>
      </c>
      <c r="P3263" s="1">
        <v>16605.47</v>
      </c>
      <c r="Q3263">
        <v>1.9</v>
      </c>
      <c r="R3263">
        <v>6.6420000000000003E-3</v>
      </c>
    </row>
    <row r="3264" spans="1:18" ht="13.8" outlineLevel="3" x14ac:dyDescent="0.25">
      <c r="A3264">
        <v>63024</v>
      </c>
      <c r="B3264" t="s">
        <v>4105</v>
      </c>
      <c r="C3264" t="s">
        <v>4110</v>
      </c>
      <c r="D3264" s="14" t="s">
        <v>4111</v>
      </c>
      <c r="E3264" s="12" t="s">
        <v>28</v>
      </c>
      <c r="F3264" s="13" t="s">
        <v>29</v>
      </c>
      <c r="G3264">
        <v>1</v>
      </c>
      <c r="H3264" t="s">
        <v>30</v>
      </c>
      <c r="I3264">
        <v>1</v>
      </c>
      <c r="J3264" s="15"/>
      <c r="K3264" s="16">
        <f>31613.66 - (31613.66 * $E$1)</f>
        <v>31613.66</v>
      </c>
      <c r="L3264" s="16">
        <f>25912.84 - (25912.84 * $E$1)</f>
        <v>25912.84</v>
      </c>
      <c r="M3264" s="1">
        <v>31613.66</v>
      </c>
      <c r="N3264" s="1">
        <v>25912.84</v>
      </c>
      <c r="O3264" s="1">
        <v>26871.62</v>
      </c>
      <c r="P3264" s="1">
        <v>22025.91</v>
      </c>
      <c r="Q3264">
        <v>2.5</v>
      </c>
      <c r="R3264">
        <v>5.535E-3</v>
      </c>
    </row>
    <row r="3265" spans="1:18" ht="13.8" outlineLevel="3" x14ac:dyDescent="0.25">
      <c r="A3265">
        <v>70351</v>
      </c>
      <c r="B3265" t="s">
        <v>4105</v>
      </c>
      <c r="C3265" t="s">
        <v>4112</v>
      </c>
      <c r="D3265" s="14" t="s">
        <v>4113</v>
      </c>
      <c r="E3265" s="12" t="s">
        <v>28</v>
      </c>
      <c r="F3265" s="13" t="s">
        <v>29</v>
      </c>
      <c r="G3265">
        <v>1</v>
      </c>
      <c r="H3265" t="s">
        <v>30</v>
      </c>
      <c r="I3265">
        <v>1</v>
      </c>
      <c r="J3265" s="15"/>
      <c r="K3265" s="16">
        <f>29029.8 - (29029.8 * $E$1)</f>
        <v>29029.8</v>
      </c>
      <c r="L3265" s="16">
        <f>23794.92 - (23794.92 * $E$1)</f>
        <v>23794.92</v>
      </c>
      <c r="M3265" s="1">
        <v>29029.8</v>
      </c>
      <c r="N3265" s="1">
        <v>23794.92</v>
      </c>
      <c r="O3265" s="1">
        <v>24675.33</v>
      </c>
      <c r="P3265" s="1">
        <v>20225.68</v>
      </c>
      <c r="Q3265">
        <v>1.96</v>
      </c>
      <c r="R3265">
        <v>6.6880000000000004E-3</v>
      </c>
    </row>
    <row r="3266" spans="1:18" ht="13.8" outlineLevel="3" x14ac:dyDescent="0.25">
      <c r="A3266">
        <v>53983</v>
      </c>
      <c r="B3266" t="s">
        <v>4105</v>
      </c>
      <c r="C3266" t="s">
        <v>4114</v>
      </c>
      <c r="D3266" s="14" t="s">
        <v>4115</v>
      </c>
      <c r="E3266" s="12" t="s">
        <v>28</v>
      </c>
      <c r="F3266" s="13" t="s">
        <v>29</v>
      </c>
      <c r="G3266">
        <v>1</v>
      </c>
      <c r="H3266" t="s">
        <v>30</v>
      </c>
      <c r="I3266">
        <v>1</v>
      </c>
      <c r="J3266" s="15"/>
      <c r="K3266" s="16">
        <f>39896.12 - (39896.12 * $E$1)</f>
        <v>39896.120000000003</v>
      </c>
      <c r="L3266" s="16">
        <f>32701.74 - (32701.74 * $E$1)</f>
        <v>32701.74</v>
      </c>
      <c r="M3266" s="1">
        <v>39896.120000000003</v>
      </c>
      <c r="N3266" s="1">
        <v>32701.74</v>
      </c>
      <c r="O3266" s="1">
        <v>33911.699999999997</v>
      </c>
      <c r="P3266" s="1">
        <v>27796.48</v>
      </c>
      <c r="Q3266">
        <v>4</v>
      </c>
      <c r="R3266">
        <v>1.2149999999999999E-2</v>
      </c>
    </row>
    <row r="3267" spans="1:18" ht="13.8" outlineLevel="3" x14ac:dyDescent="0.25">
      <c r="A3267">
        <v>62481</v>
      </c>
      <c r="B3267" t="s">
        <v>4105</v>
      </c>
      <c r="C3267" t="s">
        <v>4116</v>
      </c>
      <c r="D3267" s="14" t="s">
        <v>4117</v>
      </c>
      <c r="E3267" s="12" t="s">
        <v>28</v>
      </c>
      <c r="F3267" s="13" t="s">
        <v>29</v>
      </c>
      <c r="G3267">
        <v>1</v>
      </c>
      <c r="H3267" t="s">
        <v>30</v>
      </c>
      <c r="I3267">
        <v>1</v>
      </c>
      <c r="J3267" s="15"/>
      <c r="K3267" s="16">
        <f>73933.54 - (73933.54 * $E$1)</f>
        <v>73933.539999999994</v>
      </c>
      <c r="L3267" s="16">
        <f>60601.26 - (60601.26 * $E$1)</f>
        <v>60601.26</v>
      </c>
      <c r="M3267" s="1">
        <v>73933.539999999994</v>
      </c>
      <c r="N3267" s="1">
        <v>60601.26</v>
      </c>
      <c r="O3267" s="1">
        <v>62843.51</v>
      </c>
      <c r="P3267" s="1">
        <v>51511.07</v>
      </c>
      <c r="Q3267">
        <v>5</v>
      </c>
      <c r="R3267">
        <v>1.6E-2</v>
      </c>
    </row>
    <row r="3268" spans="1:18" ht="13.8" outlineLevel="3" x14ac:dyDescent="0.25">
      <c r="A3268">
        <v>73866</v>
      </c>
      <c r="B3268" t="s">
        <v>4105</v>
      </c>
      <c r="C3268" t="s">
        <v>4118</v>
      </c>
      <c r="D3268" s="14" t="s">
        <v>4119</v>
      </c>
      <c r="E3268" s="12" t="s">
        <v>28</v>
      </c>
      <c r="F3268" s="13" t="s">
        <v>29</v>
      </c>
      <c r="G3268">
        <v>1</v>
      </c>
      <c r="H3268" t="s">
        <v>30</v>
      </c>
      <c r="I3268">
        <v>1</v>
      </c>
      <c r="J3268" s="15"/>
      <c r="K3268" s="16">
        <f>9327.84 - (9327.84 * $E$1)</f>
        <v>9327.84</v>
      </c>
      <c r="L3268" s="16">
        <f>7645.77 - (7645.77 * $E$1)</f>
        <v>7645.77</v>
      </c>
      <c r="M3268" s="1">
        <v>9327.84</v>
      </c>
      <c r="N3268" s="1">
        <v>7645.77</v>
      </c>
      <c r="O3268" s="1">
        <v>7928.66</v>
      </c>
      <c r="P3268" s="1">
        <v>6498.9</v>
      </c>
      <c r="Q3268">
        <v>1.8</v>
      </c>
      <c r="R3268">
        <v>6.6420000000000003E-3</v>
      </c>
    </row>
    <row r="3269" spans="1:18" ht="16.5" customHeight="1" outlineLevel="2" x14ac:dyDescent="0.35">
      <c r="A3269" s="9"/>
      <c r="B3269" s="10" t="s">
        <v>4120</v>
      </c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1"/>
    </row>
    <row r="3270" spans="1:18" ht="13.8" outlineLevel="3" x14ac:dyDescent="0.25">
      <c r="A3270">
        <v>57596</v>
      </c>
      <c r="B3270" t="s">
        <v>4121</v>
      </c>
      <c r="C3270" t="s">
        <v>4122</v>
      </c>
      <c r="D3270" s="14" t="s">
        <v>4123</v>
      </c>
      <c r="E3270" s="12" t="s">
        <v>28</v>
      </c>
      <c r="F3270" s="13" t="s">
        <v>29</v>
      </c>
      <c r="G3270">
        <v>1</v>
      </c>
      <c r="H3270" t="s">
        <v>30</v>
      </c>
      <c r="I3270">
        <v>1</v>
      </c>
      <c r="J3270" s="15"/>
      <c r="K3270" s="16">
        <f>IF($E$1&gt;=$Q$1%,618.97-(618.97*$Q$1%),618.97-(618.97*$E$1))</f>
        <v>618.97</v>
      </c>
      <c r="L3270" s="16">
        <f>IF($E$1&gt;=$Q$1%,507.35-(507.35*$Q$1%),507.35-(507.35*$E$1))</f>
        <v>507.35</v>
      </c>
      <c r="M3270" s="1">
        <v>618.97</v>
      </c>
      <c r="N3270" s="1">
        <v>507.35</v>
      </c>
      <c r="O3270" s="1">
        <v>618.97</v>
      </c>
      <c r="P3270" s="1">
        <v>507.35</v>
      </c>
      <c r="Q3270">
        <v>0.15</v>
      </c>
      <c r="R3270">
        <v>2.8800000000000001E-4</v>
      </c>
    </row>
    <row r="3271" spans="1:18" ht="13.8" outlineLevel="3" x14ac:dyDescent="0.25">
      <c r="A3271">
        <v>57597</v>
      </c>
      <c r="B3271" t="s">
        <v>4121</v>
      </c>
      <c r="C3271" t="s">
        <v>4124</v>
      </c>
      <c r="D3271" s="14" t="s">
        <v>4125</v>
      </c>
      <c r="E3271" s="12" t="s">
        <v>28</v>
      </c>
      <c r="F3271" s="13" t="s">
        <v>29</v>
      </c>
      <c r="G3271">
        <v>1</v>
      </c>
      <c r="H3271" t="s">
        <v>30</v>
      </c>
      <c r="I3271">
        <v>1</v>
      </c>
      <c r="J3271" s="15"/>
      <c r="K3271" s="16">
        <f>IF($E$1&gt;=$Q$1%,618.97-(618.97*$Q$1%),618.97-(618.97*$E$1))</f>
        <v>618.97</v>
      </c>
      <c r="L3271" s="16">
        <f>IF($E$1&gt;=$Q$1%,507.35-(507.35*$Q$1%),507.35-(507.35*$E$1))</f>
        <v>507.35</v>
      </c>
      <c r="M3271" s="1">
        <v>618.97</v>
      </c>
      <c r="N3271" s="1">
        <v>507.35</v>
      </c>
      <c r="O3271" s="1">
        <v>618.97</v>
      </c>
      <c r="P3271" s="1">
        <v>507.35</v>
      </c>
      <c r="Q3271">
        <v>0.15</v>
      </c>
      <c r="R3271">
        <v>2.8800000000000001E-4</v>
      </c>
    </row>
    <row r="3272" spans="1:18" ht="13.8" outlineLevel="3" x14ac:dyDescent="0.25">
      <c r="A3272">
        <v>67549</v>
      </c>
      <c r="B3272" t="s">
        <v>4121</v>
      </c>
      <c r="C3272" t="s">
        <v>4126</v>
      </c>
      <c r="D3272" s="14" t="s">
        <v>4127</v>
      </c>
      <c r="E3272" s="12" t="s">
        <v>28</v>
      </c>
      <c r="F3272" s="13" t="s">
        <v>29</v>
      </c>
      <c r="G3272">
        <v>1</v>
      </c>
      <c r="H3272" t="s">
        <v>30</v>
      </c>
      <c r="I3272">
        <v>1</v>
      </c>
      <c r="J3272" s="15"/>
      <c r="K3272" s="16">
        <f>IF($E$1&gt;=$Q$1%,571.79-(571.79*$Q$1%),571.79-(571.79*$E$1))</f>
        <v>571.79</v>
      </c>
      <c r="L3272" s="16">
        <f>IF($E$1&gt;=$Q$1%,468.68-(468.68*$Q$1%),468.68-(468.68*$E$1))</f>
        <v>468.68</v>
      </c>
      <c r="M3272" s="1">
        <v>571.79</v>
      </c>
      <c r="N3272" s="1">
        <v>468.68</v>
      </c>
      <c r="O3272" s="1">
        <v>571.79</v>
      </c>
      <c r="P3272" s="1">
        <v>468.68</v>
      </c>
      <c r="Q3272">
        <v>0.09</v>
      </c>
      <c r="R3272">
        <v>2.4060000000000002E-3</v>
      </c>
    </row>
    <row r="3273" spans="1:18" ht="13.8" outlineLevel="3" x14ac:dyDescent="0.25">
      <c r="A3273">
        <v>67551</v>
      </c>
      <c r="B3273" t="s">
        <v>4121</v>
      </c>
      <c r="C3273" t="s">
        <v>4128</v>
      </c>
      <c r="D3273" s="14" t="s">
        <v>4129</v>
      </c>
      <c r="E3273" s="12" t="s">
        <v>28</v>
      </c>
      <c r="F3273" s="13" t="s">
        <v>29</v>
      </c>
      <c r="G3273">
        <v>1</v>
      </c>
      <c r="H3273" t="s">
        <v>30</v>
      </c>
      <c r="I3273">
        <v>1</v>
      </c>
      <c r="J3273" s="15"/>
      <c r="K3273" s="16">
        <f>IF($E$1&gt;=$Q$1%,571.17-(571.17*$Q$1%),571.17-(571.17*$E$1))</f>
        <v>571.16999999999996</v>
      </c>
      <c r="L3273" s="16">
        <f>IF($E$1&gt;=$Q$1%,468.17-(468.17*$Q$1%),468.17-(468.17*$E$1))</f>
        <v>468.17</v>
      </c>
      <c r="M3273" s="1">
        <v>571.16999999999996</v>
      </c>
      <c r="N3273" s="1">
        <v>468.17</v>
      </c>
      <c r="O3273" s="1">
        <v>571.16999999999996</v>
      </c>
      <c r="P3273" s="1">
        <v>468.17</v>
      </c>
      <c r="Q3273">
        <v>0.09</v>
      </c>
      <c r="R3273">
        <v>3.0600000000000001E-4</v>
      </c>
    </row>
    <row r="3274" spans="1:18" ht="13.8" outlineLevel="3" x14ac:dyDescent="0.25">
      <c r="A3274">
        <v>67667</v>
      </c>
      <c r="B3274" t="s">
        <v>4121</v>
      </c>
      <c r="C3274" t="s">
        <v>4130</v>
      </c>
      <c r="D3274" s="14" t="s">
        <v>4131</v>
      </c>
      <c r="E3274" s="12" t="s">
        <v>28</v>
      </c>
      <c r="F3274" s="13" t="s">
        <v>29</v>
      </c>
      <c r="G3274">
        <v>1</v>
      </c>
      <c r="H3274" t="s">
        <v>30</v>
      </c>
      <c r="I3274">
        <v>1</v>
      </c>
      <c r="J3274" s="15"/>
      <c r="K3274" s="16">
        <f>IF($E$1&gt;=$Q$1%,636.8-(636.8*$Q$1%),636.8-(636.8*$E$1))</f>
        <v>636.79999999999995</v>
      </c>
      <c r="L3274" s="16">
        <f>IF($E$1&gt;=$Q$1%,521.97-(521.97*$Q$1%),521.97-(521.97*$E$1))</f>
        <v>521.97</v>
      </c>
      <c r="M3274" s="1">
        <v>636.79999999999995</v>
      </c>
      <c r="N3274" s="1">
        <v>521.97</v>
      </c>
      <c r="O3274" s="1">
        <v>636.79999999999995</v>
      </c>
      <c r="P3274" s="1">
        <v>521.97</v>
      </c>
      <c r="Q3274">
        <v>0.14000000000000001</v>
      </c>
      <c r="R3274">
        <v>5.7600000000000001E-4</v>
      </c>
    </row>
    <row r="3275" spans="1:18" ht="13.8" outlineLevel="3" x14ac:dyDescent="0.25">
      <c r="A3275">
        <v>68430</v>
      </c>
      <c r="B3275" t="s">
        <v>4121</v>
      </c>
      <c r="C3275" t="s">
        <v>4132</v>
      </c>
      <c r="D3275" s="14" t="s">
        <v>4133</v>
      </c>
      <c r="E3275" s="12" t="s">
        <v>28</v>
      </c>
      <c r="F3275" s="13" t="s">
        <v>29</v>
      </c>
      <c r="G3275">
        <v>1</v>
      </c>
      <c r="H3275" t="s">
        <v>30</v>
      </c>
      <c r="I3275">
        <v>1</v>
      </c>
      <c r="J3275" s="15"/>
      <c r="K3275" s="16">
        <f>IF($E$1&gt;=$Q$1%,871.68-(871.68*$Q$1%),871.68-(871.68*$E$1))</f>
        <v>871.68</v>
      </c>
      <c r="L3275" s="16">
        <f>IF($E$1&gt;=$Q$1%,714.49-(714.49*$Q$1%),714.49-(714.49*$E$1))</f>
        <v>714.49</v>
      </c>
      <c r="M3275" s="1">
        <v>871.68</v>
      </c>
      <c r="N3275" s="1">
        <v>714.49</v>
      </c>
      <c r="O3275" s="1">
        <v>871.68</v>
      </c>
      <c r="P3275" s="1">
        <v>714.49</v>
      </c>
      <c r="Q3275">
        <v>0.2</v>
      </c>
      <c r="R3275">
        <v>3.9399999999999998E-4</v>
      </c>
    </row>
    <row r="3276" spans="1:18" ht="13.8" outlineLevel="3" x14ac:dyDescent="0.25">
      <c r="A3276">
        <v>77663</v>
      </c>
      <c r="B3276" t="s">
        <v>4121</v>
      </c>
      <c r="C3276" t="s">
        <v>4134</v>
      </c>
      <c r="D3276" s="14" t="s">
        <v>4135</v>
      </c>
      <c r="E3276" s="12" t="s">
        <v>28</v>
      </c>
      <c r="F3276" s="13" t="s">
        <v>29</v>
      </c>
      <c r="G3276">
        <v>1</v>
      </c>
      <c r="H3276" t="s">
        <v>30</v>
      </c>
      <c r="I3276">
        <v>1</v>
      </c>
      <c r="J3276" s="15"/>
      <c r="K3276" s="16">
        <f>IF($E$1&gt;=$Q$1%,676.6-(676.6*$Q$1%),676.6-(676.6*$E$1))</f>
        <v>676.6</v>
      </c>
      <c r="L3276" s="16">
        <f>IF($E$1&gt;=$Q$1%,554.59-(554.59*$Q$1%),554.59-(554.59*$E$1))</f>
        <v>554.59</v>
      </c>
      <c r="M3276" s="1">
        <v>676.6</v>
      </c>
      <c r="N3276" s="1">
        <v>554.59</v>
      </c>
      <c r="O3276" s="1">
        <v>676.6</v>
      </c>
      <c r="P3276" s="1">
        <v>554.59</v>
      </c>
      <c r="Q3276">
        <v>0.15</v>
      </c>
      <c r="R3276">
        <v>3.28E-4</v>
      </c>
    </row>
    <row r="3277" spans="1:18" ht="13.8" outlineLevel="3" x14ac:dyDescent="0.25">
      <c r="A3277">
        <v>102357</v>
      </c>
      <c r="B3277" t="s">
        <v>4136</v>
      </c>
      <c r="C3277" t="s">
        <v>4137</v>
      </c>
      <c r="D3277" s="14" t="s">
        <v>4138</v>
      </c>
      <c r="E3277" s="12" t="s">
        <v>28</v>
      </c>
      <c r="F3277" s="13" t="s">
        <v>29</v>
      </c>
      <c r="G3277">
        <v>1</v>
      </c>
      <c r="H3277" t="s">
        <v>30</v>
      </c>
      <c r="I3277">
        <v>1</v>
      </c>
      <c r="J3277" s="15"/>
      <c r="K3277" s="16">
        <f>IF($E$1&gt;=$Q$1%,684.22-(684.22*$Q$1%),684.22-(684.22*$E$1))</f>
        <v>684.22</v>
      </c>
      <c r="L3277" s="16">
        <f>IF($E$1&gt;=$Q$1%,560.84-(560.84*$Q$1%),560.84-(560.84*$E$1))</f>
        <v>560.84</v>
      </c>
      <c r="M3277" s="1">
        <v>684.22</v>
      </c>
      <c r="N3277" s="1">
        <v>560.84</v>
      </c>
      <c r="O3277" s="1">
        <v>684.22</v>
      </c>
      <c r="P3277" s="1">
        <v>560.84</v>
      </c>
      <c r="Q3277">
        <v>0.15</v>
      </c>
      <c r="R3277">
        <v>2.5999999999999998E-4</v>
      </c>
    </row>
    <row r="3278" spans="1:18" ht="13.8" outlineLevel="3" x14ac:dyDescent="0.25">
      <c r="A3278">
        <v>104518</v>
      </c>
      <c r="B3278" t="s">
        <v>4139</v>
      </c>
      <c r="C3278" t="s">
        <v>4140</v>
      </c>
      <c r="D3278" s="14" t="s">
        <v>4141</v>
      </c>
      <c r="E3278" s="12" t="s">
        <v>28</v>
      </c>
      <c r="F3278" s="13" t="s">
        <v>29</v>
      </c>
      <c r="G3278">
        <v>1</v>
      </c>
      <c r="H3278" t="s">
        <v>30</v>
      </c>
      <c r="I3278">
        <v>1</v>
      </c>
      <c r="J3278" s="15"/>
      <c r="K3278" s="16">
        <f>IF($E$1&gt;=$Q$1%,568.08-(568.08*$Q$1%),568.08-(568.08*$E$1))</f>
        <v>568.08000000000004</v>
      </c>
      <c r="L3278" s="16">
        <f>IF($E$1&gt;=$Q$1%,465.64-(465.64*$Q$1%),465.64-(465.64*$E$1))</f>
        <v>465.64</v>
      </c>
      <c r="M3278" s="1">
        <v>568.08000000000004</v>
      </c>
      <c r="N3278" s="1">
        <v>465.64</v>
      </c>
      <c r="O3278" s="1">
        <v>568.08000000000004</v>
      </c>
      <c r="P3278" s="1">
        <v>465.64</v>
      </c>
      <c r="Q3278">
        <v>0.17</v>
      </c>
      <c r="R3278">
        <v>1.5120000000000001E-3</v>
      </c>
    </row>
    <row r="3279" spans="1:18" ht="13.8" outlineLevel="3" x14ac:dyDescent="0.25">
      <c r="A3279">
        <v>104519</v>
      </c>
      <c r="B3279" t="s">
        <v>4139</v>
      </c>
      <c r="C3279" t="s">
        <v>4142</v>
      </c>
      <c r="D3279" s="14" t="s">
        <v>4143</v>
      </c>
      <c r="E3279" s="12" t="s">
        <v>28</v>
      </c>
      <c r="F3279" s="13" t="s">
        <v>29</v>
      </c>
      <c r="G3279">
        <v>1</v>
      </c>
      <c r="H3279" t="s">
        <v>30</v>
      </c>
      <c r="I3279">
        <v>1</v>
      </c>
      <c r="J3279" s="15"/>
      <c r="K3279" s="16">
        <f>IF($E$1&gt;=$Q$1%,568.08-(568.08*$Q$1%),568.08-(568.08*$E$1))</f>
        <v>568.08000000000004</v>
      </c>
      <c r="L3279" s="16">
        <f>IF($E$1&gt;=$Q$1%,465.64-(465.64*$Q$1%),465.64-(465.64*$E$1))</f>
        <v>465.64</v>
      </c>
      <c r="M3279" s="1">
        <v>568.08000000000004</v>
      </c>
      <c r="N3279" s="1">
        <v>465.64</v>
      </c>
      <c r="O3279" s="1">
        <v>568.08000000000004</v>
      </c>
      <c r="P3279" s="1">
        <v>465.64</v>
      </c>
      <c r="Q3279">
        <v>0.17</v>
      </c>
      <c r="R3279">
        <v>1.5120000000000001E-3</v>
      </c>
    </row>
    <row r="3280" spans="1:18" ht="16.5" customHeight="1" outlineLevel="1" x14ac:dyDescent="0.35">
      <c r="A3280" s="9"/>
      <c r="B3280" s="10" t="s">
        <v>4144</v>
      </c>
      <c r="C3280" s="10"/>
      <c r="D3280" s="10"/>
      <c r="E3280" s="10"/>
      <c r="F3280" s="10"/>
      <c r="G3280" s="10"/>
      <c r="H3280" s="10"/>
      <c r="I3280" s="10"/>
      <c r="J3280" s="10"/>
      <c r="K3280" s="10"/>
      <c r="L3280" s="10"/>
      <c r="M3280" s="10"/>
      <c r="N3280" s="10"/>
      <c r="O3280" s="10"/>
      <c r="P3280" s="10"/>
      <c r="Q3280" s="10"/>
      <c r="R3280" s="11"/>
    </row>
    <row r="3281" spans="1:18" ht="13.8" outlineLevel="2" x14ac:dyDescent="0.25">
      <c r="A3281">
        <v>107663</v>
      </c>
      <c r="B3281" t="s">
        <v>4145</v>
      </c>
      <c r="C3281" t="s">
        <v>4146</v>
      </c>
      <c r="D3281" s="14" t="s">
        <v>4147</v>
      </c>
      <c r="E3281" s="12" t="s">
        <v>28</v>
      </c>
      <c r="F3281" s="18" t="s">
        <v>1467</v>
      </c>
      <c r="G3281">
        <v>1</v>
      </c>
      <c r="H3281" t="s">
        <v>30</v>
      </c>
      <c r="I3281">
        <v>1</v>
      </c>
      <c r="J3281" s="15"/>
      <c r="K3281" s="16">
        <f>2993.07 - (2993.07 * $E$1)</f>
        <v>2993.07</v>
      </c>
      <c r="L3281" s="16">
        <f>2453.34 - (2453.34 * $E$1)</f>
        <v>2453.34</v>
      </c>
      <c r="M3281" s="1">
        <v>2993.07</v>
      </c>
      <c r="N3281" s="1">
        <v>2453.34</v>
      </c>
      <c r="O3281" s="1">
        <v>2544.11</v>
      </c>
      <c r="P3281" s="1">
        <v>2085.34</v>
      </c>
      <c r="Q3281">
        <v>0.46</v>
      </c>
      <c r="R3281">
        <v>9.0499999999999999E-4</v>
      </c>
    </row>
    <row r="3282" spans="1:18" ht="13.8" outlineLevel="2" x14ac:dyDescent="0.25">
      <c r="A3282">
        <v>102401</v>
      </c>
      <c r="B3282" t="s">
        <v>4145</v>
      </c>
      <c r="C3282" t="s">
        <v>4148</v>
      </c>
      <c r="D3282" s="14" t="s">
        <v>4149</v>
      </c>
      <c r="E3282" s="12" t="s">
        <v>28</v>
      </c>
      <c r="F3282" s="13" t="s">
        <v>29</v>
      </c>
      <c r="G3282">
        <v>1</v>
      </c>
      <c r="H3282" t="s">
        <v>30</v>
      </c>
      <c r="I3282">
        <v>1</v>
      </c>
      <c r="J3282" s="15"/>
      <c r="K3282" s="16">
        <f>2465.97 - (2465.97 * $E$1)</f>
        <v>2465.9699999999998</v>
      </c>
      <c r="L3282" s="16">
        <f>2021.29 - (2021.29 * $E$1)</f>
        <v>2021.29</v>
      </c>
      <c r="M3282" s="1">
        <v>2465.9699999999998</v>
      </c>
      <c r="N3282" s="1">
        <v>2021.29</v>
      </c>
      <c r="O3282" s="1">
        <v>2096.08</v>
      </c>
      <c r="P3282" s="1">
        <v>1718.1</v>
      </c>
      <c r="Q3282">
        <v>0.27</v>
      </c>
      <c r="R3282">
        <v>8.3799999999999999E-4</v>
      </c>
    </row>
    <row r="3283" spans="1:18" ht="13.8" outlineLevel="2" x14ac:dyDescent="0.25">
      <c r="A3283">
        <v>102402</v>
      </c>
      <c r="B3283" t="s">
        <v>4145</v>
      </c>
      <c r="C3283" t="s">
        <v>4150</v>
      </c>
      <c r="D3283" s="14" t="s">
        <v>4151</v>
      </c>
      <c r="E3283" s="12" t="s">
        <v>28</v>
      </c>
      <c r="F3283" s="13" t="s">
        <v>29</v>
      </c>
      <c r="G3283">
        <v>1</v>
      </c>
      <c r="H3283" t="s">
        <v>30</v>
      </c>
      <c r="I3283">
        <v>1</v>
      </c>
      <c r="J3283" s="15"/>
      <c r="K3283" s="16">
        <f>2868.65 - (2868.65 * $E$1)</f>
        <v>2868.65</v>
      </c>
      <c r="L3283" s="16">
        <f>2351.35 - (2351.35 * $E$1)</f>
        <v>2351.35</v>
      </c>
      <c r="M3283" s="1">
        <v>2868.65</v>
      </c>
      <c r="N3283" s="1">
        <v>2351.35</v>
      </c>
      <c r="O3283" s="1">
        <v>2438.35</v>
      </c>
      <c r="P3283" s="1">
        <v>1998.65</v>
      </c>
      <c r="Q3283">
        <v>0.28999999999999998</v>
      </c>
      <c r="R3283">
        <v>8.3799999999999999E-4</v>
      </c>
    </row>
    <row r="3284" spans="1:18" ht="13.8" outlineLevel="2" x14ac:dyDescent="0.25">
      <c r="A3284">
        <v>101597</v>
      </c>
      <c r="C3284" t="s">
        <v>4152</v>
      </c>
      <c r="D3284" s="14" t="s">
        <v>4153</v>
      </c>
      <c r="E3284" s="12" t="s">
        <v>28</v>
      </c>
      <c r="F3284" s="13" t="s">
        <v>29</v>
      </c>
      <c r="G3284">
        <v>1</v>
      </c>
      <c r="H3284" t="s">
        <v>30</v>
      </c>
      <c r="I3284">
        <v>1</v>
      </c>
      <c r="J3284" s="15"/>
      <c r="K3284" s="16">
        <f>3699.96 - (3699.96 * $E$1)</f>
        <v>3699.96</v>
      </c>
      <c r="L3284" s="16">
        <f>3032.75 - (3032.75 * $E$1)</f>
        <v>3032.75</v>
      </c>
      <c r="M3284" s="1">
        <v>3699.96</v>
      </c>
      <c r="N3284" s="1">
        <v>3032.75</v>
      </c>
      <c r="O3284" s="1">
        <v>3144.96</v>
      </c>
      <c r="P3284" s="1">
        <v>2577.84</v>
      </c>
      <c r="Q3284">
        <v>0.33</v>
      </c>
      <c r="R3284">
        <v>5.5099999999999995E-4</v>
      </c>
    </row>
    <row r="3285" spans="1:18" ht="13.8" outlineLevel="2" x14ac:dyDescent="0.25">
      <c r="A3285">
        <v>101596</v>
      </c>
      <c r="C3285" t="s">
        <v>4154</v>
      </c>
      <c r="D3285" s="14" t="s">
        <v>4155</v>
      </c>
      <c r="E3285" s="12" t="s">
        <v>28</v>
      </c>
      <c r="F3285" s="13" t="s">
        <v>29</v>
      </c>
      <c r="G3285">
        <v>1</v>
      </c>
      <c r="H3285" t="s">
        <v>30</v>
      </c>
      <c r="I3285">
        <v>1</v>
      </c>
      <c r="J3285" s="15"/>
      <c r="K3285" s="16">
        <f>3534.43 - (3534.43 * $E$1)</f>
        <v>3534.43</v>
      </c>
      <c r="L3285" s="16">
        <f>2897.07 - (2897.07 * $E$1)</f>
        <v>2897.07</v>
      </c>
      <c r="M3285" s="1">
        <v>3534.43</v>
      </c>
      <c r="N3285" s="1">
        <v>2897.07</v>
      </c>
      <c r="O3285" s="1">
        <v>3004.26</v>
      </c>
      <c r="P3285" s="1">
        <v>2462.5100000000002</v>
      </c>
      <c r="Q3285">
        <v>0.27</v>
      </c>
      <c r="R3285">
        <v>4.5600000000000003E-4</v>
      </c>
    </row>
    <row r="3286" spans="1:18" ht="16.5" customHeight="1" outlineLevel="1" x14ac:dyDescent="0.35">
      <c r="A3286" s="9"/>
      <c r="B3286" s="10" t="s">
        <v>4156</v>
      </c>
      <c r="C3286" s="10"/>
      <c r="D3286" s="10"/>
      <c r="E3286" s="10"/>
      <c r="F3286" s="10"/>
      <c r="G3286" s="10"/>
      <c r="H3286" s="10"/>
      <c r="I3286" s="10"/>
      <c r="J3286" s="10"/>
      <c r="K3286" s="10"/>
      <c r="L3286" s="10"/>
      <c r="M3286" s="10"/>
      <c r="N3286" s="10"/>
      <c r="O3286" s="10"/>
      <c r="P3286" s="10"/>
      <c r="Q3286" s="10"/>
      <c r="R3286" s="11"/>
    </row>
    <row r="3287" spans="1:18" ht="13.8" outlineLevel="2" x14ac:dyDescent="0.25">
      <c r="A3287">
        <v>85393</v>
      </c>
      <c r="B3287" t="s">
        <v>4157</v>
      </c>
      <c r="C3287" t="s">
        <v>4158</v>
      </c>
      <c r="D3287" s="14" t="s">
        <v>4159</v>
      </c>
      <c r="E3287" s="12" t="s">
        <v>28</v>
      </c>
      <c r="F3287" s="13" t="s">
        <v>29</v>
      </c>
      <c r="G3287">
        <v>1</v>
      </c>
      <c r="H3287" t="s">
        <v>30</v>
      </c>
      <c r="I3287">
        <v>1</v>
      </c>
      <c r="J3287" s="15"/>
      <c r="K3287" s="16">
        <f>9036.99 - (9036.99 * $E$1)</f>
        <v>9036.99</v>
      </c>
      <c r="L3287" s="16">
        <f>7407.37 - (7407.37 * $E$1)</f>
        <v>7407.37</v>
      </c>
      <c r="M3287" s="1">
        <v>9036.99</v>
      </c>
      <c r="N3287" s="1">
        <v>7407.37</v>
      </c>
      <c r="O3287" s="1">
        <v>7681.44</v>
      </c>
      <c r="P3287" s="1">
        <v>6296.26</v>
      </c>
      <c r="Q3287">
        <v>3.39</v>
      </c>
      <c r="R3287">
        <v>6.0899999999999999E-3</v>
      </c>
    </row>
    <row r="3288" spans="1:18" ht="13.8" outlineLevel="2" x14ac:dyDescent="0.25">
      <c r="A3288">
        <v>53137</v>
      </c>
      <c r="B3288" t="s">
        <v>4160</v>
      </c>
      <c r="C3288" t="s">
        <v>4161</v>
      </c>
      <c r="D3288" s="14" t="s">
        <v>4162</v>
      </c>
      <c r="E3288" s="12" t="s">
        <v>28</v>
      </c>
      <c r="F3288" s="13" t="s">
        <v>29</v>
      </c>
      <c r="G3288">
        <v>1</v>
      </c>
      <c r="H3288" t="s">
        <v>30</v>
      </c>
      <c r="I3288">
        <v>1</v>
      </c>
      <c r="J3288" s="15"/>
      <c r="K3288" s="16">
        <f>24914.25 - (24914.25 * $E$1)</f>
        <v>24914.25</v>
      </c>
      <c r="L3288" s="16">
        <f>20421.52 - (20421.52 * $E$1)</f>
        <v>20421.52</v>
      </c>
      <c r="M3288" s="1">
        <v>24914.25</v>
      </c>
      <c r="N3288" s="1">
        <v>20421.52</v>
      </c>
      <c r="O3288" s="1">
        <v>21177.119999999999</v>
      </c>
      <c r="P3288" s="1">
        <v>17358.29</v>
      </c>
      <c r="Q3288">
        <v>9.8350000000000009</v>
      </c>
      <c r="R3288">
        <v>2.7063E-2</v>
      </c>
    </row>
    <row r="3289" spans="1:18" ht="13.8" outlineLevel="2" x14ac:dyDescent="0.25">
      <c r="A3289">
        <v>85376</v>
      </c>
      <c r="B3289" t="s">
        <v>4157</v>
      </c>
      <c r="C3289" t="s">
        <v>4163</v>
      </c>
      <c r="D3289" s="14" t="s">
        <v>4164</v>
      </c>
      <c r="E3289" s="12" t="s">
        <v>28</v>
      </c>
      <c r="F3289" s="13" t="s">
        <v>29</v>
      </c>
      <c r="G3289">
        <v>1</v>
      </c>
      <c r="H3289" t="s">
        <v>30</v>
      </c>
      <c r="I3289">
        <v>1</v>
      </c>
      <c r="J3289" s="15"/>
      <c r="K3289" s="16">
        <f>11131.5 - (11131.5 * $E$1)</f>
        <v>11131.5</v>
      </c>
      <c r="L3289" s="16">
        <f>9124.18 - (9124.18 * $E$1)</f>
        <v>9124.18</v>
      </c>
      <c r="M3289" s="1">
        <v>11131.5</v>
      </c>
      <c r="N3289" s="1">
        <v>9124.18</v>
      </c>
      <c r="O3289" s="1">
        <v>9461.77</v>
      </c>
      <c r="P3289" s="1">
        <v>7755.55</v>
      </c>
      <c r="Q3289">
        <v>3.96</v>
      </c>
      <c r="R3289">
        <v>6.0899999999999999E-3</v>
      </c>
    </row>
    <row r="3290" spans="1:18" ht="13.8" outlineLevel="2" x14ac:dyDescent="0.25">
      <c r="A3290">
        <v>88211</v>
      </c>
      <c r="B3290" t="s">
        <v>4160</v>
      </c>
      <c r="C3290" t="s">
        <v>4165</v>
      </c>
      <c r="D3290" s="14" t="s">
        <v>4166</v>
      </c>
      <c r="E3290" s="12" t="s">
        <v>28</v>
      </c>
      <c r="F3290" s="13" t="s">
        <v>29</v>
      </c>
      <c r="G3290">
        <v>1</v>
      </c>
      <c r="H3290" t="s">
        <v>30</v>
      </c>
      <c r="I3290">
        <v>1</v>
      </c>
      <c r="J3290" s="15"/>
      <c r="K3290" s="16">
        <f>26714.67 - (26714.67 * $E$1)</f>
        <v>26714.67</v>
      </c>
      <c r="L3290" s="16">
        <f>21897.27 - (21897.27 * $E$1)</f>
        <v>21897.27</v>
      </c>
      <c r="M3290" s="1">
        <v>26714.67</v>
      </c>
      <c r="N3290" s="1">
        <v>21897.27</v>
      </c>
      <c r="O3290" s="1">
        <v>22707.47</v>
      </c>
      <c r="P3290" s="1">
        <v>18612.68</v>
      </c>
      <c r="Q3290">
        <v>10.6</v>
      </c>
      <c r="R3290">
        <v>2.9915000000000001E-2</v>
      </c>
    </row>
    <row r="3291" spans="1:18" ht="13.8" outlineLevel="2" x14ac:dyDescent="0.25">
      <c r="A3291">
        <v>66533</v>
      </c>
      <c r="B3291" t="s">
        <v>4160</v>
      </c>
      <c r="C3291" t="s">
        <v>4167</v>
      </c>
      <c r="D3291" s="14" t="s">
        <v>4168</v>
      </c>
      <c r="E3291" s="12" t="s">
        <v>28</v>
      </c>
      <c r="F3291" s="13" t="s">
        <v>29</v>
      </c>
      <c r="G3291">
        <v>1</v>
      </c>
      <c r="H3291" t="s">
        <v>30</v>
      </c>
      <c r="I3291">
        <v>1</v>
      </c>
      <c r="J3291" s="15"/>
      <c r="K3291" s="16">
        <f>39039.51 - (39039.51 * $E$1)</f>
        <v>39039.51</v>
      </c>
      <c r="L3291" s="16">
        <f>31999.6 - (31999.6 * $E$1)</f>
        <v>31999.599999999999</v>
      </c>
      <c r="M3291" s="1">
        <v>39039.51</v>
      </c>
      <c r="N3291" s="1">
        <v>31999.599999999999</v>
      </c>
      <c r="O3291" s="1">
        <v>33183.589999999997</v>
      </c>
      <c r="P3291" s="1">
        <v>27199.66</v>
      </c>
      <c r="Q3291">
        <v>6.5</v>
      </c>
      <c r="R3291">
        <v>1.2647E-2</v>
      </c>
    </row>
    <row r="3292" spans="1:18" ht="13.8" outlineLevel="2" x14ac:dyDescent="0.25">
      <c r="A3292">
        <v>66534</v>
      </c>
      <c r="B3292" t="s">
        <v>4169</v>
      </c>
      <c r="C3292" t="s">
        <v>4170</v>
      </c>
      <c r="D3292" s="14" t="s">
        <v>4171</v>
      </c>
      <c r="E3292" s="12" t="s">
        <v>28</v>
      </c>
      <c r="F3292" s="13" t="s">
        <v>29</v>
      </c>
      <c r="G3292">
        <v>1</v>
      </c>
      <c r="H3292" t="s">
        <v>30</v>
      </c>
      <c r="I3292">
        <v>1</v>
      </c>
      <c r="J3292" s="15"/>
      <c r="K3292" s="16">
        <f>35105.98 - (35105.98 * $E$1)</f>
        <v>35105.980000000003</v>
      </c>
      <c r="L3292" s="16">
        <f>28775.39 - (28775.39 * $E$1)</f>
        <v>28775.39</v>
      </c>
      <c r="M3292" s="1">
        <v>35105.980000000003</v>
      </c>
      <c r="N3292" s="1">
        <v>28775.39</v>
      </c>
      <c r="O3292" s="1">
        <v>29840.080000000002</v>
      </c>
      <c r="P3292" s="1">
        <v>24459.08</v>
      </c>
      <c r="Q3292">
        <v>5.4</v>
      </c>
      <c r="R3292">
        <v>1.2760000000000001E-2</v>
      </c>
    </row>
    <row r="3293" spans="1:18" ht="13.8" outlineLevel="2" x14ac:dyDescent="0.25">
      <c r="A3293">
        <v>66535</v>
      </c>
      <c r="B3293" t="s">
        <v>4169</v>
      </c>
      <c r="C3293" t="s">
        <v>4172</v>
      </c>
      <c r="D3293" s="14" t="s">
        <v>4173</v>
      </c>
      <c r="E3293" s="12" t="s">
        <v>28</v>
      </c>
      <c r="F3293" s="13" t="s">
        <v>29</v>
      </c>
      <c r="G3293">
        <v>1</v>
      </c>
      <c r="H3293" t="s">
        <v>30</v>
      </c>
      <c r="I3293">
        <v>1</v>
      </c>
      <c r="J3293" s="15"/>
      <c r="K3293" s="16">
        <f>36617.09 - (36617.09 * $E$1)</f>
        <v>36617.089999999997</v>
      </c>
      <c r="L3293" s="16">
        <f>30014.01 - (30014.01 * $E$1)</f>
        <v>30014.01</v>
      </c>
      <c r="M3293" s="1">
        <v>36617.089999999997</v>
      </c>
      <c r="N3293" s="1">
        <v>30014.01</v>
      </c>
      <c r="O3293" s="1">
        <v>31124.53</v>
      </c>
      <c r="P3293" s="1">
        <v>25511.91</v>
      </c>
      <c r="Q3293">
        <v>6</v>
      </c>
      <c r="R3293">
        <v>1.2604000000000001E-2</v>
      </c>
    </row>
    <row r="3294" spans="1:18" ht="13.8" outlineLevel="2" x14ac:dyDescent="0.25">
      <c r="A3294">
        <v>66536</v>
      </c>
      <c r="B3294" t="s">
        <v>4169</v>
      </c>
      <c r="C3294" t="s">
        <v>4174</v>
      </c>
      <c r="D3294" s="14" t="s">
        <v>4175</v>
      </c>
      <c r="E3294" s="12" t="s">
        <v>28</v>
      </c>
      <c r="F3294" s="13" t="s">
        <v>29</v>
      </c>
      <c r="G3294">
        <v>1</v>
      </c>
      <c r="H3294" t="s">
        <v>30</v>
      </c>
      <c r="I3294">
        <v>1</v>
      </c>
      <c r="J3294" s="15"/>
      <c r="K3294" s="16">
        <f>41869.81 - (41869.81 * $E$1)</f>
        <v>41869.81</v>
      </c>
      <c r="L3294" s="16">
        <f>34319.52 - (34319.52 * $E$1)</f>
        <v>34319.519999999997</v>
      </c>
      <c r="M3294" s="1">
        <v>41869.81</v>
      </c>
      <c r="N3294" s="1">
        <v>34319.519999999997</v>
      </c>
      <c r="O3294" s="1">
        <v>35589.339999999997</v>
      </c>
      <c r="P3294" s="1">
        <v>29171.59</v>
      </c>
      <c r="Q3294">
        <v>5.8</v>
      </c>
      <c r="R3294">
        <v>1.2604000000000001E-2</v>
      </c>
    </row>
    <row r="3295" spans="1:18" ht="13.8" outlineLevel="2" x14ac:dyDescent="0.25">
      <c r="A3295">
        <v>68079</v>
      </c>
      <c r="B3295" t="s">
        <v>4176</v>
      </c>
      <c r="C3295" t="s">
        <v>4177</v>
      </c>
      <c r="D3295" s="14" t="s">
        <v>4178</v>
      </c>
      <c r="E3295" s="12" t="s">
        <v>28</v>
      </c>
      <c r="F3295" s="13" t="s">
        <v>29</v>
      </c>
      <c r="G3295">
        <v>1</v>
      </c>
      <c r="H3295" t="s">
        <v>30</v>
      </c>
      <c r="I3295">
        <v>1</v>
      </c>
      <c r="J3295" s="15"/>
      <c r="K3295" s="16">
        <f>IF($E$1&gt;=$Q$1%,106813.82-(106813.82*$Q$1%),106813.82-(106813.82*$E$1))</f>
        <v>106813.82</v>
      </c>
      <c r="L3295" s="16">
        <f>IF($E$1&gt;=$Q$1%,87552.31-(87552.31*$Q$1%),87552.31-(87552.31*$E$1))</f>
        <v>87552.31</v>
      </c>
      <c r="M3295" s="1">
        <v>106813.82</v>
      </c>
      <c r="N3295" s="1">
        <v>87552.31</v>
      </c>
      <c r="O3295" s="1">
        <v>106813.82</v>
      </c>
      <c r="P3295" s="1">
        <v>87552.31</v>
      </c>
      <c r="Q3295">
        <v>8.1</v>
      </c>
      <c r="R3295">
        <v>2.5999999999999999E-2</v>
      </c>
    </row>
    <row r="3296" spans="1:18" ht="13.8" outlineLevel="2" x14ac:dyDescent="0.25">
      <c r="A3296">
        <v>85440</v>
      </c>
      <c r="B3296" t="s">
        <v>4156</v>
      </c>
      <c r="C3296" t="s">
        <v>4179</v>
      </c>
      <c r="D3296" s="14" t="s">
        <v>4180</v>
      </c>
      <c r="E3296" s="12" t="s">
        <v>28</v>
      </c>
      <c r="F3296" s="13" t="s">
        <v>29</v>
      </c>
      <c r="G3296">
        <v>1</v>
      </c>
      <c r="H3296" t="s">
        <v>30</v>
      </c>
      <c r="I3296">
        <v>1</v>
      </c>
      <c r="J3296" s="15"/>
      <c r="K3296" s="16">
        <f>11789.41 - (11789.41 * $E$1)</f>
        <v>11789.41</v>
      </c>
      <c r="L3296" s="16">
        <f>9663.45 - (9663.45 * $E$1)</f>
        <v>9663.4500000000007</v>
      </c>
      <c r="M3296" s="1">
        <v>11789.41</v>
      </c>
      <c r="N3296" s="1">
        <v>9663.4500000000007</v>
      </c>
      <c r="O3296" s="1">
        <v>10021</v>
      </c>
      <c r="P3296" s="1">
        <v>8213.93</v>
      </c>
      <c r="Q3296">
        <v>2.2999999999999998</v>
      </c>
      <c r="R3296">
        <v>3.3210000000000002E-3</v>
      </c>
    </row>
    <row r="3297" spans="1:18" ht="13.8" outlineLevel="2" x14ac:dyDescent="0.25">
      <c r="A3297">
        <v>61811</v>
      </c>
      <c r="B3297" t="s">
        <v>4181</v>
      </c>
      <c r="C3297" t="s">
        <v>4182</v>
      </c>
      <c r="D3297" s="14" t="s">
        <v>4183</v>
      </c>
      <c r="E3297" s="12" t="s">
        <v>28</v>
      </c>
      <c r="F3297" s="13" t="s">
        <v>29</v>
      </c>
      <c r="G3297">
        <v>1</v>
      </c>
      <c r="H3297" t="s">
        <v>30</v>
      </c>
      <c r="I3297">
        <v>1</v>
      </c>
      <c r="J3297" s="15"/>
      <c r="K3297" s="16">
        <f>20058.09 - (20058.09 * $E$1)</f>
        <v>20058.09</v>
      </c>
      <c r="L3297" s="16">
        <f>16441.06 - (16441.06 * $E$1)</f>
        <v>16441.060000000001</v>
      </c>
      <c r="M3297" s="1">
        <v>20058.09</v>
      </c>
      <c r="N3297" s="1">
        <v>16441.060000000001</v>
      </c>
      <c r="O3297" s="1">
        <v>17049.38</v>
      </c>
      <c r="P3297" s="1">
        <v>13974.9</v>
      </c>
      <c r="Q3297">
        <v>4.2</v>
      </c>
      <c r="R3297">
        <v>3.4020000000000001E-3</v>
      </c>
    </row>
    <row r="3298" spans="1:18" ht="13.8" outlineLevel="2" x14ac:dyDescent="0.25">
      <c r="A3298">
        <v>61812</v>
      </c>
      <c r="B3298" t="s">
        <v>4181</v>
      </c>
      <c r="C3298" t="s">
        <v>4184</v>
      </c>
      <c r="D3298" s="14" t="s">
        <v>4185</v>
      </c>
      <c r="E3298" s="12" t="s">
        <v>28</v>
      </c>
      <c r="F3298" s="13" t="s">
        <v>29</v>
      </c>
      <c r="G3298">
        <v>1</v>
      </c>
      <c r="H3298" t="s">
        <v>30</v>
      </c>
      <c r="I3298">
        <v>1</v>
      </c>
      <c r="J3298" s="15"/>
      <c r="K3298" s="16">
        <f>16996.56 - (16996.56 * $E$1)</f>
        <v>16996.560000000001</v>
      </c>
      <c r="L3298" s="16">
        <f>13931.61 - (13931.61 * $E$1)</f>
        <v>13931.61</v>
      </c>
      <c r="M3298" s="1">
        <v>16996.560000000001</v>
      </c>
      <c r="N3298" s="1">
        <v>13931.61</v>
      </c>
      <c r="O3298" s="1">
        <v>14447.08</v>
      </c>
      <c r="P3298" s="1">
        <v>11841.87</v>
      </c>
      <c r="Q3298">
        <v>3.81</v>
      </c>
      <c r="R3298">
        <v>3.4020000000000001E-3</v>
      </c>
    </row>
    <row r="3299" spans="1:18" ht="13.8" outlineLevel="2" x14ac:dyDescent="0.25">
      <c r="A3299">
        <v>54958</v>
      </c>
      <c r="B3299" t="s">
        <v>4181</v>
      </c>
      <c r="C3299" t="s">
        <v>4186</v>
      </c>
      <c r="D3299" s="14" t="s">
        <v>4187</v>
      </c>
      <c r="E3299" s="12" t="s">
        <v>28</v>
      </c>
      <c r="F3299" s="13" t="s">
        <v>29</v>
      </c>
      <c r="G3299">
        <v>1</v>
      </c>
      <c r="H3299" t="s">
        <v>30</v>
      </c>
      <c r="I3299">
        <v>1</v>
      </c>
      <c r="J3299" s="15"/>
      <c r="K3299" s="16">
        <f>25489.61 - (25489.61 * $E$1)</f>
        <v>25489.61</v>
      </c>
      <c r="L3299" s="16">
        <f>20893.12 - (20893.12 * $E$1)</f>
        <v>20893.12</v>
      </c>
      <c r="M3299" s="1">
        <v>25489.61</v>
      </c>
      <c r="N3299" s="1">
        <v>20893.12</v>
      </c>
      <c r="O3299" s="1">
        <v>21666.17</v>
      </c>
      <c r="P3299" s="1">
        <v>17759.150000000001</v>
      </c>
      <c r="Q3299">
        <v>12.1</v>
      </c>
      <c r="R3299">
        <v>7.3369999999999998E-3</v>
      </c>
    </row>
    <row r="3300" spans="1:18" ht="13.8" outlineLevel="2" x14ac:dyDescent="0.25">
      <c r="A3300">
        <v>88607</v>
      </c>
      <c r="B3300" t="s">
        <v>4181</v>
      </c>
      <c r="C3300" t="s">
        <v>4188</v>
      </c>
      <c r="D3300" s="14" t="s">
        <v>4189</v>
      </c>
      <c r="E3300" s="12" t="s">
        <v>28</v>
      </c>
      <c r="F3300" s="13" t="s">
        <v>29</v>
      </c>
      <c r="G3300">
        <v>1</v>
      </c>
      <c r="H3300" t="s">
        <v>30</v>
      </c>
      <c r="I3300">
        <v>1</v>
      </c>
      <c r="J3300" s="15"/>
      <c r="K3300" s="16">
        <f>15815.67 - (15815.67 * $E$1)</f>
        <v>15815.67</v>
      </c>
      <c r="L3300" s="16">
        <f>12963.66 - (12963.66 * $E$1)</f>
        <v>12963.66</v>
      </c>
      <c r="M3300" s="1">
        <v>15815.67</v>
      </c>
      <c r="N3300" s="1">
        <v>12963.66</v>
      </c>
      <c r="O3300" s="1">
        <v>13443.32</v>
      </c>
      <c r="P3300" s="1">
        <v>11019.11</v>
      </c>
      <c r="Q3300">
        <v>2.7759999999999998</v>
      </c>
      <c r="R3300">
        <v>3.9329999999999999E-3</v>
      </c>
    </row>
    <row r="3301" spans="1:18" ht="13.8" outlineLevel="2" x14ac:dyDescent="0.25">
      <c r="A3301">
        <v>65031</v>
      </c>
      <c r="B3301" t="s">
        <v>4190</v>
      </c>
      <c r="C3301" t="s">
        <v>4191</v>
      </c>
      <c r="D3301" s="14" t="s">
        <v>4192</v>
      </c>
      <c r="E3301" s="12" t="s">
        <v>28</v>
      </c>
      <c r="F3301" s="13" t="s">
        <v>29</v>
      </c>
      <c r="G3301">
        <v>1</v>
      </c>
      <c r="H3301" t="s">
        <v>1129</v>
      </c>
      <c r="I3301">
        <v>1</v>
      </c>
      <c r="J3301" s="15"/>
      <c r="K3301" s="16">
        <f>1160.48 - (1160.48 * $E$1)</f>
        <v>1160.48</v>
      </c>
      <c r="L3301" s="16">
        <f>951.21 - (951.21 * $E$1)</f>
        <v>951.21</v>
      </c>
      <c r="M3301" s="1">
        <v>1160.48</v>
      </c>
      <c r="N3301" s="1">
        <v>951.21</v>
      </c>
      <c r="O3301" s="1">
        <v>986.4</v>
      </c>
      <c r="P3301" s="1">
        <v>808.53</v>
      </c>
      <c r="Q3301">
        <v>8.7999999999999995E-2</v>
      </c>
      <c r="R3301">
        <v>5.4299999999999997E-4</v>
      </c>
    </row>
    <row r="3302" spans="1:18" ht="13.8" outlineLevel="2" x14ac:dyDescent="0.25">
      <c r="A3302">
        <v>61813</v>
      </c>
      <c r="B3302" t="s">
        <v>4190</v>
      </c>
      <c r="C3302" t="s">
        <v>4193</v>
      </c>
      <c r="D3302" s="14" t="s">
        <v>4192</v>
      </c>
      <c r="E3302" s="12" t="s">
        <v>28</v>
      </c>
      <c r="F3302" s="13" t="s">
        <v>29</v>
      </c>
      <c r="G3302">
        <v>1</v>
      </c>
      <c r="H3302" t="s">
        <v>1129</v>
      </c>
      <c r="I3302">
        <v>1</v>
      </c>
      <c r="J3302" s="15"/>
      <c r="K3302" s="16">
        <f>1275.18 - (1275.18 * $E$1)</f>
        <v>1275.18</v>
      </c>
      <c r="L3302" s="16">
        <f>1045.23 - (1045.23 * $E$1)</f>
        <v>1045.23</v>
      </c>
      <c r="M3302" s="1">
        <v>1275.18</v>
      </c>
      <c r="N3302" s="1">
        <v>1045.23</v>
      </c>
      <c r="O3302" s="1">
        <v>1083.9000000000001</v>
      </c>
      <c r="P3302" s="1">
        <v>888.45</v>
      </c>
      <c r="Q3302">
        <v>0.12</v>
      </c>
      <c r="R3302">
        <v>5.9999999999999995E-4</v>
      </c>
    </row>
    <row r="3303" spans="1:18" ht="13.8" outlineLevel="2" x14ac:dyDescent="0.25">
      <c r="A3303">
        <v>61814</v>
      </c>
      <c r="B3303" t="s">
        <v>4190</v>
      </c>
      <c r="C3303" t="s">
        <v>4194</v>
      </c>
      <c r="D3303" s="14" t="s">
        <v>4192</v>
      </c>
      <c r="E3303" s="12" t="s">
        <v>28</v>
      </c>
      <c r="F3303" s="13" t="s">
        <v>29</v>
      </c>
      <c r="G3303">
        <v>1</v>
      </c>
      <c r="H3303" t="s">
        <v>1129</v>
      </c>
      <c r="I3303">
        <v>1</v>
      </c>
      <c r="J3303" s="15"/>
      <c r="K3303" s="16">
        <f>1428.12 - (1428.12 * $E$1)</f>
        <v>1428.12</v>
      </c>
      <c r="L3303" s="16">
        <f>1170.59 - (1170.59 * $E$1)</f>
        <v>1170.5899999999999</v>
      </c>
      <c r="M3303" s="1">
        <v>1428.12</v>
      </c>
      <c r="N3303" s="1">
        <v>1170.5899999999999</v>
      </c>
      <c r="O3303" s="1">
        <v>1213.9000000000001</v>
      </c>
      <c r="P3303" s="1">
        <v>995</v>
      </c>
      <c r="Q3303">
        <v>0.12</v>
      </c>
      <c r="R3303">
        <v>5.9999999999999995E-4</v>
      </c>
    </row>
    <row r="3304" spans="1:18" ht="13.8" outlineLevel="2" x14ac:dyDescent="0.25">
      <c r="A3304">
        <v>61815</v>
      </c>
      <c r="B3304" t="s">
        <v>4190</v>
      </c>
      <c r="C3304" t="s">
        <v>4195</v>
      </c>
      <c r="D3304" s="14" t="s">
        <v>4192</v>
      </c>
      <c r="E3304" s="12" t="s">
        <v>28</v>
      </c>
      <c r="F3304" s="13" t="s">
        <v>29</v>
      </c>
      <c r="G3304">
        <v>1</v>
      </c>
      <c r="H3304" t="s">
        <v>1129</v>
      </c>
      <c r="I3304">
        <v>1</v>
      </c>
      <c r="J3304" s="15"/>
      <c r="K3304" s="16">
        <f>1642.24 - (1642.24 * $E$1)</f>
        <v>1642.24</v>
      </c>
      <c r="L3304" s="16">
        <f>1346.1 - (1346.1 * $E$1)</f>
        <v>1346.1</v>
      </c>
      <c r="M3304" s="1">
        <v>1642.24</v>
      </c>
      <c r="N3304" s="1">
        <v>1346.1</v>
      </c>
      <c r="O3304" s="1">
        <v>1395.91</v>
      </c>
      <c r="P3304" s="1">
        <v>1144.19</v>
      </c>
      <c r="Q3304">
        <v>0.15</v>
      </c>
      <c r="R3304">
        <v>5.6599999999999999E-4</v>
      </c>
    </row>
    <row r="3305" spans="1:18" ht="13.8" outlineLevel="2" x14ac:dyDescent="0.25">
      <c r="A3305">
        <v>87933</v>
      </c>
      <c r="B3305" t="s">
        <v>4190</v>
      </c>
      <c r="C3305" t="s">
        <v>4196</v>
      </c>
      <c r="D3305" s="14" t="s">
        <v>4192</v>
      </c>
      <c r="E3305" s="12" t="s">
        <v>28</v>
      </c>
      <c r="F3305" s="17" t="s">
        <v>549</v>
      </c>
      <c r="G3305">
        <v>1</v>
      </c>
      <c r="H3305" t="s">
        <v>1129</v>
      </c>
      <c r="I3305">
        <v>1</v>
      </c>
      <c r="J3305" s="15"/>
      <c r="K3305" s="16">
        <f>1657.54 - (1657.54 * $E$1)</f>
        <v>1657.54</v>
      </c>
      <c r="L3305" s="16">
        <f>1358.64 - (1358.64 * $E$1)</f>
        <v>1358.64</v>
      </c>
      <c r="M3305" s="1">
        <v>1657.54</v>
      </c>
      <c r="N3305" s="1">
        <v>1358.64</v>
      </c>
      <c r="O3305" s="1">
        <v>1408.91</v>
      </c>
      <c r="P3305" s="1">
        <v>1154.8399999999999</v>
      </c>
      <c r="Q3305">
        <v>0.17799999999999999</v>
      </c>
      <c r="R3305">
        <v>5.6599999999999999E-4</v>
      </c>
    </row>
    <row r="3306" spans="1:18" ht="13.8" outlineLevel="2" x14ac:dyDescent="0.25">
      <c r="A3306">
        <v>61816</v>
      </c>
      <c r="B3306" t="s">
        <v>4190</v>
      </c>
      <c r="C3306" t="s">
        <v>4197</v>
      </c>
      <c r="D3306" s="14" t="s">
        <v>4192</v>
      </c>
      <c r="E3306" s="12" t="s">
        <v>28</v>
      </c>
      <c r="F3306" s="13" t="s">
        <v>29</v>
      </c>
      <c r="G3306">
        <v>1</v>
      </c>
      <c r="H3306" t="s">
        <v>1129</v>
      </c>
      <c r="I3306">
        <v>1</v>
      </c>
      <c r="J3306" s="15"/>
      <c r="K3306" s="16">
        <f>1695.78 - (1695.78 * $E$1)</f>
        <v>1695.78</v>
      </c>
      <c r="L3306" s="16">
        <f>1389.98 - (1389.98 * $E$1)</f>
        <v>1389.98</v>
      </c>
      <c r="M3306" s="1">
        <v>1695.78</v>
      </c>
      <c r="N3306" s="1">
        <v>1389.98</v>
      </c>
      <c r="O3306" s="1">
        <v>1441.41</v>
      </c>
      <c r="P3306" s="1">
        <v>1181.48</v>
      </c>
      <c r="Q3306">
        <v>0.19</v>
      </c>
      <c r="R3306">
        <v>5.6599999999999999E-4</v>
      </c>
    </row>
    <row r="3307" spans="1:18" ht="13.8" outlineLevel="2" x14ac:dyDescent="0.25">
      <c r="A3307">
        <v>61817</v>
      </c>
      <c r="B3307" t="s">
        <v>4190</v>
      </c>
      <c r="C3307" t="s">
        <v>4198</v>
      </c>
      <c r="D3307" s="14" t="s">
        <v>4192</v>
      </c>
      <c r="E3307" s="12" t="s">
        <v>28</v>
      </c>
      <c r="F3307" s="13" t="s">
        <v>29</v>
      </c>
      <c r="G3307">
        <v>1</v>
      </c>
      <c r="H3307" t="s">
        <v>1129</v>
      </c>
      <c r="I3307">
        <v>1</v>
      </c>
      <c r="J3307" s="15"/>
      <c r="K3307" s="16">
        <f>2121.6 - (2121.6 * $E$1)</f>
        <v>2121.6</v>
      </c>
      <c r="L3307" s="16">
        <f>1739.02 - (1739.02 * $E$1)</f>
        <v>1739.02</v>
      </c>
      <c r="M3307" s="1">
        <v>2121.6</v>
      </c>
      <c r="N3307" s="1">
        <v>1739.02</v>
      </c>
      <c r="O3307" s="1">
        <v>1803.36</v>
      </c>
      <c r="P3307" s="1">
        <v>1478.17</v>
      </c>
      <c r="Q3307">
        <v>0.2</v>
      </c>
      <c r="R3307">
        <v>7.5000000000000002E-4</v>
      </c>
    </row>
    <row r="3308" spans="1:18" ht="13.8" outlineLevel="2" x14ac:dyDescent="0.25">
      <c r="A3308">
        <v>61819</v>
      </c>
      <c r="B3308" t="s">
        <v>4190</v>
      </c>
      <c r="C3308" t="s">
        <v>4199</v>
      </c>
      <c r="D3308" s="14" t="s">
        <v>4192</v>
      </c>
      <c r="E3308" s="12" t="s">
        <v>28</v>
      </c>
      <c r="F3308" s="13" t="s">
        <v>29</v>
      </c>
      <c r="G3308">
        <v>1</v>
      </c>
      <c r="H3308" t="s">
        <v>1129</v>
      </c>
      <c r="I3308">
        <v>1</v>
      </c>
      <c r="J3308" s="15"/>
      <c r="K3308" s="16">
        <f>1645.11 - (1645.11 * $E$1)</f>
        <v>1645.11</v>
      </c>
      <c r="L3308" s="16">
        <f>1348.45 - (1348.45 * $E$1)</f>
        <v>1348.45</v>
      </c>
      <c r="M3308" s="1">
        <v>1645.11</v>
      </c>
      <c r="N3308" s="1">
        <v>1348.45</v>
      </c>
      <c r="O3308" s="1">
        <v>1398.34</v>
      </c>
      <c r="P3308" s="1">
        <v>1146.18</v>
      </c>
      <c r="Q3308">
        <v>0.2</v>
      </c>
      <c r="R3308">
        <v>7.5000000000000002E-4</v>
      </c>
    </row>
    <row r="3309" spans="1:18" ht="13.8" outlineLevel="2" x14ac:dyDescent="0.25">
      <c r="A3309">
        <v>61820</v>
      </c>
      <c r="B3309" t="s">
        <v>4190</v>
      </c>
      <c r="C3309" t="s">
        <v>4200</v>
      </c>
      <c r="D3309" s="14" t="s">
        <v>4192</v>
      </c>
      <c r="E3309" s="12" t="s">
        <v>28</v>
      </c>
      <c r="F3309" s="13" t="s">
        <v>29</v>
      </c>
      <c r="G3309">
        <v>1</v>
      </c>
      <c r="H3309" t="s">
        <v>1129</v>
      </c>
      <c r="I3309">
        <v>1</v>
      </c>
      <c r="J3309" s="15"/>
      <c r="K3309" s="16">
        <f>1786.97 - (1786.97 * $E$1)</f>
        <v>1786.97</v>
      </c>
      <c r="L3309" s="16">
        <f>1464.73 - (1464.73 * $E$1)</f>
        <v>1464.73</v>
      </c>
      <c r="M3309" s="1">
        <v>1786.97</v>
      </c>
      <c r="N3309" s="1">
        <v>1464.73</v>
      </c>
      <c r="O3309" s="1">
        <v>1518.93</v>
      </c>
      <c r="P3309" s="1">
        <v>1245.02</v>
      </c>
      <c r="Q3309">
        <v>0.26</v>
      </c>
      <c r="R3309">
        <v>7.5000000000000002E-4</v>
      </c>
    </row>
    <row r="3310" spans="1:18" ht="13.8" outlineLevel="2" x14ac:dyDescent="0.25">
      <c r="A3310">
        <v>61821</v>
      </c>
      <c r="B3310" t="s">
        <v>4190</v>
      </c>
      <c r="C3310" t="s">
        <v>4201</v>
      </c>
      <c r="D3310" s="14" t="s">
        <v>4192</v>
      </c>
      <c r="E3310" s="12" t="s">
        <v>28</v>
      </c>
      <c r="F3310" s="13" t="s">
        <v>29</v>
      </c>
      <c r="G3310">
        <v>1</v>
      </c>
      <c r="H3310" t="s">
        <v>1129</v>
      </c>
      <c r="I3310">
        <v>1</v>
      </c>
      <c r="J3310" s="15"/>
      <c r="K3310" s="16">
        <f>2005.29 - (2005.29 * $E$1)</f>
        <v>2005.29</v>
      </c>
      <c r="L3310" s="16">
        <f>1643.68 - (1643.68 * $E$1)</f>
        <v>1643.68</v>
      </c>
      <c r="M3310" s="1">
        <v>2005.29</v>
      </c>
      <c r="N3310" s="1">
        <v>1643.68</v>
      </c>
      <c r="O3310" s="1">
        <v>1704.5</v>
      </c>
      <c r="P3310" s="1">
        <v>1397.13</v>
      </c>
      <c r="Q3310">
        <v>0.35</v>
      </c>
      <c r="R3310">
        <v>7.5000000000000002E-4</v>
      </c>
    </row>
    <row r="3311" spans="1:18" ht="13.8" outlineLevel="2" x14ac:dyDescent="0.25">
      <c r="A3311">
        <v>61822</v>
      </c>
      <c r="B3311" t="s">
        <v>4190</v>
      </c>
      <c r="C3311" t="s">
        <v>4202</v>
      </c>
      <c r="D3311" s="14" t="s">
        <v>4192</v>
      </c>
      <c r="E3311" s="12" t="s">
        <v>28</v>
      </c>
      <c r="F3311" s="13" t="s">
        <v>29</v>
      </c>
      <c r="G3311">
        <v>1</v>
      </c>
      <c r="H3311" t="s">
        <v>1129</v>
      </c>
      <c r="I3311">
        <v>1</v>
      </c>
      <c r="J3311" s="15"/>
      <c r="K3311" s="16">
        <f>2205.92 - (2205.92 * $E$1)</f>
        <v>2205.92</v>
      </c>
      <c r="L3311" s="16">
        <f>1808.13 - (1808.13 * $E$1)</f>
        <v>1808.13</v>
      </c>
      <c r="M3311" s="1">
        <v>2205.92</v>
      </c>
      <c r="N3311" s="1">
        <v>1808.13</v>
      </c>
      <c r="O3311" s="1">
        <v>1875.03</v>
      </c>
      <c r="P3311" s="1">
        <v>1536.91</v>
      </c>
      <c r="Q3311">
        <v>0.4</v>
      </c>
      <c r="R3311">
        <v>4.1300000000000001E-4</v>
      </c>
    </row>
    <row r="3312" spans="1:18" ht="13.8" outlineLevel="2" x14ac:dyDescent="0.25">
      <c r="A3312">
        <v>85302</v>
      </c>
      <c r="B3312" t="s">
        <v>4190</v>
      </c>
      <c r="C3312" t="s">
        <v>4203</v>
      </c>
      <c r="D3312" s="14" t="s">
        <v>4192</v>
      </c>
      <c r="E3312" s="12" t="s">
        <v>28</v>
      </c>
      <c r="F3312" s="13" t="s">
        <v>29</v>
      </c>
      <c r="G3312">
        <v>1</v>
      </c>
      <c r="H3312" t="s">
        <v>1129</v>
      </c>
      <c r="I3312">
        <v>1</v>
      </c>
      <c r="J3312" s="15"/>
      <c r="K3312" s="16">
        <f>2487.3 - (2487.3 * $E$1)</f>
        <v>2487.3000000000002</v>
      </c>
      <c r="L3312" s="16">
        <f>2038.77 - (2038.77 * $E$1)</f>
        <v>2038.77</v>
      </c>
      <c r="M3312" s="1">
        <v>2487.3000000000002</v>
      </c>
      <c r="N3312" s="1">
        <v>2038.77</v>
      </c>
      <c r="O3312" s="1">
        <v>2114.1999999999998</v>
      </c>
      <c r="P3312" s="1">
        <v>1732.95</v>
      </c>
      <c r="Q3312">
        <v>0.48199999999999998</v>
      </c>
      <c r="R3312">
        <v>4.66E-4</v>
      </c>
    </row>
    <row r="3313" spans="1:18" ht="13.8" outlineLevel="2" x14ac:dyDescent="0.25">
      <c r="A3313">
        <v>61823</v>
      </c>
      <c r="B3313" t="s">
        <v>4190</v>
      </c>
      <c r="C3313" t="s">
        <v>4204</v>
      </c>
      <c r="D3313" s="14" t="s">
        <v>4192</v>
      </c>
      <c r="E3313" s="12" t="s">
        <v>28</v>
      </c>
      <c r="F3313" s="13" t="s">
        <v>29</v>
      </c>
      <c r="G3313">
        <v>1</v>
      </c>
      <c r="H3313" t="s">
        <v>1129</v>
      </c>
      <c r="I3313">
        <v>1</v>
      </c>
      <c r="J3313" s="15"/>
      <c r="K3313" s="16">
        <f>2800.84 - (2800.84 * $E$1)</f>
        <v>2800.84</v>
      </c>
      <c r="L3313" s="16">
        <f>2295.77 - (2295.77 * $E$1)</f>
        <v>2295.77</v>
      </c>
      <c r="M3313" s="1">
        <v>2800.84</v>
      </c>
      <c r="N3313" s="1">
        <v>2295.77</v>
      </c>
      <c r="O3313" s="1">
        <v>2380.71</v>
      </c>
      <c r="P3313" s="1">
        <v>1951.4</v>
      </c>
      <c r="Q3313">
        <v>0.56999999999999995</v>
      </c>
      <c r="R3313">
        <v>4.4099999999999999E-4</v>
      </c>
    </row>
    <row r="3314" spans="1:18" ht="13.8" outlineLevel="2" x14ac:dyDescent="0.25">
      <c r="A3314">
        <v>61824</v>
      </c>
      <c r="B3314" t="s">
        <v>4190</v>
      </c>
      <c r="C3314" t="s">
        <v>4205</v>
      </c>
      <c r="D3314" s="14" t="s">
        <v>4192</v>
      </c>
      <c r="E3314" s="12" t="s">
        <v>28</v>
      </c>
      <c r="F3314" s="13" t="s">
        <v>29</v>
      </c>
      <c r="G3314">
        <v>1</v>
      </c>
      <c r="H3314" t="s">
        <v>1129</v>
      </c>
      <c r="I3314">
        <v>1</v>
      </c>
      <c r="J3314" s="15"/>
      <c r="K3314" s="16">
        <f>3010.87 - (3010.87 * $E$1)</f>
        <v>3010.87</v>
      </c>
      <c r="L3314" s="16">
        <f>2467.93 - (2467.93 * $E$1)</f>
        <v>2467.9299999999998</v>
      </c>
      <c r="M3314" s="1">
        <v>3010.87</v>
      </c>
      <c r="N3314" s="1">
        <v>2467.9299999999998</v>
      </c>
      <c r="O3314" s="1">
        <v>2559.2399999999998</v>
      </c>
      <c r="P3314" s="1">
        <v>2097.7399999999998</v>
      </c>
      <c r="Q3314">
        <v>0.6</v>
      </c>
      <c r="R3314">
        <v>4.1300000000000001E-4</v>
      </c>
    </row>
    <row r="3315" spans="1:18" ht="13.8" outlineLevel="2" x14ac:dyDescent="0.25">
      <c r="A3315">
        <v>61825</v>
      </c>
      <c r="B3315" t="s">
        <v>4190</v>
      </c>
      <c r="C3315" t="s">
        <v>4206</v>
      </c>
      <c r="D3315" s="14" t="s">
        <v>4192</v>
      </c>
      <c r="E3315" s="12" t="s">
        <v>28</v>
      </c>
      <c r="F3315" s="13" t="s">
        <v>29</v>
      </c>
      <c r="G3315">
        <v>1</v>
      </c>
      <c r="H3315" t="s">
        <v>1129</v>
      </c>
      <c r="I3315">
        <v>1</v>
      </c>
      <c r="J3315" s="15"/>
      <c r="K3315" s="16">
        <f>3217.91 - (3217.91 * $E$1)</f>
        <v>3217.91</v>
      </c>
      <c r="L3315" s="16">
        <f>2637.63 - (2637.63 * $E$1)</f>
        <v>2637.63</v>
      </c>
      <c r="M3315" s="1">
        <v>3217.91</v>
      </c>
      <c r="N3315" s="1">
        <v>2637.63</v>
      </c>
      <c r="O3315" s="1">
        <v>2735.22</v>
      </c>
      <c r="P3315" s="1">
        <v>2241.9899999999998</v>
      </c>
      <c r="Q3315">
        <v>0.76</v>
      </c>
      <c r="R3315">
        <v>4.2000000000000002E-4</v>
      </c>
    </row>
    <row r="3316" spans="1:18" ht="13.8" outlineLevel="2" x14ac:dyDescent="0.25">
      <c r="A3316">
        <v>61827</v>
      </c>
      <c r="B3316" t="s">
        <v>4190</v>
      </c>
      <c r="C3316" t="s">
        <v>4207</v>
      </c>
      <c r="D3316" s="14" t="s">
        <v>4192</v>
      </c>
      <c r="E3316" s="12" t="s">
        <v>28</v>
      </c>
      <c r="F3316" s="13" t="s">
        <v>29</v>
      </c>
      <c r="G3316">
        <v>1</v>
      </c>
      <c r="H3316" t="s">
        <v>1129</v>
      </c>
      <c r="I3316">
        <v>1</v>
      </c>
      <c r="J3316" s="15"/>
      <c r="K3316" s="16">
        <f>3609.39 - (3609.39 * $E$1)</f>
        <v>3609.39</v>
      </c>
      <c r="L3316" s="16">
        <f>2958.52 - (2958.52 * $E$1)</f>
        <v>2958.52</v>
      </c>
      <c r="M3316" s="1">
        <v>3609.39</v>
      </c>
      <c r="N3316" s="1">
        <v>2958.52</v>
      </c>
      <c r="O3316" s="1">
        <v>3067.99</v>
      </c>
      <c r="P3316" s="1">
        <v>2514.7399999999998</v>
      </c>
      <c r="Q3316">
        <v>0.98</v>
      </c>
      <c r="R3316">
        <v>9.2199999999999997E-4</v>
      </c>
    </row>
    <row r="3317" spans="1:18" ht="13.8" outlineLevel="2" x14ac:dyDescent="0.25">
      <c r="A3317">
        <v>61828</v>
      </c>
      <c r="B3317" t="s">
        <v>4190</v>
      </c>
      <c r="C3317" t="s">
        <v>4208</v>
      </c>
      <c r="D3317" s="14" t="s">
        <v>4192</v>
      </c>
      <c r="E3317" s="12" t="s">
        <v>28</v>
      </c>
      <c r="F3317" s="13" t="s">
        <v>29</v>
      </c>
      <c r="G3317">
        <v>1</v>
      </c>
      <c r="H3317" t="s">
        <v>1129</v>
      </c>
      <c r="I3317">
        <v>1</v>
      </c>
      <c r="J3317" s="15"/>
      <c r="K3317" s="16">
        <f>3949.64 - (3949.64 * $E$1)</f>
        <v>3949.64</v>
      </c>
      <c r="L3317" s="16">
        <f>3237.41 - (3237.41 * $E$1)</f>
        <v>3237.41</v>
      </c>
      <c r="M3317" s="1">
        <v>3949.64</v>
      </c>
      <c r="N3317" s="1">
        <v>3237.41</v>
      </c>
      <c r="O3317" s="1">
        <v>3357.19</v>
      </c>
      <c r="P3317" s="1">
        <v>2751.8</v>
      </c>
      <c r="Q3317">
        <v>1</v>
      </c>
      <c r="R3317">
        <v>9.2199999999999997E-4</v>
      </c>
    </row>
    <row r="3318" spans="1:18" ht="13.8" outlineLevel="2" x14ac:dyDescent="0.25">
      <c r="A3318">
        <v>85303</v>
      </c>
      <c r="B3318" t="s">
        <v>4190</v>
      </c>
      <c r="C3318" t="s">
        <v>4209</v>
      </c>
      <c r="D3318" s="14" t="s">
        <v>4192</v>
      </c>
      <c r="E3318" s="12" t="s">
        <v>28</v>
      </c>
      <c r="F3318" s="13" t="s">
        <v>29</v>
      </c>
      <c r="G3318">
        <v>1</v>
      </c>
      <c r="H3318" t="s">
        <v>1129</v>
      </c>
      <c r="I3318">
        <v>1</v>
      </c>
      <c r="J3318" s="15"/>
      <c r="K3318" s="16">
        <f>4604.35 - (4604.35 * $E$1)</f>
        <v>4604.3500000000004</v>
      </c>
      <c r="L3318" s="16">
        <f>3774.06 - (3774.06 * $E$1)</f>
        <v>3774.06</v>
      </c>
      <c r="M3318" s="1">
        <v>4604.3500000000004</v>
      </c>
      <c r="N3318" s="1">
        <v>3774.06</v>
      </c>
      <c r="O3318" s="1">
        <v>3913.7</v>
      </c>
      <c r="P3318" s="1">
        <v>3207.95</v>
      </c>
      <c r="Q3318">
        <v>1.234</v>
      </c>
      <c r="R3318">
        <v>7.9199999999999995E-4</v>
      </c>
    </row>
    <row r="3319" spans="1:18" ht="13.8" outlineLevel="2" x14ac:dyDescent="0.25">
      <c r="A3319">
        <v>87935</v>
      </c>
      <c r="B3319" t="s">
        <v>4190</v>
      </c>
      <c r="C3319" t="s">
        <v>4210</v>
      </c>
      <c r="D3319" s="14" t="s">
        <v>4192</v>
      </c>
      <c r="E3319" s="12" t="s">
        <v>28</v>
      </c>
      <c r="F3319" s="13" t="s">
        <v>29</v>
      </c>
      <c r="G3319">
        <v>1</v>
      </c>
      <c r="H3319" t="s">
        <v>1129</v>
      </c>
      <c r="I3319">
        <v>1</v>
      </c>
      <c r="J3319" s="15"/>
      <c r="K3319" s="16">
        <f>5076.98 - (5076.98 * $E$1)</f>
        <v>5076.9799999999996</v>
      </c>
      <c r="L3319" s="16">
        <f>4161.46 - (4161.46 * $E$1)</f>
        <v>4161.46</v>
      </c>
      <c r="M3319" s="1">
        <v>5076.9799999999996</v>
      </c>
      <c r="N3319" s="1">
        <v>4161.46</v>
      </c>
      <c r="O3319" s="1">
        <v>4315.43</v>
      </c>
      <c r="P3319" s="1">
        <v>3537.24</v>
      </c>
      <c r="Q3319">
        <v>1.3919999999999999</v>
      </c>
      <c r="R3319">
        <v>7.2599999999999997E-4</v>
      </c>
    </row>
    <row r="3320" spans="1:18" ht="13.8" outlineLevel="2" x14ac:dyDescent="0.25">
      <c r="A3320">
        <v>85304</v>
      </c>
      <c r="B3320" t="s">
        <v>4190</v>
      </c>
      <c r="C3320" t="s">
        <v>4211</v>
      </c>
      <c r="D3320" s="14" t="s">
        <v>4192</v>
      </c>
      <c r="E3320" s="12" t="s">
        <v>28</v>
      </c>
      <c r="F3320" s="13" t="s">
        <v>29</v>
      </c>
      <c r="G3320">
        <v>1</v>
      </c>
      <c r="H3320" t="s">
        <v>1129</v>
      </c>
      <c r="I3320">
        <v>1</v>
      </c>
      <c r="J3320" s="15"/>
      <c r="K3320" s="16">
        <f>5314.17 - (5314.17 * $E$1)</f>
        <v>5314.17</v>
      </c>
      <c r="L3320" s="16">
        <f>4355.88 - (4355.88 * $E$1)</f>
        <v>4355.88</v>
      </c>
      <c r="M3320" s="1">
        <v>5314.17</v>
      </c>
      <c r="N3320" s="1">
        <v>4355.88</v>
      </c>
      <c r="O3320" s="1">
        <v>4517.05</v>
      </c>
      <c r="P3320" s="1">
        <v>3702.5</v>
      </c>
      <c r="Q3320">
        <v>1.58</v>
      </c>
      <c r="R3320">
        <v>7.9199999999999995E-4</v>
      </c>
    </row>
    <row r="3321" spans="1:18" ht="13.8" outlineLevel="2" x14ac:dyDescent="0.25">
      <c r="A3321">
        <v>85305</v>
      </c>
      <c r="B3321" t="s">
        <v>4190</v>
      </c>
      <c r="C3321" t="s">
        <v>4212</v>
      </c>
      <c r="D3321" s="14" t="s">
        <v>4192</v>
      </c>
      <c r="E3321" s="12" t="s">
        <v>28</v>
      </c>
      <c r="F3321" s="13" t="s">
        <v>29</v>
      </c>
      <c r="G3321">
        <v>1</v>
      </c>
      <c r="H3321" t="s">
        <v>1129</v>
      </c>
      <c r="I3321">
        <v>1</v>
      </c>
      <c r="J3321" s="15"/>
      <c r="K3321" s="16">
        <f>5739.7 - (5739.7 * $E$1)</f>
        <v>5739.7</v>
      </c>
      <c r="L3321" s="16">
        <f>4704.67 - (4704.67 * $E$1)</f>
        <v>4704.67</v>
      </c>
      <c r="M3321" s="1">
        <v>5739.7</v>
      </c>
      <c r="N3321" s="1">
        <v>4704.67</v>
      </c>
      <c r="O3321" s="1">
        <v>4878.74</v>
      </c>
      <c r="P3321" s="1">
        <v>3998.97</v>
      </c>
      <c r="Q3321">
        <v>2.0179999999999998</v>
      </c>
      <c r="R3321">
        <v>7.9199999999999995E-4</v>
      </c>
    </row>
    <row r="3322" spans="1:18" ht="13.8" outlineLevel="2" x14ac:dyDescent="0.25">
      <c r="A3322">
        <v>85306</v>
      </c>
      <c r="B3322" t="s">
        <v>4190</v>
      </c>
      <c r="C3322" t="s">
        <v>4213</v>
      </c>
      <c r="D3322" s="14" t="s">
        <v>4192</v>
      </c>
      <c r="E3322" s="12" t="s">
        <v>28</v>
      </c>
      <c r="F3322" s="13" t="s">
        <v>29</v>
      </c>
      <c r="G3322">
        <v>1</v>
      </c>
      <c r="H3322" t="s">
        <v>1129</v>
      </c>
      <c r="I3322">
        <v>1</v>
      </c>
      <c r="J3322" s="15"/>
      <c r="K3322" s="16">
        <f>6148.09 - (6148.09 * $E$1)</f>
        <v>6148.09</v>
      </c>
      <c r="L3322" s="16">
        <f>5039.42 - (5039.42 * $E$1)</f>
        <v>5039.42</v>
      </c>
      <c r="M3322" s="1">
        <v>6148.09</v>
      </c>
      <c r="N3322" s="1">
        <v>5039.42</v>
      </c>
      <c r="O3322" s="1">
        <v>5225.88</v>
      </c>
      <c r="P3322" s="1">
        <v>4283.51</v>
      </c>
      <c r="Q3322">
        <v>2.1880000000000002</v>
      </c>
      <c r="R3322">
        <v>1.3649999999999999E-3</v>
      </c>
    </row>
    <row r="3323" spans="1:18" ht="13.8" outlineLevel="2" x14ac:dyDescent="0.25">
      <c r="A3323">
        <v>85307</v>
      </c>
      <c r="B3323" t="s">
        <v>4190</v>
      </c>
      <c r="C3323" t="s">
        <v>4214</v>
      </c>
      <c r="D3323" s="14" t="s">
        <v>4192</v>
      </c>
      <c r="E3323" s="12" t="s">
        <v>28</v>
      </c>
      <c r="F3323" s="13" t="s">
        <v>29</v>
      </c>
      <c r="G3323">
        <v>1</v>
      </c>
      <c r="H3323" t="s">
        <v>1129</v>
      </c>
      <c r="I3323">
        <v>1</v>
      </c>
      <c r="J3323" s="15"/>
      <c r="K3323" s="16">
        <f>6721.63 - (6721.63 * $E$1)</f>
        <v>6721.63</v>
      </c>
      <c r="L3323" s="16">
        <f>5509.53 - (5509.53 * $E$1)</f>
        <v>5509.53</v>
      </c>
      <c r="M3323" s="1">
        <v>6721.63</v>
      </c>
      <c r="N3323" s="1">
        <v>5509.53</v>
      </c>
      <c r="O3323" s="1">
        <v>5713.38</v>
      </c>
      <c r="P3323" s="1">
        <v>4683.1000000000004</v>
      </c>
      <c r="Q3323">
        <v>3</v>
      </c>
      <c r="R3323">
        <v>1.2149999999999999E-3</v>
      </c>
    </row>
    <row r="3324" spans="1:18" ht="13.8" outlineLevel="2" x14ac:dyDescent="0.25">
      <c r="A3324">
        <v>85308</v>
      </c>
      <c r="B3324" t="s">
        <v>4190</v>
      </c>
      <c r="C3324" t="s">
        <v>4215</v>
      </c>
      <c r="D3324" s="14" t="s">
        <v>4192</v>
      </c>
      <c r="E3324" s="12" t="s">
        <v>28</v>
      </c>
      <c r="F3324" s="13" t="s">
        <v>29</v>
      </c>
      <c r="G3324">
        <v>1</v>
      </c>
      <c r="H3324" t="s">
        <v>1129</v>
      </c>
      <c r="I3324">
        <v>1</v>
      </c>
      <c r="J3324" s="15"/>
      <c r="K3324" s="16">
        <f>8154.02 - (8154.02 * $E$1)</f>
        <v>8154.02</v>
      </c>
      <c r="L3324" s="16">
        <f>6683.62 - (6683.62 * $E$1)</f>
        <v>6683.62</v>
      </c>
      <c r="M3324" s="1">
        <v>8154.02</v>
      </c>
      <c r="N3324" s="1">
        <v>6683.62</v>
      </c>
      <c r="O3324" s="1">
        <v>6930.91</v>
      </c>
      <c r="P3324" s="1">
        <v>5681.08</v>
      </c>
      <c r="Q3324">
        <v>3.9</v>
      </c>
      <c r="R3324">
        <v>1.2600000000000001E-3</v>
      </c>
    </row>
    <row r="3325" spans="1:18" ht="13.8" outlineLevel="2" x14ac:dyDescent="0.25">
      <c r="A3325">
        <v>65649</v>
      </c>
      <c r="B3325" t="s">
        <v>4216</v>
      </c>
      <c r="C3325" t="s">
        <v>4217</v>
      </c>
      <c r="D3325" s="14" t="s">
        <v>4218</v>
      </c>
      <c r="E3325" s="12" t="s">
        <v>28</v>
      </c>
      <c r="F3325" s="13" t="s">
        <v>29</v>
      </c>
      <c r="G3325">
        <v>1</v>
      </c>
      <c r="H3325" t="s">
        <v>1129</v>
      </c>
      <c r="I3325">
        <v>1</v>
      </c>
      <c r="J3325" s="15"/>
      <c r="K3325" s="16">
        <f>9835.02 - (9835.02 * $E$1)</f>
        <v>9835.02</v>
      </c>
      <c r="L3325" s="16">
        <f>8061.49 - (8061.49 * $E$1)</f>
        <v>8061.49</v>
      </c>
      <c r="M3325" s="1">
        <v>9835.02</v>
      </c>
      <c r="N3325" s="1">
        <v>8061.49</v>
      </c>
      <c r="O3325" s="1">
        <v>8359.77</v>
      </c>
      <c r="P3325" s="1">
        <v>6852.27</v>
      </c>
      <c r="Q3325">
        <v>1.1000000000000001</v>
      </c>
      <c r="R3325">
        <v>1.0529999999999999E-3</v>
      </c>
    </row>
    <row r="3326" spans="1:18" ht="13.8" outlineLevel="2" x14ac:dyDescent="0.25">
      <c r="A3326">
        <v>65650</v>
      </c>
      <c r="B3326" t="s">
        <v>4216</v>
      </c>
      <c r="C3326" t="s">
        <v>4219</v>
      </c>
      <c r="D3326" s="14" t="s">
        <v>4218</v>
      </c>
      <c r="E3326" s="12" t="s">
        <v>28</v>
      </c>
      <c r="F3326" s="13" t="s">
        <v>29</v>
      </c>
      <c r="G3326">
        <v>1</v>
      </c>
      <c r="H3326" t="s">
        <v>1129</v>
      </c>
      <c r="I3326">
        <v>1</v>
      </c>
      <c r="J3326" s="15"/>
      <c r="K3326" s="16">
        <f>11784 - (11784 * $E$1)</f>
        <v>11784</v>
      </c>
      <c r="L3326" s="16">
        <f>9659.02 - (9659.02 * $E$1)</f>
        <v>9659.02</v>
      </c>
      <c r="M3326" s="1">
        <v>11784</v>
      </c>
      <c r="N3326" s="1">
        <v>9659.02</v>
      </c>
      <c r="O3326" s="1">
        <v>10016.4</v>
      </c>
      <c r="P3326" s="1">
        <v>8210.17</v>
      </c>
      <c r="Q3326">
        <v>1.27</v>
      </c>
      <c r="R3326">
        <v>1.2290000000000001E-3</v>
      </c>
    </row>
    <row r="3327" spans="1:18" ht="13.8" outlineLevel="2" x14ac:dyDescent="0.25">
      <c r="A3327">
        <v>85309</v>
      </c>
      <c r="B3327" t="s">
        <v>4216</v>
      </c>
      <c r="C3327" t="s">
        <v>4220</v>
      </c>
      <c r="D3327" s="14" t="s">
        <v>4218</v>
      </c>
      <c r="E3327" s="12" t="s">
        <v>28</v>
      </c>
      <c r="F3327" s="13" t="s">
        <v>29</v>
      </c>
      <c r="G3327">
        <v>1</v>
      </c>
      <c r="H3327" t="s">
        <v>1129</v>
      </c>
      <c r="I3327">
        <v>1</v>
      </c>
      <c r="J3327" s="15"/>
      <c r="K3327" s="16">
        <f>14177.69 - (14177.69 * $E$1)</f>
        <v>14177.69</v>
      </c>
      <c r="L3327" s="16">
        <f>11621.06 - (11621.06 * $E$1)</f>
        <v>11621.06</v>
      </c>
      <c r="M3327" s="1">
        <v>14177.69</v>
      </c>
      <c r="N3327" s="1">
        <v>11621.06</v>
      </c>
      <c r="O3327" s="1">
        <v>12051.04</v>
      </c>
      <c r="P3327" s="1">
        <v>9877.9</v>
      </c>
      <c r="Q3327">
        <v>1.702</v>
      </c>
      <c r="R3327">
        <v>1.2830000000000001E-3</v>
      </c>
    </row>
    <row r="3328" spans="1:18" ht="13.8" outlineLevel="2" x14ac:dyDescent="0.25">
      <c r="A3328">
        <v>65651</v>
      </c>
      <c r="B3328" t="s">
        <v>4216</v>
      </c>
      <c r="C3328" t="s">
        <v>4221</v>
      </c>
      <c r="D3328" s="14" t="s">
        <v>4218</v>
      </c>
      <c r="E3328" s="12" t="s">
        <v>28</v>
      </c>
      <c r="F3328" s="13" t="s">
        <v>29</v>
      </c>
      <c r="G3328">
        <v>1</v>
      </c>
      <c r="H3328" t="s">
        <v>1129</v>
      </c>
      <c r="I3328">
        <v>1</v>
      </c>
      <c r="J3328" s="15"/>
      <c r="K3328" s="16">
        <f>20338.62 - (20338.62 * $E$1)</f>
        <v>20338.62</v>
      </c>
      <c r="L3328" s="16">
        <f>16671 - (16671 * $E$1)</f>
        <v>16671</v>
      </c>
      <c r="M3328" s="1">
        <v>20338.62</v>
      </c>
      <c r="N3328" s="1">
        <v>16671</v>
      </c>
      <c r="O3328" s="1">
        <v>17287.830000000002</v>
      </c>
      <c r="P3328" s="1">
        <v>14170.35</v>
      </c>
      <c r="Q3328">
        <v>3.06</v>
      </c>
      <c r="R3328">
        <v>1.944E-3</v>
      </c>
    </row>
    <row r="3329" spans="1:18" ht="13.8" outlineLevel="2" x14ac:dyDescent="0.25">
      <c r="A3329">
        <v>65652</v>
      </c>
      <c r="B3329" t="s">
        <v>4216</v>
      </c>
      <c r="C3329" t="s">
        <v>4222</v>
      </c>
      <c r="D3329" s="14" t="s">
        <v>4218</v>
      </c>
      <c r="E3329" s="12" t="s">
        <v>28</v>
      </c>
      <c r="F3329" s="13" t="s">
        <v>29</v>
      </c>
      <c r="G3329">
        <v>1</v>
      </c>
      <c r="H3329" t="s">
        <v>1129</v>
      </c>
      <c r="I3329">
        <v>1</v>
      </c>
      <c r="J3329" s="15"/>
      <c r="K3329" s="16">
        <f>22262.21 - (22262.21 * $E$1)</f>
        <v>22262.21</v>
      </c>
      <c r="L3329" s="16">
        <f>18247.71 - (18247.71 * $E$1)</f>
        <v>18247.71</v>
      </c>
      <c r="M3329" s="1">
        <v>22262.21</v>
      </c>
      <c r="N3329" s="1">
        <v>18247.71</v>
      </c>
      <c r="O3329" s="1">
        <v>18922.88</v>
      </c>
      <c r="P3329" s="1">
        <v>15510.55</v>
      </c>
      <c r="Q3329">
        <v>3.4</v>
      </c>
      <c r="R3329">
        <v>1.944E-3</v>
      </c>
    </row>
    <row r="3330" spans="1:18" ht="13.8" outlineLevel="2" x14ac:dyDescent="0.25">
      <c r="A3330">
        <v>65653</v>
      </c>
      <c r="B3330" t="s">
        <v>4216</v>
      </c>
      <c r="C3330" t="s">
        <v>4223</v>
      </c>
      <c r="D3330" s="14" t="s">
        <v>4218</v>
      </c>
      <c r="E3330" s="12" t="s">
        <v>28</v>
      </c>
      <c r="F3330" s="13" t="s">
        <v>29</v>
      </c>
      <c r="G3330">
        <v>1</v>
      </c>
      <c r="H3330" t="s">
        <v>1129</v>
      </c>
      <c r="I3330">
        <v>1</v>
      </c>
      <c r="J3330" s="15"/>
      <c r="K3330" s="16">
        <f>29610.34 - (29610.34 * $E$1)</f>
        <v>29610.34</v>
      </c>
      <c r="L3330" s="16">
        <f>24270.77 - (24270.77 * $E$1)</f>
        <v>24270.77</v>
      </c>
      <c r="M3330" s="1">
        <v>29610.34</v>
      </c>
      <c r="N3330" s="1">
        <v>24270.77</v>
      </c>
      <c r="O3330" s="1">
        <v>25168.79</v>
      </c>
      <c r="P3330" s="1">
        <v>20630.150000000001</v>
      </c>
      <c r="Q3330">
        <v>5.4</v>
      </c>
      <c r="R3330">
        <v>2.7539999999999999E-3</v>
      </c>
    </row>
    <row r="3331" spans="1:18" ht="13.8" outlineLevel="2" x14ac:dyDescent="0.25">
      <c r="A3331">
        <v>65654</v>
      </c>
      <c r="B3331" t="s">
        <v>4216</v>
      </c>
      <c r="C3331" t="s">
        <v>4224</v>
      </c>
      <c r="D3331" s="14" t="s">
        <v>4218</v>
      </c>
      <c r="E3331" s="12" t="s">
        <v>28</v>
      </c>
      <c r="F3331" s="13" t="s">
        <v>29</v>
      </c>
      <c r="G3331">
        <v>1</v>
      </c>
      <c r="H3331" t="s">
        <v>1129</v>
      </c>
      <c r="I3331">
        <v>1</v>
      </c>
      <c r="J3331" s="15"/>
      <c r="K3331" s="16">
        <f>31579.08 - (31579.08 * $E$1)</f>
        <v>31579.08</v>
      </c>
      <c r="L3331" s="16">
        <f>25884.49 - (25884.49 * $E$1)</f>
        <v>25884.49</v>
      </c>
      <c r="M3331" s="1">
        <v>31579.08</v>
      </c>
      <c r="N3331" s="1">
        <v>25884.49</v>
      </c>
      <c r="O3331" s="1">
        <v>26842.22</v>
      </c>
      <c r="P3331" s="1">
        <v>22001.82</v>
      </c>
      <c r="Q3331">
        <v>5</v>
      </c>
      <c r="R3331">
        <v>2.5920000000000001E-3</v>
      </c>
    </row>
    <row r="3332" spans="1:18" ht="13.8" outlineLevel="2" x14ac:dyDescent="0.25">
      <c r="A3332">
        <v>85310</v>
      </c>
      <c r="B3332" t="s">
        <v>4216</v>
      </c>
      <c r="C3332" t="s">
        <v>4225</v>
      </c>
      <c r="D3332" s="14" t="s">
        <v>4218</v>
      </c>
      <c r="E3332" s="12" t="s">
        <v>28</v>
      </c>
      <c r="F3332" s="13" t="s">
        <v>29</v>
      </c>
      <c r="G3332">
        <v>1</v>
      </c>
      <c r="H3332" t="s">
        <v>1129</v>
      </c>
      <c r="I3332">
        <v>1</v>
      </c>
      <c r="J3332" s="15"/>
      <c r="K3332" s="16">
        <f>40170.18 - (40170.18 * $E$1)</f>
        <v>40170.18</v>
      </c>
      <c r="L3332" s="16">
        <f>32926.38 - (32926.38 * $E$1)</f>
        <v>32926.379999999997</v>
      </c>
      <c r="M3332" s="1">
        <v>40170.18</v>
      </c>
      <c r="N3332" s="1">
        <v>32926.379999999997</v>
      </c>
      <c r="O3332" s="1">
        <v>34144.660000000003</v>
      </c>
      <c r="P3332" s="1">
        <v>27987.42</v>
      </c>
      <c r="Q3332">
        <v>8</v>
      </c>
      <c r="R3332">
        <v>2.5920000000000001E-3</v>
      </c>
    </row>
    <row r="3333" spans="1:18" ht="13.8" outlineLevel="2" x14ac:dyDescent="0.25">
      <c r="A3333">
        <v>65656</v>
      </c>
      <c r="B3333" t="s">
        <v>4216</v>
      </c>
      <c r="C3333" t="s">
        <v>4226</v>
      </c>
      <c r="D3333" s="14" t="s">
        <v>4218</v>
      </c>
      <c r="E3333" s="12" t="s">
        <v>28</v>
      </c>
      <c r="F3333" s="13" t="s">
        <v>29</v>
      </c>
      <c r="G3333">
        <v>1</v>
      </c>
      <c r="H3333" t="s">
        <v>1129</v>
      </c>
      <c r="I3333">
        <v>1</v>
      </c>
      <c r="J3333" s="15"/>
      <c r="K3333" s="16">
        <f>40943.79 - (40943.79 * $E$1)</f>
        <v>40943.79</v>
      </c>
      <c r="L3333" s="16">
        <f>33560.48 - (33560.48 * $E$1)</f>
        <v>33560.480000000003</v>
      </c>
      <c r="M3333" s="1">
        <v>40943.79</v>
      </c>
      <c r="N3333" s="1">
        <v>33560.480000000003</v>
      </c>
      <c r="O3333" s="1">
        <v>34802.22</v>
      </c>
      <c r="P3333" s="1">
        <v>28526.41</v>
      </c>
      <c r="Q3333">
        <v>8</v>
      </c>
      <c r="R3333">
        <v>2.7539999999999999E-3</v>
      </c>
    </row>
    <row r="3334" spans="1:18" ht="13.8" outlineLevel="2" x14ac:dyDescent="0.25">
      <c r="A3334">
        <v>85311</v>
      </c>
      <c r="B3334" t="s">
        <v>4216</v>
      </c>
      <c r="C3334" t="s">
        <v>4227</v>
      </c>
      <c r="D3334" s="14" t="s">
        <v>4218</v>
      </c>
      <c r="E3334" s="12" t="s">
        <v>28</v>
      </c>
      <c r="F3334" s="13" t="s">
        <v>29</v>
      </c>
      <c r="G3334">
        <v>1</v>
      </c>
      <c r="H3334" t="s">
        <v>1129</v>
      </c>
      <c r="I3334">
        <v>1</v>
      </c>
      <c r="J3334" s="15"/>
      <c r="K3334" s="16">
        <f>51413.58 - (51413.58 * $E$1)</f>
        <v>51413.58</v>
      </c>
      <c r="L3334" s="16">
        <f>42142.28 - (42142.28 * $E$1)</f>
        <v>42142.28</v>
      </c>
      <c r="M3334" s="1">
        <v>51413.58</v>
      </c>
      <c r="N3334" s="1">
        <v>42142.28</v>
      </c>
      <c r="O3334" s="1">
        <v>43701.54</v>
      </c>
      <c r="P3334" s="1">
        <v>35820.94</v>
      </c>
      <c r="Q3334">
        <v>10.3</v>
      </c>
      <c r="R3334">
        <v>3.075E-3</v>
      </c>
    </row>
    <row r="3335" spans="1:18" ht="13.8" outlineLevel="2" x14ac:dyDescent="0.25">
      <c r="A3335">
        <v>85312</v>
      </c>
      <c r="B3335" t="s">
        <v>4216</v>
      </c>
      <c r="C3335" t="s">
        <v>4228</v>
      </c>
      <c r="D3335" s="14" t="s">
        <v>4218</v>
      </c>
      <c r="E3335" s="12" t="s">
        <v>28</v>
      </c>
      <c r="F3335" s="13" t="s">
        <v>29</v>
      </c>
      <c r="G3335">
        <v>1</v>
      </c>
      <c r="H3335" t="s">
        <v>1129</v>
      </c>
      <c r="I3335">
        <v>1</v>
      </c>
      <c r="J3335" s="15"/>
      <c r="K3335" s="16">
        <f>56722.35 - (56722.35 * $E$1)</f>
        <v>56722.35</v>
      </c>
      <c r="L3335" s="16">
        <f>46493.73 - (46493.73 * $E$1)</f>
        <v>46493.73</v>
      </c>
      <c r="M3335" s="1">
        <v>56722.35</v>
      </c>
      <c r="N3335" s="1">
        <v>46493.73</v>
      </c>
      <c r="O3335" s="1">
        <v>48214</v>
      </c>
      <c r="P3335" s="1">
        <v>39519.67</v>
      </c>
      <c r="Q3335">
        <v>13.4</v>
      </c>
      <c r="R3335">
        <v>2.9420000000000002E-3</v>
      </c>
    </row>
    <row r="3336" spans="1:18" ht="13.8" outlineLevel="2" x14ac:dyDescent="0.25">
      <c r="A3336">
        <v>65658</v>
      </c>
      <c r="B3336" t="s">
        <v>4216</v>
      </c>
      <c r="C3336" t="s">
        <v>4229</v>
      </c>
      <c r="D3336" s="14" t="s">
        <v>4230</v>
      </c>
      <c r="E3336" s="12" t="s">
        <v>28</v>
      </c>
      <c r="F3336" s="13" t="s">
        <v>29</v>
      </c>
      <c r="G3336">
        <v>1</v>
      </c>
      <c r="H3336" t="s">
        <v>1129</v>
      </c>
      <c r="I3336">
        <v>1</v>
      </c>
      <c r="J3336" s="15"/>
      <c r="K3336" s="16">
        <f>12919.93 - (12919.93 * $E$1)</f>
        <v>12919.93</v>
      </c>
      <c r="L3336" s="16">
        <f>10590.11 - (10590.11 * $E$1)</f>
        <v>10590.11</v>
      </c>
      <c r="M3336" s="1">
        <v>12919.93</v>
      </c>
      <c r="N3336" s="1">
        <v>10590.11</v>
      </c>
      <c r="O3336" s="1">
        <v>10981.94</v>
      </c>
      <c r="P3336" s="1">
        <v>9001.59</v>
      </c>
      <c r="Q3336">
        <v>1.3</v>
      </c>
      <c r="R3336">
        <v>1.116E-3</v>
      </c>
    </row>
    <row r="3337" spans="1:18" ht="13.8" outlineLevel="2" x14ac:dyDescent="0.25">
      <c r="A3337">
        <v>87658</v>
      </c>
      <c r="B3337" t="s">
        <v>4216</v>
      </c>
      <c r="C3337" t="s">
        <v>4231</v>
      </c>
      <c r="D3337" s="14" t="s">
        <v>4230</v>
      </c>
      <c r="E3337" s="12" t="s">
        <v>28</v>
      </c>
      <c r="F3337" s="13" t="s">
        <v>29</v>
      </c>
      <c r="G3337">
        <v>1</v>
      </c>
      <c r="H3337" t="s">
        <v>1129</v>
      </c>
      <c r="I3337">
        <v>1</v>
      </c>
      <c r="J3337" s="15"/>
      <c r="K3337" s="16">
        <f>31077.21 - (31077.21 * $E$1)</f>
        <v>31077.21</v>
      </c>
      <c r="L3337" s="16">
        <f>25473.12 - (25473.12 * $E$1)</f>
        <v>25473.119999999999</v>
      </c>
      <c r="M3337" s="1">
        <v>31077.21</v>
      </c>
      <c r="N3337" s="1">
        <v>25473.119999999999</v>
      </c>
      <c r="O3337" s="1">
        <v>26415.63</v>
      </c>
      <c r="P3337" s="1">
        <v>21652.15</v>
      </c>
      <c r="Q3337">
        <v>2.95</v>
      </c>
      <c r="R3337">
        <v>2.5669999999999998E-3</v>
      </c>
    </row>
    <row r="3338" spans="1:18" ht="13.8" outlineLevel="2" x14ac:dyDescent="0.25">
      <c r="A3338">
        <v>65659</v>
      </c>
      <c r="B3338" t="s">
        <v>4216</v>
      </c>
      <c r="C3338" t="s">
        <v>4232</v>
      </c>
      <c r="D3338" s="14" t="s">
        <v>4230</v>
      </c>
      <c r="E3338" s="12" t="s">
        <v>28</v>
      </c>
      <c r="F3338" s="13" t="s">
        <v>29</v>
      </c>
      <c r="G3338">
        <v>1</v>
      </c>
      <c r="H3338" t="s">
        <v>1129</v>
      </c>
      <c r="I3338">
        <v>1</v>
      </c>
      <c r="J3338" s="15"/>
      <c r="K3338" s="16">
        <f>23942.79 - (23942.79 * $E$1)</f>
        <v>23942.79</v>
      </c>
      <c r="L3338" s="16">
        <f>19625.24 - (19625.24 * $E$1)</f>
        <v>19625.240000000002</v>
      </c>
      <c r="M3338" s="1">
        <v>23942.79</v>
      </c>
      <c r="N3338" s="1">
        <v>19625.240000000002</v>
      </c>
      <c r="O3338" s="1">
        <v>20351.37</v>
      </c>
      <c r="P3338" s="1">
        <v>16681.45</v>
      </c>
      <c r="Q3338">
        <v>3.46</v>
      </c>
      <c r="R3338">
        <v>2.2680000000000001E-3</v>
      </c>
    </row>
    <row r="3339" spans="1:18" ht="13.8" outlineLevel="2" x14ac:dyDescent="0.25">
      <c r="A3339">
        <v>65660</v>
      </c>
      <c r="B3339" t="s">
        <v>4216</v>
      </c>
      <c r="C3339" t="s">
        <v>4233</v>
      </c>
      <c r="D3339" s="14" t="s">
        <v>4230</v>
      </c>
      <c r="E3339" s="12" t="s">
        <v>28</v>
      </c>
      <c r="F3339" s="13" t="s">
        <v>29</v>
      </c>
      <c r="G3339">
        <v>1</v>
      </c>
      <c r="H3339" t="s">
        <v>1129</v>
      </c>
      <c r="I3339">
        <v>1</v>
      </c>
      <c r="J3339" s="15"/>
      <c r="K3339" s="16">
        <f>30640.2 - (30640.2 * $E$1)</f>
        <v>30640.2</v>
      </c>
      <c r="L3339" s="16">
        <f>25114.92 - (25114.92 * $E$1)</f>
        <v>25114.92</v>
      </c>
      <c r="M3339" s="1">
        <v>30640.2</v>
      </c>
      <c r="N3339" s="1">
        <v>25114.92</v>
      </c>
      <c r="O3339" s="1">
        <v>26044.17</v>
      </c>
      <c r="P3339" s="1">
        <v>21347.68</v>
      </c>
      <c r="Q3339">
        <v>3.98</v>
      </c>
      <c r="R3339">
        <v>2.2680000000000001E-3</v>
      </c>
    </row>
    <row r="3340" spans="1:18" ht="13.8" outlineLevel="2" x14ac:dyDescent="0.25">
      <c r="A3340">
        <v>65661</v>
      </c>
      <c r="B3340" t="s">
        <v>4216</v>
      </c>
      <c r="C3340" t="s">
        <v>4234</v>
      </c>
      <c r="D3340" s="14" t="s">
        <v>4230</v>
      </c>
      <c r="E3340" s="12" t="s">
        <v>28</v>
      </c>
      <c r="F3340" s="13" t="s">
        <v>29</v>
      </c>
      <c r="G3340">
        <v>1</v>
      </c>
      <c r="H3340" t="s">
        <v>1129</v>
      </c>
      <c r="I3340">
        <v>1</v>
      </c>
      <c r="J3340" s="15"/>
      <c r="K3340" s="16">
        <f>37804.73 - (37804.73 * $E$1)</f>
        <v>37804.730000000003</v>
      </c>
      <c r="L3340" s="16">
        <f>30987.48 - (30987.48 * $E$1)</f>
        <v>30987.48</v>
      </c>
      <c r="M3340" s="1">
        <v>37804.730000000003</v>
      </c>
      <c r="N3340" s="1">
        <v>30987.48</v>
      </c>
      <c r="O3340" s="1">
        <v>32134.02</v>
      </c>
      <c r="P3340" s="1">
        <v>26339.360000000001</v>
      </c>
      <c r="Q3340">
        <v>4.5199999999999996</v>
      </c>
      <c r="R3340">
        <v>2.5920000000000001E-3</v>
      </c>
    </row>
    <row r="3341" spans="1:18" ht="13.8" outlineLevel="2" x14ac:dyDescent="0.25">
      <c r="A3341">
        <v>92358</v>
      </c>
      <c r="B3341" t="s">
        <v>4235</v>
      </c>
      <c r="C3341" t="s">
        <v>4236</v>
      </c>
      <c r="D3341" s="14" t="s">
        <v>4237</v>
      </c>
      <c r="E3341" s="12" t="s">
        <v>28</v>
      </c>
      <c r="F3341" s="13" t="s">
        <v>29</v>
      </c>
      <c r="G3341">
        <v>1</v>
      </c>
      <c r="H3341" t="s">
        <v>30</v>
      </c>
      <c r="I3341">
        <v>1</v>
      </c>
      <c r="J3341" s="15"/>
      <c r="K3341" s="16">
        <f>43647.72 - (43647.72 * $E$1)</f>
        <v>43647.72</v>
      </c>
      <c r="L3341" s="16">
        <f>35776.82 - (35776.82 * $E$1)</f>
        <v>35776.82</v>
      </c>
      <c r="M3341" s="1">
        <v>43647.72</v>
      </c>
      <c r="N3341" s="1">
        <v>35776.82</v>
      </c>
      <c r="O3341" s="1">
        <v>37100.559999999998</v>
      </c>
      <c r="P3341" s="1">
        <v>30410.3</v>
      </c>
      <c r="Q3341">
        <v>3.38</v>
      </c>
      <c r="R3341">
        <v>3.2729999999999999E-3</v>
      </c>
    </row>
    <row r="3342" spans="1:18" ht="13.8" outlineLevel="2" x14ac:dyDescent="0.25">
      <c r="A3342">
        <v>85441</v>
      </c>
      <c r="B3342" t="s">
        <v>4238</v>
      </c>
      <c r="C3342" t="s">
        <v>4239</v>
      </c>
      <c r="D3342" s="14" t="s">
        <v>4240</v>
      </c>
      <c r="E3342" s="12" t="s">
        <v>28</v>
      </c>
      <c r="F3342" s="13" t="s">
        <v>29</v>
      </c>
      <c r="G3342">
        <v>1</v>
      </c>
      <c r="H3342" t="s">
        <v>30</v>
      </c>
      <c r="I3342">
        <v>1</v>
      </c>
      <c r="J3342" s="15"/>
      <c r="K3342" s="16">
        <f>1180.56 - (1180.56 * $E$1)</f>
        <v>1180.56</v>
      </c>
      <c r="L3342" s="16">
        <f>967.67 - (967.67 * $E$1)</f>
        <v>967.67</v>
      </c>
      <c r="M3342" s="1">
        <v>1180.56</v>
      </c>
      <c r="N3342" s="1">
        <v>967.67</v>
      </c>
      <c r="O3342" s="1">
        <v>1003.47</v>
      </c>
      <c r="P3342" s="1">
        <v>822.52</v>
      </c>
      <c r="Q3342">
        <v>0.1</v>
      </c>
      <c r="R3342">
        <v>3.7199999999999999E-4</v>
      </c>
    </row>
    <row r="3343" spans="1:18" ht="13.8" outlineLevel="2" x14ac:dyDescent="0.25">
      <c r="A3343">
        <v>85442</v>
      </c>
      <c r="B3343" t="s">
        <v>4238</v>
      </c>
      <c r="C3343" t="s">
        <v>4241</v>
      </c>
      <c r="D3343" s="14" t="s">
        <v>4240</v>
      </c>
      <c r="E3343" s="12" t="s">
        <v>28</v>
      </c>
      <c r="F3343" s="13" t="s">
        <v>29</v>
      </c>
      <c r="G3343">
        <v>1</v>
      </c>
      <c r="H3343" t="s">
        <v>30</v>
      </c>
      <c r="I3343">
        <v>1</v>
      </c>
      <c r="J3343" s="15"/>
      <c r="K3343" s="16">
        <f>1225.4 - (1225.4 * $E$1)</f>
        <v>1225.4000000000001</v>
      </c>
      <c r="L3343" s="16">
        <f>1004.43 - (1004.43 * $E$1)</f>
        <v>1004.43</v>
      </c>
      <c r="M3343" s="1">
        <v>1225.4000000000001</v>
      </c>
      <c r="N3343" s="1">
        <v>1004.43</v>
      </c>
      <c r="O3343" s="1">
        <v>1041.5899999999999</v>
      </c>
      <c r="P3343" s="1">
        <v>853.77</v>
      </c>
      <c r="Q3343">
        <v>0.3</v>
      </c>
      <c r="R3343">
        <v>4.3399999999999998E-4</v>
      </c>
    </row>
    <row r="3344" spans="1:18" ht="16.5" customHeight="1" outlineLevel="1" x14ac:dyDescent="0.35">
      <c r="A3344" s="9"/>
      <c r="B3344" s="10" t="s">
        <v>4242</v>
      </c>
      <c r="C3344" s="10"/>
      <c r="D3344" s="10"/>
      <c r="E3344" s="10"/>
      <c r="F3344" s="10"/>
      <c r="G3344" s="10"/>
      <c r="H3344" s="10"/>
      <c r="I3344" s="10"/>
      <c r="J3344" s="10"/>
      <c r="K3344" s="10"/>
      <c r="L3344" s="10"/>
      <c r="M3344" s="10"/>
      <c r="N3344" s="10"/>
      <c r="O3344" s="10"/>
      <c r="P3344" s="10"/>
      <c r="Q3344" s="10"/>
      <c r="R3344" s="11"/>
    </row>
    <row r="3345" spans="1:18" ht="13.8" outlineLevel="2" x14ac:dyDescent="0.25">
      <c r="A3345">
        <v>76503</v>
      </c>
      <c r="B3345" t="s">
        <v>4243</v>
      </c>
      <c r="C3345" t="s">
        <v>4244</v>
      </c>
      <c r="D3345" s="14" t="s">
        <v>4245</v>
      </c>
      <c r="E3345" s="12" t="s">
        <v>28</v>
      </c>
      <c r="F3345" s="13" t="s">
        <v>29</v>
      </c>
      <c r="G3345">
        <v>1</v>
      </c>
      <c r="H3345" t="s">
        <v>30</v>
      </c>
      <c r="I3345">
        <v>1</v>
      </c>
      <c r="J3345" s="15"/>
      <c r="K3345" s="16">
        <f>53751.17 - (53751.17 * $E$1)</f>
        <v>53751.17</v>
      </c>
      <c r="L3345" s="16">
        <f>44058.34 - (44058.34 * $E$1)</f>
        <v>44058.34</v>
      </c>
      <c r="M3345" s="1">
        <v>53751.17</v>
      </c>
      <c r="N3345" s="1">
        <v>44058.34</v>
      </c>
      <c r="O3345" s="1">
        <v>45688.5</v>
      </c>
      <c r="P3345" s="1">
        <v>37449.589999999997</v>
      </c>
      <c r="Q3345">
        <v>29.7</v>
      </c>
      <c r="R3345">
        <v>3.0960000000000001E-2</v>
      </c>
    </row>
    <row r="3346" spans="1:18" ht="13.8" outlineLevel="2" x14ac:dyDescent="0.25">
      <c r="A3346">
        <v>76504</v>
      </c>
      <c r="B3346" t="s">
        <v>4243</v>
      </c>
      <c r="C3346" t="s">
        <v>4246</v>
      </c>
      <c r="D3346" s="14" t="s">
        <v>4247</v>
      </c>
      <c r="E3346" s="12" t="s">
        <v>28</v>
      </c>
      <c r="F3346" s="13" t="s">
        <v>29</v>
      </c>
      <c r="G3346">
        <v>1</v>
      </c>
      <c r="H3346" t="s">
        <v>30</v>
      </c>
      <c r="I3346">
        <v>1</v>
      </c>
      <c r="J3346" s="15"/>
      <c r="K3346" s="16">
        <f>56172.63 - (56172.63 * $E$1)</f>
        <v>56172.63</v>
      </c>
      <c r="L3346" s="16">
        <f>46043.14 - (46043.14 * $E$1)</f>
        <v>46043.14</v>
      </c>
      <c r="M3346" s="1">
        <v>56172.63</v>
      </c>
      <c r="N3346" s="1">
        <v>46043.14</v>
      </c>
      <c r="O3346" s="1">
        <v>47746.74</v>
      </c>
      <c r="P3346" s="1">
        <v>39136.67</v>
      </c>
      <c r="Q3346">
        <v>31.2</v>
      </c>
      <c r="R3346">
        <v>3.1820000000000001E-2</v>
      </c>
    </row>
    <row r="3347" spans="1:18" ht="13.8" outlineLevel="2" x14ac:dyDescent="0.25">
      <c r="A3347">
        <v>89728</v>
      </c>
      <c r="B3347" t="s">
        <v>4248</v>
      </c>
      <c r="C3347" t="s">
        <v>4249</v>
      </c>
      <c r="D3347" s="14" t="s">
        <v>4250</v>
      </c>
      <c r="E3347" s="12" t="s">
        <v>28</v>
      </c>
      <c r="F3347" s="13" t="s">
        <v>29</v>
      </c>
      <c r="G3347">
        <v>1</v>
      </c>
      <c r="H3347" t="s">
        <v>30</v>
      </c>
      <c r="I3347">
        <v>1</v>
      </c>
      <c r="J3347" s="15"/>
      <c r="K3347" s="16">
        <f>64445.22 - (64445.22 * $E$1)</f>
        <v>64445.22</v>
      </c>
      <c r="L3347" s="16">
        <f>52823.95 - (52823.95 * $E$1)</f>
        <v>52823.95</v>
      </c>
      <c r="M3347" s="1">
        <v>64445.22</v>
      </c>
      <c r="N3347" s="1">
        <v>52823.95</v>
      </c>
      <c r="O3347" s="1">
        <v>54778.44</v>
      </c>
      <c r="P3347" s="1">
        <v>44900.36</v>
      </c>
      <c r="Q3347">
        <v>36</v>
      </c>
      <c r="R3347">
        <v>4.0313000000000002E-2</v>
      </c>
    </row>
    <row r="3348" spans="1:18" ht="13.8" outlineLevel="2" x14ac:dyDescent="0.25">
      <c r="A3348">
        <v>85141</v>
      </c>
      <c r="B3348" t="s">
        <v>4243</v>
      </c>
      <c r="C3348" t="s">
        <v>4251</v>
      </c>
      <c r="D3348" s="14" t="s">
        <v>4252</v>
      </c>
      <c r="E3348" s="12" t="s">
        <v>28</v>
      </c>
      <c r="F3348" s="13" t="s">
        <v>29</v>
      </c>
      <c r="G3348">
        <v>1</v>
      </c>
      <c r="H3348" t="s">
        <v>30</v>
      </c>
      <c r="I3348">
        <v>1</v>
      </c>
      <c r="J3348" s="15"/>
      <c r="K3348" s="16">
        <f>59408.12 - (59408.12 * $E$1)</f>
        <v>59408.12</v>
      </c>
      <c r="L3348" s="16">
        <f>48695.18 - (48695.18 * $E$1)</f>
        <v>48695.18</v>
      </c>
      <c r="M3348" s="1">
        <v>59408.12</v>
      </c>
      <c r="N3348" s="1">
        <v>48695.18</v>
      </c>
      <c r="O3348" s="1">
        <v>50496.9</v>
      </c>
      <c r="P3348" s="1">
        <v>41390.9</v>
      </c>
      <c r="Q3348">
        <v>35</v>
      </c>
      <c r="R3348">
        <v>3.3840000000000002E-2</v>
      </c>
    </row>
    <row r="3349" spans="1:18" ht="13.8" outlineLevel="2" x14ac:dyDescent="0.25">
      <c r="A3349">
        <v>85142</v>
      </c>
      <c r="B3349" t="s">
        <v>4243</v>
      </c>
      <c r="C3349" t="s">
        <v>4253</v>
      </c>
      <c r="D3349" s="14" t="s">
        <v>4254</v>
      </c>
      <c r="E3349" s="12" t="s">
        <v>28</v>
      </c>
      <c r="F3349" s="13" t="s">
        <v>29</v>
      </c>
      <c r="G3349">
        <v>1</v>
      </c>
      <c r="H3349" t="s">
        <v>30</v>
      </c>
      <c r="I3349">
        <v>1</v>
      </c>
      <c r="J3349" s="15"/>
      <c r="K3349" s="16">
        <f>61201.51 - (61201.51 * $E$1)</f>
        <v>61201.51</v>
      </c>
      <c r="L3349" s="16">
        <f>50165.17 - (50165.17 * $E$1)</f>
        <v>50165.17</v>
      </c>
      <c r="M3349" s="1">
        <v>61201.51</v>
      </c>
      <c r="N3349" s="1">
        <v>50165.17</v>
      </c>
      <c r="O3349" s="1">
        <v>52021.279999999999</v>
      </c>
      <c r="P3349" s="1">
        <v>42640.39</v>
      </c>
      <c r="Q3349">
        <v>38.4</v>
      </c>
      <c r="R3349">
        <v>3.5110000000000002E-2</v>
      </c>
    </row>
    <row r="3350" spans="1:18" ht="13.8" outlineLevel="2" x14ac:dyDescent="0.25">
      <c r="A3350">
        <v>76505</v>
      </c>
      <c r="B3350" t="s">
        <v>4255</v>
      </c>
      <c r="C3350" t="s">
        <v>4256</v>
      </c>
      <c r="D3350" s="14" t="s">
        <v>4257</v>
      </c>
      <c r="E3350" s="12" t="s">
        <v>28</v>
      </c>
      <c r="F3350" s="13" t="s">
        <v>29</v>
      </c>
      <c r="G3350">
        <v>1</v>
      </c>
      <c r="H3350" t="s">
        <v>30</v>
      </c>
      <c r="I3350">
        <v>1</v>
      </c>
      <c r="J3350" s="15"/>
      <c r="K3350" s="16">
        <f>57013.04 - (57013.04 * $E$1)</f>
        <v>57013.04</v>
      </c>
      <c r="L3350" s="16">
        <f>46732 - (46732 * $E$1)</f>
        <v>46732</v>
      </c>
      <c r="M3350" s="1">
        <v>57013.04</v>
      </c>
      <c r="N3350" s="1">
        <v>46732</v>
      </c>
      <c r="O3350" s="1">
        <v>48461.08</v>
      </c>
      <c r="P3350" s="1">
        <v>39722.199999999997</v>
      </c>
      <c r="Q3350">
        <v>21.3</v>
      </c>
      <c r="R3350">
        <v>2.2679999999999999E-2</v>
      </c>
    </row>
    <row r="3351" spans="1:18" ht="13.8" outlineLevel="2" x14ac:dyDescent="0.25">
      <c r="A3351">
        <v>84417</v>
      </c>
      <c r="B3351" t="s">
        <v>4255</v>
      </c>
      <c r="C3351" t="s">
        <v>4258</v>
      </c>
      <c r="D3351" s="14" t="s">
        <v>4259</v>
      </c>
      <c r="E3351" s="12" t="s">
        <v>28</v>
      </c>
      <c r="F3351" s="13" t="s">
        <v>29</v>
      </c>
      <c r="G3351">
        <v>1</v>
      </c>
      <c r="H3351" t="s">
        <v>30</v>
      </c>
      <c r="I3351">
        <v>1</v>
      </c>
      <c r="J3351" s="15"/>
      <c r="K3351" s="16">
        <f>50317.29 - (50317.29 * $E$1)</f>
        <v>50317.29</v>
      </c>
      <c r="L3351" s="16">
        <f>41243.68 - (41243.68 * $E$1)</f>
        <v>41243.68</v>
      </c>
      <c r="M3351" s="1">
        <v>50317.29</v>
      </c>
      <c r="N3351" s="1">
        <v>41243.68</v>
      </c>
      <c r="O3351" s="1">
        <v>42769.7</v>
      </c>
      <c r="P3351" s="1">
        <v>35057.129999999997</v>
      </c>
      <c r="Q3351">
        <v>20</v>
      </c>
      <c r="R3351">
        <v>2.4628000000000001E-2</v>
      </c>
    </row>
    <row r="3352" spans="1:18" ht="13.8" outlineLevel="2" x14ac:dyDescent="0.25">
      <c r="A3352">
        <v>89729</v>
      </c>
      <c r="B3352" t="s">
        <v>4260</v>
      </c>
      <c r="C3352" t="s">
        <v>4261</v>
      </c>
      <c r="D3352" s="14" t="s">
        <v>4262</v>
      </c>
      <c r="E3352" s="12" t="s">
        <v>28</v>
      </c>
      <c r="F3352" s="13" t="s">
        <v>29</v>
      </c>
      <c r="G3352">
        <v>1</v>
      </c>
      <c r="H3352" t="s">
        <v>30</v>
      </c>
      <c r="I3352">
        <v>1</v>
      </c>
      <c r="J3352" s="15"/>
      <c r="K3352" s="16">
        <f>58263.45 - (58263.45 * $E$1)</f>
        <v>58263.45</v>
      </c>
      <c r="L3352" s="16">
        <f>47756.93 - (47756.93 * $E$1)</f>
        <v>47756.93</v>
      </c>
      <c r="M3352" s="1">
        <v>58263.45</v>
      </c>
      <c r="N3352" s="1">
        <v>47756.93</v>
      </c>
      <c r="O3352" s="1">
        <v>49523.94</v>
      </c>
      <c r="P3352" s="1">
        <v>40593.39</v>
      </c>
      <c r="Q3352">
        <v>24</v>
      </c>
      <c r="R3352">
        <v>3.1550000000000002E-2</v>
      </c>
    </row>
    <row r="3353" spans="1:18" ht="13.8" outlineLevel="2" x14ac:dyDescent="0.25">
      <c r="A3353">
        <v>85144</v>
      </c>
      <c r="B3353" t="s">
        <v>4255</v>
      </c>
      <c r="C3353" t="s">
        <v>4263</v>
      </c>
      <c r="D3353" s="14" t="s">
        <v>4264</v>
      </c>
      <c r="E3353" s="12" t="s">
        <v>28</v>
      </c>
      <c r="F3353" s="13" t="s">
        <v>29</v>
      </c>
      <c r="G3353">
        <v>1</v>
      </c>
      <c r="H3353" t="s">
        <v>30</v>
      </c>
      <c r="I3353">
        <v>1</v>
      </c>
      <c r="J3353" s="15"/>
      <c r="K3353" s="16">
        <f>55532.14 - (55532.14 * $E$1)</f>
        <v>55532.14</v>
      </c>
      <c r="L3353" s="16">
        <f>45518.15 - (45518.15 * $E$1)</f>
        <v>45518.15</v>
      </c>
      <c r="M3353" s="1">
        <v>55532.14</v>
      </c>
      <c r="N3353" s="1">
        <v>45518.15</v>
      </c>
      <c r="O3353" s="1">
        <v>47202.32</v>
      </c>
      <c r="P3353" s="1">
        <v>38690.43</v>
      </c>
      <c r="Q3353">
        <v>26.4</v>
      </c>
      <c r="R3353">
        <v>2.1659000000000001E-2</v>
      </c>
    </row>
    <row r="3354" spans="1:18" ht="13.8" outlineLevel="2" x14ac:dyDescent="0.25">
      <c r="A3354">
        <v>62454</v>
      </c>
      <c r="B3354" t="s">
        <v>4255</v>
      </c>
      <c r="C3354" t="s">
        <v>4265</v>
      </c>
      <c r="D3354" s="14" t="s">
        <v>4266</v>
      </c>
      <c r="E3354" s="12" t="s">
        <v>28</v>
      </c>
      <c r="F3354" s="13" t="s">
        <v>29</v>
      </c>
      <c r="G3354">
        <v>1</v>
      </c>
      <c r="H3354" t="s">
        <v>30</v>
      </c>
      <c r="I3354">
        <v>1</v>
      </c>
      <c r="J3354" s="15"/>
      <c r="K3354" s="16">
        <f>193707.43 - (193707.43 * $E$1)</f>
        <v>193707.43</v>
      </c>
      <c r="L3354" s="16">
        <f>158776.58 - (158776.58 * $E$1)</f>
        <v>158776.57999999999</v>
      </c>
      <c r="M3354" s="1">
        <v>193707.43</v>
      </c>
      <c r="N3354" s="1">
        <v>158776.57999999999</v>
      </c>
      <c r="O3354" s="1">
        <v>164651.31</v>
      </c>
      <c r="P3354" s="1">
        <v>134960.09</v>
      </c>
      <c r="Q3354">
        <v>91</v>
      </c>
      <c r="R3354">
        <v>0.1089</v>
      </c>
    </row>
    <row r="3355" spans="1:18" ht="13.8" outlineLevel="2" x14ac:dyDescent="0.25">
      <c r="A3355">
        <v>76506</v>
      </c>
      <c r="B3355" t="s">
        <v>4267</v>
      </c>
      <c r="C3355" t="s">
        <v>4268</v>
      </c>
      <c r="D3355" s="14" t="s">
        <v>4269</v>
      </c>
      <c r="E3355" s="12" t="s">
        <v>28</v>
      </c>
      <c r="F3355" s="13" t="s">
        <v>29</v>
      </c>
      <c r="G3355">
        <v>1</v>
      </c>
      <c r="H3355" t="s">
        <v>30</v>
      </c>
      <c r="I3355">
        <v>1</v>
      </c>
      <c r="J3355" s="15"/>
      <c r="K3355" s="16">
        <f>36749.8 - (36749.8 * $E$1)</f>
        <v>36749.800000000003</v>
      </c>
      <c r="L3355" s="16">
        <f>30122.79 - (30122.79 * $E$1)</f>
        <v>30122.79</v>
      </c>
      <c r="M3355" s="1">
        <v>36749.800000000003</v>
      </c>
      <c r="N3355" s="1">
        <v>30122.79</v>
      </c>
      <c r="O3355" s="1">
        <v>31237.33</v>
      </c>
      <c r="P3355" s="1">
        <v>25604.37</v>
      </c>
      <c r="Q3355">
        <v>19.2</v>
      </c>
      <c r="R3355">
        <v>2.7588000000000001E-2</v>
      </c>
    </row>
    <row r="3356" spans="1:18" ht="13.8" outlineLevel="2" x14ac:dyDescent="0.25">
      <c r="A3356">
        <v>89730</v>
      </c>
      <c r="B3356" t="s">
        <v>4270</v>
      </c>
      <c r="C3356" t="s">
        <v>4271</v>
      </c>
      <c r="D3356" s="14" t="s">
        <v>4272</v>
      </c>
      <c r="E3356" s="12" t="s">
        <v>28</v>
      </c>
      <c r="F3356" s="13" t="s">
        <v>29</v>
      </c>
      <c r="G3356">
        <v>1</v>
      </c>
      <c r="H3356" t="s">
        <v>30</v>
      </c>
      <c r="I3356">
        <v>1</v>
      </c>
      <c r="J3356" s="15"/>
      <c r="K3356" s="16">
        <f>44201.73 - (44201.73 * $E$1)</f>
        <v>44201.73</v>
      </c>
      <c r="L3356" s="16">
        <f>36230.93 - (36230.93 * $E$1)</f>
        <v>36230.93</v>
      </c>
      <c r="M3356" s="1">
        <v>44201.73</v>
      </c>
      <c r="N3356" s="1">
        <v>36230.93</v>
      </c>
      <c r="O3356" s="1">
        <v>37571.47</v>
      </c>
      <c r="P3356" s="1">
        <v>30796.29</v>
      </c>
      <c r="Q3356">
        <v>21.7</v>
      </c>
      <c r="R3356">
        <v>2.4208E-2</v>
      </c>
    </row>
    <row r="3357" spans="1:18" ht="13.8" outlineLevel="2" x14ac:dyDescent="0.25">
      <c r="A3357">
        <v>67051</v>
      </c>
      <c r="B3357" t="s">
        <v>4267</v>
      </c>
      <c r="C3357" t="s">
        <v>4273</v>
      </c>
      <c r="D3357" s="14" t="s">
        <v>4274</v>
      </c>
      <c r="E3357" s="12" t="s">
        <v>28</v>
      </c>
      <c r="F3357" s="13" t="s">
        <v>29</v>
      </c>
      <c r="G3357">
        <v>1</v>
      </c>
      <c r="H3357" t="s">
        <v>30</v>
      </c>
      <c r="I3357">
        <v>1</v>
      </c>
      <c r="J3357" s="15"/>
      <c r="K3357" s="16">
        <f>51540.55 - (51540.55 * $E$1)</f>
        <v>51540.55</v>
      </c>
      <c r="L3357" s="16">
        <f>42246.35 - (42246.35 * $E$1)</f>
        <v>42246.35</v>
      </c>
      <c r="M3357" s="1">
        <v>51540.55</v>
      </c>
      <c r="N3357" s="1">
        <v>42246.35</v>
      </c>
      <c r="O3357" s="1">
        <v>43809.46</v>
      </c>
      <c r="P3357" s="1">
        <v>35909.4</v>
      </c>
      <c r="Q3357">
        <v>37.6</v>
      </c>
      <c r="R3357">
        <v>3.5111999999999997E-2</v>
      </c>
    </row>
    <row r="3358" spans="1:18" ht="13.8" outlineLevel="2" x14ac:dyDescent="0.25">
      <c r="A3358">
        <v>62557</v>
      </c>
      <c r="B3358" t="s">
        <v>4275</v>
      </c>
      <c r="C3358" t="s">
        <v>4276</v>
      </c>
      <c r="D3358" s="14" t="s">
        <v>4277</v>
      </c>
      <c r="E3358" s="12" t="s">
        <v>28</v>
      </c>
      <c r="F3358" s="13" t="s">
        <v>29</v>
      </c>
      <c r="G3358">
        <v>1</v>
      </c>
      <c r="H3358" t="s">
        <v>1129</v>
      </c>
      <c r="I3358">
        <v>1</v>
      </c>
      <c r="J3358" s="15"/>
      <c r="K3358" s="16">
        <f>3729.87 - (3729.87 * $E$1)</f>
        <v>3729.87</v>
      </c>
      <c r="L3358" s="16">
        <f>3057.27 - (3057.27 * $E$1)</f>
        <v>3057.27</v>
      </c>
      <c r="M3358" s="1">
        <v>3729.87</v>
      </c>
      <c r="N3358" s="1">
        <v>3057.27</v>
      </c>
      <c r="O3358" s="1">
        <v>3170.39</v>
      </c>
      <c r="P3358" s="1">
        <v>2598.6799999999998</v>
      </c>
      <c r="Q3358">
        <v>0.22</v>
      </c>
      <c r="R3358">
        <v>5.9999999999999995E-4</v>
      </c>
    </row>
    <row r="3359" spans="1:18" ht="13.8" outlineLevel="2" x14ac:dyDescent="0.25">
      <c r="A3359">
        <v>62558</v>
      </c>
      <c r="B3359" t="s">
        <v>4275</v>
      </c>
      <c r="C3359" t="s">
        <v>4278</v>
      </c>
      <c r="D3359" s="14" t="s">
        <v>4277</v>
      </c>
      <c r="E3359" s="12" t="s">
        <v>28</v>
      </c>
      <c r="F3359" s="13" t="s">
        <v>29</v>
      </c>
      <c r="G3359">
        <v>1</v>
      </c>
      <c r="H3359" t="s">
        <v>1129</v>
      </c>
      <c r="I3359">
        <v>1</v>
      </c>
      <c r="J3359" s="15"/>
      <c r="K3359" s="16">
        <f>3729.13 - (3729.13 * $E$1)</f>
        <v>3729.13</v>
      </c>
      <c r="L3359" s="16">
        <f>3056.66 - (3056.66 * $E$1)</f>
        <v>3056.66</v>
      </c>
      <c r="M3359" s="1">
        <v>3729.13</v>
      </c>
      <c r="N3359" s="1">
        <v>3056.66</v>
      </c>
      <c r="O3359" s="1">
        <v>3169.76</v>
      </c>
      <c r="P3359" s="1">
        <v>2598.16</v>
      </c>
      <c r="Q3359">
        <v>0.22</v>
      </c>
      <c r="R3359">
        <v>5.9999999999999995E-4</v>
      </c>
    </row>
    <row r="3360" spans="1:18" ht="13.8" outlineLevel="2" x14ac:dyDescent="0.25">
      <c r="A3360">
        <v>62559</v>
      </c>
      <c r="B3360" t="s">
        <v>4275</v>
      </c>
      <c r="C3360" t="s">
        <v>4279</v>
      </c>
      <c r="D3360" s="14" t="s">
        <v>4277</v>
      </c>
      <c r="E3360" s="12" t="s">
        <v>28</v>
      </c>
      <c r="F3360" s="13" t="s">
        <v>29</v>
      </c>
      <c r="G3360">
        <v>1</v>
      </c>
      <c r="H3360" t="s">
        <v>1129</v>
      </c>
      <c r="I3360">
        <v>1</v>
      </c>
      <c r="J3360" s="15"/>
      <c r="K3360" s="16">
        <f>3729.32 - (3729.32 * $E$1)</f>
        <v>3729.32</v>
      </c>
      <c r="L3360" s="16">
        <f>3056.82 - (3056.82 * $E$1)</f>
        <v>3056.82</v>
      </c>
      <c r="M3360" s="1">
        <v>3729.32</v>
      </c>
      <c r="N3360" s="1">
        <v>3056.82</v>
      </c>
      <c r="O3360" s="1">
        <v>3169.92</v>
      </c>
      <c r="P3360" s="1">
        <v>2598.3000000000002</v>
      </c>
      <c r="Q3360">
        <v>0.22</v>
      </c>
      <c r="R3360">
        <v>5.9999999999999995E-4</v>
      </c>
    </row>
    <row r="3361" spans="1:18" ht="13.8" outlineLevel="2" x14ac:dyDescent="0.25">
      <c r="A3361">
        <v>62565</v>
      </c>
      <c r="B3361" t="s">
        <v>4275</v>
      </c>
      <c r="C3361" t="s">
        <v>4280</v>
      </c>
      <c r="D3361" s="14" t="s">
        <v>4277</v>
      </c>
      <c r="E3361" s="12" t="s">
        <v>28</v>
      </c>
      <c r="F3361" s="13" t="s">
        <v>29</v>
      </c>
      <c r="G3361">
        <v>1</v>
      </c>
      <c r="H3361" t="s">
        <v>1129</v>
      </c>
      <c r="I3361">
        <v>1</v>
      </c>
      <c r="J3361" s="15"/>
      <c r="K3361" s="16">
        <f>3728.37 - (3728.37 * $E$1)</f>
        <v>3728.37</v>
      </c>
      <c r="L3361" s="16">
        <f>3056.04 - (3056.04 * $E$1)</f>
        <v>3056.04</v>
      </c>
      <c r="M3361" s="1">
        <v>3728.37</v>
      </c>
      <c r="N3361" s="1">
        <v>3056.04</v>
      </c>
      <c r="O3361" s="1">
        <v>3169.11</v>
      </c>
      <c r="P3361" s="1">
        <v>2597.63</v>
      </c>
      <c r="Q3361">
        <v>0.21</v>
      </c>
      <c r="R3361">
        <v>5.9999999999999995E-4</v>
      </c>
    </row>
    <row r="3362" spans="1:18" ht="13.8" outlineLevel="2" x14ac:dyDescent="0.25">
      <c r="A3362">
        <v>62566</v>
      </c>
      <c r="B3362" t="s">
        <v>4275</v>
      </c>
      <c r="C3362" t="s">
        <v>4281</v>
      </c>
      <c r="D3362" s="14" t="s">
        <v>4277</v>
      </c>
      <c r="E3362" s="12" t="s">
        <v>28</v>
      </c>
      <c r="F3362" s="13" t="s">
        <v>29</v>
      </c>
      <c r="G3362">
        <v>1</v>
      </c>
      <c r="H3362" t="s">
        <v>1129</v>
      </c>
      <c r="I3362">
        <v>1</v>
      </c>
      <c r="J3362" s="15"/>
      <c r="K3362" s="16">
        <f>3727.86 - (3727.86 * $E$1)</f>
        <v>3727.86</v>
      </c>
      <c r="L3362" s="16">
        <f>3055.62 - (3055.62 * $E$1)</f>
        <v>3055.62</v>
      </c>
      <c r="M3362" s="1">
        <v>3727.86</v>
      </c>
      <c r="N3362" s="1">
        <v>3055.62</v>
      </c>
      <c r="O3362" s="1">
        <v>3168.68</v>
      </c>
      <c r="P3362" s="1">
        <v>2597.2800000000002</v>
      </c>
      <c r="Q3362">
        <v>0.214</v>
      </c>
      <c r="R3362">
        <v>6.2E-4</v>
      </c>
    </row>
    <row r="3363" spans="1:18" ht="13.8" outlineLevel="2" x14ac:dyDescent="0.25">
      <c r="A3363">
        <v>62567</v>
      </c>
      <c r="B3363" t="s">
        <v>4275</v>
      </c>
      <c r="C3363" t="s">
        <v>4282</v>
      </c>
      <c r="D3363" s="14" t="s">
        <v>4277</v>
      </c>
      <c r="E3363" s="12" t="s">
        <v>28</v>
      </c>
      <c r="F3363" s="13" t="s">
        <v>29</v>
      </c>
      <c r="G3363">
        <v>1</v>
      </c>
      <c r="H3363" t="s">
        <v>1129</v>
      </c>
      <c r="I3363">
        <v>1</v>
      </c>
      <c r="J3363" s="15"/>
      <c r="K3363" s="16">
        <f>3729.87 - (3729.87 * $E$1)</f>
        <v>3729.87</v>
      </c>
      <c r="L3363" s="16">
        <f>3057.27 - (3057.27 * $E$1)</f>
        <v>3057.27</v>
      </c>
      <c r="M3363" s="1">
        <v>3729.87</v>
      </c>
      <c r="N3363" s="1">
        <v>3057.27</v>
      </c>
      <c r="O3363" s="1">
        <v>3170.39</v>
      </c>
      <c r="P3363" s="1">
        <v>2598.6799999999998</v>
      </c>
      <c r="Q3363">
        <v>0.21</v>
      </c>
      <c r="R3363">
        <v>5.9999999999999995E-4</v>
      </c>
    </row>
    <row r="3364" spans="1:18" ht="13.8" outlineLevel="2" x14ac:dyDescent="0.25">
      <c r="A3364">
        <v>77719</v>
      </c>
      <c r="B3364" t="s">
        <v>4275</v>
      </c>
      <c r="C3364" t="s">
        <v>4283</v>
      </c>
      <c r="D3364" s="14" t="s">
        <v>4284</v>
      </c>
      <c r="E3364" s="12" t="s">
        <v>28</v>
      </c>
      <c r="F3364" s="13" t="s">
        <v>29</v>
      </c>
      <c r="G3364">
        <v>1</v>
      </c>
      <c r="H3364" t="s">
        <v>1129</v>
      </c>
      <c r="I3364">
        <v>1</v>
      </c>
      <c r="J3364" s="15"/>
      <c r="K3364" s="16">
        <f>4494.31 - (4494.31 * $E$1)</f>
        <v>4494.3100000000004</v>
      </c>
      <c r="L3364" s="16">
        <f>3683.86 - (3683.86 * $E$1)</f>
        <v>3683.86</v>
      </c>
      <c r="M3364" s="1">
        <v>4494.3100000000004</v>
      </c>
      <c r="N3364" s="1">
        <v>3683.86</v>
      </c>
      <c r="O3364" s="1">
        <v>3820.16</v>
      </c>
      <c r="P3364" s="1">
        <v>3131.28</v>
      </c>
      <c r="Q3364">
        <v>0.224</v>
      </c>
      <c r="R3364">
        <v>5.4299999999999997E-4</v>
      </c>
    </row>
    <row r="3365" spans="1:18" ht="13.8" outlineLevel="2" x14ac:dyDescent="0.25">
      <c r="A3365">
        <v>77720</v>
      </c>
      <c r="B3365" t="s">
        <v>4275</v>
      </c>
      <c r="C3365" t="s">
        <v>4285</v>
      </c>
      <c r="D3365" s="14" t="s">
        <v>4284</v>
      </c>
      <c r="E3365" s="12" t="s">
        <v>28</v>
      </c>
      <c r="F3365" s="13" t="s">
        <v>29</v>
      </c>
      <c r="G3365">
        <v>1</v>
      </c>
      <c r="H3365" t="s">
        <v>1129</v>
      </c>
      <c r="I3365">
        <v>1</v>
      </c>
      <c r="J3365" s="15"/>
      <c r="K3365" s="16">
        <f>4493.6 - (4493.6 * $E$1)</f>
        <v>4493.6000000000004</v>
      </c>
      <c r="L3365" s="16">
        <f>3683.28 - (3683.28 * $E$1)</f>
        <v>3683.28</v>
      </c>
      <c r="M3365" s="1">
        <v>4493.6000000000004</v>
      </c>
      <c r="N3365" s="1">
        <v>3683.28</v>
      </c>
      <c r="O3365" s="1">
        <v>3819.56</v>
      </c>
      <c r="P3365" s="1">
        <v>3130.79</v>
      </c>
      <c r="Q3365">
        <v>0.22</v>
      </c>
      <c r="R3365">
        <v>5.4299999999999997E-4</v>
      </c>
    </row>
    <row r="3366" spans="1:18" ht="13.8" outlineLevel="2" x14ac:dyDescent="0.25">
      <c r="A3366">
        <v>77721</v>
      </c>
      <c r="B3366" t="s">
        <v>4275</v>
      </c>
      <c r="C3366" t="s">
        <v>4286</v>
      </c>
      <c r="D3366" s="14" t="s">
        <v>4284</v>
      </c>
      <c r="E3366" s="12" t="s">
        <v>28</v>
      </c>
      <c r="F3366" s="13" t="s">
        <v>29</v>
      </c>
      <c r="G3366">
        <v>1</v>
      </c>
      <c r="H3366" t="s">
        <v>1129</v>
      </c>
      <c r="I3366">
        <v>1</v>
      </c>
      <c r="J3366" s="15"/>
      <c r="K3366" s="16">
        <f>4491.7 - (4491.7 * $E$1)</f>
        <v>4491.7</v>
      </c>
      <c r="L3366" s="16">
        <f>3681.72 - (3681.72 * $E$1)</f>
        <v>3681.72</v>
      </c>
      <c r="M3366" s="1">
        <v>4491.7</v>
      </c>
      <c r="N3366" s="1">
        <v>3681.72</v>
      </c>
      <c r="O3366" s="1">
        <v>3817.94</v>
      </c>
      <c r="P3366" s="1">
        <v>3129.46</v>
      </c>
      <c r="Q3366">
        <v>0.20799999999999999</v>
      </c>
      <c r="R3366">
        <v>6.2E-4</v>
      </c>
    </row>
    <row r="3367" spans="1:18" ht="13.8" outlineLevel="2" x14ac:dyDescent="0.25">
      <c r="A3367">
        <v>77722</v>
      </c>
      <c r="B3367" t="s">
        <v>4275</v>
      </c>
      <c r="C3367" t="s">
        <v>4287</v>
      </c>
      <c r="D3367" s="14" t="s">
        <v>4284</v>
      </c>
      <c r="E3367" s="12" t="s">
        <v>28</v>
      </c>
      <c r="F3367" s="13" t="s">
        <v>29</v>
      </c>
      <c r="G3367">
        <v>1</v>
      </c>
      <c r="H3367" t="s">
        <v>1129</v>
      </c>
      <c r="I3367">
        <v>1</v>
      </c>
      <c r="J3367" s="15"/>
      <c r="K3367" s="16">
        <f>4490.67 - (4490.67 * $E$1)</f>
        <v>4490.67</v>
      </c>
      <c r="L3367" s="16">
        <f>3680.88 - (3680.88 * $E$1)</f>
        <v>3680.88</v>
      </c>
      <c r="M3367" s="1">
        <v>4490.67</v>
      </c>
      <c r="N3367" s="1">
        <v>3680.88</v>
      </c>
      <c r="O3367" s="1">
        <v>3817.07</v>
      </c>
      <c r="P3367" s="1">
        <v>3128.75</v>
      </c>
      <c r="Q3367">
        <v>0.2</v>
      </c>
      <c r="R3367">
        <v>4.4999999999999999E-4</v>
      </c>
    </row>
    <row r="3368" spans="1:18" ht="13.8" outlineLevel="2" x14ac:dyDescent="0.25">
      <c r="A3368">
        <v>85326</v>
      </c>
      <c r="B3368" t="s">
        <v>4275</v>
      </c>
      <c r="C3368" t="s">
        <v>4288</v>
      </c>
      <c r="D3368" s="14" t="s">
        <v>4284</v>
      </c>
      <c r="E3368" s="12" t="s">
        <v>28</v>
      </c>
      <c r="F3368" s="13" t="s">
        <v>29</v>
      </c>
      <c r="G3368">
        <v>1</v>
      </c>
      <c r="H3368" t="s">
        <v>1129</v>
      </c>
      <c r="I3368">
        <v>1</v>
      </c>
      <c r="J3368" s="15"/>
      <c r="K3368" s="16">
        <f>4488.66 - (4488.66 * $E$1)</f>
        <v>4488.66</v>
      </c>
      <c r="L3368" s="16">
        <f>3679.23 - (3679.23 * $E$1)</f>
        <v>3679.23</v>
      </c>
      <c r="M3368" s="1">
        <v>4488.66</v>
      </c>
      <c r="N3368" s="1">
        <v>3679.23</v>
      </c>
      <c r="O3368" s="1">
        <v>3815.36</v>
      </c>
      <c r="P3368" s="1">
        <v>3127.35</v>
      </c>
      <c r="Q3368">
        <v>0.20399999999999999</v>
      </c>
      <c r="R3368">
        <v>5.2499999999999997E-4</v>
      </c>
    </row>
    <row r="3369" spans="1:18" ht="13.8" outlineLevel="2" x14ac:dyDescent="0.25">
      <c r="A3369">
        <v>85327</v>
      </c>
      <c r="B3369" t="s">
        <v>4275</v>
      </c>
      <c r="C3369" t="s">
        <v>4289</v>
      </c>
      <c r="D3369" s="14" t="s">
        <v>4290</v>
      </c>
      <c r="E3369" s="12" t="s">
        <v>28</v>
      </c>
      <c r="F3369" s="13" t="s">
        <v>29</v>
      </c>
      <c r="G3369">
        <v>1</v>
      </c>
      <c r="H3369" t="s">
        <v>1129</v>
      </c>
      <c r="I3369">
        <v>1</v>
      </c>
      <c r="J3369" s="15"/>
      <c r="K3369" s="16">
        <f>4517.57 - (4517.57 * $E$1)</f>
        <v>4517.57</v>
      </c>
      <c r="L3369" s="16">
        <f>3702.93 - (3702.93 * $E$1)</f>
        <v>3702.93</v>
      </c>
      <c r="M3369" s="1">
        <v>4517.57</v>
      </c>
      <c r="N3369" s="1">
        <v>3702.93</v>
      </c>
      <c r="O3369" s="1">
        <v>3839.94</v>
      </c>
      <c r="P3369" s="1">
        <v>3147.49</v>
      </c>
      <c r="Q3369">
        <v>0.32</v>
      </c>
      <c r="R3369">
        <v>5.2499999999999997E-4</v>
      </c>
    </row>
    <row r="3370" spans="1:18" ht="13.8" outlineLevel="2" x14ac:dyDescent="0.25">
      <c r="A3370">
        <v>85355</v>
      </c>
      <c r="B3370" t="s">
        <v>4275</v>
      </c>
      <c r="C3370" t="s">
        <v>4291</v>
      </c>
      <c r="D3370" s="14" t="s">
        <v>4290</v>
      </c>
      <c r="E3370" s="12" t="s">
        <v>28</v>
      </c>
      <c r="F3370" s="13" t="s">
        <v>29</v>
      </c>
      <c r="G3370">
        <v>1</v>
      </c>
      <c r="H3370" t="s">
        <v>1129</v>
      </c>
      <c r="I3370">
        <v>1</v>
      </c>
      <c r="J3370" s="15"/>
      <c r="K3370" s="16">
        <f>4517.33 - (4517.33 * $E$1)</f>
        <v>4517.33</v>
      </c>
      <c r="L3370" s="16">
        <f>3702.73 - (3702.73 * $E$1)</f>
        <v>3702.73</v>
      </c>
      <c r="M3370" s="1">
        <v>4517.33</v>
      </c>
      <c r="N3370" s="1">
        <v>3702.73</v>
      </c>
      <c r="O3370" s="1">
        <v>3839.73</v>
      </c>
      <c r="P3370" s="1">
        <v>3147.32</v>
      </c>
      <c r="Q3370">
        <v>0.318</v>
      </c>
      <c r="R3370">
        <v>5.2499999999999997E-4</v>
      </c>
    </row>
    <row r="3371" spans="1:18" ht="13.8" outlineLevel="2" x14ac:dyDescent="0.25">
      <c r="A3371">
        <v>85328</v>
      </c>
      <c r="B3371" t="s">
        <v>4275</v>
      </c>
      <c r="C3371" t="s">
        <v>4292</v>
      </c>
      <c r="D3371" s="14" t="s">
        <v>4290</v>
      </c>
      <c r="E3371" s="12" t="s">
        <v>28</v>
      </c>
      <c r="F3371" s="13" t="s">
        <v>29</v>
      </c>
      <c r="G3371">
        <v>1</v>
      </c>
      <c r="H3371" t="s">
        <v>1129</v>
      </c>
      <c r="I3371">
        <v>1</v>
      </c>
      <c r="J3371" s="15"/>
      <c r="K3371" s="16">
        <f>4516.62 - (4516.62 * $E$1)</f>
        <v>4516.62</v>
      </c>
      <c r="L3371" s="16">
        <f>3702.15 - (3702.15 * $E$1)</f>
        <v>3702.15</v>
      </c>
      <c r="M3371" s="1">
        <v>4516.62</v>
      </c>
      <c r="N3371" s="1">
        <v>3702.15</v>
      </c>
      <c r="O3371" s="1">
        <v>3839.13</v>
      </c>
      <c r="P3371" s="1">
        <v>3146.83</v>
      </c>
      <c r="Q3371">
        <v>0.316</v>
      </c>
      <c r="R3371">
        <v>5.2499999999999997E-4</v>
      </c>
    </row>
    <row r="3372" spans="1:18" ht="13.8" outlineLevel="2" x14ac:dyDescent="0.25">
      <c r="A3372">
        <v>85329</v>
      </c>
      <c r="B3372" t="s">
        <v>4275</v>
      </c>
      <c r="C3372" t="s">
        <v>4293</v>
      </c>
      <c r="D3372" s="14" t="s">
        <v>4290</v>
      </c>
      <c r="E3372" s="12" t="s">
        <v>28</v>
      </c>
      <c r="F3372" s="13" t="s">
        <v>29</v>
      </c>
      <c r="G3372">
        <v>1</v>
      </c>
      <c r="H3372" t="s">
        <v>1129</v>
      </c>
      <c r="I3372">
        <v>1</v>
      </c>
      <c r="J3372" s="15"/>
      <c r="K3372" s="16">
        <f>4516.39 - (4516.39 * $E$1)</f>
        <v>4516.3900000000003</v>
      </c>
      <c r="L3372" s="16">
        <f>3701.96 - (3701.96 * $E$1)</f>
        <v>3701.96</v>
      </c>
      <c r="M3372" s="1">
        <v>4516.3900000000003</v>
      </c>
      <c r="N3372" s="1">
        <v>3701.96</v>
      </c>
      <c r="O3372" s="1">
        <v>3838.93</v>
      </c>
      <c r="P3372" s="1">
        <v>3146.67</v>
      </c>
      <c r="Q3372">
        <v>0.316</v>
      </c>
      <c r="R3372">
        <v>5.2499999999999997E-4</v>
      </c>
    </row>
    <row r="3373" spans="1:18" ht="13.8" outlineLevel="2" x14ac:dyDescent="0.25">
      <c r="A3373">
        <v>85331</v>
      </c>
      <c r="B3373" t="s">
        <v>4275</v>
      </c>
      <c r="C3373" t="s">
        <v>4294</v>
      </c>
      <c r="D3373" s="14" t="s">
        <v>4290</v>
      </c>
      <c r="E3373" s="12" t="s">
        <v>28</v>
      </c>
      <c r="F3373" s="13" t="s">
        <v>29</v>
      </c>
      <c r="G3373">
        <v>1</v>
      </c>
      <c r="H3373" t="s">
        <v>1129</v>
      </c>
      <c r="I3373">
        <v>1</v>
      </c>
      <c r="J3373" s="15"/>
      <c r="K3373" s="16">
        <f>4515.92 - (4515.92 * $E$1)</f>
        <v>4515.92</v>
      </c>
      <c r="L3373" s="16">
        <f>3701.57 - (3701.57 * $E$1)</f>
        <v>3701.57</v>
      </c>
      <c r="M3373" s="1">
        <v>4515.92</v>
      </c>
      <c r="N3373" s="1">
        <v>3701.57</v>
      </c>
      <c r="O3373" s="1">
        <v>3838.53</v>
      </c>
      <c r="P3373" s="1">
        <v>3146.33</v>
      </c>
      <c r="Q3373">
        <v>0.312</v>
      </c>
      <c r="R3373">
        <v>5.2499999999999997E-4</v>
      </c>
    </row>
    <row r="3374" spans="1:18" ht="13.8" outlineLevel="2" x14ac:dyDescent="0.25">
      <c r="A3374">
        <v>85332</v>
      </c>
      <c r="B3374" t="s">
        <v>4275</v>
      </c>
      <c r="C3374" t="s">
        <v>4295</v>
      </c>
      <c r="D3374" s="14" t="s">
        <v>4290</v>
      </c>
      <c r="E3374" s="12" t="s">
        <v>28</v>
      </c>
      <c r="F3374" s="13" t="s">
        <v>29</v>
      </c>
      <c r="G3374">
        <v>1</v>
      </c>
      <c r="H3374" t="s">
        <v>1129</v>
      </c>
      <c r="I3374">
        <v>1</v>
      </c>
      <c r="J3374" s="15"/>
      <c r="K3374" s="16">
        <f>4515.44 - (4515.44 * $E$1)</f>
        <v>4515.4399999999996</v>
      </c>
      <c r="L3374" s="16">
        <f>3701.18 - (3701.18 * $E$1)</f>
        <v>3701.18</v>
      </c>
      <c r="M3374" s="1">
        <v>4515.4399999999996</v>
      </c>
      <c r="N3374" s="1">
        <v>3701.18</v>
      </c>
      <c r="O3374" s="1">
        <v>3838.12</v>
      </c>
      <c r="P3374" s="1">
        <v>3146</v>
      </c>
      <c r="Q3374">
        <v>0.312</v>
      </c>
      <c r="R3374">
        <v>5.2499999999999997E-4</v>
      </c>
    </row>
    <row r="3375" spans="1:18" ht="13.8" outlineLevel="2" x14ac:dyDescent="0.25">
      <c r="A3375">
        <v>85333</v>
      </c>
      <c r="B3375" t="s">
        <v>4275</v>
      </c>
      <c r="C3375" t="s">
        <v>4296</v>
      </c>
      <c r="D3375" s="14" t="s">
        <v>4297</v>
      </c>
      <c r="E3375" s="12" t="s">
        <v>28</v>
      </c>
      <c r="F3375" s="13" t="s">
        <v>29</v>
      </c>
      <c r="G3375">
        <v>1</v>
      </c>
      <c r="H3375" t="s">
        <v>1129</v>
      </c>
      <c r="I3375">
        <v>1</v>
      </c>
      <c r="J3375" s="15"/>
      <c r="K3375" s="16">
        <f>5433.81 - (5433.81 * $E$1)</f>
        <v>5433.81</v>
      </c>
      <c r="L3375" s="16">
        <f>4453.94 - (4453.94 * $E$1)</f>
        <v>4453.9399999999996</v>
      </c>
      <c r="M3375" s="1">
        <v>5433.81</v>
      </c>
      <c r="N3375" s="1">
        <v>4453.9399999999996</v>
      </c>
      <c r="O3375" s="1">
        <v>4618.74</v>
      </c>
      <c r="P3375" s="1">
        <v>3785.85</v>
      </c>
      <c r="Q3375">
        <v>0.312</v>
      </c>
      <c r="R3375">
        <v>5.2499999999999997E-4</v>
      </c>
    </row>
    <row r="3376" spans="1:18" ht="13.8" outlineLevel="2" x14ac:dyDescent="0.25">
      <c r="A3376">
        <v>85334</v>
      </c>
      <c r="B3376" t="s">
        <v>4275</v>
      </c>
      <c r="C3376" t="s">
        <v>4298</v>
      </c>
      <c r="D3376" s="14" t="s">
        <v>4297</v>
      </c>
      <c r="E3376" s="12" t="s">
        <v>28</v>
      </c>
      <c r="F3376" s="13" t="s">
        <v>29</v>
      </c>
      <c r="G3376">
        <v>1</v>
      </c>
      <c r="H3376" t="s">
        <v>1129</v>
      </c>
      <c r="I3376">
        <v>1</v>
      </c>
      <c r="J3376" s="15"/>
      <c r="K3376" s="16">
        <f>5432.62 - (5432.62 * $E$1)</f>
        <v>5432.62</v>
      </c>
      <c r="L3376" s="16">
        <f>4452.97 - (4452.97 * $E$1)</f>
        <v>4452.97</v>
      </c>
      <c r="M3376" s="1">
        <v>5432.62</v>
      </c>
      <c r="N3376" s="1">
        <v>4452.97</v>
      </c>
      <c r="O3376" s="1">
        <v>4617.7299999999996</v>
      </c>
      <c r="P3376" s="1">
        <v>3785.02</v>
      </c>
      <c r="Q3376">
        <v>0.308</v>
      </c>
      <c r="R3376">
        <v>5.2499999999999997E-4</v>
      </c>
    </row>
    <row r="3377" spans="1:18" ht="13.8" outlineLevel="2" x14ac:dyDescent="0.25">
      <c r="A3377">
        <v>85335</v>
      </c>
      <c r="B3377" t="s">
        <v>4275</v>
      </c>
      <c r="C3377" t="s">
        <v>4299</v>
      </c>
      <c r="D3377" s="14" t="s">
        <v>4297</v>
      </c>
      <c r="E3377" s="12" t="s">
        <v>28</v>
      </c>
      <c r="F3377" s="13" t="s">
        <v>29</v>
      </c>
      <c r="G3377">
        <v>1</v>
      </c>
      <c r="H3377" t="s">
        <v>1129</v>
      </c>
      <c r="I3377">
        <v>1</v>
      </c>
      <c r="J3377" s="15"/>
      <c r="K3377" s="16">
        <f>5431.44 - (5431.44 * $E$1)</f>
        <v>5431.44</v>
      </c>
      <c r="L3377" s="16">
        <f>4452 - (4452 * $E$1)</f>
        <v>4452</v>
      </c>
      <c r="M3377" s="1">
        <v>5431.44</v>
      </c>
      <c r="N3377" s="1">
        <v>4452</v>
      </c>
      <c r="O3377" s="1">
        <v>4616.72</v>
      </c>
      <c r="P3377" s="1">
        <v>3784.2</v>
      </c>
      <c r="Q3377">
        <v>0.30399999999999999</v>
      </c>
      <c r="R3377">
        <v>5.2499999999999997E-4</v>
      </c>
    </row>
    <row r="3378" spans="1:18" ht="13.8" outlineLevel="2" x14ac:dyDescent="0.25">
      <c r="A3378">
        <v>85336</v>
      </c>
      <c r="B3378" t="s">
        <v>4275</v>
      </c>
      <c r="C3378" t="s">
        <v>4300</v>
      </c>
      <c r="D3378" s="14" t="s">
        <v>4297</v>
      </c>
      <c r="E3378" s="12" t="s">
        <v>28</v>
      </c>
      <c r="F3378" s="13" t="s">
        <v>29</v>
      </c>
      <c r="G3378">
        <v>1</v>
      </c>
      <c r="H3378" t="s">
        <v>1129</v>
      </c>
      <c r="I3378">
        <v>1</v>
      </c>
      <c r="J3378" s="15"/>
      <c r="K3378" s="16">
        <f>5428.6 - (5428.6 * $E$1)</f>
        <v>5428.6</v>
      </c>
      <c r="L3378" s="16">
        <f>4449.67 - (4449.67 * $E$1)</f>
        <v>4449.67</v>
      </c>
      <c r="M3378" s="1">
        <v>5428.6</v>
      </c>
      <c r="N3378" s="1">
        <v>4449.67</v>
      </c>
      <c r="O3378" s="1">
        <v>4614.3100000000004</v>
      </c>
      <c r="P3378" s="1">
        <v>3782.22</v>
      </c>
      <c r="Q3378">
        <v>0.3</v>
      </c>
      <c r="R3378">
        <v>7.5000000000000002E-4</v>
      </c>
    </row>
    <row r="3379" spans="1:18" ht="13.8" outlineLevel="2" x14ac:dyDescent="0.25">
      <c r="A3379">
        <v>85337</v>
      </c>
      <c r="B3379" t="s">
        <v>4275</v>
      </c>
      <c r="C3379" t="s">
        <v>4301</v>
      </c>
      <c r="D3379" s="14" t="s">
        <v>4297</v>
      </c>
      <c r="E3379" s="12" t="s">
        <v>28</v>
      </c>
      <c r="F3379" s="13" t="s">
        <v>29</v>
      </c>
      <c r="G3379">
        <v>1</v>
      </c>
      <c r="H3379" t="s">
        <v>1129</v>
      </c>
      <c r="I3379">
        <v>1</v>
      </c>
      <c r="J3379" s="15"/>
      <c r="K3379" s="16">
        <f>5430.05 - (5430.05 * $E$1)</f>
        <v>5430.05</v>
      </c>
      <c r="L3379" s="16">
        <f>4450.86 - (4450.86 * $E$1)</f>
        <v>4450.8599999999997</v>
      </c>
      <c r="M3379" s="1">
        <v>5430.05</v>
      </c>
      <c r="N3379" s="1">
        <v>4450.8599999999997</v>
      </c>
      <c r="O3379" s="1">
        <v>4615.54</v>
      </c>
      <c r="P3379" s="1">
        <v>3783.23</v>
      </c>
      <c r="Q3379">
        <v>0.3</v>
      </c>
      <c r="R3379">
        <v>7.5000000000000002E-4</v>
      </c>
    </row>
    <row r="3380" spans="1:18" ht="13.8" outlineLevel="2" x14ac:dyDescent="0.25">
      <c r="A3380">
        <v>85683</v>
      </c>
      <c r="B3380" t="s">
        <v>4302</v>
      </c>
      <c r="C3380" t="s">
        <v>4303</v>
      </c>
      <c r="D3380" s="14" t="s">
        <v>4304</v>
      </c>
      <c r="E3380" s="12" t="s">
        <v>28</v>
      </c>
      <c r="F3380" s="13" t="s">
        <v>29</v>
      </c>
      <c r="G3380">
        <v>1</v>
      </c>
      <c r="H3380" t="s">
        <v>30</v>
      </c>
      <c r="I3380">
        <v>1</v>
      </c>
      <c r="J3380" s="15"/>
      <c r="K3380" s="21" t="s">
        <v>4305</v>
      </c>
      <c r="L3380" s="21" t="s">
        <v>4306</v>
      </c>
      <c r="M3380" s="1">
        <v>407294.55</v>
      </c>
      <c r="N3380" s="1">
        <v>333847.99</v>
      </c>
      <c r="O3380" s="1">
        <v>346200.37</v>
      </c>
      <c r="P3380" s="1">
        <v>283770.78999999998</v>
      </c>
      <c r="Q3380">
        <v>254.7</v>
      </c>
      <c r="R3380">
        <v>1.0665</v>
      </c>
    </row>
    <row r="3381" spans="1:18" ht="13.8" outlineLevel="2" x14ac:dyDescent="0.25">
      <c r="A3381">
        <v>85684</v>
      </c>
      <c r="B3381" t="s">
        <v>4302</v>
      </c>
      <c r="C3381" t="s">
        <v>4307</v>
      </c>
      <c r="D3381" s="14" t="s">
        <v>4308</v>
      </c>
      <c r="E3381" s="12" t="s">
        <v>28</v>
      </c>
      <c r="F3381" s="13" t="s">
        <v>29</v>
      </c>
      <c r="G3381">
        <v>1</v>
      </c>
      <c r="H3381" t="s">
        <v>30</v>
      </c>
      <c r="I3381">
        <v>1</v>
      </c>
      <c r="J3381" s="15"/>
      <c r="K3381" s="21" t="s">
        <v>4309</v>
      </c>
      <c r="L3381" s="21" t="s">
        <v>4310</v>
      </c>
      <c r="M3381" s="1">
        <v>424307.19</v>
      </c>
      <c r="N3381" s="1">
        <v>347792.78</v>
      </c>
      <c r="O3381" s="1">
        <v>360661.11</v>
      </c>
      <c r="P3381" s="1">
        <v>295623.86</v>
      </c>
      <c r="Q3381">
        <v>277.7</v>
      </c>
      <c r="R3381">
        <v>1.0665</v>
      </c>
    </row>
    <row r="3382" spans="1:18" ht="16.5" customHeight="1" outlineLevel="1" x14ac:dyDescent="0.35">
      <c r="A3382" s="9"/>
      <c r="B3382" s="10" t="s">
        <v>4311</v>
      </c>
      <c r="C3382" s="10"/>
      <c r="D3382" s="10"/>
      <c r="E3382" s="10"/>
      <c r="F3382" s="10"/>
      <c r="G3382" s="10"/>
      <c r="H3382" s="10"/>
      <c r="I3382" s="10"/>
      <c r="J3382" s="10"/>
      <c r="K3382" s="10"/>
      <c r="L3382" s="10"/>
      <c r="M3382" s="10"/>
      <c r="N3382" s="10"/>
      <c r="O3382" s="10"/>
      <c r="P3382" s="10"/>
      <c r="Q3382" s="10"/>
      <c r="R3382" s="11"/>
    </row>
    <row r="3383" spans="1:18" ht="16.5" customHeight="1" outlineLevel="2" x14ac:dyDescent="0.35">
      <c r="A3383" s="9"/>
      <c r="B3383" s="10" t="s">
        <v>4311</v>
      </c>
      <c r="C3383" s="10"/>
      <c r="D3383" s="10"/>
      <c r="E3383" s="10"/>
      <c r="F3383" s="10"/>
      <c r="G3383" s="10"/>
      <c r="H3383" s="10"/>
      <c r="I3383" s="10"/>
      <c r="J3383" s="10"/>
      <c r="K3383" s="10"/>
      <c r="L3383" s="10"/>
      <c r="M3383" s="10"/>
      <c r="N3383" s="10"/>
      <c r="O3383" s="10"/>
      <c r="P3383" s="10"/>
      <c r="Q3383" s="10"/>
      <c r="R3383" s="11"/>
    </row>
    <row r="3384" spans="1:18" ht="13.8" outlineLevel="3" x14ac:dyDescent="0.25">
      <c r="A3384">
        <v>69284</v>
      </c>
      <c r="B3384" t="s">
        <v>4312</v>
      </c>
      <c r="C3384" t="s">
        <v>4313</v>
      </c>
      <c r="D3384" s="14" t="s">
        <v>4314</v>
      </c>
      <c r="E3384" s="12" t="s">
        <v>28</v>
      </c>
      <c r="F3384" s="13" t="s">
        <v>29</v>
      </c>
      <c r="G3384">
        <v>1</v>
      </c>
      <c r="H3384" t="s">
        <v>30</v>
      </c>
      <c r="I3384">
        <v>1</v>
      </c>
      <c r="J3384" s="15"/>
      <c r="K3384" s="16">
        <f>IF($E$1&gt;=$Q$1%,9614.42-(9614.42*$Q$1%),9614.42-(9614.42*$E$1))</f>
        <v>9614.42</v>
      </c>
      <c r="L3384" s="16">
        <f>IF($E$1&gt;=$Q$1%,7880.67-(7880.67*$Q$1%),7880.67-(7880.67*$E$1))</f>
        <v>7880.67</v>
      </c>
      <c r="M3384" s="1">
        <v>9614.42</v>
      </c>
      <c r="N3384" s="1">
        <v>7880.67</v>
      </c>
      <c r="O3384" s="1">
        <v>9614.42</v>
      </c>
      <c r="P3384" s="1">
        <v>7880.67</v>
      </c>
      <c r="Q3384">
        <v>6.49</v>
      </c>
      <c r="R3384">
        <v>1.2617E-2</v>
      </c>
    </row>
    <row r="3385" spans="1:18" ht="13.8" outlineLevel="3" x14ac:dyDescent="0.25">
      <c r="A3385">
        <v>69285</v>
      </c>
      <c r="B3385" t="s">
        <v>4315</v>
      </c>
      <c r="C3385" t="s">
        <v>4316</v>
      </c>
      <c r="D3385" s="14" t="s">
        <v>4317</v>
      </c>
      <c r="E3385" s="12" t="s">
        <v>28</v>
      </c>
      <c r="F3385" s="13" t="s">
        <v>29</v>
      </c>
      <c r="G3385">
        <v>1</v>
      </c>
      <c r="H3385" t="s">
        <v>30</v>
      </c>
      <c r="I3385">
        <v>1</v>
      </c>
      <c r="J3385" s="15"/>
      <c r="K3385" s="16">
        <f>IF($E$1&gt;=$Q$1%,15585.85-(15585.85*$Q$1%),15585.85-(15585.85*$E$1))</f>
        <v>15585.85</v>
      </c>
      <c r="L3385" s="16">
        <f>IF($E$1&gt;=$Q$1%,12775.29-(12775.29*$Q$1%),12775.29-(12775.29*$E$1))</f>
        <v>12775.29</v>
      </c>
      <c r="M3385" s="1">
        <v>15585.85</v>
      </c>
      <c r="N3385" s="1">
        <v>12775.29</v>
      </c>
      <c r="O3385" s="1">
        <v>15585.85</v>
      </c>
      <c r="P3385" s="1">
        <v>12775.29</v>
      </c>
      <c r="Q3385">
        <v>8.2200000000000006</v>
      </c>
      <c r="R3385">
        <v>1.6788999999999998E-2</v>
      </c>
    </row>
    <row r="3386" spans="1:18" ht="13.8" outlineLevel="3" x14ac:dyDescent="0.25">
      <c r="A3386">
        <v>77713</v>
      </c>
      <c r="B3386" t="s">
        <v>4312</v>
      </c>
      <c r="C3386" t="s">
        <v>4318</v>
      </c>
      <c r="D3386" s="14" t="s">
        <v>4319</v>
      </c>
      <c r="E3386" s="12" t="s">
        <v>28</v>
      </c>
      <c r="F3386" s="13" t="s">
        <v>29</v>
      </c>
      <c r="G3386">
        <v>1</v>
      </c>
      <c r="H3386" t="s">
        <v>30</v>
      </c>
      <c r="I3386">
        <v>1</v>
      </c>
      <c r="J3386" s="15"/>
      <c r="K3386" s="16">
        <f>IF($E$1&gt;=$Q$1%,37831.14-(37831.14*$Q$1%),37831.14-(37831.14*$E$1))</f>
        <v>37831.14</v>
      </c>
      <c r="L3386" s="16">
        <f>IF($E$1&gt;=$Q$1%,31009.13-(31009.13*$Q$1%),31009.13-(31009.13*$E$1))</f>
        <v>31009.13</v>
      </c>
      <c r="M3386" s="1">
        <v>37831.14</v>
      </c>
      <c r="N3386" s="1">
        <v>31009.13</v>
      </c>
      <c r="O3386" s="1">
        <v>37831.14</v>
      </c>
      <c r="P3386" s="1">
        <v>31009.13</v>
      </c>
      <c r="Q3386">
        <v>10.039999999999999</v>
      </c>
      <c r="R3386">
        <v>5.1255000000000002E-2</v>
      </c>
    </row>
    <row r="3387" spans="1:18" ht="13.8" outlineLevel="3" x14ac:dyDescent="0.25">
      <c r="A3387">
        <v>69286</v>
      </c>
      <c r="B3387" t="s">
        <v>4312</v>
      </c>
      <c r="C3387" t="s">
        <v>4320</v>
      </c>
      <c r="D3387" s="14" t="s">
        <v>4321</v>
      </c>
      <c r="E3387" s="12" t="s">
        <v>28</v>
      </c>
      <c r="F3387" s="13" t="s">
        <v>29</v>
      </c>
      <c r="G3387">
        <v>1</v>
      </c>
      <c r="H3387" t="s">
        <v>30</v>
      </c>
      <c r="I3387">
        <v>1</v>
      </c>
      <c r="J3387" s="15"/>
      <c r="K3387" s="16">
        <f>IF($E$1&gt;=$Q$1%,24616.1-(24616.1*$Q$1%),24616.1-(24616.1*$E$1))</f>
        <v>24616.1</v>
      </c>
      <c r="L3387" s="16">
        <f>IF($E$1&gt;=$Q$1%,20177.13-(20177.13*$Q$1%),20177.13-(20177.13*$E$1))</f>
        <v>20177.13</v>
      </c>
      <c r="M3387" s="1">
        <v>24616.1</v>
      </c>
      <c r="N3387" s="1">
        <v>20177.13</v>
      </c>
      <c r="O3387" s="1">
        <v>24616.1</v>
      </c>
      <c r="P3387" s="1">
        <v>20177.13</v>
      </c>
      <c r="Q3387">
        <v>14.42</v>
      </c>
      <c r="R3387">
        <v>2.691E-2</v>
      </c>
    </row>
    <row r="3388" spans="1:18" ht="13.8" outlineLevel="3" x14ac:dyDescent="0.25">
      <c r="A3388">
        <v>69287</v>
      </c>
      <c r="B3388" t="s">
        <v>4312</v>
      </c>
      <c r="C3388" t="s">
        <v>4322</v>
      </c>
      <c r="D3388" s="14" t="s">
        <v>4323</v>
      </c>
      <c r="E3388" s="12" t="s">
        <v>28</v>
      </c>
      <c r="F3388" s="13" t="s">
        <v>29</v>
      </c>
      <c r="G3388">
        <v>1</v>
      </c>
      <c r="H3388" t="s">
        <v>30</v>
      </c>
      <c r="I3388">
        <v>1</v>
      </c>
      <c r="J3388" s="15"/>
      <c r="K3388" s="16">
        <f>IF($E$1&gt;=$Q$1%,28517.06-(28517.06*$Q$1%),28517.06-(28517.06*$E$1))</f>
        <v>28517.06</v>
      </c>
      <c r="L3388" s="16">
        <f>IF($E$1&gt;=$Q$1%,23374.64-(23374.64*$Q$1%),23374.64-(23374.64*$E$1))</f>
        <v>23374.639999999999</v>
      </c>
      <c r="M3388" s="1">
        <v>28517.06</v>
      </c>
      <c r="N3388" s="1">
        <v>23374.639999999999</v>
      </c>
      <c r="O3388" s="1">
        <v>28517.06</v>
      </c>
      <c r="P3388" s="1">
        <v>23374.639999999999</v>
      </c>
      <c r="Q3388">
        <v>17.91</v>
      </c>
      <c r="R3388">
        <v>2.9557E-2</v>
      </c>
    </row>
    <row r="3389" spans="1:18" ht="13.8" outlineLevel="3" x14ac:dyDescent="0.25">
      <c r="A3389">
        <v>69288</v>
      </c>
      <c r="B3389" t="s">
        <v>4312</v>
      </c>
      <c r="C3389" t="s">
        <v>4324</v>
      </c>
      <c r="D3389" s="14" t="s">
        <v>4325</v>
      </c>
      <c r="E3389" s="12" t="s">
        <v>28</v>
      </c>
      <c r="F3389" s="13" t="s">
        <v>29</v>
      </c>
      <c r="G3389">
        <v>1</v>
      </c>
      <c r="H3389" t="s">
        <v>30</v>
      </c>
      <c r="I3389">
        <v>1</v>
      </c>
      <c r="J3389" s="15"/>
      <c r="K3389" s="16">
        <f>IF($E$1&gt;=$Q$1%,55098.95-(55098.95*$Q$1%),55098.95-(55098.95*$E$1))</f>
        <v>55098.95</v>
      </c>
      <c r="L3389" s="16">
        <f>IF($E$1&gt;=$Q$1%,45163.07-(45163.07*$Q$1%),45163.07-(45163.07*$E$1))</f>
        <v>45163.07</v>
      </c>
      <c r="M3389" s="1">
        <v>55098.95</v>
      </c>
      <c r="N3389" s="1">
        <v>45163.07</v>
      </c>
      <c r="O3389" s="1">
        <v>55098.95</v>
      </c>
      <c r="P3389" s="1">
        <v>45163.07</v>
      </c>
      <c r="Q3389">
        <v>22.83</v>
      </c>
      <c r="R3389">
        <v>3.8283999999999999E-2</v>
      </c>
    </row>
    <row r="3390" spans="1:18" ht="13.8" outlineLevel="3" x14ac:dyDescent="0.25">
      <c r="A3390">
        <v>85140</v>
      </c>
      <c r="B3390" t="s">
        <v>4312</v>
      </c>
      <c r="C3390" t="s">
        <v>4326</v>
      </c>
      <c r="D3390" s="14" t="s">
        <v>4327</v>
      </c>
      <c r="E3390" s="12" t="s">
        <v>28</v>
      </c>
      <c r="F3390" s="13" t="s">
        <v>29</v>
      </c>
      <c r="G3390">
        <v>1</v>
      </c>
      <c r="H3390" t="s">
        <v>30</v>
      </c>
      <c r="I3390">
        <v>1</v>
      </c>
      <c r="J3390" s="15"/>
      <c r="K3390" s="16">
        <f>IF($E$1&gt;=$Q$1%,43893.44-(43893.44*$Q$1%),43893.44-(43893.44*$E$1))</f>
        <v>43893.440000000002</v>
      </c>
      <c r="L3390" s="16">
        <f>IF($E$1&gt;=$Q$1%,35978.23-(35978.23*$Q$1%),35978.23-(35978.23*$E$1))</f>
        <v>35978.230000000003</v>
      </c>
      <c r="M3390" s="1">
        <v>43893.440000000002</v>
      </c>
      <c r="N3390" s="1">
        <v>35978.230000000003</v>
      </c>
      <c r="O3390" s="1">
        <v>43893.440000000002</v>
      </c>
      <c r="P3390" s="1">
        <v>35978.230000000003</v>
      </c>
      <c r="Q3390">
        <v>19.100000000000001</v>
      </c>
      <c r="R3390">
        <v>6.0192000000000002E-2</v>
      </c>
    </row>
    <row r="3391" spans="1:18" ht="13.8" outlineLevel="3" x14ac:dyDescent="0.25">
      <c r="A3391">
        <v>88147</v>
      </c>
      <c r="B3391" t="s">
        <v>4315</v>
      </c>
      <c r="C3391" t="s">
        <v>4328</v>
      </c>
      <c r="D3391" s="14" t="s">
        <v>4329</v>
      </c>
      <c r="E3391" s="12" t="s">
        <v>28</v>
      </c>
      <c r="F3391" s="13" t="s">
        <v>29</v>
      </c>
      <c r="H3391" t="s">
        <v>30</v>
      </c>
      <c r="I3391">
        <v>1</v>
      </c>
      <c r="J3391" s="15"/>
      <c r="K3391" s="16">
        <f>IF($E$1&gt;=$Q$1%,86881.78-(86881.78*$Q$1%),86881.78-(86881.78*$E$1))</f>
        <v>86881.78</v>
      </c>
      <c r="L3391" s="16">
        <f>IF($E$1&gt;=$Q$1%,71214.57-(71214.57*$Q$1%),71214.57-(71214.57*$E$1))</f>
        <v>71214.570000000007</v>
      </c>
      <c r="M3391" s="1">
        <v>86881.78</v>
      </c>
      <c r="N3391" s="1">
        <v>71214.570000000007</v>
      </c>
      <c r="O3391" s="1">
        <v>86881.78</v>
      </c>
      <c r="P3391" s="1">
        <v>71214.570000000007</v>
      </c>
    </row>
    <row r="3392" spans="1:18" ht="13.8" outlineLevel="3" x14ac:dyDescent="0.25">
      <c r="A3392">
        <v>69289</v>
      </c>
      <c r="B3392" t="s">
        <v>4330</v>
      </c>
      <c r="C3392" t="s">
        <v>4331</v>
      </c>
      <c r="D3392" s="14" t="s">
        <v>4332</v>
      </c>
      <c r="E3392" s="12" t="s">
        <v>28</v>
      </c>
      <c r="F3392" s="13" t="s">
        <v>29</v>
      </c>
      <c r="G3392">
        <v>1</v>
      </c>
      <c r="H3392" t="s">
        <v>30</v>
      </c>
      <c r="I3392">
        <v>1</v>
      </c>
      <c r="J3392" s="15"/>
      <c r="K3392" s="16">
        <f>IF($E$1&gt;=$Q$1%,28633.62-(28633.62*$Q$1%),28633.62-(28633.62*$E$1))</f>
        <v>28633.62</v>
      </c>
      <c r="L3392" s="16">
        <f>IF($E$1&gt;=$Q$1%,23470.18-(23470.18*$Q$1%),23470.18-(23470.18*$E$1))</f>
        <v>23470.18</v>
      </c>
      <c r="M3392" s="1">
        <v>28633.62</v>
      </c>
      <c r="N3392" s="1">
        <v>23470.18</v>
      </c>
      <c r="O3392" s="1">
        <v>28633.62</v>
      </c>
      <c r="P3392" s="1">
        <v>23470.18</v>
      </c>
      <c r="Q3392">
        <v>17.100000000000001</v>
      </c>
      <c r="R3392">
        <v>2.9751E-2</v>
      </c>
    </row>
    <row r="3393" spans="1:18" ht="13.8" outlineLevel="3" x14ac:dyDescent="0.25">
      <c r="A3393">
        <v>69290</v>
      </c>
      <c r="B3393" t="s">
        <v>4330</v>
      </c>
      <c r="C3393" t="s">
        <v>4333</v>
      </c>
      <c r="D3393" s="14" t="s">
        <v>4334</v>
      </c>
      <c r="E3393" s="12" t="s">
        <v>28</v>
      </c>
      <c r="F3393" s="13" t="s">
        <v>29</v>
      </c>
      <c r="G3393">
        <v>1</v>
      </c>
      <c r="H3393" t="s">
        <v>30</v>
      </c>
      <c r="I3393">
        <v>1</v>
      </c>
      <c r="J3393" s="15"/>
      <c r="K3393" s="16">
        <f>IF($E$1&gt;=$Q$1%,41777.74-(41777.74*$Q$1%),41777.74-(41777.74*$E$1))</f>
        <v>41777.74</v>
      </c>
      <c r="L3393" s="16">
        <f>IF($E$1&gt;=$Q$1%,34244.05-(34244.05*$Q$1%),34244.05-(34244.05*$E$1))</f>
        <v>34244.050000000003</v>
      </c>
      <c r="M3393" s="1">
        <v>41777.74</v>
      </c>
      <c r="N3393" s="1">
        <v>34244.050000000003</v>
      </c>
      <c r="O3393" s="1">
        <v>41777.74</v>
      </c>
      <c r="P3393" s="1">
        <v>34244.050000000003</v>
      </c>
      <c r="Q3393">
        <v>22.32</v>
      </c>
      <c r="R3393">
        <v>4.743E-2</v>
      </c>
    </row>
    <row r="3394" spans="1:18" ht="13.8" outlineLevel="3" x14ac:dyDescent="0.25">
      <c r="A3394">
        <v>76642</v>
      </c>
      <c r="B3394" t="s">
        <v>4330</v>
      </c>
      <c r="C3394" t="s">
        <v>4335</v>
      </c>
      <c r="D3394" s="14" t="s">
        <v>4336</v>
      </c>
      <c r="E3394" s="12" t="s">
        <v>28</v>
      </c>
      <c r="F3394" s="13" t="s">
        <v>29</v>
      </c>
      <c r="G3394">
        <v>1</v>
      </c>
      <c r="H3394" t="s">
        <v>30</v>
      </c>
      <c r="I3394">
        <v>1</v>
      </c>
      <c r="J3394" s="15"/>
      <c r="K3394" s="16">
        <f>IF($E$1&gt;=$Q$1%,43658.59-(43658.59*$Q$1%),43658.59-(43658.59*$E$1))</f>
        <v>43658.59</v>
      </c>
      <c r="L3394" s="16">
        <f>IF($E$1&gt;=$Q$1%,35785.73-(35785.73*$Q$1%),35785.73-(35785.73*$E$1))</f>
        <v>35785.730000000003</v>
      </c>
      <c r="M3394" s="1">
        <v>43658.59</v>
      </c>
      <c r="N3394" s="1">
        <v>35785.730000000003</v>
      </c>
      <c r="O3394" s="1">
        <v>43658.59</v>
      </c>
      <c r="P3394" s="1">
        <v>35785.730000000003</v>
      </c>
      <c r="Q3394">
        <v>14.81</v>
      </c>
      <c r="R3394">
        <v>5.2535999999999999E-2</v>
      </c>
    </row>
    <row r="3395" spans="1:18" ht="13.8" outlineLevel="3" x14ac:dyDescent="0.25">
      <c r="A3395">
        <v>76643</v>
      </c>
      <c r="B3395" t="s">
        <v>4330</v>
      </c>
      <c r="C3395" t="s">
        <v>4337</v>
      </c>
      <c r="D3395" s="14" t="s">
        <v>4338</v>
      </c>
      <c r="E3395" s="12" t="s">
        <v>28</v>
      </c>
      <c r="F3395" s="13" t="s">
        <v>29</v>
      </c>
      <c r="G3395">
        <v>1</v>
      </c>
      <c r="H3395" t="s">
        <v>30</v>
      </c>
      <c r="I3395">
        <v>1</v>
      </c>
      <c r="J3395" s="15"/>
      <c r="K3395" s="16">
        <f>IF($E$1&gt;=$Q$1%,43658.59-(43658.59*$Q$1%),43658.59-(43658.59*$E$1))</f>
        <v>43658.59</v>
      </c>
      <c r="L3395" s="16">
        <f>IF($E$1&gt;=$Q$1%,35785.73-(35785.73*$Q$1%),35785.73-(35785.73*$E$1))</f>
        <v>35785.730000000003</v>
      </c>
      <c r="M3395" s="1">
        <v>43658.59</v>
      </c>
      <c r="N3395" s="1">
        <v>35785.730000000003</v>
      </c>
      <c r="O3395" s="1">
        <v>43658.59</v>
      </c>
      <c r="P3395" s="1">
        <v>35785.730000000003</v>
      </c>
      <c r="Q3395">
        <v>14.95</v>
      </c>
      <c r="R3395">
        <v>5.2535999999999999E-2</v>
      </c>
    </row>
    <row r="3396" spans="1:18" ht="13.8" outlineLevel="3" x14ac:dyDescent="0.25">
      <c r="A3396">
        <v>79663</v>
      </c>
      <c r="B3396" t="s">
        <v>4339</v>
      </c>
      <c r="C3396" t="s">
        <v>4340</v>
      </c>
      <c r="D3396" s="14" t="s">
        <v>4341</v>
      </c>
      <c r="E3396" s="12" t="s">
        <v>28</v>
      </c>
      <c r="F3396" s="13" t="s">
        <v>29</v>
      </c>
      <c r="G3396">
        <v>1</v>
      </c>
      <c r="H3396" t="s">
        <v>30</v>
      </c>
      <c r="I3396">
        <v>1</v>
      </c>
      <c r="J3396" s="15"/>
      <c r="K3396" s="16">
        <f>IF($E$1&gt;=$Q$1%,67521.9-(67521.9*$Q$1%),67521.9-(67521.9*$E$1))</f>
        <v>67521.899999999994</v>
      </c>
      <c r="L3396" s="16">
        <f>IF($E$1&gt;=$Q$1%,55345.82-(55345.82*$Q$1%),55345.82-(55345.82*$E$1))</f>
        <v>55345.82</v>
      </c>
      <c r="M3396" s="1">
        <v>67521.899999999994</v>
      </c>
      <c r="N3396" s="1">
        <v>55345.82</v>
      </c>
      <c r="O3396" s="1">
        <v>67521.899999999994</v>
      </c>
      <c r="P3396" s="1">
        <v>55345.82</v>
      </c>
      <c r="Q3396">
        <v>19.2</v>
      </c>
      <c r="R3396">
        <v>3.3957000000000001E-2</v>
      </c>
    </row>
    <row r="3397" spans="1:18" ht="13.8" outlineLevel="3" x14ac:dyDescent="0.25">
      <c r="A3397">
        <v>79664</v>
      </c>
      <c r="B3397" t="s">
        <v>4339</v>
      </c>
      <c r="C3397" t="s">
        <v>4342</v>
      </c>
      <c r="D3397" s="14" t="s">
        <v>4343</v>
      </c>
      <c r="E3397" s="12" t="s">
        <v>28</v>
      </c>
      <c r="F3397" s="13" t="s">
        <v>29</v>
      </c>
      <c r="G3397">
        <v>1</v>
      </c>
      <c r="H3397" t="s">
        <v>30</v>
      </c>
      <c r="I3397">
        <v>1</v>
      </c>
      <c r="J3397" s="15"/>
      <c r="K3397" s="16">
        <f>IF($E$1&gt;=$Q$1%,93522.5-(93522.5*$Q$1%),93522.5-(93522.5*$E$1))</f>
        <v>93522.5</v>
      </c>
      <c r="L3397" s="16">
        <f>IF($E$1&gt;=$Q$1%,76657.79-(76657.79*$Q$1%),76657.79-(76657.79*$E$1))</f>
        <v>76657.789999999994</v>
      </c>
      <c r="M3397" s="1">
        <v>93522.5</v>
      </c>
      <c r="N3397" s="1">
        <v>76657.789999999994</v>
      </c>
      <c r="O3397" s="1">
        <v>93522.5</v>
      </c>
      <c r="P3397" s="1">
        <v>76657.789999999994</v>
      </c>
      <c r="Q3397">
        <v>19.2</v>
      </c>
      <c r="R3397">
        <v>3.3957000000000001E-2</v>
      </c>
    </row>
    <row r="3398" spans="1:18" ht="13.8" outlineLevel="3" x14ac:dyDescent="0.25">
      <c r="A3398">
        <v>69291</v>
      </c>
      <c r="B3398" t="s">
        <v>4339</v>
      </c>
      <c r="C3398" t="s">
        <v>4344</v>
      </c>
      <c r="D3398" s="14" t="s">
        <v>4345</v>
      </c>
      <c r="E3398" s="12" t="s">
        <v>28</v>
      </c>
      <c r="F3398" s="13" t="s">
        <v>29</v>
      </c>
      <c r="G3398">
        <v>1</v>
      </c>
      <c r="H3398" t="s">
        <v>30</v>
      </c>
      <c r="I3398">
        <v>1</v>
      </c>
      <c r="J3398" s="15"/>
      <c r="K3398" s="16">
        <f>IF($E$1&gt;=$Q$1%,91098.93-(91098.93*$Q$1%),91098.93-(91098.93*$E$1))</f>
        <v>91098.93</v>
      </c>
      <c r="L3398" s="16">
        <f>IF($E$1&gt;=$Q$1%,74671.25-(74671.25*$Q$1%),74671.25-(74671.25*$E$1))</f>
        <v>74671.25</v>
      </c>
      <c r="M3398" s="1">
        <v>91098.93</v>
      </c>
      <c r="N3398" s="1">
        <v>74671.25</v>
      </c>
      <c r="O3398" s="1">
        <v>91098.93</v>
      </c>
      <c r="P3398" s="1">
        <v>74671.25</v>
      </c>
      <c r="Q3398">
        <v>34.6</v>
      </c>
      <c r="R3398">
        <v>6.0839999999999998E-2</v>
      </c>
    </row>
    <row r="3399" spans="1:18" ht="13.8" outlineLevel="3" x14ac:dyDescent="0.25">
      <c r="A3399">
        <v>69293</v>
      </c>
      <c r="B3399" t="s">
        <v>4339</v>
      </c>
      <c r="C3399" t="s">
        <v>4346</v>
      </c>
      <c r="D3399" s="14" t="s">
        <v>4347</v>
      </c>
      <c r="E3399" s="12" t="s">
        <v>28</v>
      </c>
      <c r="F3399" s="13" t="s">
        <v>29</v>
      </c>
      <c r="G3399">
        <v>1</v>
      </c>
      <c r="H3399" t="s">
        <v>30</v>
      </c>
      <c r="I3399">
        <v>1</v>
      </c>
      <c r="J3399" s="15"/>
      <c r="K3399" s="16">
        <f>IF($E$1&gt;=$Q$1%,117435.52-(117435.52*$Q$1%),117435.52-(117435.52*$E$1))</f>
        <v>117435.52</v>
      </c>
      <c r="L3399" s="16">
        <f>IF($E$1&gt;=$Q$1%,96258.62-(96258.62*$Q$1%),96258.62-(96258.62*$E$1))</f>
        <v>96258.62</v>
      </c>
      <c r="M3399" s="1">
        <v>117435.52</v>
      </c>
      <c r="N3399" s="1">
        <v>96258.62</v>
      </c>
      <c r="O3399" s="1">
        <v>117435.52</v>
      </c>
      <c r="P3399" s="1">
        <v>96258.62</v>
      </c>
      <c r="Q3399">
        <v>34.200000000000003</v>
      </c>
      <c r="R3399">
        <v>6.0164000000000002E-2</v>
      </c>
    </row>
    <row r="3400" spans="1:18" ht="13.8" outlineLevel="3" x14ac:dyDescent="0.25">
      <c r="A3400">
        <v>78486</v>
      </c>
      <c r="B3400" t="s">
        <v>4339</v>
      </c>
      <c r="C3400" t="s">
        <v>4348</v>
      </c>
      <c r="D3400" s="14" t="s">
        <v>4349</v>
      </c>
      <c r="E3400" s="12" t="s">
        <v>28</v>
      </c>
      <c r="F3400" s="13" t="s">
        <v>29</v>
      </c>
      <c r="G3400">
        <v>1</v>
      </c>
      <c r="H3400" t="s">
        <v>30</v>
      </c>
      <c r="I3400">
        <v>1</v>
      </c>
      <c r="J3400" s="15"/>
      <c r="K3400" s="16">
        <f>IF($E$1&gt;=$Q$1%,91224.48-(91224.48*$Q$1%),91224.48-(91224.48*$E$1))</f>
        <v>91224.48</v>
      </c>
      <c r="L3400" s="16">
        <f>IF($E$1&gt;=$Q$1%,74774.16-(74774.16*$Q$1%),74774.16-(74774.16*$E$1))</f>
        <v>74774.16</v>
      </c>
      <c r="M3400" s="1">
        <v>91224.48</v>
      </c>
      <c r="N3400" s="1">
        <v>74774.16</v>
      </c>
      <c r="O3400" s="1">
        <v>91224.48</v>
      </c>
      <c r="P3400" s="1">
        <v>74774.16</v>
      </c>
      <c r="Q3400">
        <v>32.5</v>
      </c>
      <c r="R3400">
        <v>6.2010000000000003E-2</v>
      </c>
    </row>
    <row r="3401" spans="1:18" ht="13.8" outlineLevel="3" x14ac:dyDescent="0.25">
      <c r="A3401">
        <v>69292</v>
      </c>
      <c r="B3401" t="s">
        <v>4339</v>
      </c>
      <c r="C3401" t="s">
        <v>4350</v>
      </c>
      <c r="D3401" s="14" t="s">
        <v>4351</v>
      </c>
      <c r="E3401" s="12" t="s">
        <v>28</v>
      </c>
      <c r="F3401" s="13" t="s">
        <v>29</v>
      </c>
      <c r="G3401">
        <v>1</v>
      </c>
      <c r="H3401" t="s">
        <v>30</v>
      </c>
      <c r="I3401">
        <v>1</v>
      </c>
      <c r="J3401" s="15"/>
      <c r="K3401" s="16">
        <f>IF($E$1&gt;=$Q$1%,131364.23-(131364.23*$Q$1%),131364.23-(131364.23*$E$1))</f>
        <v>131364.23000000001</v>
      </c>
      <c r="L3401" s="16">
        <f>IF($E$1&gt;=$Q$1%,107675.6-(107675.6*$Q$1%),107675.6-(107675.6*$E$1))</f>
        <v>107675.6</v>
      </c>
      <c r="M3401" s="1">
        <v>131364.23000000001</v>
      </c>
      <c r="N3401" s="1">
        <v>107675.6</v>
      </c>
      <c r="O3401" s="1">
        <v>131364.23000000001</v>
      </c>
      <c r="P3401" s="1">
        <v>107675.6</v>
      </c>
      <c r="Q3401">
        <v>39.1</v>
      </c>
      <c r="R3401">
        <v>8.3720000000000003E-2</v>
      </c>
    </row>
    <row r="3402" spans="1:18" ht="13.8" outlineLevel="3" x14ac:dyDescent="0.25">
      <c r="A3402">
        <v>69294</v>
      </c>
      <c r="B3402" t="s">
        <v>4339</v>
      </c>
      <c r="C3402" t="s">
        <v>4352</v>
      </c>
      <c r="D3402" s="14" t="s">
        <v>4353</v>
      </c>
      <c r="E3402" s="12" t="s">
        <v>28</v>
      </c>
      <c r="F3402" s="13" t="s">
        <v>29</v>
      </c>
      <c r="G3402">
        <v>1</v>
      </c>
      <c r="H3402" t="s">
        <v>30</v>
      </c>
      <c r="I3402">
        <v>1</v>
      </c>
      <c r="J3402" s="15"/>
      <c r="K3402" s="16">
        <f>IF($E$1&gt;=$Q$1%,148772.47-(148772.47*$Q$1%),148772.47-(148772.47*$E$1))</f>
        <v>148772.47</v>
      </c>
      <c r="L3402" s="16">
        <f>IF($E$1&gt;=$Q$1%,121944.65-(121944.65*$Q$1%),121944.65-(121944.65*$E$1))</f>
        <v>121944.65</v>
      </c>
      <c r="M3402" s="1">
        <v>148772.47</v>
      </c>
      <c r="N3402" s="1">
        <v>121944.65</v>
      </c>
      <c r="O3402" s="1">
        <v>148772.47</v>
      </c>
      <c r="P3402" s="1">
        <v>121944.65</v>
      </c>
      <c r="Q3402">
        <v>41.1</v>
      </c>
      <c r="R3402">
        <v>8.3002000000000006E-2</v>
      </c>
    </row>
    <row r="3403" spans="1:18" ht="13.8" outlineLevel="3" x14ac:dyDescent="0.25">
      <c r="A3403">
        <v>91798</v>
      </c>
      <c r="B3403" t="s">
        <v>4354</v>
      </c>
      <c r="C3403" t="s">
        <v>4355</v>
      </c>
      <c r="D3403" s="14" t="s">
        <v>4356</v>
      </c>
      <c r="E3403" s="12" t="s">
        <v>28</v>
      </c>
      <c r="F3403" s="13" t="s">
        <v>29</v>
      </c>
      <c r="H3403" t="s">
        <v>30</v>
      </c>
      <c r="I3403">
        <v>1</v>
      </c>
      <c r="J3403" s="15"/>
      <c r="K3403" s="16">
        <f>IF($E$1&gt;=$Q$1%,101372.58-(101372.58*$Q$1%),101372.58-(101372.58*$E$1))</f>
        <v>101372.58</v>
      </c>
      <c r="L3403" s="16">
        <f>IF($E$1&gt;=$Q$1%,83092.28-(83092.28*$Q$1%),83092.28-(83092.28*$E$1))</f>
        <v>83092.28</v>
      </c>
      <c r="M3403" s="1">
        <v>101372.58</v>
      </c>
      <c r="N3403" s="1">
        <v>83092.28</v>
      </c>
      <c r="O3403" s="1">
        <v>101372.58</v>
      </c>
      <c r="P3403" s="1">
        <v>83092.28</v>
      </c>
    </row>
    <row r="3404" spans="1:18" ht="13.8" outlineLevel="3" x14ac:dyDescent="0.25">
      <c r="A3404">
        <v>91799</v>
      </c>
      <c r="B3404" t="s">
        <v>4354</v>
      </c>
      <c r="C3404" t="s">
        <v>4357</v>
      </c>
      <c r="D3404" s="14" t="s">
        <v>4358</v>
      </c>
      <c r="E3404" s="12" t="s">
        <v>28</v>
      </c>
      <c r="F3404" s="13" t="s">
        <v>29</v>
      </c>
      <c r="H3404" t="s">
        <v>30</v>
      </c>
      <c r="I3404">
        <v>1</v>
      </c>
      <c r="J3404" s="15"/>
      <c r="K3404" s="16">
        <f>IF($E$1&gt;=$Q$1%,127672.13-(127672.13*$Q$1%),127672.13-(127672.13*$E$1))</f>
        <v>127672.13</v>
      </c>
      <c r="L3404" s="16">
        <f>IF($E$1&gt;=$Q$1%,104649.29-(104649.29*$Q$1%),104649.29-(104649.29*$E$1))</f>
        <v>104649.29</v>
      </c>
      <c r="M3404" s="1">
        <v>127672.13</v>
      </c>
      <c r="N3404" s="1">
        <v>104649.29</v>
      </c>
      <c r="O3404" s="1">
        <v>127672.13</v>
      </c>
      <c r="P3404" s="1">
        <v>104649.29</v>
      </c>
    </row>
    <row r="3405" spans="1:18" ht="13.8" outlineLevel="3" x14ac:dyDescent="0.25">
      <c r="A3405">
        <v>91800</v>
      </c>
      <c r="B3405" t="s">
        <v>4354</v>
      </c>
      <c r="C3405" t="s">
        <v>4359</v>
      </c>
      <c r="D3405" s="14" t="s">
        <v>4360</v>
      </c>
      <c r="E3405" s="12" t="s">
        <v>28</v>
      </c>
      <c r="F3405" s="13" t="s">
        <v>29</v>
      </c>
      <c r="H3405" t="s">
        <v>30</v>
      </c>
      <c r="I3405">
        <v>1</v>
      </c>
      <c r="J3405" s="15"/>
      <c r="K3405" s="16">
        <f>IF($E$1&gt;=$Q$1%,145630.3-(145630.3*$Q$1%),145630.3-(145630.3*$E$1))</f>
        <v>145630.29999999999</v>
      </c>
      <c r="L3405" s="16">
        <f>IF($E$1&gt;=$Q$1%,119369.1-(119369.1*$Q$1%),119369.1-(119369.1*$E$1))</f>
        <v>119369.1</v>
      </c>
      <c r="M3405" s="1">
        <v>145630.29999999999</v>
      </c>
      <c r="N3405" s="1">
        <v>119369.1</v>
      </c>
      <c r="O3405" s="1">
        <v>145630.29999999999</v>
      </c>
      <c r="P3405" s="1">
        <v>119369.1</v>
      </c>
    </row>
    <row r="3406" spans="1:18" ht="13.8" outlineLevel="3" x14ac:dyDescent="0.25">
      <c r="A3406">
        <v>69297</v>
      </c>
      <c r="B3406" t="s">
        <v>4361</v>
      </c>
      <c r="C3406" t="s">
        <v>4362</v>
      </c>
      <c r="D3406" s="14" t="s">
        <v>4363</v>
      </c>
      <c r="E3406" s="12" t="s">
        <v>28</v>
      </c>
      <c r="F3406" s="13" t="s">
        <v>29</v>
      </c>
      <c r="G3406">
        <v>1</v>
      </c>
      <c r="H3406" t="s">
        <v>30</v>
      </c>
      <c r="I3406">
        <v>1</v>
      </c>
      <c r="J3406" s="15"/>
      <c r="K3406" s="16">
        <f>IF($E$1&gt;=$Q$1%,338548.78-(338548.78*$Q$1%),338548.78-(338548.78*$E$1))</f>
        <v>338548.78</v>
      </c>
      <c r="L3406" s="16">
        <f>IF($E$1&gt;=$Q$1%,277499-(277499*$Q$1%),277499-(277499*$E$1))</f>
        <v>277499</v>
      </c>
      <c r="M3406" s="1">
        <v>338548.78</v>
      </c>
      <c r="N3406" s="1">
        <v>277499</v>
      </c>
      <c r="O3406" s="1">
        <v>338548.78</v>
      </c>
      <c r="P3406" s="1">
        <v>277499</v>
      </c>
      <c r="Q3406">
        <v>52.9</v>
      </c>
      <c r="R3406">
        <v>0.152145</v>
      </c>
    </row>
    <row r="3407" spans="1:18" ht="16.5" customHeight="1" outlineLevel="2" x14ac:dyDescent="0.35">
      <c r="A3407" s="9"/>
      <c r="B3407" s="10" t="s">
        <v>4364</v>
      </c>
      <c r="C3407" s="10"/>
      <c r="D3407" s="10"/>
      <c r="E3407" s="10"/>
      <c r="F3407" s="10"/>
      <c r="G3407" s="10"/>
      <c r="H3407" s="10"/>
      <c r="I3407" s="10"/>
      <c r="J3407" s="10"/>
      <c r="K3407" s="10"/>
      <c r="L3407" s="10"/>
      <c r="M3407" s="10"/>
      <c r="N3407" s="10"/>
      <c r="O3407" s="10"/>
      <c r="P3407" s="10"/>
      <c r="Q3407" s="10"/>
      <c r="R3407" s="11"/>
    </row>
    <row r="3408" spans="1:18" ht="13.8" outlineLevel="3" x14ac:dyDescent="0.25">
      <c r="A3408">
        <v>85076</v>
      </c>
      <c r="B3408" t="s">
        <v>4365</v>
      </c>
      <c r="C3408" t="s">
        <v>4366</v>
      </c>
      <c r="D3408" s="14" t="s">
        <v>4366</v>
      </c>
      <c r="E3408" s="12" t="s">
        <v>28</v>
      </c>
      <c r="F3408" s="13" t="s">
        <v>29</v>
      </c>
      <c r="G3408">
        <v>1</v>
      </c>
      <c r="H3408" t="s">
        <v>30</v>
      </c>
      <c r="I3408">
        <v>1</v>
      </c>
      <c r="J3408" s="15"/>
      <c r="K3408" s="16">
        <f>IF($E$1&gt;=$Q$1%,14547.37-(14547.37*$Q$1%),14547.37-(14547.37*$E$1))</f>
        <v>14547.37</v>
      </c>
      <c r="L3408" s="16">
        <f>IF($E$1&gt;=$Q$1%,11924.07-(11924.07*$Q$1%),11924.07-(11924.07*$E$1))</f>
        <v>11924.07</v>
      </c>
      <c r="M3408" s="1">
        <v>14547.37</v>
      </c>
      <c r="N3408" s="1">
        <v>11924.07</v>
      </c>
      <c r="O3408" s="1">
        <v>14547.37</v>
      </c>
      <c r="P3408" s="1">
        <v>11924.07</v>
      </c>
      <c r="Q3408">
        <v>1.7</v>
      </c>
      <c r="R3408">
        <v>1.026E-3</v>
      </c>
    </row>
    <row r="3409" spans="1:18" ht="13.8" outlineLevel="3" x14ac:dyDescent="0.25">
      <c r="A3409">
        <v>59878</v>
      </c>
      <c r="B3409" t="s">
        <v>4365</v>
      </c>
      <c r="C3409" t="s">
        <v>4367</v>
      </c>
      <c r="D3409" s="14" t="s">
        <v>4367</v>
      </c>
      <c r="E3409" s="12" t="s">
        <v>28</v>
      </c>
      <c r="F3409" s="13" t="s">
        <v>29</v>
      </c>
      <c r="G3409">
        <v>1</v>
      </c>
      <c r="H3409" t="s">
        <v>30</v>
      </c>
      <c r="I3409">
        <v>1</v>
      </c>
      <c r="J3409" s="15"/>
      <c r="K3409" s="16">
        <f>IF($E$1&gt;=$Q$1%,20021.16-(20021.16*$Q$1%),20021.16-(20021.16*$E$1))</f>
        <v>20021.16</v>
      </c>
      <c r="L3409" s="16">
        <f>IF($E$1&gt;=$Q$1%,16410.79-(16410.79*$Q$1%),16410.79-(16410.79*$E$1))</f>
        <v>16410.79</v>
      </c>
      <c r="M3409" s="1">
        <v>20021.16</v>
      </c>
      <c r="N3409" s="1">
        <v>16410.79</v>
      </c>
      <c r="O3409" s="1">
        <v>20021.16</v>
      </c>
      <c r="P3409" s="1">
        <v>16410.79</v>
      </c>
      <c r="Q3409">
        <v>2.56</v>
      </c>
      <c r="R3409">
        <v>1.5E-3</v>
      </c>
    </row>
    <row r="3410" spans="1:18" ht="13.8" outlineLevel="3" x14ac:dyDescent="0.25">
      <c r="A3410">
        <v>85077</v>
      </c>
      <c r="B3410" t="s">
        <v>4365</v>
      </c>
      <c r="C3410" t="s">
        <v>4368</v>
      </c>
      <c r="D3410" s="14" t="s">
        <v>4368</v>
      </c>
      <c r="E3410" s="12" t="s">
        <v>28</v>
      </c>
      <c r="F3410" s="13" t="s">
        <v>29</v>
      </c>
      <c r="G3410">
        <v>1</v>
      </c>
      <c r="H3410" t="s">
        <v>30</v>
      </c>
      <c r="I3410">
        <v>1</v>
      </c>
      <c r="J3410" s="15"/>
      <c r="K3410" s="16">
        <f>IF($E$1&gt;=$Q$1%,24773.67-(24773.67*$Q$1%),24773.67-(24773.67*$E$1))</f>
        <v>24773.67</v>
      </c>
      <c r="L3410" s="16">
        <f>IF($E$1&gt;=$Q$1%,20306.29-(20306.29*$Q$1%),20306.29-(20306.29*$E$1))</f>
        <v>20306.29</v>
      </c>
      <c r="M3410" s="1">
        <v>24773.67</v>
      </c>
      <c r="N3410" s="1">
        <v>20306.29</v>
      </c>
      <c r="O3410" s="1">
        <v>24773.67</v>
      </c>
      <c r="P3410" s="1">
        <v>20306.29</v>
      </c>
      <c r="Q3410">
        <v>3.4</v>
      </c>
      <c r="R3410">
        <v>1.6199999999999999E-3</v>
      </c>
    </row>
    <row r="3411" spans="1:18" ht="13.8" outlineLevel="3" x14ac:dyDescent="0.25">
      <c r="A3411">
        <v>60068</v>
      </c>
      <c r="B3411" t="s">
        <v>4369</v>
      </c>
      <c r="C3411" t="s">
        <v>4370</v>
      </c>
      <c r="D3411" s="14" t="s">
        <v>4370</v>
      </c>
      <c r="E3411" s="12" t="s">
        <v>28</v>
      </c>
      <c r="F3411" s="13" t="s">
        <v>29</v>
      </c>
      <c r="G3411">
        <v>1</v>
      </c>
      <c r="H3411" t="s">
        <v>30</v>
      </c>
      <c r="I3411">
        <v>1</v>
      </c>
      <c r="J3411" s="15"/>
      <c r="K3411" s="16">
        <f>IF($E$1&gt;=$Q$1%,3896.7-(3896.7*$Q$1%),3896.7-(3896.7*$E$1))</f>
        <v>3896.7</v>
      </c>
      <c r="L3411" s="16">
        <f>IF($E$1&gt;=$Q$1%,3194.02-(3194.02*$Q$1%),3194.02-(3194.02*$E$1))</f>
        <v>3194.02</v>
      </c>
      <c r="M3411" s="1">
        <v>3896.7</v>
      </c>
      <c r="N3411" s="1">
        <v>3194.02</v>
      </c>
      <c r="O3411" s="1">
        <v>3896.7</v>
      </c>
      <c r="P3411" s="1">
        <v>3194.02</v>
      </c>
      <c r="Q3411">
        <v>0.9</v>
      </c>
      <c r="R3411">
        <v>1.75E-3</v>
      </c>
    </row>
    <row r="3412" spans="1:18" ht="13.8" outlineLevel="3" x14ac:dyDescent="0.25">
      <c r="A3412">
        <v>60069</v>
      </c>
      <c r="B3412" t="s">
        <v>4369</v>
      </c>
      <c r="C3412" t="s">
        <v>4371</v>
      </c>
      <c r="D3412" s="14" t="s">
        <v>4371</v>
      </c>
      <c r="E3412" s="12" t="s">
        <v>28</v>
      </c>
      <c r="F3412" s="13" t="s">
        <v>29</v>
      </c>
      <c r="G3412">
        <v>1</v>
      </c>
      <c r="H3412" t="s">
        <v>30</v>
      </c>
      <c r="I3412">
        <v>1</v>
      </c>
      <c r="J3412" s="15"/>
      <c r="K3412" s="16">
        <f>IF($E$1&gt;=$Q$1%,5822.62-(5822.62*$Q$1%),5822.62-(5822.62*$E$1))</f>
        <v>5822.62</v>
      </c>
      <c r="L3412" s="16">
        <f>IF($E$1&gt;=$Q$1%,4772.64-(4772.64*$Q$1%),4772.64-(4772.64*$E$1))</f>
        <v>4772.6400000000003</v>
      </c>
      <c r="M3412" s="1">
        <v>5822.62</v>
      </c>
      <c r="N3412" s="1">
        <v>4772.6400000000003</v>
      </c>
      <c r="O3412" s="1">
        <v>5822.62</v>
      </c>
      <c r="P3412" s="1">
        <v>4772.6400000000003</v>
      </c>
      <c r="Q3412">
        <v>1.2</v>
      </c>
      <c r="R3412">
        <v>2.3809999999999999E-3</v>
      </c>
    </row>
    <row r="3413" spans="1:18" ht="13.8" outlineLevel="3" x14ac:dyDescent="0.25">
      <c r="A3413">
        <v>61083</v>
      </c>
      <c r="B3413" t="s">
        <v>4369</v>
      </c>
      <c r="C3413" t="s">
        <v>4372</v>
      </c>
      <c r="D3413" s="14" t="s">
        <v>4372</v>
      </c>
      <c r="E3413" s="12" t="s">
        <v>28</v>
      </c>
      <c r="F3413" s="13" t="s">
        <v>29</v>
      </c>
      <c r="G3413">
        <v>1</v>
      </c>
      <c r="H3413" t="s">
        <v>30</v>
      </c>
      <c r="I3413">
        <v>1</v>
      </c>
      <c r="J3413" s="15"/>
      <c r="K3413" s="16">
        <f>IF($E$1&gt;=$Q$1%,9537.84-(9537.84*$Q$1%),9537.84-(9537.84*$E$1))</f>
        <v>9537.84</v>
      </c>
      <c r="L3413" s="16">
        <f>IF($E$1&gt;=$Q$1%,7817.9-(7817.9*$Q$1%),7817.9-(7817.9*$E$1))</f>
        <v>7817.9</v>
      </c>
      <c r="M3413" s="1">
        <v>9537.84</v>
      </c>
      <c r="N3413" s="1">
        <v>7817.9</v>
      </c>
      <c r="O3413" s="1">
        <v>9537.84</v>
      </c>
      <c r="P3413" s="1">
        <v>7817.9</v>
      </c>
      <c r="Q3413">
        <v>1.76</v>
      </c>
      <c r="R3413">
        <v>5.1029999999999999E-3</v>
      </c>
    </row>
    <row r="3414" spans="1:18" ht="13.8" outlineLevel="3" x14ac:dyDescent="0.25">
      <c r="A3414">
        <v>61084</v>
      </c>
      <c r="B3414" t="s">
        <v>4369</v>
      </c>
      <c r="C3414" t="s">
        <v>4373</v>
      </c>
      <c r="D3414" s="14" t="s">
        <v>4373</v>
      </c>
      <c r="E3414" s="12" t="s">
        <v>28</v>
      </c>
      <c r="F3414" s="13" t="s">
        <v>29</v>
      </c>
      <c r="G3414">
        <v>1</v>
      </c>
      <c r="H3414" t="s">
        <v>30</v>
      </c>
      <c r="I3414">
        <v>1</v>
      </c>
      <c r="J3414" s="15"/>
      <c r="K3414" s="16">
        <f>IF($E$1&gt;=$Q$1%,17702.03-(17702.03*$Q$1%),17702.03-(17702.03*$E$1))</f>
        <v>17702.03</v>
      </c>
      <c r="L3414" s="16">
        <f>IF($E$1&gt;=$Q$1%,14509.86-(14509.86*$Q$1%),14509.86-(14509.86*$E$1))</f>
        <v>14509.86</v>
      </c>
      <c r="M3414" s="1">
        <v>17702.03</v>
      </c>
      <c r="N3414" s="1">
        <v>14509.86</v>
      </c>
      <c r="O3414" s="1">
        <v>17702.03</v>
      </c>
      <c r="P3414" s="1">
        <v>14509.86</v>
      </c>
      <c r="Q3414">
        <v>3.1</v>
      </c>
      <c r="R3414">
        <v>6.5120000000000004E-3</v>
      </c>
    </row>
    <row r="3415" spans="1:18" ht="13.8" outlineLevel="3" x14ac:dyDescent="0.25">
      <c r="A3415">
        <v>69298</v>
      </c>
      <c r="B3415" t="s">
        <v>4374</v>
      </c>
      <c r="C3415" t="s">
        <v>4375</v>
      </c>
      <c r="D3415" s="14" t="s">
        <v>4375</v>
      </c>
      <c r="E3415" s="12" t="s">
        <v>28</v>
      </c>
      <c r="F3415" s="13" t="s">
        <v>29</v>
      </c>
      <c r="G3415">
        <v>1</v>
      </c>
      <c r="H3415" t="s">
        <v>30</v>
      </c>
      <c r="I3415">
        <v>1</v>
      </c>
      <c r="J3415" s="15"/>
      <c r="K3415" s="16">
        <f>IF($E$1&gt;=$Q$1%,2626.53-(2626.53*$Q$1%),2626.53-(2626.53*$E$1))</f>
        <v>2626.53</v>
      </c>
      <c r="L3415" s="16">
        <f>IF($E$1&gt;=$Q$1%,2152.89-(2152.89*$Q$1%),2152.89-(2152.89*$E$1))</f>
        <v>2152.89</v>
      </c>
      <c r="M3415" s="1">
        <v>2626.53</v>
      </c>
      <c r="N3415" s="1">
        <v>2152.89</v>
      </c>
      <c r="O3415" s="1">
        <v>2626.53</v>
      </c>
      <c r="P3415" s="1">
        <v>2152.89</v>
      </c>
      <c r="Q3415">
        <v>0.3</v>
      </c>
      <c r="R3415">
        <v>2.7300000000000002E-4</v>
      </c>
    </row>
    <row r="3416" spans="1:18" ht="13.8" outlineLevel="3" x14ac:dyDescent="0.25">
      <c r="A3416">
        <v>85079</v>
      </c>
      <c r="B3416" t="s">
        <v>4376</v>
      </c>
      <c r="C3416" t="s">
        <v>4377</v>
      </c>
      <c r="D3416" s="14" t="s">
        <v>4377</v>
      </c>
      <c r="E3416" s="12" t="s">
        <v>28</v>
      </c>
      <c r="F3416" s="13" t="s">
        <v>29</v>
      </c>
      <c r="G3416">
        <v>1</v>
      </c>
      <c r="H3416" t="s">
        <v>30</v>
      </c>
      <c r="I3416">
        <v>1</v>
      </c>
      <c r="J3416" s="15"/>
      <c r="K3416" s="16">
        <f>IF($E$1&gt;=$Q$1%,4743.53-(4743.53*$Q$1%),4743.53-(4743.53*$E$1))</f>
        <v>4743.53</v>
      </c>
      <c r="L3416" s="16">
        <f>IF($E$1&gt;=$Q$1%,3888.14-(3888.14*$Q$1%),3888.14-(3888.14*$E$1))</f>
        <v>3888.14</v>
      </c>
      <c r="M3416" s="1">
        <v>4743.53</v>
      </c>
      <c r="N3416" s="1">
        <v>3888.14</v>
      </c>
      <c r="O3416" s="1">
        <v>4743.53</v>
      </c>
      <c r="P3416" s="1">
        <v>3888.14</v>
      </c>
      <c r="Q3416">
        <v>0.8</v>
      </c>
      <c r="R3416">
        <v>1.7200000000000001E-4</v>
      </c>
    </row>
    <row r="3417" spans="1:18" ht="13.8" outlineLevel="3" x14ac:dyDescent="0.25">
      <c r="A3417">
        <v>85078</v>
      </c>
      <c r="B3417" t="s">
        <v>4378</v>
      </c>
      <c r="C3417" t="s">
        <v>4379</v>
      </c>
      <c r="D3417" s="14" t="s">
        <v>4379</v>
      </c>
      <c r="E3417" s="12" t="s">
        <v>28</v>
      </c>
      <c r="F3417" s="13" t="s">
        <v>29</v>
      </c>
      <c r="G3417">
        <v>1</v>
      </c>
      <c r="H3417" t="s">
        <v>30</v>
      </c>
      <c r="I3417">
        <v>1</v>
      </c>
      <c r="J3417" s="15"/>
      <c r="K3417" s="16">
        <f>IF($E$1&gt;=$Q$1%,4562.52-(4562.52*$Q$1%),4562.52-(4562.52*$E$1))</f>
        <v>4562.5200000000004</v>
      </c>
      <c r="L3417" s="16">
        <f>IF($E$1&gt;=$Q$1%,3739.77-(3739.77*$Q$1%),3739.77-(3739.77*$E$1))</f>
        <v>3739.77</v>
      </c>
      <c r="M3417" s="1">
        <v>4562.5200000000004</v>
      </c>
      <c r="N3417" s="1">
        <v>3739.77</v>
      </c>
      <c r="O3417" s="1">
        <v>4562.5200000000004</v>
      </c>
      <c r="P3417" s="1">
        <v>3739.77</v>
      </c>
      <c r="Q3417">
        <v>0.2</v>
      </c>
      <c r="R3417">
        <v>2.43E-4</v>
      </c>
    </row>
    <row r="3418" spans="1:18" ht="13.8" outlineLevel="3" x14ac:dyDescent="0.25">
      <c r="A3418">
        <v>85081</v>
      </c>
      <c r="B3418" t="s">
        <v>4380</v>
      </c>
      <c r="C3418" t="s">
        <v>4381</v>
      </c>
      <c r="D3418" s="14" t="s">
        <v>4381</v>
      </c>
      <c r="E3418" s="12" t="s">
        <v>28</v>
      </c>
      <c r="F3418" s="13" t="s">
        <v>29</v>
      </c>
      <c r="G3418">
        <v>1</v>
      </c>
      <c r="H3418" t="s">
        <v>30</v>
      </c>
      <c r="I3418">
        <v>1</v>
      </c>
      <c r="J3418" s="15"/>
      <c r="K3418" s="16">
        <f>IF($E$1&gt;=$Q$1%,8137.34-(8137.34*$Q$1%),8137.34-(8137.34*$E$1))</f>
        <v>8137.34</v>
      </c>
      <c r="L3418" s="16">
        <f>IF($E$1&gt;=$Q$1%,6669.95-(6669.95*$Q$1%),6669.95-(6669.95*$E$1))</f>
        <v>6669.95</v>
      </c>
      <c r="M3418" s="1">
        <v>8137.34</v>
      </c>
      <c r="N3418" s="1">
        <v>6669.95</v>
      </c>
      <c r="O3418" s="1">
        <v>8137.34</v>
      </c>
      <c r="P3418" s="1">
        <v>6669.95</v>
      </c>
      <c r="Q3418">
        <v>0.85</v>
      </c>
      <c r="R3418">
        <v>3.3E-4</v>
      </c>
    </row>
    <row r="3419" spans="1:18" ht="16.5" customHeight="1" outlineLevel="1" x14ac:dyDescent="0.35">
      <c r="A3419" s="9"/>
      <c r="B3419" s="10" t="s">
        <v>4382</v>
      </c>
      <c r="C3419" s="10"/>
      <c r="D3419" s="10"/>
      <c r="E3419" s="10"/>
      <c r="F3419" s="10"/>
      <c r="G3419" s="10"/>
      <c r="H3419" s="10"/>
      <c r="I3419" s="10"/>
      <c r="J3419" s="10"/>
      <c r="K3419" s="10"/>
      <c r="L3419" s="10"/>
      <c r="M3419" s="10"/>
      <c r="N3419" s="10"/>
      <c r="O3419" s="10"/>
      <c r="P3419" s="10"/>
      <c r="Q3419" s="10"/>
      <c r="R3419" s="11"/>
    </row>
    <row r="3420" spans="1:18" ht="16.5" customHeight="1" outlineLevel="2" x14ac:dyDescent="0.35">
      <c r="A3420" s="9"/>
      <c r="B3420" s="10" t="s">
        <v>4383</v>
      </c>
      <c r="C3420" s="10"/>
      <c r="D3420" s="10"/>
      <c r="E3420" s="10"/>
      <c r="F3420" s="10"/>
      <c r="G3420" s="10"/>
      <c r="H3420" s="10"/>
      <c r="I3420" s="10"/>
      <c r="J3420" s="10"/>
      <c r="K3420" s="10"/>
      <c r="L3420" s="10"/>
      <c r="M3420" s="10"/>
      <c r="N3420" s="10"/>
      <c r="O3420" s="10"/>
      <c r="P3420" s="10"/>
      <c r="Q3420" s="10"/>
      <c r="R3420" s="11"/>
    </row>
    <row r="3421" spans="1:18" ht="13.8" outlineLevel="3" x14ac:dyDescent="0.25">
      <c r="A3421">
        <v>109529</v>
      </c>
      <c r="B3421" t="s">
        <v>4384</v>
      </c>
      <c r="C3421" t="s">
        <v>4385</v>
      </c>
      <c r="D3421" s="14" t="s">
        <v>4385</v>
      </c>
      <c r="E3421" s="12" t="s">
        <v>28</v>
      </c>
      <c r="F3421" s="18" t="s">
        <v>1467</v>
      </c>
      <c r="H3421" t="s">
        <v>30</v>
      </c>
      <c r="I3421">
        <v>1</v>
      </c>
      <c r="J3421" s="15"/>
      <c r="K3421" s="21" t="s">
        <v>4386</v>
      </c>
      <c r="L3421" s="21" t="s">
        <v>4387</v>
      </c>
      <c r="M3421" s="1">
        <v>64664.28</v>
      </c>
      <c r="N3421" s="1">
        <v>53003.51</v>
      </c>
      <c r="O3421" s="1">
        <v>54964.639999999999</v>
      </c>
      <c r="P3421" s="1">
        <v>45052.98</v>
      </c>
    </row>
    <row r="3422" spans="1:18" ht="13.8" outlineLevel="3" x14ac:dyDescent="0.25">
      <c r="A3422">
        <v>71982</v>
      </c>
      <c r="B3422" t="s">
        <v>4388</v>
      </c>
      <c r="C3422" t="s">
        <v>4389</v>
      </c>
      <c r="D3422" s="14" t="s">
        <v>4389</v>
      </c>
      <c r="E3422" s="12" t="s">
        <v>28</v>
      </c>
      <c r="F3422" s="13" t="s">
        <v>29</v>
      </c>
      <c r="G3422">
        <v>1</v>
      </c>
      <c r="H3422" t="s">
        <v>30</v>
      </c>
      <c r="I3422">
        <v>1</v>
      </c>
      <c r="J3422" s="15"/>
      <c r="K3422" s="16">
        <f>IF($E$1&gt;=$Q$1%,108122.15-(108122.15*$Q$1%),108122.15-(108122.15*$E$1))</f>
        <v>108122.15</v>
      </c>
      <c r="L3422" s="16">
        <f>IF($E$1&gt;=$Q$1%,88624.71-(88624.71*$Q$1%),88624.71-(88624.71*$E$1))</f>
        <v>88624.71</v>
      </c>
      <c r="M3422" s="1">
        <v>108122.15</v>
      </c>
      <c r="N3422" s="1">
        <v>88624.71</v>
      </c>
      <c r="O3422" s="1">
        <v>108122.15</v>
      </c>
      <c r="P3422" s="1">
        <v>88624.71</v>
      </c>
      <c r="Q3422">
        <v>86.5</v>
      </c>
      <c r="R3422">
        <v>0.77</v>
      </c>
    </row>
    <row r="3423" spans="1:18" ht="13.8" outlineLevel="3" x14ac:dyDescent="0.25">
      <c r="A3423">
        <v>109530</v>
      </c>
      <c r="B3423" t="s">
        <v>4384</v>
      </c>
      <c r="C3423" t="s">
        <v>4390</v>
      </c>
      <c r="D3423" s="14" t="s">
        <v>4390</v>
      </c>
      <c r="E3423" s="12" t="s">
        <v>28</v>
      </c>
      <c r="F3423" s="18" t="s">
        <v>1467</v>
      </c>
      <c r="H3423" t="s">
        <v>30</v>
      </c>
      <c r="I3423">
        <v>1</v>
      </c>
      <c r="J3423" s="15"/>
      <c r="K3423" s="16">
        <f>IF($E$1&gt;=$Q$1%,96328.58-(96328.58*$Q$1%),96328.58-(96328.58*$E$1))</f>
        <v>96328.58</v>
      </c>
      <c r="L3423" s="16">
        <f>IF($E$1&gt;=$Q$1%,78957.85-(78957.85*$Q$1%),78957.85-(78957.85*$E$1))</f>
        <v>78957.850000000006</v>
      </c>
      <c r="M3423" s="1">
        <v>96328.58</v>
      </c>
      <c r="N3423" s="1">
        <v>78957.850000000006</v>
      </c>
      <c r="O3423" s="1">
        <v>96328.58</v>
      </c>
      <c r="P3423" s="1">
        <v>78957.850000000006</v>
      </c>
    </row>
    <row r="3424" spans="1:18" ht="13.8" outlineLevel="3" x14ac:dyDescent="0.25">
      <c r="A3424">
        <v>111138</v>
      </c>
      <c r="B3424" t="s">
        <v>4391</v>
      </c>
      <c r="C3424" t="s">
        <v>4392</v>
      </c>
      <c r="D3424" s="14" t="s">
        <v>4392</v>
      </c>
      <c r="E3424" s="12" t="s">
        <v>28</v>
      </c>
      <c r="F3424" s="18" t="s">
        <v>1467</v>
      </c>
      <c r="H3424" t="s">
        <v>30</v>
      </c>
      <c r="I3424">
        <v>1</v>
      </c>
      <c r="J3424" s="15"/>
      <c r="K3424" s="16">
        <f>IF($E$1&gt;=$Q$1%,99949.22-(99949.22*$Q$1%),99949.22-(99949.22*$E$1))</f>
        <v>99949.22</v>
      </c>
      <c r="L3424" s="16">
        <f>IF($E$1&gt;=$Q$1%,81925.59-(81925.59*$Q$1%),81925.59-(81925.59*$E$1))</f>
        <v>81925.59</v>
      </c>
      <c r="M3424" s="1">
        <v>99949.22</v>
      </c>
      <c r="N3424" s="1">
        <v>81925.59</v>
      </c>
      <c r="O3424" s="1">
        <v>99949.22</v>
      </c>
      <c r="P3424" s="1">
        <v>81925.59</v>
      </c>
    </row>
    <row r="3425" spans="1:18" ht="13.8" outlineLevel="3" x14ac:dyDescent="0.25">
      <c r="A3425">
        <v>71983</v>
      </c>
      <c r="B3425" t="s">
        <v>4388</v>
      </c>
      <c r="C3425" t="s">
        <v>4393</v>
      </c>
      <c r="D3425" s="14" t="s">
        <v>4393</v>
      </c>
      <c r="E3425" s="12" t="s">
        <v>28</v>
      </c>
      <c r="F3425" s="13" t="s">
        <v>29</v>
      </c>
      <c r="G3425">
        <v>1</v>
      </c>
      <c r="H3425" t="s">
        <v>30</v>
      </c>
      <c r="I3425">
        <v>1</v>
      </c>
      <c r="J3425" s="15"/>
      <c r="K3425" s="16">
        <f>IF($E$1&gt;=$Q$1%,291769.5-(291769.5*$Q$1%),291769.5-(291769.5*$E$1))</f>
        <v>291769.5</v>
      </c>
      <c r="L3425" s="16">
        <f>IF($E$1&gt;=$Q$1%,239155.33-(239155.33*$Q$1%),239155.33-(239155.33*$E$1))</f>
        <v>239155.33</v>
      </c>
      <c r="M3425" s="1">
        <v>291769.5</v>
      </c>
      <c r="N3425" s="1">
        <v>239155.33</v>
      </c>
      <c r="O3425" s="1">
        <v>291769.5</v>
      </c>
      <c r="P3425" s="1">
        <v>239155.33</v>
      </c>
      <c r="Q3425">
        <v>248</v>
      </c>
      <c r="R3425">
        <v>2.4</v>
      </c>
    </row>
    <row r="3426" spans="1:18" ht="13.8" outlineLevel="3" x14ac:dyDescent="0.25">
      <c r="A3426">
        <v>109531</v>
      </c>
      <c r="B3426" t="s">
        <v>4384</v>
      </c>
      <c r="C3426" t="s">
        <v>4394</v>
      </c>
      <c r="D3426" s="14" t="s">
        <v>4394</v>
      </c>
      <c r="E3426" s="12" t="s">
        <v>28</v>
      </c>
      <c r="F3426" s="18" t="s">
        <v>1467</v>
      </c>
      <c r="H3426" t="s">
        <v>30</v>
      </c>
      <c r="I3426">
        <v>1</v>
      </c>
      <c r="J3426" s="15"/>
      <c r="K3426" s="16">
        <f>IF($E$1&gt;=$Q$1%,131685.73-(131685.73*$Q$1%),131685.73-(131685.73*$E$1))</f>
        <v>131685.73000000001</v>
      </c>
      <c r="L3426" s="16">
        <f>IF($E$1&gt;=$Q$1%,107939.12-(107939.12*$Q$1%),107939.12-(107939.12*$E$1))</f>
        <v>107939.12</v>
      </c>
      <c r="M3426" s="1">
        <v>131685.73000000001</v>
      </c>
      <c r="N3426" s="1">
        <v>107939.12</v>
      </c>
      <c r="O3426" s="1">
        <v>131685.73000000001</v>
      </c>
      <c r="P3426" s="1">
        <v>107939.12</v>
      </c>
    </row>
    <row r="3427" spans="1:18" ht="13.8" outlineLevel="3" x14ac:dyDescent="0.25">
      <c r="A3427">
        <v>67093</v>
      </c>
      <c r="B3427" t="s">
        <v>4395</v>
      </c>
      <c r="C3427" t="s">
        <v>4396</v>
      </c>
      <c r="D3427" s="14" t="s">
        <v>4396</v>
      </c>
      <c r="E3427" s="12" t="s">
        <v>28</v>
      </c>
      <c r="F3427" s="13" t="s">
        <v>29</v>
      </c>
      <c r="G3427">
        <v>1</v>
      </c>
      <c r="H3427" t="s">
        <v>30</v>
      </c>
      <c r="I3427">
        <v>1</v>
      </c>
      <c r="J3427" s="15"/>
      <c r="K3427" s="21" t="s">
        <v>4397</v>
      </c>
      <c r="L3427" s="21" t="s">
        <v>4398</v>
      </c>
      <c r="M3427" s="1">
        <v>75257.679999999993</v>
      </c>
      <c r="N3427" s="1">
        <v>61686.62</v>
      </c>
      <c r="O3427" s="1">
        <v>63969.02</v>
      </c>
      <c r="P3427" s="1">
        <v>52433.63</v>
      </c>
      <c r="Q3427">
        <v>136</v>
      </c>
      <c r="R3427">
        <v>2.1534</v>
      </c>
    </row>
    <row r="3428" spans="1:18" ht="13.8" outlineLevel="3" x14ac:dyDescent="0.25">
      <c r="A3428">
        <v>106391</v>
      </c>
      <c r="B3428" t="s">
        <v>4399</v>
      </c>
      <c r="C3428" t="s">
        <v>4400</v>
      </c>
      <c r="D3428" s="14" t="s">
        <v>4400</v>
      </c>
      <c r="E3428" s="12" t="s">
        <v>28</v>
      </c>
      <c r="F3428" s="13" t="s">
        <v>29</v>
      </c>
      <c r="G3428">
        <v>1</v>
      </c>
      <c r="H3428" t="s">
        <v>30</v>
      </c>
      <c r="I3428">
        <v>1</v>
      </c>
      <c r="J3428" s="15"/>
      <c r="K3428" s="16">
        <f>IF($E$1&gt;=$Q$1%,78421.1-(78421.1*$Q$1%),78421.1-(78421.1*$E$1))</f>
        <v>78421.100000000006</v>
      </c>
      <c r="L3428" s="16">
        <f>IF($E$1&gt;=$Q$1%,64279.59-(64279.59*$Q$1%),64279.59-(64279.59*$E$1))</f>
        <v>64279.59</v>
      </c>
      <c r="M3428" s="1">
        <v>78421.100000000006</v>
      </c>
      <c r="N3428" s="1">
        <v>64279.59</v>
      </c>
      <c r="O3428" s="1">
        <v>78421.100000000006</v>
      </c>
      <c r="P3428" s="1">
        <v>64279.59</v>
      </c>
      <c r="Q3428">
        <v>153</v>
      </c>
      <c r="R3428">
        <v>0.7208</v>
      </c>
    </row>
    <row r="3429" spans="1:18" ht="13.8" outlineLevel="3" x14ac:dyDescent="0.25">
      <c r="A3429">
        <v>84849</v>
      </c>
      <c r="B3429" t="s">
        <v>4401</v>
      </c>
      <c r="C3429" t="s">
        <v>4402</v>
      </c>
      <c r="D3429" s="14" t="s">
        <v>4402</v>
      </c>
      <c r="E3429" s="12" t="s">
        <v>28</v>
      </c>
      <c r="F3429" s="13" t="s">
        <v>29</v>
      </c>
      <c r="G3429">
        <v>1</v>
      </c>
      <c r="H3429" t="s">
        <v>30</v>
      </c>
      <c r="I3429">
        <v>1</v>
      </c>
      <c r="J3429" s="15"/>
      <c r="K3429" s="16">
        <f>IF($E$1&gt;=$Q$1%,227758.93-(227758.93*$Q$1%),227758.93-(227758.93*$E$1))</f>
        <v>227758.93</v>
      </c>
      <c r="L3429" s="16">
        <f>IF($E$1&gt;=$Q$1%,186687.65-(186687.65*$Q$1%),186687.65-(186687.65*$E$1))</f>
        <v>186687.65</v>
      </c>
      <c r="M3429" s="1">
        <v>227758.93</v>
      </c>
      <c r="N3429" s="1">
        <v>186687.65</v>
      </c>
      <c r="O3429" s="1">
        <v>227758.93</v>
      </c>
      <c r="P3429" s="1">
        <v>186687.65</v>
      </c>
      <c r="Q3429">
        <v>172</v>
      </c>
      <c r="R3429">
        <v>0.64</v>
      </c>
    </row>
    <row r="3430" spans="1:18" ht="13.8" outlineLevel="3" x14ac:dyDescent="0.25">
      <c r="A3430">
        <v>88553</v>
      </c>
      <c r="B3430" t="s">
        <v>4403</v>
      </c>
      <c r="C3430" t="s">
        <v>4404</v>
      </c>
      <c r="D3430" s="14" t="s">
        <v>4405</v>
      </c>
      <c r="E3430" s="12" t="s">
        <v>28</v>
      </c>
      <c r="F3430" s="13" t="s">
        <v>29</v>
      </c>
      <c r="G3430">
        <v>1</v>
      </c>
      <c r="H3430" t="s">
        <v>30</v>
      </c>
      <c r="I3430">
        <v>1</v>
      </c>
      <c r="J3430" s="15"/>
      <c r="K3430" s="16">
        <f>IF($E$1&gt;=$Q$1%,4917.22-(4917.22*$Q$1%),4917.22-(4917.22*$E$1))</f>
        <v>4917.22</v>
      </c>
      <c r="L3430" s="16">
        <f>IF($E$1&gt;=$Q$1%,4030.51-(4030.51*$Q$1%),4030.51-(4030.51*$E$1))</f>
        <v>4030.51</v>
      </c>
      <c r="M3430" s="1">
        <v>4917.22</v>
      </c>
      <c r="N3430" s="1">
        <v>4030.51</v>
      </c>
      <c r="O3430" s="1">
        <v>4917.22</v>
      </c>
      <c r="P3430" s="1">
        <v>4030.51</v>
      </c>
      <c r="Q3430">
        <v>3.8</v>
      </c>
      <c r="R3430">
        <v>5.5970000000000004E-3</v>
      </c>
    </row>
    <row r="3431" spans="1:18" ht="13.8" outlineLevel="3" x14ac:dyDescent="0.25">
      <c r="A3431">
        <v>105968</v>
      </c>
      <c r="B3431" t="s">
        <v>4403</v>
      </c>
      <c r="C3431" t="s">
        <v>4406</v>
      </c>
      <c r="D3431" s="14" t="s">
        <v>4407</v>
      </c>
      <c r="E3431" s="12" t="s">
        <v>28</v>
      </c>
      <c r="F3431" s="13" t="s">
        <v>29</v>
      </c>
      <c r="G3431">
        <v>1</v>
      </c>
      <c r="H3431" t="s">
        <v>30</v>
      </c>
      <c r="I3431">
        <v>1</v>
      </c>
      <c r="J3431" s="15"/>
      <c r="K3431" s="16">
        <f>IF($E$1&gt;=$Q$1%,7792.95-(7792.95*$Q$1%),7792.95-(7792.95*$E$1))</f>
        <v>7792.95</v>
      </c>
      <c r="L3431" s="16">
        <f>IF($E$1&gt;=$Q$1%,6387.66-(6387.66*$Q$1%),6387.66-(6387.66*$E$1))</f>
        <v>6387.66</v>
      </c>
      <c r="M3431" s="1">
        <v>7792.95</v>
      </c>
      <c r="N3431" s="1">
        <v>6387.66</v>
      </c>
      <c r="O3431" s="1">
        <v>7792.95</v>
      </c>
      <c r="P3431" s="1">
        <v>6387.66</v>
      </c>
      <c r="Q3431">
        <v>6.77</v>
      </c>
      <c r="R3431">
        <v>7.3499999999999998E-3</v>
      </c>
    </row>
    <row r="3432" spans="1:18" ht="13.8" outlineLevel="3" x14ac:dyDescent="0.25">
      <c r="A3432">
        <v>106936</v>
      </c>
      <c r="B3432" t="s">
        <v>4403</v>
      </c>
      <c r="C3432" t="s">
        <v>4408</v>
      </c>
      <c r="D3432" s="14" t="s">
        <v>4409</v>
      </c>
      <c r="E3432" s="12" t="s">
        <v>28</v>
      </c>
      <c r="F3432" s="13" t="s">
        <v>29</v>
      </c>
      <c r="H3432" t="s">
        <v>30</v>
      </c>
      <c r="I3432">
        <v>1</v>
      </c>
      <c r="J3432" s="15"/>
      <c r="K3432" s="16">
        <f>IF($E$1&gt;=$Q$1%,12062.34-(12062.34*$Q$1%),12062.34-(12062.34*$E$1))</f>
        <v>12062.34</v>
      </c>
      <c r="L3432" s="16">
        <f>IF($E$1&gt;=$Q$1%,9887.16-(9887.16*$Q$1%),9887.16-(9887.16*$E$1))</f>
        <v>9887.16</v>
      </c>
      <c r="M3432" s="1">
        <v>12062.34</v>
      </c>
      <c r="N3432" s="1">
        <v>9887.16</v>
      </c>
      <c r="O3432" s="1">
        <v>12062.34</v>
      </c>
      <c r="P3432" s="1">
        <v>9887.16</v>
      </c>
    </row>
    <row r="3433" spans="1:18" ht="13.8" outlineLevel="3" x14ac:dyDescent="0.25">
      <c r="A3433">
        <v>65397</v>
      </c>
      <c r="B3433" t="s">
        <v>4410</v>
      </c>
      <c r="C3433" t="s">
        <v>4411</v>
      </c>
      <c r="D3433" s="14" t="s">
        <v>4412</v>
      </c>
      <c r="E3433" s="12" t="s">
        <v>28</v>
      </c>
      <c r="F3433" s="13" t="s">
        <v>29</v>
      </c>
      <c r="G3433">
        <v>1</v>
      </c>
      <c r="H3433" t="s">
        <v>30</v>
      </c>
      <c r="I3433">
        <v>1</v>
      </c>
      <c r="J3433" s="15"/>
      <c r="K3433" s="16">
        <f>IF($E$1&gt;=$Q$1%,2897.6-(2897.6*$Q$1%),2897.6-(2897.6*$E$1))</f>
        <v>2897.6</v>
      </c>
      <c r="L3433" s="16">
        <f>IF($E$1&gt;=$Q$1%,2375.08-(2375.08*$Q$1%),2375.08-(2375.08*$E$1))</f>
        <v>2375.08</v>
      </c>
      <c r="M3433" s="1">
        <v>2897.6</v>
      </c>
      <c r="N3433" s="1">
        <v>2375.08</v>
      </c>
      <c r="O3433" s="1">
        <v>2897.6</v>
      </c>
      <c r="P3433" s="1">
        <v>2375.08</v>
      </c>
      <c r="Q3433">
        <v>0.2</v>
      </c>
      <c r="R3433">
        <v>6.0000000000000002E-5</v>
      </c>
    </row>
    <row r="3434" spans="1:18" ht="13.8" outlineLevel="3" x14ac:dyDescent="0.25">
      <c r="A3434">
        <v>57631</v>
      </c>
      <c r="B3434" t="s">
        <v>4410</v>
      </c>
      <c r="C3434" t="s">
        <v>4413</v>
      </c>
      <c r="D3434" s="14" t="s">
        <v>4414</v>
      </c>
      <c r="E3434" s="12" t="s">
        <v>28</v>
      </c>
      <c r="F3434" s="13" t="s">
        <v>29</v>
      </c>
      <c r="G3434">
        <v>1</v>
      </c>
      <c r="H3434" t="s">
        <v>30</v>
      </c>
      <c r="I3434">
        <v>1</v>
      </c>
      <c r="J3434" s="15"/>
      <c r="K3434" s="16">
        <f>IF($E$1&gt;=$Q$1%,3812.37-(3812.37*$Q$1%),3812.37-(3812.37*$E$1))</f>
        <v>3812.37</v>
      </c>
      <c r="L3434" s="16">
        <f>IF($E$1&gt;=$Q$1%,3124.89-(3124.89*$Q$1%),3124.89-(3124.89*$E$1))</f>
        <v>3124.89</v>
      </c>
      <c r="M3434" s="1">
        <v>3812.37</v>
      </c>
      <c r="N3434" s="1">
        <v>3124.89</v>
      </c>
      <c r="O3434" s="1">
        <v>3812.37</v>
      </c>
      <c r="P3434" s="1">
        <v>3124.89</v>
      </c>
      <c r="Q3434">
        <v>0.4</v>
      </c>
      <c r="R3434">
        <v>9.0000000000000006E-5</v>
      </c>
    </row>
    <row r="3435" spans="1:18" ht="13.8" outlineLevel="3" x14ac:dyDescent="0.25">
      <c r="A3435">
        <v>65394</v>
      </c>
      <c r="B3435" t="s">
        <v>4410</v>
      </c>
      <c r="C3435" t="s">
        <v>4415</v>
      </c>
      <c r="D3435" s="14" t="s">
        <v>4416</v>
      </c>
      <c r="E3435" s="12" t="s">
        <v>28</v>
      </c>
      <c r="F3435" s="13" t="s">
        <v>29</v>
      </c>
      <c r="G3435">
        <v>1</v>
      </c>
      <c r="H3435" t="s">
        <v>30</v>
      </c>
      <c r="I3435">
        <v>1</v>
      </c>
      <c r="J3435" s="15"/>
      <c r="K3435" s="16">
        <f>IF($E$1&gt;=$Q$1%,4769.76-(4769.76*$Q$1%),4769.76-(4769.76*$E$1))</f>
        <v>4769.76</v>
      </c>
      <c r="L3435" s="16">
        <f>IF($E$1&gt;=$Q$1%,3909.64-(3909.64*$Q$1%),3909.64-(3909.64*$E$1))</f>
        <v>3909.64</v>
      </c>
      <c r="M3435" s="1">
        <v>4769.76</v>
      </c>
      <c r="N3435" s="1">
        <v>3909.64</v>
      </c>
      <c r="O3435" s="1">
        <v>4769.76</v>
      </c>
      <c r="P3435" s="1">
        <v>3909.64</v>
      </c>
      <c r="Q3435">
        <v>0.9</v>
      </c>
      <c r="R3435">
        <v>2.31E-4</v>
      </c>
    </row>
    <row r="3436" spans="1:18" ht="13.8" outlineLevel="3" x14ac:dyDescent="0.25">
      <c r="A3436">
        <v>65395</v>
      </c>
      <c r="B3436" t="s">
        <v>4410</v>
      </c>
      <c r="C3436" t="s">
        <v>4417</v>
      </c>
      <c r="D3436" s="14" t="s">
        <v>4418</v>
      </c>
      <c r="E3436" s="12" t="s">
        <v>28</v>
      </c>
      <c r="F3436" s="13" t="s">
        <v>29</v>
      </c>
      <c r="G3436">
        <v>1</v>
      </c>
      <c r="H3436" t="s">
        <v>30</v>
      </c>
      <c r="I3436">
        <v>1</v>
      </c>
      <c r="J3436" s="15"/>
      <c r="K3436" s="16">
        <f>IF($E$1&gt;=$Q$1%,7887.25-(7887.25*$Q$1%),7887.25-(7887.25*$E$1))</f>
        <v>7887.25</v>
      </c>
      <c r="L3436" s="16">
        <f>IF($E$1&gt;=$Q$1%,6464.96-(6464.96*$Q$1%),6464.96-(6464.96*$E$1))</f>
        <v>6464.96</v>
      </c>
      <c r="M3436" s="1">
        <v>7887.25</v>
      </c>
      <c r="N3436" s="1">
        <v>6464.96</v>
      </c>
      <c r="O3436" s="1">
        <v>7887.25</v>
      </c>
      <c r="P3436" s="1">
        <v>6464.96</v>
      </c>
      <c r="Q3436">
        <v>1.4</v>
      </c>
      <c r="R3436">
        <v>3.1100000000000002E-4</v>
      </c>
    </row>
    <row r="3437" spans="1:18" ht="13.8" outlineLevel="3" x14ac:dyDescent="0.25">
      <c r="A3437">
        <v>65396</v>
      </c>
      <c r="B3437" t="s">
        <v>4410</v>
      </c>
      <c r="C3437" t="s">
        <v>4419</v>
      </c>
      <c r="D3437" s="14" t="s">
        <v>4420</v>
      </c>
      <c r="E3437" s="12" t="s">
        <v>28</v>
      </c>
      <c r="F3437" s="13" t="s">
        <v>29</v>
      </c>
      <c r="G3437">
        <v>1</v>
      </c>
      <c r="H3437" t="s">
        <v>30</v>
      </c>
      <c r="I3437">
        <v>1</v>
      </c>
      <c r="J3437" s="15"/>
      <c r="K3437" s="16">
        <f>IF($E$1&gt;=$Q$1%,11235.58-(11235.58*$Q$1%),11235.58-(11235.58*$E$1))</f>
        <v>11235.58</v>
      </c>
      <c r="L3437" s="16">
        <f>IF($E$1&gt;=$Q$1%,9209.49-(9209.49*$Q$1%),9209.49-(9209.49*$E$1))</f>
        <v>9209.49</v>
      </c>
      <c r="M3437" s="1">
        <v>11235.58</v>
      </c>
      <c r="N3437" s="1">
        <v>9209.49</v>
      </c>
      <c r="O3437" s="1">
        <v>11235.58</v>
      </c>
      <c r="P3437" s="1">
        <v>9209.49</v>
      </c>
      <c r="Q3437">
        <v>2.7</v>
      </c>
      <c r="R3437">
        <v>6.8199999999999999E-4</v>
      </c>
    </row>
    <row r="3438" spans="1:18" ht="13.8" outlineLevel="3" x14ac:dyDescent="0.25">
      <c r="A3438">
        <v>85709</v>
      </c>
      <c r="B3438" t="s">
        <v>4410</v>
      </c>
      <c r="C3438" t="s">
        <v>4421</v>
      </c>
      <c r="D3438" s="14" t="s">
        <v>4422</v>
      </c>
      <c r="E3438" s="12" t="s">
        <v>28</v>
      </c>
      <c r="F3438" s="13" t="s">
        <v>29</v>
      </c>
      <c r="G3438">
        <v>1</v>
      </c>
      <c r="H3438" t="s">
        <v>30</v>
      </c>
      <c r="I3438">
        <v>1</v>
      </c>
      <c r="J3438" s="15"/>
      <c r="K3438" s="16">
        <f>IF($E$1&gt;=$Q$1%,17043.16-(17043.16*$Q$1%),17043.16-(17043.16*$E$1))</f>
        <v>17043.16</v>
      </c>
      <c r="L3438" s="16">
        <f>IF($E$1&gt;=$Q$1%,13969.8-(13969.8*$Q$1%),13969.8-(13969.8*$E$1))</f>
        <v>13969.8</v>
      </c>
      <c r="M3438" s="1">
        <v>17043.16</v>
      </c>
      <c r="N3438" s="1">
        <v>13969.8</v>
      </c>
      <c r="O3438" s="1">
        <v>17043.16</v>
      </c>
      <c r="P3438" s="1">
        <v>13969.8</v>
      </c>
      <c r="Q3438">
        <v>4.4000000000000004</v>
      </c>
      <c r="R3438">
        <v>1.008E-3</v>
      </c>
    </row>
    <row r="3439" spans="1:18" ht="13.8" outlineLevel="3" x14ac:dyDescent="0.25">
      <c r="A3439">
        <v>65128</v>
      </c>
      <c r="B3439" t="s">
        <v>4423</v>
      </c>
      <c r="C3439" t="s">
        <v>4424</v>
      </c>
      <c r="D3439" s="14" t="s">
        <v>4425</v>
      </c>
      <c r="E3439" s="12" t="s">
        <v>28</v>
      </c>
      <c r="F3439" s="13" t="s">
        <v>29</v>
      </c>
      <c r="G3439">
        <v>1</v>
      </c>
      <c r="H3439" t="s">
        <v>30</v>
      </c>
      <c r="I3439">
        <v>1</v>
      </c>
      <c r="J3439" s="15"/>
      <c r="K3439" s="16">
        <f>IF($E$1&gt;=$Q$1%,2943.45-(2943.45*$Q$1%),2943.45-(2943.45*$E$1))</f>
        <v>2943.45</v>
      </c>
      <c r="L3439" s="16">
        <f>IF($E$1&gt;=$Q$1%,2412.66-(2412.66*$Q$1%),2412.66-(2412.66*$E$1))</f>
        <v>2412.66</v>
      </c>
      <c r="M3439" s="1">
        <v>2943.45</v>
      </c>
      <c r="N3439" s="1">
        <v>2412.66</v>
      </c>
      <c r="O3439" s="1">
        <v>2943.45</v>
      </c>
      <c r="P3439" s="1">
        <v>2412.66</v>
      </c>
      <c r="Q3439">
        <v>0.3</v>
      </c>
      <c r="R3439">
        <v>4.3600000000000003E-4</v>
      </c>
    </row>
    <row r="3440" spans="1:18" ht="13.8" outlineLevel="3" x14ac:dyDescent="0.25">
      <c r="A3440">
        <v>65129</v>
      </c>
      <c r="B3440" t="s">
        <v>4423</v>
      </c>
      <c r="C3440" t="s">
        <v>4426</v>
      </c>
      <c r="D3440" s="14" t="s">
        <v>4425</v>
      </c>
      <c r="E3440" s="12" t="s">
        <v>28</v>
      </c>
      <c r="F3440" s="13" t="s">
        <v>29</v>
      </c>
      <c r="G3440">
        <v>1</v>
      </c>
      <c r="H3440" t="s">
        <v>30</v>
      </c>
      <c r="I3440">
        <v>1</v>
      </c>
      <c r="J3440" s="15"/>
      <c r="K3440" s="16">
        <f>IF($E$1&gt;=$Q$1%,3187.21-(3187.21*$Q$1%),3187.21-(3187.21*$E$1))</f>
        <v>3187.21</v>
      </c>
      <c r="L3440" s="16">
        <f>IF($E$1&gt;=$Q$1%,2612.47-(2612.47*$Q$1%),2612.47-(2612.47*$E$1))</f>
        <v>2612.4699999999998</v>
      </c>
      <c r="M3440" s="1">
        <v>3187.21</v>
      </c>
      <c r="N3440" s="1">
        <v>2612.4699999999998</v>
      </c>
      <c r="O3440" s="1">
        <v>3187.21</v>
      </c>
      <c r="P3440" s="1">
        <v>2612.4699999999998</v>
      </c>
      <c r="Q3440">
        <v>0.46</v>
      </c>
      <c r="R3440">
        <v>2.6200000000000003E-4</v>
      </c>
    </row>
    <row r="3441" spans="1:18" ht="13.8" outlineLevel="3" x14ac:dyDescent="0.25">
      <c r="A3441">
        <v>65130</v>
      </c>
      <c r="B3441" t="s">
        <v>4423</v>
      </c>
      <c r="C3441" t="s">
        <v>4427</v>
      </c>
      <c r="D3441" s="14" t="s">
        <v>4425</v>
      </c>
      <c r="E3441" s="12" t="s">
        <v>28</v>
      </c>
      <c r="F3441" s="13" t="s">
        <v>29</v>
      </c>
      <c r="G3441">
        <v>1</v>
      </c>
      <c r="H3441" t="s">
        <v>30</v>
      </c>
      <c r="I3441">
        <v>1</v>
      </c>
      <c r="J3441" s="15"/>
      <c r="K3441" s="16">
        <f>IF($E$1&gt;=$Q$1%,3590.46-(3590.46*$Q$1%),3590.46-(3590.46*$E$1))</f>
        <v>3590.46</v>
      </c>
      <c r="L3441" s="16">
        <f>IF($E$1&gt;=$Q$1%,2943-(2943*$Q$1%),2943-(2943*$E$1))</f>
        <v>2943</v>
      </c>
      <c r="M3441" s="1">
        <v>3590.46</v>
      </c>
      <c r="N3441" s="1">
        <v>2943</v>
      </c>
      <c r="O3441" s="1">
        <v>3590.46</v>
      </c>
      <c r="P3441" s="1">
        <v>2943</v>
      </c>
      <c r="Q3441">
        <v>0.6</v>
      </c>
      <c r="R3441">
        <v>5.8799999999999998E-4</v>
      </c>
    </row>
    <row r="3442" spans="1:18" ht="13.8" outlineLevel="3" x14ac:dyDescent="0.25">
      <c r="A3442">
        <v>65131</v>
      </c>
      <c r="B3442" t="s">
        <v>4423</v>
      </c>
      <c r="C3442" t="s">
        <v>4428</v>
      </c>
      <c r="D3442" s="14" t="s">
        <v>4425</v>
      </c>
      <c r="E3442" s="12" t="s">
        <v>28</v>
      </c>
      <c r="F3442" s="13" t="s">
        <v>29</v>
      </c>
      <c r="G3442">
        <v>1</v>
      </c>
      <c r="H3442" t="s">
        <v>30</v>
      </c>
      <c r="I3442">
        <v>1</v>
      </c>
      <c r="J3442" s="15"/>
      <c r="K3442" s="16">
        <f>IF($E$1&gt;=$Q$1%,3755.57-(3755.57*$Q$1%),3755.57-(3755.57*$E$1))</f>
        <v>3755.57</v>
      </c>
      <c r="L3442" s="16">
        <f>IF($E$1&gt;=$Q$1%,3078.34-(3078.34*$Q$1%),3078.34-(3078.34*$E$1))</f>
        <v>3078.34</v>
      </c>
      <c r="M3442" s="1">
        <v>3755.57</v>
      </c>
      <c r="N3442" s="1">
        <v>3078.34</v>
      </c>
      <c r="O3442" s="1">
        <v>3755.57</v>
      </c>
      <c r="P3442" s="1">
        <v>3078.34</v>
      </c>
      <c r="Q3442">
        <v>0.7</v>
      </c>
      <c r="R3442">
        <v>1.3500000000000001E-3</v>
      </c>
    </row>
    <row r="3443" spans="1:18" ht="13.8" outlineLevel="3" x14ac:dyDescent="0.25">
      <c r="A3443">
        <v>65124</v>
      </c>
      <c r="B3443" t="s">
        <v>4423</v>
      </c>
      <c r="C3443" t="s">
        <v>4429</v>
      </c>
      <c r="D3443" s="14" t="s">
        <v>4425</v>
      </c>
      <c r="E3443" s="12" t="s">
        <v>28</v>
      </c>
      <c r="F3443" s="13" t="s">
        <v>29</v>
      </c>
      <c r="G3443">
        <v>1</v>
      </c>
      <c r="H3443" t="s">
        <v>30</v>
      </c>
      <c r="I3443">
        <v>1</v>
      </c>
      <c r="J3443" s="15"/>
      <c r="K3443" s="16">
        <f>IF($E$1&gt;=$Q$1%,4841.67-(4841.67*$Q$1%),4841.67-(4841.67*$E$1))</f>
        <v>4841.67</v>
      </c>
      <c r="L3443" s="16">
        <f>IF($E$1&gt;=$Q$1%,3968.58-(3968.58*$Q$1%),3968.58-(3968.58*$E$1))</f>
        <v>3968.58</v>
      </c>
      <c r="M3443" s="1">
        <v>4841.67</v>
      </c>
      <c r="N3443" s="1">
        <v>3968.58</v>
      </c>
      <c r="O3443" s="1">
        <v>4841.67</v>
      </c>
      <c r="P3443" s="1">
        <v>3968.58</v>
      </c>
      <c r="Q3443">
        <v>1</v>
      </c>
      <c r="R3443">
        <v>2.2369999999999998E-3</v>
      </c>
    </row>
    <row r="3444" spans="1:18" ht="13.8" outlineLevel="3" x14ac:dyDescent="0.25">
      <c r="A3444">
        <v>65125</v>
      </c>
      <c r="B3444" t="s">
        <v>4423</v>
      </c>
      <c r="C3444" t="s">
        <v>4430</v>
      </c>
      <c r="D3444" s="14" t="s">
        <v>4425</v>
      </c>
      <c r="E3444" s="12" t="s">
        <v>28</v>
      </c>
      <c r="F3444" s="13" t="s">
        <v>29</v>
      </c>
      <c r="G3444">
        <v>1</v>
      </c>
      <c r="H3444" t="s">
        <v>30</v>
      </c>
      <c r="I3444">
        <v>1</v>
      </c>
      <c r="J3444" s="15"/>
      <c r="K3444" s="16">
        <f>IF($E$1&gt;=$Q$1%,5645.03-(5645.03*$Q$1%),5645.03-(5645.03*$E$1))</f>
        <v>5645.03</v>
      </c>
      <c r="L3444" s="16">
        <f>IF($E$1&gt;=$Q$1%,4627.07-(4627.07*$Q$1%),4627.07-(4627.07*$E$1))</f>
        <v>4627.07</v>
      </c>
      <c r="M3444" s="1">
        <v>5645.03</v>
      </c>
      <c r="N3444" s="1">
        <v>4627.07</v>
      </c>
      <c r="O3444" s="1">
        <v>5645.03</v>
      </c>
      <c r="P3444" s="1">
        <v>4627.07</v>
      </c>
      <c r="Q3444">
        <v>1.2</v>
      </c>
      <c r="R3444">
        <v>2.8800000000000002E-3</v>
      </c>
    </row>
    <row r="3445" spans="1:18" ht="13.8" outlineLevel="3" x14ac:dyDescent="0.25">
      <c r="A3445">
        <v>65126</v>
      </c>
      <c r="B3445" t="s">
        <v>4423</v>
      </c>
      <c r="C3445" t="s">
        <v>4431</v>
      </c>
      <c r="D3445" s="14" t="s">
        <v>4425</v>
      </c>
      <c r="E3445" s="12" t="s">
        <v>28</v>
      </c>
      <c r="F3445" s="13" t="s">
        <v>29</v>
      </c>
      <c r="G3445">
        <v>1</v>
      </c>
      <c r="H3445" t="s">
        <v>30</v>
      </c>
      <c r="I3445">
        <v>1</v>
      </c>
      <c r="J3445" s="15"/>
      <c r="K3445" s="16">
        <f>IF($E$1&gt;=$Q$1%,6753.85-(6753.85*$Q$1%),6753.85-(6753.85*$E$1))</f>
        <v>6753.85</v>
      </c>
      <c r="L3445" s="16">
        <f>IF($E$1&gt;=$Q$1%,5535.94-(5535.94*$Q$1%),5535.94-(5535.94*$E$1))</f>
        <v>5535.94</v>
      </c>
      <c r="M3445" s="1">
        <v>6753.85</v>
      </c>
      <c r="N3445" s="1">
        <v>5535.94</v>
      </c>
      <c r="O3445" s="1">
        <v>6753.85</v>
      </c>
      <c r="P3445" s="1">
        <v>5535.94</v>
      </c>
      <c r="Q3445">
        <v>1.5</v>
      </c>
      <c r="R3445">
        <v>3.9379999999999997E-3</v>
      </c>
    </row>
    <row r="3446" spans="1:18" ht="13.8" outlineLevel="3" x14ac:dyDescent="0.25">
      <c r="A3446">
        <v>65127</v>
      </c>
      <c r="B3446" t="s">
        <v>4423</v>
      </c>
      <c r="C3446" t="s">
        <v>4432</v>
      </c>
      <c r="D3446" s="14" t="s">
        <v>4425</v>
      </c>
      <c r="E3446" s="12" t="s">
        <v>28</v>
      </c>
      <c r="F3446" s="13" t="s">
        <v>29</v>
      </c>
      <c r="G3446">
        <v>1</v>
      </c>
      <c r="H3446" t="s">
        <v>30</v>
      </c>
      <c r="I3446">
        <v>1</v>
      </c>
      <c r="J3446" s="15"/>
      <c r="K3446" s="16">
        <f>IF($E$1&gt;=$Q$1%,6861.15-(6861.15*$Q$1%),6861.15-(6861.15*$E$1))</f>
        <v>6861.15</v>
      </c>
      <c r="L3446" s="16">
        <f>IF($E$1&gt;=$Q$1%,5623.89-(5623.89*$Q$1%),5623.89-(5623.89*$E$1))</f>
        <v>5623.89</v>
      </c>
      <c r="M3446" s="1">
        <v>6861.15</v>
      </c>
      <c r="N3446" s="1">
        <v>5623.89</v>
      </c>
      <c r="O3446" s="1">
        <v>6861.15</v>
      </c>
      <c r="P3446" s="1">
        <v>5623.89</v>
      </c>
      <c r="Q3446">
        <v>2</v>
      </c>
      <c r="R3446">
        <v>5.2160000000000002E-3</v>
      </c>
    </row>
    <row r="3447" spans="1:18" ht="13.8" outlineLevel="3" x14ac:dyDescent="0.25">
      <c r="A3447">
        <v>109873</v>
      </c>
      <c r="B3447" t="s">
        <v>4433</v>
      </c>
      <c r="C3447" t="s">
        <v>4434</v>
      </c>
      <c r="D3447" s="14" t="s">
        <v>4425</v>
      </c>
      <c r="E3447" s="12" t="s">
        <v>28</v>
      </c>
      <c r="F3447" s="18" t="s">
        <v>1467</v>
      </c>
      <c r="G3447">
        <v>1</v>
      </c>
      <c r="H3447" t="s">
        <v>30</v>
      </c>
      <c r="I3447">
        <v>1</v>
      </c>
      <c r="J3447" s="15"/>
      <c r="K3447" s="16">
        <f>IF($E$1&gt;=$Q$1%,8076.85-(8076.85*$Q$1%),8076.85-(8076.85*$E$1))</f>
        <v>8076.85</v>
      </c>
      <c r="L3447" s="16">
        <f>IF($E$1&gt;=$Q$1%,6620.37-(6620.37*$Q$1%),6620.37-(6620.37*$E$1))</f>
        <v>6620.37</v>
      </c>
      <c r="M3447" s="1">
        <v>8076.85</v>
      </c>
      <c r="N3447" s="1">
        <v>6620.37</v>
      </c>
      <c r="O3447" s="1">
        <v>8076.85</v>
      </c>
      <c r="P3447" s="1">
        <v>6620.37</v>
      </c>
      <c r="Q3447">
        <v>2.56</v>
      </c>
      <c r="R3447">
        <v>6.2220000000000001E-3</v>
      </c>
    </row>
    <row r="3448" spans="1:18" ht="13.8" outlineLevel="3" x14ac:dyDescent="0.25">
      <c r="A3448">
        <v>109874</v>
      </c>
      <c r="B3448" t="s">
        <v>4433</v>
      </c>
      <c r="C3448" t="s">
        <v>4435</v>
      </c>
      <c r="D3448" s="14" t="s">
        <v>4425</v>
      </c>
      <c r="E3448" s="12" t="s">
        <v>28</v>
      </c>
      <c r="F3448" s="18" t="s">
        <v>1467</v>
      </c>
      <c r="G3448">
        <v>1</v>
      </c>
      <c r="H3448" t="s">
        <v>30</v>
      </c>
      <c r="I3448">
        <v>1</v>
      </c>
      <c r="J3448" s="15"/>
      <c r="K3448" s="16">
        <f>IF($E$1&gt;=$Q$1%,9577.11-(9577.11*$Q$1%),9577.11-(9577.11*$E$1))</f>
        <v>9577.11</v>
      </c>
      <c r="L3448" s="16">
        <f>IF($E$1&gt;=$Q$1%,7850.09-(7850.09*$Q$1%),7850.09-(7850.09*$E$1))</f>
        <v>7850.09</v>
      </c>
      <c r="M3448" s="1">
        <v>9577.11</v>
      </c>
      <c r="N3448" s="1">
        <v>7850.09</v>
      </c>
      <c r="O3448" s="1">
        <v>9577.11</v>
      </c>
      <c r="P3448" s="1">
        <v>7850.09</v>
      </c>
      <c r="Q3448">
        <v>2.82</v>
      </c>
      <c r="R3448">
        <v>7.6800000000000002E-3</v>
      </c>
    </row>
    <row r="3449" spans="1:18" ht="13.8" outlineLevel="3" x14ac:dyDescent="0.25">
      <c r="A3449">
        <v>109875</v>
      </c>
      <c r="B3449" t="s">
        <v>4433</v>
      </c>
      <c r="C3449" t="s">
        <v>4436</v>
      </c>
      <c r="D3449" s="14" t="s">
        <v>4425</v>
      </c>
      <c r="E3449" s="12" t="s">
        <v>28</v>
      </c>
      <c r="F3449" s="18" t="s">
        <v>1467</v>
      </c>
      <c r="G3449">
        <v>1</v>
      </c>
      <c r="H3449" t="s">
        <v>30</v>
      </c>
      <c r="I3449">
        <v>1</v>
      </c>
      <c r="J3449" s="15"/>
      <c r="K3449" s="16">
        <f>IF($E$1&gt;=$Q$1%,11102.35-(11102.35*$Q$1%),11102.35-(11102.35*$E$1))</f>
        <v>11102.35</v>
      </c>
      <c r="L3449" s="16">
        <f>IF($E$1&gt;=$Q$1%,9100.29-(9100.29*$Q$1%),9100.29-(9100.29*$E$1))</f>
        <v>9100.2900000000009</v>
      </c>
      <c r="M3449" s="1">
        <v>11102.35</v>
      </c>
      <c r="N3449" s="1">
        <v>9100.2900000000009</v>
      </c>
      <c r="O3449" s="1">
        <v>11102.35</v>
      </c>
      <c r="P3449" s="1">
        <v>9100.2900000000009</v>
      </c>
      <c r="Q3449">
        <v>4.5</v>
      </c>
      <c r="R3449">
        <v>8.8000000000000005E-3</v>
      </c>
    </row>
    <row r="3450" spans="1:18" ht="13.8" outlineLevel="3" x14ac:dyDescent="0.25">
      <c r="A3450">
        <v>109876</v>
      </c>
      <c r="B3450" t="s">
        <v>4433</v>
      </c>
      <c r="C3450" t="s">
        <v>4437</v>
      </c>
      <c r="D3450" s="14" t="s">
        <v>4438</v>
      </c>
      <c r="E3450" s="12" t="s">
        <v>28</v>
      </c>
      <c r="F3450" s="18" t="s">
        <v>1467</v>
      </c>
      <c r="G3450">
        <v>1</v>
      </c>
      <c r="H3450" t="s">
        <v>30</v>
      </c>
      <c r="I3450">
        <v>1</v>
      </c>
      <c r="J3450" s="15"/>
      <c r="K3450" s="16">
        <f>IF($E$1&gt;=$Q$1%,2815.81-(2815.81*$Q$1%),2815.81-(2815.81*$E$1))</f>
        <v>2815.81</v>
      </c>
      <c r="L3450" s="16">
        <f>IF($E$1&gt;=$Q$1%,2308.04-(2308.04*$Q$1%),2308.04-(2308.04*$E$1))</f>
        <v>2308.04</v>
      </c>
      <c r="M3450" s="1">
        <v>2815.81</v>
      </c>
      <c r="N3450" s="1">
        <v>2308.04</v>
      </c>
      <c r="O3450" s="1">
        <v>2815.81</v>
      </c>
      <c r="P3450" s="1">
        <v>2308.04</v>
      </c>
      <c r="Q3450">
        <v>0.24</v>
      </c>
      <c r="R3450">
        <v>8.3199999999999995E-4</v>
      </c>
    </row>
    <row r="3451" spans="1:18" ht="13.8" outlineLevel="3" x14ac:dyDescent="0.25">
      <c r="A3451">
        <v>109877</v>
      </c>
      <c r="B3451" t="s">
        <v>4433</v>
      </c>
      <c r="C3451" t="s">
        <v>4439</v>
      </c>
      <c r="D3451" s="14" t="s">
        <v>4438</v>
      </c>
      <c r="E3451" s="12" t="s">
        <v>28</v>
      </c>
      <c r="F3451" s="18" t="s">
        <v>1467</v>
      </c>
      <c r="G3451">
        <v>1</v>
      </c>
      <c r="H3451" t="s">
        <v>30</v>
      </c>
      <c r="I3451">
        <v>1</v>
      </c>
      <c r="J3451" s="15"/>
      <c r="K3451" s="16">
        <f>IF($E$1&gt;=$Q$1%,2967.43-(2967.43*$Q$1%),2967.43-(2967.43*$E$1))</f>
        <v>2967.43</v>
      </c>
      <c r="L3451" s="16">
        <f>IF($E$1&gt;=$Q$1%,2432.32-(2432.32*$Q$1%),2432.32-(2432.32*$E$1))</f>
        <v>2432.3200000000002</v>
      </c>
      <c r="M3451" s="1">
        <v>2967.43</v>
      </c>
      <c r="N3451" s="1">
        <v>2432.3200000000002</v>
      </c>
      <c r="O3451" s="1">
        <v>2967.43</v>
      </c>
      <c r="P3451" s="1">
        <v>2432.3200000000002</v>
      </c>
      <c r="Q3451">
        <v>0.35</v>
      </c>
      <c r="R3451">
        <v>8.4800000000000001E-4</v>
      </c>
    </row>
    <row r="3452" spans="1:18" ht="13.8" outlineLevel="3" x14ac:dyDescent="0.25">
      <c r="A3452">
        <v>109878</v>
      </c>
      <c r="B3452" t="s">
        <v>4433</v>
      </c>
      <c r="C3452" t="s">
        <v>4440</v>
      </c>
      <c r="D3452" s="14" t="s">
        <v>4438</v>
      </c>
      <c r="E3452" s="12" t="s">
        <v>28</v>
      </c>
      <c r="F3452" s="18" t="s">
        <v>1467</v>
      </c>
      <c r="G3452">
        <v>1</v>
      </c>
      <c r="H3452" t="s">
        <v>30</v>
      </c>
      <c r="I3452">
        <v>1</v>
      </c>
      <c r="J3452" s="15"/>
      <c r="K3452" s="16">
        <f>IF($E$1&gt;=$Q$1%,3093.8-(3093.8*$Q$1%),3093.8-(3093.8*$E$1))</f>
        <v>3093.8</v>
      </c>
      <c r="L3452" s="16">
        <f>IF($E$1&gt;=$Q$1%,2535.9-(2535.9*$Q$1%),2535.9-(2535.9*$E$1))</f>
        <v>2535.9</v>
      </c>
      <c r="M3452" s="1">
        <v>3093.8</v>
      </c>
      <c r="N3452" s="1">
        <v>2535.9</v>
      </c>
      <c r="O3452" s="1">
        <v>3093.8</v>
      </c>
      <c r="P3452" s="1">
        <v>2535.9</v>
      </c>
      <c r="Q3452">
        <v>0.46500000000000002</v>
      </c>
      <c r="R3452">
        <v>1.284E-3</v>
      </c>
    </row>
    <row r="3453" spans="1:18" ht="13.8" outlineLevel="3" x14ac:dyDescent="0.25">
      <c r="A3453">
        <v>109879</v>
      </c>
      <c r="B3453" t="s">
        <v>4433</v>
      </c>
      <c r="C3453" t="s">
        <v>4441</v>
      </c>
      <c r="D3453" s="14" t="s">
        <v>4438</v>
      </c>
      <c r="E3453" s="12" t="s">
        <v>28</v>
      </c>
      <c r="F3453" s="18" t="s">
        <v>1467</v>
      </c>
      <c r="G3453">
        <v>1</v>
      </c>
      <c r="H3453" t="s">
        <v>30</v>
      </c>
      <c r="I3453">
        <v>1</v>
      </c>
      <c r="J3453" s="15"/>
      <c r="K3453" s="16">
        <f>IF($E$1&gt;=$Q$1%,3290.63-(3290.63*$Q$1%),3290.63-(3290.63*$E$1))</f>
        <v>3290.63</v>
      </c>
      <c r="L3453" s="16">
        <f>IF($E$1&gt;=$Q$1%,2697.24-(2697.24*$Q$1%),2697.24-(2697.24*$E$1))</f>
        <v>2697.24</v>
      </c>
      <c r="M3453" s="1">
        <v>3290.63</v>
      </c>
      <c r="N3453" s="1">
        <v>2697.24</v>
      </c>
      <c r="O3453" s="1">
        <v>3290.63</v>
      </c>
      <c r="P3453" s="1">
        <v>2697.24</v>
      </c>
      <c r="Q3453">
        <v>0.55000000000000004</v>
      </c>
      <c r="R3453">
        <v>1.2960000000000001E-3</v>
      </c>
    </row>
    <row r="3454" spans="1:18" ht="13.8" outlineLevel="3" x14ac:dyDescent="0.25">
      <c r="A3454">
        <v>109881</v>
      </c>
      <c r="B3454" t="s">
        <v>4433</v>
      </c>
      <c r="C3454" t="s">
        <v>4442</v>
      </c>
      <c r="D3454" s="14" t="s">
        <v>4438</v>
      </c>
      <c r="E3454" s="12" t="s">
        <v>28</v>
      </c>
      <c r="F3454" s="18" t="s">
        <v>1467</v>
      </c>
      <c r="G3454">
        <v>1</v>
      </c>
      <c r="H3454" t="s">
        <v>30</v>
      </c>
      <c r="I3454">
        <v>1</v>
      </c>
      <c r="J3454" s="15"/>
      <c r="K3454" s="16">
        <f>IF($E$1&gt;=$Q$1%,3652.44-(3652.44*$Q$1%),3652.44-(3652.44*$E$1))</f>
        <v>3652.44</v>
      </c>
      <c r="L3454" s="16">
        <f>IF($E$1&gt;=$Q$1%,2993.8-(2993.8*$Q$1%),2993.8-(2993.8*$E$1))</f>
        <v>2993.8</v>
      </c>
      <c r="M3454" s="1">
        <v>3652.44</v>
      </c>
      <c r="N3454" s="1">
        <v>2993.8</v>
      </c>
      <c r="O3454" s="1">
        <v>3652.44</v>
      </c>
      <c r="P3454" s="1">
        <v>2993.8</v>
      </c>
      <c r="Q3454">
        <v>0.75</v>
      </c>
      <c r="R3454">
        <v>1.5529999999999999E-3</v>
      </c>
    </row>
    <row r="3455" spans="1:18" ht="13.8" outlineLevel="3" x14ac:dyDescent="0.25">
      <c r="A3455">
        <v>109883</v>
      </c>
      <c r="B3455" t="s">
        <v>4433</v>
      </c>
      <c r="C3455" t="s">
        <v>4443</v>
      </c>
      <c r="D3455" s="14" t="s">
        <v>4438</v>
      </c>
      <c r="E3455" s="12" t="s">
        <v>28</v>
      </c>
      <c r="F3455" s="18" t="s">
        <v>1467</v>
      </c>
      <c r="G3455">
        <v>1</v>
      </c>
      <c r="H3455" t="s">
        <v>30</v>
      </c>
      <c r="I3455">
        <v>1</v>
      </c>
      <c r="J3455" s="15"/>
      <c r="K3455" s="16">
        <f>IF($E$1&gt;=$Q$1%,4166.12-(4166.12*$Q$1%),4166.12-(4166.12*$E$1))</f>
        <v>4166.12</v>
      </c>
      <c r="L3455" s="16">
        <f>IF($E$1&gt;=$Q$1%,3414.85-(3414.85*$Q$1%),3414.85-(3414.85*$E$1))</f>
        <v>3414.85</v>
      </c>
      <c r="M3455" s="1">
        <v>4166.12</v>
      </c>
      <c r="N3455" s="1">
        <v>3414.85</v>
      </c>
      <c r="O3455" s="1">
        <v>4166.12</v>
      </c>
      <c r="P3455" s="1">
        <v>3414.85</v>
      </c>
      <c r="Q3455">
        <v>0.87</v>
      </c>
      <c r="R3455">
        <v>1.5659999999999999E-3</v>
      </c>
    </row>
    <row r="3456" spans="1:18" ht="13.8" outlineLevel="3" x14ac:dyDescent="0.25">
      <c r="A3456">
        <v>109885</v>
      </c>
      <c r="B3456" t="s">
        <v>4433</v>
      </c>
      <c r="C3456" t="s">
        <v>4444</v>
      </c>
      <c r="D3456" s="14" t="s">
        <v>4438</v>
      </c>
      <c r="E3456" s="12" t="s">
        <v>28</v>
      </c>
      <c r="F3456" s="18" t="s">
        <v>1467</v>
      </c>
      <c r="G3456">
        <v>1</v>
      </c>
      <c r="H3456" t="s">
        <v>30</v>
      </c>
      <c r="I3456">
        <v>1</v>
      </c>
      <c r="J3456" s="15"/>
      <c r="K3456" s="16">
        <f>IF($E$1&gt;=$Q$1%,4884.97-(4884.97*$Q$1%),4884.97-(4884.97*$E$1))</f>
        <v>4884.97</v>
      </c>
      <c r="L3456" s="16">
        <f>IF($E$1&gt;=$Q$1%,4004.07-(4004.07*$Q$1%),4004.07-(4004.07*$E$1))</f>
        <v>4004.07</v>
      </c>
      <c r="M3456" s="1">
        <v>4884.97</v>
      </c>
      <c r="N3456" s="1">
        <v>4004.07</v>
      </c>
      <c r="O3456" s="1">
        <v>4884.97</v>
      </c>
      <c r="P3456" s="1">
        <v>4004.07</v>
      </c>
      <c r="Q3456">
        <v>1</v>
      </c>
      <c r="R3456">
        <v>1.725E-3</v>
      </c>
    </row>
    <row r="3457" spans="1:18" ht="13.8" outlineLevel="3" x14ac:dyDescent="0.25">
      <c r="A3457">
        <v>109888</v>
      </c>
      <c r="B3457" t="s">
        <v>4433</v>
      </c>
      <c r="C3457" t="s">
        <v>4445</v>
      </c>
      <c r="D3457" s="14" t="s">
        <v>4438</v>
      </c>
      <c r="E3457" s="12" t="s">
        <v>28</v>
      </c>
      <c r="F3457" s="18" t="s">
        <v>1467</v>
      </c>
      <c r="G3457">
        <v>1</v>
      </c>
      <c r="H3457" t="s">
        <v>30</v>
      </c>
      <c r="I3457">
        <v>1</v>
      </c>
      <c r="J3457" s="15"/>
      <c r="K3457" s="16">
        <f>IF($E$1&gt;=$Q$1%,5162.17-(5162.17*$Q$1%),5162.17-(5162.17*$E$1))</f>
        <v>5162.17</v>
      </c>
      <c r="L3457" s="16">
        <f>IF($E$1&gt;=$Q$1%,4231.29-(4231.29*$Q$1%),4231.29-(4231.29*$E$1))</f>
        <v>4231.29</v>
      </c>
      <c r="M3457" s="1">
        <v>5162.17</v>
      </c>
      <c r="N3457" s="1">
        <v>4231.29</v>
      </c>
      <c r="O3457" s="1">
        <v>5162.17</v>
      </c>
      <c r="P3457" s="1">
        <v>4231.29</v>
      </c>
      <c r="Q3457">
        <v>1.21</v>
      </c>
      <c r="R3457">
        <v>2.1419999999999998E-3</v>
      </c>
    </row>
    <row r="3458" spans="1:18" ht="13.8" outlineLevel="3" x14ac:dyDescent="0.25">
      <c r="A3458">
        <v>109890</v>
      </c>
      <c r="B3458" t="s">
        <v>4433</v>
      </c>
      <c r="C3458" t="s">
        <v>4446</v>
      </c>
      <c r="D3458" s="14" t="s">
        <v>4438</v>
      </c>
      <c r="E3458" s="12" t="s">
        <v>28</v>
      </c>
      <c r="F3458" s="18" t="s">
        <v>1467</v>
      </c>
      <c r="G3458">
        <v>1</v>
      </c>
      <c r="H3458" t="s">
        <v>30</v>
      </c>
      <c r="I3458">
        <v>1</v>
      </c>
      <c r="J3458" s="15"/>
      <c r="K3458" s="16">
        <f>IF($E$1&gt;=$Q$1%,6257.03-(6257.03*$Q$1%),6257.03-(6257.03*$E$1))</f>
        <v>6257.03</v>
      </c>
      <c r="L3458" s="16">
        <f>IF($E$1&gt;=$Q$1%,5128.71-(5128.71*$Q$1%),5128.71-(5128.71*$E$1))</f>
        <v>5128.71</v>
      </c>
      <c r="M3458" s="1">
        <v>6257.03</v>
      </c>
      <c r="N3458" s="1">
        <v>5128.71</v>
      </c>
      <c r="O3458" s="1">
        <v>6257.03</v>
      </c>
      <c r="P3458" s="1">
        <v>5128.71</v>
      </c>
      <c r="Q3458">
        <v>1.85</v>
      </c>
      <c r="R3458">
        <v>3.3149999999999998E-3</v>
      </c>
    </row>
    <row r="3459" spans="1:18" ht="13.8" outlineLevel="3" x14ac:dyDescent="0.25">
      <c r="A3459">
        <v>109893</v>
      </c>
      <c r="B3459" t="s">
        <v>4433</v>
      </c>
      <c r="C3459" t="s">
        <v>4447</v>
      </c>
      <c r="D3459" s="14" t="s">
        <v>4438</v>
      </c>
      <c r="E3459" s="12" t="s">
        <v>28</v>
      </c>
      <c r="F3459" s="18" t="s">
        <v>1467</v>
      </c>
      <c r="G3459">
        <v>1</v>
      </c>
      <c r="H3459" t="s">
        <v>30</v>
      </c>
      <c r="I3459">
        <v>1</v>
      </c>
      <c r="J3459" s="15"/>
      <c r="K3459" s="16">
        <f>IF($E$1&gt;=$Q$1%,7376.67-(7376.67*$Q$1%),7376.67-(7376.67*$E$1))</f>
        <v>7376.67</v>
      </c>
      <c r="L3459" s="16">
        <f>IF($E$1&gt;=$Q$1%,6046.45-(6046.45*$Q$1%),6046.45-(6046.45*$E$1))</f>
        <v>6046.45</v>
      </c>
      <c r="M3459" s="1">
        <v>7376.67</v>
      </c>
      <c r="N3459" s="1">
        <v>6046.45</v>
      </c>
      <c r="O3459" s="1">
        <v>7376.67</v>
      </c>
      <c r="P3459" s="1">
        <v>6046.45</v>
      </c>
      <c r="Q3459">
        <v>2.1</v>
      </c>
      <c r="R3459">
        <v>5.3460000000000001E-3</v>
      </c>
    </row>
    <row r="3460" spans="1:18" ht="13.8" outlineLevel="3" x14ac:dyDescent="0.25">
      <c r="A3460">
        <v>109896</v>
      </c>
      <c r="B3460" t="s">
        <v>4433</v>
      </c>
      <c r="C3460" t="s">
        <v>4448</v>
      </c>
      <c r="D3460" s="14" t="s">
        <v>4438</v>
      </c>
      <c r="E3460" s="12" t="s">
        <v>28</v>
      </c>
      <c r="F3460" s="18" t="s">
        <v>1467</v>
      </c>
      <c r="G3460">
        <v>1</v>
      </c>
      <c r="H3460" t="s">
        <v>30</v>
      </c>
      <c r="I3460">
        <v>1</v>
      </c>
      <c r="J3460" s="15"/>
      <c r="K3460" s="16">
        <f>IF($E$1&gt;=$Q$1%,9081.09-(9081.09*$Q$1%),9081.09-(9081.09*$E$1))</f>
        <v>9081.09</v>
      </c>
      <c r="L3460" s="16">
        <f>IF($E$1&gt;=$Q$1%,7443.52-(7443.52*$Q$1%),7443.52-(7443.52*$E$1))</f>
        <v>7443.52</v>
      </c>
      <c r="M3460" s="1">
        <v>9081.09</v>
      </c>
      <c r="N3460" s="1">
        <v>7443.52</v>
      </c>
      <c r="O3460" s="1">
        <v>9081.09</v>
      </c>
      <c r="P3460" s="1">
        <v>7443.52</v>
      </c>
      <c r="Q3460">
        <v>3.32</v>
      </c>
      <c r="R3460">
        <v>7.5599999999999999E-3</v>
      </c>
    </row>
    <row r="3461" spans="1:18" ht="13.8" outlineLevel="3" x14ac:dyDescent="0.25">
      <c r="A3461">
        <v>109914</v>
      </c>
      <c r="B3461" t="s">
        <v>4433</v>
      </c>
      <c r="C3461" t="s">
        <v>4449</v>
      </c>
      <c r="D3461" s="14" t="s">
        <v>4450</v>
      </c>
      <c r="E3461" s="12" t="s">
        <v>28</v>
      </c>
      <c r="F3461" s="18" t="s">
        <v>1467</v>
      </c>
      <c r="G3461">
        <v>1</v>
      </c>
      <c r="H3461" t="s">
        <v>30</v>
      </c>
      <c r="I3461">
        <v>1</v>
      </c>
      <c r="J3461" s="15"/>
      <c r="K3461" s="16">
        <f>IF($E$1&gt;=$Q$1%,9279.28-(9279.28*$Q$1%),9279.28-(9279.28*$E$1))</f>
        <v>9279.2800000000007</v>
      </c>
      <c r="L3461" s="16">
        <f>IF($E$1&gt;=$Q$1%,7605.97-(7605.97*$Q$1%),7605.97-(7605.97*$E$1))</f>
        <v>7605.97</v>
      </c>
      <c r="M3461" s="1">
        <v>9279.2800000000007</v>
      </c>
      <c r="N3461" s="1">
        <v>7605.97</v>
      </c>
      <c r="O3461" s="1">
        <v>9279.2800000000007</v>
      </c>
      <c r="P3461" s="1">
        <v>7605.97</v>
      </c>
      <c r="Q3461">
        <v>1.26</v>
      </c>
      <c r="R3461">
        <v>3.1980000000000001E-2</v>
      </c>
    </row>
    <row r="3462" spans="1:18" ht="13.8" outlineLevel="3" x14ac:dyDescent="0.25">
      <c r="A3462">
        <v>109915</v>
      </c>
      <c r="B3462" t="s">
        <v>4433</v>
      </c>
      <c r="C3462" t="s">
        <v>4451</v>
      </c>
      <c r="D3462" s="14" t="s">
        <v>4450</v>
      </c>
      <c r="E3462" s="12" t="s">
        <v>28</v>
      </c>
      <c r="F3462" s="18" t="s">
        <v>1467</v>
      </c>
      <c r="G3462">
        <v>1</v>
      </c>
      <c r="H3462" t="s">
        <v>30</v>
      </c>
      <c r="I3462">
        <v>1</v>
      </c>
      <c r="J3462" s="15"/>
      <c r="K3462" s="16">
        <f>IF($E$1&gt;=$Q$1%,9986.82-(9986.82*$Q$1%),9986.82-(9986.82*$E$1))</f>
        <v>9986.82</v>
      </c>
      <c r="L3462" s="16">
        <f>IF($E$1&gt;=$Q$1%,8185.92-(8185.92*$Q$1%),8185.92-(8185.92*$E$1))</f>
        <v>8185.92</v>
      </c>
      <c r="M3462" s="1">
        <v>9986.82</v>
      </c>
      <c r="N3462" s="1">
        <v>8185.92</v>
      </c>
      <c r="O3462" s="1">
        <v>9986.82</v>
      </c>
      <c r="P3462" s="1">
        <v>8185.92</v>
      </c>
      <c r="Q3462">
        <v>2</v>
      </c>
      <c r="R3462">
        <v>2.2200000000000002E-3</v>
      </c>
    </row>
    <row r="3463" spans="1:18" ht="13.8" outlineLevel="3" x14ac:dyDescent="0.25">
      <c r="A3463">
        <v>109916</v>
      </c>
      <c r="B3463" t="s">
        <v>4433</v>
      </c>
      <c r="C3463" t="s">
        <v>4452</v>
      </c>
      <c r="D3463" s="14" t="s">
        <v>4450</v>
      </c>
      <c r="E3463" s="12" t="s">
        <v>28</v>
      </c>
      <c r="F3463" s="18" t="s">
        <v>1467</v>
      </c>
      <c r="G3463">
        <v>1</v>
      </c>
      <c r="H3463" t="s">
        <v>30</v>
      </c>
      <c r="I3463">
        <v>1</v>
      </c>
      <c r="J3463" s="15"/>
      <c r="K3463" s="16">
        <f>IF($E$1&gt;=$Q$1%,11071.54-(11071.54*$Q$1%),11071.54-(11071.54*$E$1))</f>
        <v>11071.54</v>
      </c>
      <c r="L3463" s="16">
        <f>IF($E$1&gt;=$Q$1%,9075.03-(9075.03*$Q$1%),9075.03-(9075.03*$E$1))</f>
        <v>9075.0300000000007</v>
      </c>
      <c r="M3463" s="1">
        <v>11071.54</v>
      </c>
      <c r="N3463" s="1">
        <v>9075.0300000000007</v>
      </c>
      <c r="O3463" s="1">
        <v>11071.54</v>
      </c>
      <c r="P3463" s="1">
        <v>9075.0300000000007</v>
      </c>
      <c r="Q3463">
        <v>2.29</v>
      </c>
      <c r="R3463">
        <v>4.5599999999999998E-3</v>
      </c>
    </row>
    <row r="3464" spans="1:18" ht="13.8" outlineLevel="3" x14ac:dyDescent="0.25">
      <c r="A3464">
        <v>109917</v>
      </c>
      <c r="B3464" t="s">
        <v>4433</v>
      </c>
      <c r="C3464" t="s">
        <v>4453</v>
      </c>
      <c r="D3464" s="14" t="s">
        <v>4450</v>
      </c>
      <c r="E3464" s="12" t="s">
        <v>28</v>
      </c>
      <c r="F3464" s="18" t="s">
        <v>1467</v>
      </c>
      <c r="G3464">
        <v>1</v>
      </c>
      <c r="H3464" t="s">
        <v>30</v>
      </c>
      <c r="I3464">
        <v>1</v>
      </c>
      <c r="J3464" s="15"/>
      <c r="K3464" s="16">
        <f>IF($E$1&gt;=$Q$1%,12027.88-(12027.88*$Q$1%),12027.88-(12027.88*$E$1))</f>
        <v>12027.88</v>
      </c>
      <c r="L3464" s="16">
        <f>IF($E$1&gt;=$Q$1%,9858.92-(9858.92*$Q$1%),9858.92-(9858.92*$E$1))</f>
        <v>9858.92</v>
      </c>
      <c r="M3464" s="1">
        <v>12027.88</v>
      </c>
      <c r="N3464" s="1">
        <v>9858.92</v>
      </c>
      <c r="O3464" s="1">
        <v>12027.88</v>
      </c>
      <c r="P3464" s="1">
        <v>9858.92</v>
      </c>
      <c r="Q3464">
        <v>3.39</v>
      </c>
      <c r="R3464">
        <v>5.4000000000000003E-3</v>
      </c>
    </row>
    <row r="3465" spans="1:18" ht="13.8" outlineLevel="3" x14ac:dyDescent="0.25">
      <c r="A3465">
        <v>109862</v>
      </c>
      <c r="B3465" t="s">
        <v>4433</v>
      </c>
      <c r="C3465" t="s">
        <v>4454</v>
      </c>
      <c r="D3465" s="14" t="s">
        <v>4455</v>
      </c>
      <c r="E3465" s="12" t="s">
        <v>28</v>
      </c>
      <c r="F3465" s="18" t="s">
        <v>1467</v>
      </c>
      <c r="G3465">
        <v>1</v>
      </c>
      <c r="H3465" t="s">
        <v>30</v>
      </c>
      <c r="I3465">
        <v>1</v>
      </c>
      <c r="J3465" s="15"/>
      <c r="K3465" s="16">
        <f>IF($E$1&gt;=$Q$1%,3145.15-(3145.15*$Q$1%),3145.15-(3145.15*$E$1))</f>
        <v>3145.15</v>
      </c>
      <c r="L3465" s="16">
        <f>IF($E$1&gt;=$Q$1%,2577.99-(2577.99*$Q$1%),2577.99-(2577.99*$E$1))</f>
        <v>2577.9899999999998</v>
      </c>
      <c r="M3465" s="1">
        <v>3145.15</v>
      </c>
      <c r="N3465" s="1">
        <v>2577.9899999999998</v>
      </c>
      <c r="O3465" s="1">
        <v>3145.15</v>
      </c>
      <c r="P3465" s="1">
        <v>2577.9899999999998</v>
      </c>
      <c r="Q3465">
        <v>0.31</v>
      </c>
      <c r="R3465">
        <v>1.6800000000000001E-3</v>
      </c>
    </row>
    <row r="3466" spans="1:18" ht="13.8" outlineLevel="3" x14ac:dyDescent="0.25">
      <c r="A3466">
        <v>109863</v>
      </c>
      <c r="B3466" t="s">
        <v>4433</v>
      </c>
      <c r="C3466" t="s">
        <v>4456</v>
      </c>
      <c r="D3466" s="14" t="s">
        <v>4455</v>
      </c>
      <c r="E3466" s="12" t="s">
        <v>28</v>
      </c>
      <c r="F3466" s="18" t="s">
        <v>1467</v>
      </c>
      <c r="G3466">
        <v>1</v>
      </c>
      <c r="H3466" t="s">
        <v>30</v>
      </c>
      <c r="I3466">
        <v>1</v>
      </c>
      <c r="J3466" s="15"/>
      <c r="K3466" s="16">
        <f>IF($E$1&gt;=$Q$1%,3327.64-(3327.64*$Q$1%),3327.64-(3327.64*$E$1))</f>
        <v>3327.64</v>
      </c>
      <c r="L3466" s="16">
        <f>IF($E$1&gt;=$Q$1%,2727.57-(2727.57*$Q$1%),2727.57-(2727.57*$E$1))</f>
        <v>2727.57</v>
      </c>
      <c r="M3466" s="1">
        <v>3327.64</v>
      </c>
      <c r="N3466" s="1">
        <v>2727.57</v>
      </c>
      <c r="O3466" s="1">
        <v>3327.64</v>
      </c>
      <c r="P3466" s="1">
        <v>2727.57</v>
      </c>
      <c r="Q3466">
        <v>0.42</v>
      </c>
      <c r="R3466">
        <v>1.3799999999999999E-3</v>
      </c>
    </row>
    <row r="3467" spans="1:18" ht="13.8" outlineLevel="3" x14ac:dyDescent="0.25">
      <c r="A3467">
        <v>109864</v>
      </c>
      <c r="B3467" t="s">
        <v>4433</v>
      </c>
      <c r="C3467" t="s">
        <v>4457</v>
      </c>
      <c r="D3467" s="14" t="s">
        <v>4455</v>
      </c>
      <c r="E3467" s="12" t="s">
        <v>28</v>
      </c>
      <c r="F3467" s="18" t="s">
        <v>1467</v>
      </c>
      <c r="G3467">
        <v>1</v>
      </c>
      <c r="H3467" t="s">
        <v>30</v>
      </c>
      <c r="I3467">
        <v>1</v>
      </c>
      <c r="J3467" s="15"/>
      <c r="K3467" s="16">
        <f>IF($E$1&gt;=$Q$1%,3491.13-(3491.13*$Q$1%),3491.13-(3491.13*$E$1))</f>
        <v>3491.13</v>
      </c>
      <c r="L3467" s="16">
        <f>IF($E$1&gt;=$Q$1%,2861.58-(2861.58*$Q$1%),2861.58-(2861.58*$E$1))</f>
        <v>2861.58</v>
      </c>
      <c r="M3467" s="1">
        <v>3491.13</v>
      </c>
      <c r="N3467" s="1">
        <v>2861.58</v>
      </c>
      <c r="O3467" s="1">
        <v>3491.13</v>
      </c>
      <c r="P3467" s="1">
        <v>2861.58</v>
      </c>
      <c r="Q3467">
        <v>0.55000000000000004</v>
      </c>
      <c r="R3467">
        <v>1.421E-3</v>
      </c>
    </row>
    <row r="3468" spans="1:18" ht="13.8" outlineLevel="3" x14ac:dyDescent="0.25">
      <c r="A3468">
        <v>109865</v>
      </c>
      <c r="B3468" t="s">
        <v>4433</v>
      </c>
      <c r="C3468" t="s">
        <v>4458</v>
      </c>
      <c r="D3468" s="14" t="s">
        <v>4455</v>
      </c>
      <c r="E3468" s="12" t="s">
        <v>28</v>
      </c>
      <c r="F3468" s="18" t="s">
        <v>1467</v>
      </c>
      <c r="G3468">
        <v>1</v>
      </c>
      <c r="H3468" t="s">
        <v>30</v>
      </c>
      <c r="I3468">
        <v>1</v>
      </c>
      <c r="J3468" s="15"/>
      <c r="K3468" s="16">
        <f>IF($E$1&gt;=$Q$1%,3655.84-(3655.84*$Q$1%),3655.84-(3655.84*$E$1))</f>
        <v>3655.84</v>
      </c>
      <c r="L3468" s="16">
        <f>IF($E$1&gt;=$Q$1%,2996.59-(2996.59*$Q$1%),2996.59-(2996.59*$E$1))</f>
        <v>2996.59</v>
      </c>
      <c r="M3468" s="1">
        <v>3655.84</v>
      </c>
      <c r="N3468" s="1">
        <v>2996.59</v>
      </c>
      <c r="O3468" s="1">
        <v>3655.84</v>
      </c>
      <c r="P3468" s="1">
        <v>2996.59</v>
      </c>
      <c r="Q3468">
        <v>0.65</v>
      </c>
      <c r="R3468">
        <v>2.3999999999999998E-3</v>
      </c>
    </row>
    <row r="3469" spans="1:18" ht="13.8" outlineLevel="3" x14ac:dyDescent="0.25">
      <c r="A3469">
        <v>109866</v>
      </c>
      <c r="B3469" t="s">
        <v>4433</v>
      </c>
      <c r="C3469" t="s">
        <v>4459</v>
      </c>
      <c r="D3469" s="14" t="s">
        <v>4455</v>
      </c>
      <c r="E3469" s="12" t="s">
        <v>28</v>
      </c>
      <c r="F3469" s="18" t="s">
        <v>1467</v>
      </c>
      <c r="G3469">
        <v>1</v>
      </c>
      <c r="H3469" t="s">
        <v>30</v>
      </c>
      <c r="I3469">
        <v>1</v>
      </c>
      <c r="J3469" s="15"/>
      <c r="K3469" s="16">
        <f>IF($E$1&gt;=$Q$1%,4020.4-(4020.4*$Q$1%),4020.4-(4020.4*$E$1))</f>
        <v>4020.4</v>
      </c>
      <c r="L3469" s="16">
        <f>IF($E$1&gt;=$Q$1%,3295.41-(3295.41*$Q$1%),3295.41-(3295.41*$E$1))</f>
        <v>3295.41</v>
      </c>
      <c r="M3469" s="1">
        <v>4020.4</v>
      </c>
      <c r="N3469" s="1">
        <v>3295.41</v>
      </c>
      <c r="O3469" s="1">
        <v>4020.4</v>
      </c>
      <c r="P3469" s="1">
        <v>3295.41</v>
      </c>
      <c r="Q3469">
        <v>0.84</v>
      </c>
      <c r="R3469">
        <v>3.2550000000000001E-3</v>
      </c>
    </row>
    <row r="3470" spans="1:18" ht="13.8" outlineLevel="3" x14ac:dyDescent="0.25">
      <c r="A3470">
        <v>109867</v>
      </c>
      <c r="B3470" t="s">
        <v>4433</v>
      </c>
      <c r="C3470" t="s">
        <v>4460</v>
      </c>
      <c r="D3470" s="14" t="s">
        <v>4455</v>
      </c>
      <c r="E3470" s="12" t="s">
        <v>28</v>
      </c>
      <c r="F3470" s="18" t="s">
        <v>1467</v>
      </c>
      <c r="G3470">
        <v>1</v>
      </c>
      <c r="H3470" t="s">
        <v>30</v>
      </c>
      <c r="I3470">
        <v>1</v>
      </c>
      <c r="J3470" s="15"/>
      <c r="K3470" s="16">
        <f>IF($E$1&gt;=$Q$1%,4746.96-(4746.96*$Q$1%),4746.96-(4746.96*$E$1))</f>
        <v>4746.96</v>
      </c>
      <c r="L3470" s="16">
        <f>IF($E$1&gt;=$Q$1%,3890.95-(3890.95*$Q$1%),3890.95-(3890.95*$E$1))</f>
        <v>3890.95</v>
      </c>
      <c r="M3470" s="1">
        <v>4746.96</v>
      </c>
      <c r="N3470" s="1">
        <v>3890.95</v>
      </c>
      <c r="O3470" s="1">
        <v>4746.96</v>
      </c>
      <c r="P3470" s="1">
        <v>3890.95</v>
      </c>
      <c r="Q3470">
        <v>1.01</v>
      </c>
      <c r="R3470">
        <v>3.2290000000000001E-3</v>
      </c>
    </row>
    <row r="3471" spans="1:18" ht="13.8" outlineLevel="3" x14ac:dyDescent="0.25">
      <c r="A3471">
        <v>109868</v>
      </c>
      <c r="B3471" t="s">
        <v>4433</v>
      </c>
      <c r="C3471" t="s">
        <v>4461</v>
      </c>
      <c r="D3471" s="14" t="s">
        <v>4455</v>
      </c>
      <c r="E3471" s="12" t="s">
        <v>28</v>
      </c>
      <c r="F3471" s="18" t="s">
        <v>1467</v>
      </c>
      <c r="G3471">
        <v>1</v>
      </c>
      <c r="H3471" t="s">
        <v>30</v>
      </c>
      <c r="I3471">
        <v>1</v>
      </c>
      <c r="J3471" s="15"/>
      <c r="K3471" s="16">
        <f>IF($E$1&gt;=$Q$1%,5482.36-(5482.36*$Q$1%),5482.36-(5482.36*$E$1))</f>
        <v>5482.36</v>
      </c>
      <c r="L3471" s="16">
        <f>IF($E$1&gt;=$Q$1%,4493.74-(4493.74*$Q$1%),4493.74-(4493.74*$E$1))</f>
        <v>4493.74</v>
      </c>
      <c r="M3471" s="1">
        <v>5482.36</v>
      </c>
      <c r="N3471" s="1">
        <v>4493.74</v>
      </c>
      <c r="O3471" s="1">
        <v>5482.36</v>
      </c>
      <c r="P3471" s="1">
        <v>4493.74</v>
      </c>
      <c r="Q3471">
        <v>1.21</v>
      </c>
      <c r="R3471">
        <v>2.2680000000000001E-3</v>
      </c>
    </row>
    <row r="3472" spans="1:18" ht="13.8" outlineLevel="3" x14ac:dyDescent="0.25">
      <c r="A3472">
        <v>109869</v>
      </c>
      <c r="B3472" t="s">
        <v>4433</v>
      </c>
      <c r="C3472" t="s">
        <v>4462</v>
      </c>
      <c r="D3472" s="14" t="s">
        <v>4455</v>
      </c>
      <c r="E3472" s="12" t="s">
        <v>28</v>
      </c>
      <c r="F3472" s="18" t="s">
        <v>1467</v>
      </c>
      <c r="G3472">
        <v>1</v>
      </c>
      <c r="H3472" t="s">
        <v>30</v>
      </c>
      <c r="I3472">
        <v>1</v>
      </c>
      <c r="J3472" s="15"/>
      <c r="K3472" s="16">
        <f>IF($E$1&gt;=$Q$1%,5949.11-(5949.11*$Q$1%),5949.11-(5949.11*$E$1))</f>
        <v>5949.11</v>
      </c>
      <c r="L3472" s="16">
        <f>IF($E$1&gt;=$Q$1%,4876.32-(4876.32*$Q$1%),4876.32-(4876.32*$E$1))</f>
        <v>4876.32</v>
      </c>
      <c r="M3472" s="1">
        <v>5949.11</v>
      </c>
      <c r="N3472" s="1">
        <v>4876.32</v>
      </c>
      <c r="O3472" s="1">
        <v>5949.11</v>
      </c>
      <c r="P3472" s="1">
        <v>4876.32</v>
      </c>
      <c r="Q3472">
        <v>1.51</v>
      </c>
      <c r="R3472">
        <v>5.1980000000000004E-3</v>
      </c>
    </row>
    <row r="3473" spans="1:18" ht="13.8" outlineLevel="3" x14ac:dyDescent="0.25">
      <c r="A3473">
        <v>109870</v>
      </c>
      <c r="B3473" t="s">
        <v>4433</v>
      </c>
      <c r="C3473" t="s">
        <v>4463</v>
      </c>
      <c r="D3473" s="14" t="s">
        <v>4455</v>
      </c>
      <c r="E3473" s="12" t="s">
        <v>28</v>
      </c>
      <c r="F3473" s="18" t="s">
        <v>1467</v>
      </c>
      <c r="G3473">
        <v>1</v>
      </c>
      <c r="H3473" t="s">
        <v>30</v>
      </c>
      <c r="I3473">
        <v>1</v>
      </c>
      <c r="J3473" s="15"/>
      <c r="K3473" s="16">
        <f>IF($E$1&gt;=$Q$1%,7077.93-(7077.93*$Q$1%),7077.93-(7077.93*$E$1))</f>
        <v>7077.93</v>
      </c>
      <c r="L3473" s="16">
        <f>IF($E$1&gt;=$Q$1%,5801.58-(5801.58*$Q$1%),5801.58-(5801.58*$E$1))</f>
        <v>5801.58</v>
      </c>
      <c r="M3473" s="1">
        <v>7077.93</v>
      </c>
      <c r="N3473" s="1">
        <v>5801.58</v>
      </c>
      <c r="O3473" s="1">
        <v>7077.93</v>
      </c>
      <c r="P3473" s="1">
        <v>5801.58</v>
      </c>
      <c r="Q3473">
        <v>2.06</v>
      </c>
      <c r="R3473">
        <v>3.408E-3</v>
      </c>
    </row>
    <row r="3474" spans="1:18" ht="13.8" outlineLevel="3" x14ac:dyDescent="0.25">
      <c r="A3474">
        <v>109871</v>
      </c>
      <c r="B3474" t="s">
        <v>4433</v>
      </c>
      <c r="C3474" t="s">
        <v>4464</v>
      </c>
      <c r="D3474" s="14" t="s">
        <v>4455</v>
      </c>
      <c r="E3474" s="12" t="s">
        <v>28</v>
      </c>
      <c r="F3474" s="18" t="s">
        <v>1467</v>
      </c>
      <c r="G3474">
        <v>1</v>
      </c>
      <c r="H3474" t="s">
        <v>30</v>
      </c>
      <c r="I3474">
        <v>1</v>
      </c>
      <c r="J3474" s="15"/>
      <c r="K3474" s="16">
        <f>IF($E$1&gt;=$Q$1%,7773.89-(7773.89*$Q$1%),7773.89-(7773.89*$E$1))</f>
        <v>7773.89</v>
      </c>
      <c r="L3474" s="16">
        <f>IF($E$1&gt;=$Q$1%,6372.04-(6372.04*$Q$1%),6372.04-(6372.04*$E$1))</f>
        <v>6372.04</v>
      </c>
      <c r="M3474" s="1">
        <v>7773.89</v>
      </c>
      <c r="N3474" s="1">
        <v>6372.04</v>
      </c>
      <c r="O3474" s="1">
        <v>7773.89</v>
      </c>
      <c r="P3474" s="1">
        <v>6372.04</v>
      </c>
      <c r="Q3474">
        <v>2.25</v>
      </c>
      <c r="R3474">
        <v>6.0000000000000001E-3</v>
      </c>
    </row>
    <row r="3475" spans="1:18" ht="13.8" outlineLevel="3" x14ac:dyDescent="0.25">
      <c r="A3475">
        <v>109872</v>
      </c>
      <c r="B3475" t="s">
        <v>4433</v>
      </c>
      <c r="C3475" t="s">
        <v>4465</v>
      </c>
      <c r="D3475" s="14" t="s">
        <v>4455</v>
      </c>
      <c r="E3475" s="12" t="s">
        <v>28</v>
      </c>
      <c r="F3475" s="18" t="s">
        <v>1467</v>
      </c>
      <c r="G3475">
        <v>1</v>
      </c>
      <c r="H3475" t="s">
        <v>30</v>
      </c>
      <c r="I3475">
        <v>1</v>
      </c>
      <c r="J3475" s="15"/>
      <c r="K3475" s="16">
        <f>IF($E$1&gt;=$Q$1%,9380.2-(9380.2*$Q$1%),9380.2-(9380.2*$E$1))</f>
        <v>9380.2000000000007</v>
      </c>
      <c r="L3475" s="16">
        <f>IF($E$1&gt;=$Q$1%,7688.69-(7688.69*$Q$1%),7688.69-(7688.69*$E$1))</f>
        <v>7688.69</v>
      </c>
      <c r="M3475" s="1">
        <v>9380.2000000000007</v>
      </c>
      <c r="N3475" s="1">
        <v>7688.69</v>
      </c>
      <c r="O3475" s="1">
        <v>9380.2000000000007</v>
      </c>
      <c r="P3475" s="1">
        <v>7688.69</v>
      </c>
      <c r="Q3475">
        <v>3.97</v>
      </c>
      <c r="R3475">
        <v>1.1625E-2</v>
      </c>
    </row>
    <row r="3476" spans="1:18" ht="13.8" outlineLevel="3" x14ac:dyDescent="0.25">
      <c r="A3476">
        <v>109900</v>
      </c>
      <c r="B3476" t="s">
        <v>4433</v>
      </c>
      <c r="C3476" t="s">
        <v>4466</v>
      </c>
      <c r="D3476" s="14" t="s">
        <v>4467</v>
      </c>
      <c r="E3476" s="12" t="s">
        <v>28</v>
      </c>
      <c r="F3476" s="18" t="s">
        <v>1467</v>
      </c>
      <c r="G3476">
        <v>1</v>
      </c>
      <c r="H3476" t="s">
        <v>30</v>
      </c>
      <c r="I3476">
        <v>1</v>
      </c>
      <c r="J3476" s="15"/>
      <c r="K3476" s="16">
        <f>IF($E$1&gt;=$Q$1%,3625.4-(3625.4*$Q$1%),3625.4-(3625.4*$E$1))</f>
        <v>3625.4</v>
      </c>
      <c r="L3476" s="16">
        <f>IF($E$1&gt;=$Q$1%,2971.64-(2971.64*$Q$1%),2971.64-(2971.64*$E$1))</f>
        <v>2971.64</v>
      </c>
      <c r="M3476" s="1">
        <v>3625.4</v>
      </c>
      <c r="N3476" s="1">
        <v>2971.64</v>
      </c>
      <c r="O3476" s="1">
        <v>3625.4</v>
      </c>
      <c r="P3476" s="1">
        <v>2971.64</v>
      </c>
      <c r="Q3476">
        <v>0.36</v>
      </c>
      <c r="R3476">
        <v>2.052E-3</v>
      </c>
    </row>
    <row r="3477" spans="1:18" ht="13.8" outlineLevel="3" x14ac:dyDescent="0.25">
      <c r="A3477">
        <v>109901</v>
      </c>
      <c r="B3477" t="s">
        <v>4433</v>
      </c>
      <c r="C3477" t="s">
        <v>4468</v>
      </c>
      <c r="D3477" s="14" t="s">
        <v>4467</v>
      </c>
      <c r="E3477" s="12" t="s">
        <v>28</v>
      </c>
      <c r="F3477" s="18" t="s">
        <v>1467</v>
      </c>
      <c r="G3477">
        <v>1</v>
      </c>
      <c r="H3477" t="s">
        <v>30</v>
      </c>
      <c r="I3477">
        <v>1</v>
      </c>
      <c r="J3477" s="15"/>
      <c r="K3477" s="16">
        <f>IF($E$1&gt;=$Q$1%,3762.89-(3762.89*$Q$1%),3762.89-(3762.89*$E$1))</f>
        <v>3762.89</v>
      </c>
      <c r="L3477" s="16">
        <f>IF($E$1&gt;=$Q$1%,3084.34-(3084.34*$Q$1%),3084.34-(3084.34*$E$1))</f>
        <v>3084.34</v>
      </c>
      <c r="M3477" s="1">
        <v>3762.89</v>
      </c>
      <c r="N3477" s="1">
        <v>3084.34</v>
      </c>
      <c r="O3477" s="1">
        <v>3762.89</v>
      </c>
      <c r="P3477" s="1">
        <v>3084.34</v>
      </c>
      <c r="Q3477">
        <v>0.5</v>
      </c>
      <c r="R3477">
        <v>2.565E-3</v>
      </c>
    </row>
    <row r="3478" spans="1:18" ht="13.8" outlineLevel="3" x14ac:dyDescent="0.25">
      <c r="A3478">
        <v>73778</v>
      </c>
      <c r="B3478" t="s">
        <v>4469</v>
      </c>
      <c r="C3478" t="s">
        <v>4470</v>
      </c>
      <c r="D3478" s="14" t="s">
        <v>4467</v>
      </c>
      <c r="E3478" s="12" t="s">
        <v>28</v>
      </c>
      <c r="F3478" s="13" t="s">
        <v>29</v>
      </c>
      <c r="G3478">
        <v>1</v>
      </c>
      <c r="H3478" t="s">
        <v>30</v>
      </c>
      <c r="I3478">
        <v>1</v>
      </c>
      <c r="J3478" s="15"/>
      <c r="K3478" s="16">
        <f>IF($E$1&gt;=$Q$1%,4102.56-(4102.56*$Q$1%),4102.56-(4102.56*$E$1))</f>
        <v>4102.5600000000004</v>
      </c>
      <c r="L3478" s="16">
        <f>IF($E$1&gt;=$Q$1%,3362.75-(3362.75*$Q$1%),3362.75-(3362.75*$E$1))</f>
        <v>3362.75</v>
      </c>
      <c r="M3478" s="1">
        <v>4102.5600000000004</v>
      </c>
      <c r="N3478" s="1">
        <v>3362.75</v>
      </c>
      <c r="O3478" s="1">
        <v>4102.5600000000004</v>
      </c>
      <c r="P3478" s="1">
        <v>3362.75</v>
      </c>
      <c r="Q3478">
        <v>0.8</v>
      </c>
      <c r="R3478">
        <v>2.6459999999999999E-3</v>
      </c>
    </row>
    <row r="3479" spans="1:18" ht="13.8" outlineLevel="3" x14ac:dyDescent="0.25">
      <c r="A3479">
        <v>73780</v>
      </c>
      <c r="B3479" t="s">
        <v>4469</v>
      </c>
      <c r="C3479" t="s">
        <v>4471</v>
      </c>
      <c r="D3479" s="14" t="s">
        <v>4467</v>
      </c>
      <c r="E3479" s="12" t="s">
        <v>28</v>
      </c>
      <c r="F3479" s="13" t="s">
        <v>29</v>
      </c>
      <c r="G3479">
        <v>1</v>
      </c>
      <c r="H3479" t="s">
        <v>30</v>
      </c>
      <c r="I3479">
        <v>1</v>
      </c>
      <c r="J3479" s="15"/>
      <c r="K3479" s="16">
        <f>IF($E$1&gt;=$Q$1%,4336.6-(4336.6*$Q$1%),4336.6-(4336.6*$E$1))</f>
        <v>4336.6000000000004</v>
      </c>
      <c r="L3479" s="16">
        <f>IF($E$1&gt;=$Q$1%,3554.59-(3554.59*$Q$1%),3554.59-(3554.59*$E$1))</f>
        <v>3554.59</v>
      </c>
      <c r="M3479" s="1">
        <v>4336.6000000000004</v>
      </c>
      <c r="N3479" s="1">
        <v>3554.59</v>
      </c>
      <c r="O3479" s="1">
        <v>4336.6000000000004</v>
      </c>
      <c r="P3479" s="1">
        <v>3554.59</v>
      </c>
      <c r="Q3479">
        <v>1</v>
      </c>
      <c r="R3479">
        <v>4.6800000000000001E-3</v>
      </c>
    </row>
    <row r="3480" spans="1:18" ht="13.8" outlineLevel="3" x14ac:dyDescent="0.25">
      <c r="A3480">
        <v>73781</v>
      </c>
      <c r="B3480" t="s">
        <v>4469</v>
      </c>
      <c r="C3480" t="s">
        <v>4472</v>
      </c>
      <c r="D3480" s="14" t="s">
        <v>4467</v>
      </c>
      <c r="E3480" s="12" t="s">
        <v>28</v>
      </c>
      <c r="F3480" s="13" t="s">
        <v>29</v>
      </c>
      <c r="G3480">
        <v>1</v>
      </c>
      <c r="H3480" t="s">
        <v>30</v>
      </c>
      <c r="I3480">
        <v>1</v>
      </c>
      <c r="J3480" s="15"/>
      <c r="K3480" s="16">
        <f>IF($E$1&gt;=$Q$1%,5257.58-(5257.58*$Q$1%),5257.58-(5257.58*$E$1))</f>
        <v>5257.58</v>
      </c>
      <c r="L3480" s="16">
        <f>IF($E$1&gt;=$Q$1%,4309.49-(4309.49*$Q$1%),4309.49-(4309.49*$E$1))</f>
        <v>4309.49</v>
      </c>
      <c r="M3480" s="1">
        <v>5257.58</v>
      </c>
      <c r="N3480" s="1">
        <v>4309.49</v>
      </c>
      <c r="O3480" s="1">
        <v>5257.58</v>
      </c>
      <c r="P3480" s="1">
        <v>4309.49</v>
      </c>
      <c r="Q3480">
        <v>1.1000000000000001</v>
      </c>
      <c r="R3480">
        <v>4.0559999999999997E-3</v>
      </c>
    </row>
    <row r="3481" spans="1:18" ht="13.8" outlineLevel="3" x14ac:dyDescent="0.25">
      <c r="A3481">
        <v>73782</v>
      </c>
      <c r="B3481" t="s">
        <v>4469</v>
      </c>
      <c r="C3481" t="s">
        <v>4473</v>
      </c>
      <c r="D3481" s="14" t="s">
        <v>4467</v>
      </c>
      <c r="E3481" s="12" t="s">
        <v>28</v>
      </c>
      <c r="F3481" s="13" t="s">
        <v>29</v>
      </c>
      <c r="G3481">
        <v>1</v>
      </c>
      <c r="H3481" t="s">
        <v>30</v>
      </c>
      <c r="I3481">
        <v>1</v>
      </c>
      <c r="J3481" s="15"/>
      <c r="K3481" s="16">
        <f>IF($E$1&gt;=$Q$1%,6177.54-(6177.54*$Q$1%),6177.54-(6177.54*$E$1))</f>
        <v>6177.54</v>
      </c>
      <c r="L3481" s="16">
        <f>IF($E$1&gt;=$Q$1%,5063.56-(5063.56*$Q$1%),5063.56-(5063.56*$E$1))</f>
        <v>5063.5600000000004</v>
      </c>
      <c r="M3481" s="1">
        <v>6177.54</v>
      </c>
      <c r="N3481" s="1">
        <v>5063.5600000000004</v>
      </c>
      <c r="O3481" s="1">
        <v>6177.54</v>
      </c>
      <c r="P3481" s="1">
        <v>5063.5600000000004</v>
      </c>
      <c r="Q3481">
        <v>2</v>
      </c>
      <c r="R3481">
        <v>5.3870000000000003E-3</v>
      </c>
    </row>
    <row r="3482" spans="1:18" ht="13.8" outlineLevel="3" x14ac:dyDescent="0.25">
      <c r="A3482">
        <v>109902</v>
      </c>
      <c r="B3482" t="s">
        <v>4433</v>
      </c>
      <c r="C3482" t="s">
        <v>4474</v>
      </c>
      <c r="D3482" s="14" t="s">
        <v>4467</v>
      </c>
      <c r="E3482" s="12" t="s">
        <v>28</v>
      </c>
      <c r="F3482" s="18" t="s">
        <v>1467</v>
      </c>
      <c r="G3482">
        <v>1</v>
      </c>
      <c r="H3482" t="s">
        <v>30</v>
      </c>
      <c r="I3482">
        <v>1</v>
      </c>
      <c r="J3482" s="15"/>
      <c r="K3482" s="16">
        <f>IF($E$1&gt;=$Q$1%,7701.98-(7701.98*$Q$1%),7701.98-(7701.98*$E$1))</f>
        <v>7701.98</v>
      </c>
      <c r="L3482" s="16">
        <f>IF($E$1&gt;=$Q$1%,6313.1-(6313.1*$Q$1%),6313.1-(6313.1*$E$1))</f>
        <v>6313.1</v>
      </c>
      <c r="M3482" s="1">
        <v>7701.98</v>
      </c>
      <c r="N3482" s="1">
        <v>6313.1</v>
      </c>
      <c r="O3482" s="1">
        <v>7701.98</v>
      </c>
      <c r="P3482" s="1">
        <v>6313.1</v>
      </c>
      <c r="Q3482">
        <v>2.96</v>
      </c>
      <c r="R3482">
        <v>8.2349999999999993E-3</v>
      </c>
    </row>
    <row r="3483" spans="1:18" ht="13.8" outlineLevel="3" x14ac:dyDescent="0.25">
      <c r="A3483">
        <v>109903</v>
      </c>
      <c r="B3483" t="s">
        <v>4433</v>
      </c>
      <c r="C3483" t="s">
        <v>4475</v>
      </c>
      <c r="D3483" s="14" t="s">
        <v>4467</v>
      </c>
      <c r="E3483" s="12" t="s">
        <v>28</v>
      </c>
      <c r="F3483" s="18" t="s">
        <v>1467</v>
      </c>
      <c r="G3483">
        <v>1</v>
      </c>
      <c r="H3483" t="s">
        <v>30</v>
      </c>
      <c r="I3483">
        <v>1</v>
      </c>
      <c r="J3483" s="15"/>
      <c r="K3483" s="16">
        <f>IF($E$1&gt;=$Q$1%,8046.67-(8046.67*$Q$1%),8046.67-(8046.67*$E$1))</f>
        <v>8046.67</v>
      </c>
      <c r="L3483" s="16">
        <f>IF($E$1&gt;=$Q$1%,6595.63-(6595.63*$Q$1%),6595.63-(6595.63*$E$1))</f>
        <v>6595.63</v>
      </c>
      <c r="M3483" s="1">
        <v>8046.67</v>
      </c>
      <c r="N3483" s="1">
        <v>6595.63</v>
      </c>
      <c r="O3483" s="1">
        <v>8046.67</v>
      </c>
      <c r="P3483" s="1">
        <v>6595.63</v>
      </c>
      <c r="Q3483">
        <v>3.7</v>
      </c>
      <c r="R3483">
        <v>1.5980000000000001E-2</v>
      </c>
    </row>
    <row r="3484" spans="1:18" ht="13.8" outlineLevel="3" x14ac:dyDescent="0.25">
      <c r="A3484">
        <v>109904</v>
      </c>
      <c r="B3484" t="s">
        <v>4433</v>
      </c>
      <c r="C3484" t="s">
        <v>4476</v>
      </c>
      <c r="D3484" s="14" t="s">
        <v>4467</v>
      </c>
      <c r="E3484" s="12" t="s">
        <v>28</v>
      </c>
      <c r="F3484" s="18" t="s">
        <v>1467</v>
      </c>
      <c r="G3484">
        <v>1</v>
      </c>
      <c r="H3484" t="s">
        <v>30</v>
      </c>
      <c r="I3484">
        <v>1</v>
      </c>
      <c r="J3484" s="15"/>
      <c r="K3484" s="16">
        <f>IF($E$1&gt;=$Q$1%,9193.54-(9193.54*$Q$1%),9193.54-(9193.54*$E$1))</f>
        <v>9193.5400000000009</v>
      </c>
      <c r="L3484" s="16">
        <f>IF($E$1&gt;=$Q$1%,7535.69-(7535.69*$Q$1%),7535.69-(7535.69*$E$1))</f>
        <v>7535.69</v>
      </c>
      <c r="M3484" s="1">
        <v>9193.5400000000009</v>
      </c>
      <c r="N3484" s="1">
        <v>7535.69</v>
      </c>
      <c r="O3484" s="1">
        <v>9193.5400000000009</v>
      </c>
      <c r="P3484" s="1">
        <v>7535.69</v>
      </c>
      <c r="Q3484">
        <v>4.37</v>
      </c>
      <c r="R3484">
        <v>1.7856E-2</v>
      </c>
    </row>
    <row r="3485" spans="1:18" ht="13.8" outlineLevel="3" x14ac:dyDescent="0.25">
      <c r="A3485">
        <v>109905</v>
      </c>
      <c r="B3485" t="s">
        <v>4433</v>
      </c>
      <c r="C3485" t="s">
        <v>4477</v>
      </c>
      <c r="D3485" s="14" t="s">
        <v>4467</v>
      </c>
      <c r="E3485" s="12" t="s">
        <v>28</v>
      </c>
      <c r="F3485" s="18" t="s">
        <v>1467</v>
      </c>
      <c r="G3485">
        <v>1</v>
      </c>
      <c r="H3485" t="s">
        <v>30</v>
      </c>
      <c r="I3485">
        <v>1</v>
      </c>
      <c r="J3485" s="15"/>
      <c r="K3485" s="16">
        <f>IF($E$1&gt;=$Q$1%,9991.7-(9991.7*$Q$1%),9991.7-(9991.7*$E$1))</f>
        <v>9991.7000000000007</v>
      </c>
      <c r="L3485" s="16">
        <f>IF($E$1&gt;=$Q$1%,8189.92-(8189.92*$Q$1%),8189.92-(8189.92*$E$1))</f>
        <v>8189.92</v>
      </c>
      <c r="M3485" s="1">
        <v>9991.7000000000007</v>
      </c>
      <c r="N3485" s="1">
        <v>8189.92</v>
      </c>
      <c r="O3485" s="1">
        <v>9991.7000000000007</v>
      </c>
      <c r="P3485" s="1">
        <v>8189.92</v>
      </c>
      <c r="Q3485">
        <v>5.0999999999999996</v>
      </c>
      <c r="R3485">
        <v>1.9890000000000001E-2</v>
      </c>
    </row>
    <row r="3486" spans="1:18" ht="13.8" outlineLevel="3" x14ac:dyDescent="0.25">
      <c r="A3486">
        <v>109906</v>
      </c>
      <c r="B3486" t="s">
        <v>4433</v>
      </c>
      <c r="C3486" t="s">
        <v>4478</v>
      </c>
      <c r="D3486" s="14" t="s">
        <v>4467</v>
      </c>
      <c r="E3486" s="12" t="s">
        <v>28</v>
      </c>
      <c r="F3486" s="18" t="s">
        <v>1467</v>
      </c>
      <c r="G3486">
        <v>1</v>
      </c>
      <c r="H3486" t="s">
        <v>30</v>
      </c>
      <c r="I3486">
        <v>1</v>
      </c>
      <c r="J3486" s="15"/>
      <c r="K3486" s="16">
        <f>IF($E$1&gt;=$Q$1%,13424.06-(13424.06*$Q$1%),13424.06-(13424.06*$E$1))</f>
        <v>13424.06</v>
      </c>
      <c r="L3486" s="16">
        <f>IF($E$1&gt;=$Q$1%,11003.33-(11003.33*$Q$1%),11003.33-(11003.33*$E$1))</f>
        <v>11003.33</v>
      </c>
      <c r="M3486" s="1">
        <v>13424.06</v>
      </c>
      <c r="N3486" s="1">
        <v>11003.33</v>
      </c>
      <c r="O3486" s="1">
        <v>13424.06</v>
      </c>
      <c r="P3486" s="1">
        <v>11003.33</v>
      </c>
      <c r="Q3486">
        <v>6.9</v>
      </c>
      <c r="R3486">
        <v>3.5189999999999999E-2</v>
      </c>
    </row>
    <row r="3487" spans="1:18" ht="13.8" outlineLevel="3" x14ac:dyDescent="0.25">
      <c r="A3487">
        <v>109907</v>
      </c>
      <c r="B3487" t="s">
        <v>4433</v>
      </c>
      <c r="C3487" t="s">
        <v>4479</v>
      </c>
      <c r="D3487" s="14" t="s">
        <v>4480</v>
      </c>
      <c r="E3487" s="12" t="s">
        <v>28</v>
      </c>
      <c r="F3487" s="18" t="s">
        <v>1467</v>
      </c>
      <c r="G3487">
        <v>1</v>
      </c>
      <c r="H3487" t="s">
        <v>30</v>
      </c>
      <c r="I3487">
        <v>1</v>
      </c>
      <c r="J3487" s="15"/>
      <c r="K3487" s="16">
        <f>IF($E$1&gt;=$Q$1%,3955.91-(3955.91*$Q$1%),3955.91-(3955.91*$E$1))</f>
        <v>3955.91</v>
      </c>
      <c r="L3487" s="16">
        <f>IF($E$1&gt;=$Q$1%,3242.55-(3242.55*$Q$1%),3242.55-(3242.55*$E$1))</f>
        <v>3242.55</v>
      </c>
      <c r="M3487" s="1">
        <v>3955.91</v>
      </c>
      <c r="N3487" s="1">
        <v>3242.55</v>
      </c>
      <c r="O3487" s="1">
        <v>3955.91</v>
      </c>
      <c r="P3487" s="1">
        <v>3242.55</v>
      </c>
      <c r="Q3487">
        <v>0.33</v>
      </c>
      <c r="R3487">
        <v>8.0000000000000004E-4</v>
      </c>
    </row>
    <row r="3488" spans="1:18" ht="13.8" outlineLevel="3" x14ac:dyDescent="0.25">
      <c r="A3488">
        <v>109908</v>
      </c>
      <c r="B3488" t="s">
        <v>4433</v>
      </c>
      <c r="C3488" t="s">
        <v>4481</v>
      </c>
      <c r="D3488" s="14" t="s">
        <v>4480</v>
      </c>
      <c r="E3488" s="12" t="s">
        <v>28</v>
      </c>
      <c r="F3488" s="18" t="s">
        <v>1467</v>
      </c>
      <c r="G3488">
        <v>1</v>
      </c>
      <c r="H3488" t="s">
        <v>30</v>
      </c>
      <c r="I3488">
        <v>1</v>
      </c>
      <c r="J3488" s="15"/>
      <c r="K3488" s="16">
        <f>IF($E$1&gt;=$Q$1%,4596.18-(4596.18*$Q$1%),4596.18-(4596.18*$E$1))</f>
        <v>4596.18</v>
      </c>
      <c r="L3488" s="16">
        <f>IF($E$1&gt;=$Q$1%,3767.36-(3767.36*$Q$1%),3767.36-(3767.36*$E$1))</f>
        <v>3767.36</v>
      </c>
      <c r="M3488" s="1">
        <v>4596.18</v>
      </c>
      <c r="N3488" s="1">
        <v>3767.36</v>
      </c>
      <c r="O3488" s="1">
        <v>4596.18</v>
      </c>
      <c r="P3488" s="1">
        <v>3767.36</v>
      </c>
      <c r="Q3488">
        <v>0.48</v>
      </c>
      <c r="R3488">
        <v>8.0000000000000004E-4</v>
      </c>
    </row>
    <row r="3489" spans="1:18" ht="13.8" outlineLevel="3" x14ac:dyDescent="0.25">
      <c r="A3489">
        <v>109909</v>
      </c>
      <c r="B3489" t="s">
        <v>4433</v>
      </c>
      <c r="C3489" t="s">
        <v>4482</v>
      </c>
      <c r="D3489" s="14" t="s">
        <v>4480</v>
      </c>
      <c r="E3489" s="12" t="s">
        <v>28</v>
      </c>
      <c r="F3489" s="18" t="s">
        <v>1467</v>
      </c>
      <c r="G3489">
        <v>1</v>
      </c>
      <c r="H3489" t="s">
        <v>30</v>
      </c>
      <c r="I3489">
        <v>1</v>
      </c>
      <c r="J3489" s="15"/>
      <c r="K3489" s="16">
        <f>IF($E$1&gt;=$Q$1%,4905.32-(4905.32*$Q$1%),4905.32-(4905.32*$E$1))</f>
        <v>4905.32</v>
      </c>
      <c r="L3489" s="16">
        <f>IF($E$1&gt;=$Q$1%,4020.75-(4020.75*$Q$1%),4020.75-(4020.75*$E$1))</f>
        <v>4020.75</v>
      </c>
      <c r="M3489" s="1">
        <v>4905.32</v>
      </c>
      <c r="N3489" s="1">
        <v>4020.75</v>
      </c>
      <c r="O3489" s="1">
        <v>4905.32</v>
      </c>
      <c r="P3489" s="1">
        <v>4020.75</v>
      </c>
      <c r="Q3489">
        <v>0.85</v>
      </c>
      <c r="R3489">
        <v>2.9480000000000001E-3</v>
      </c>
    </row>
    <row r="3490" spans="1:18" ht="13.8" outlineLevel="3" x14ac:dyDescent="0.25">
      <c r="A3490">
        <v>109910</v>
      </c>
      <c r="B3490" t="s">
        <v>4433</v>
      </c>
      <c r="C3490" t="s">
        <v>4483</v>
      </c>
      <c r="D3490" s="14" t="s">
        <v>4480</v>
      </c>
      <c r="E3490" s="12" t="s">
        <v>28</v>
      </c>
      <c r="F3490" s="18" t="s">
        <v>1467</v>
      </c>
      <c r="G3490">
        <v>1</v>
      </c>
      <c r="H3490" t="s">
        <v>30</v>
      </c>
      <c r="I3490">
        <v>1</v>
      </c>
      <c r="J3490" s="15"/>
      <c r="K3490" s="16">
        <f>IF($E$1&gt;=$Q$1%,5645.4-(5645.4*$Q$1%),5645.4-(5645.4*$E$1))</f>
        <v>5645.4</v>
      </c>
      <c r="L3490" s="16">
        <f>IF($E$1&gt;=$Q$1%,4627.38-(4627.38*$Q$1%),4627.38-(4627.38*$E$1))</f>
        <v>4627.38</v>
      </c>
      <c r="M3490" s="1">
        <v>5645.4</v>
      </c>
      <c r="N3490" s="1">
        <v>4627.38</v>
      </c>
      <c r="O3490" s="1">
        <v>5645.4</v>
      </c>
      <c r="P3490" s="1">
        <v>4627.38</v>
      </c>
      <c r="Q3490">
        <v>0.95</v>
      </c>
      <c r="R3490">
        <v>2.9039999999999999E-3</v>
      </c>
    </row>
    <row r="3491" spans="1:18" ht="13.8" outlineLevel="3" x14ac:dyDescent="0.25">
      <c r="A3491">
        <v>109911</v>
      </c>
      <c r="B3491" t="s">
        <v>4433</v>
      </c>
      <c r="C3491" t="s">
        <v>4484</v>
      </c>
      <c r="D3491" s="14" t="s">
        <v>4480</v>
      </c>
      <c r="E3491" s="12" t="s">
        <v>28</v>
      </c>
      <c r="F3491" s="18" t="s">
        <v>1467</v>
      </c>
      <c r="G3491">
        <v>1</v>
      </c>
      <c r="H3491" t="s">
        <v>30</v>
      </c>
      <c r="I3491">
        <v>1</v>
      </c>
      <c r="J3491" s="15"/>
      <c r="K3491" s="16">
        <f>IF($E$1&gt;=$Q$1%,6330.52-(6330.52*$Q$1%),6330.52-(6330.52*$E$1))</f>
        <v>6330.52</v>
      </c>
      <c r="L3491" s="16">
        <f>IF($E$1&gt;=$Q$1%,5188.95-(5188.95*$Q$1%),5188.95-(5188.95*$E$1))</f>
        <v>5188.95</v>
      </c>
      <c r="M3491" s="1">
        <v>6330.52</v>
      </c>
      <c r="N3491" s="1">
        <v>5188.95</v>
      </c>
      <c r="O3491" s="1">
        <v>6330.52</v>
      </c>
      <c r="P3491" s="1">
        <v>5188.95</v>
      </c>
      <c r="Q3491">
        <v>1.59</v>
      </c>
      <c r="R3491">
        <v>4.3E-3</v>
      </c>
    </row>
    <row r="3492" spans="1:18" ht="13.8" outlineLevel="3" x14ac:dyDescent="0.25">
      <c r="A3492">
        <v>109912</v>
      </c>
      <c r="B3492" t="s">
        <v>4433</v>
      </c>
      <c r="C3492" t="s">
        <v>4485</v>
      </c>
      <c r="D3492" s="14" t="s">
        <v>4480</v>
      </c>
      <c r="E3492" s="12" t="s">
        <v>28</v>
      </c>
      <c r="F3492" s="18" t="s">
        <v>1467</v>
      </c>
      <c r="G3492">
        <v>1</v>
      </c>
      <c r="H3492" t="s">
        <v>30</v>
      </c>
      <c r="I3492">
        <v>1</v>
      </c>
      <c r="J3492" s="15"/>
      <c r="K3492" s="16">
        <f>IF($E$1&gt;=$Q$1%,6937.86-(6937.86*$Q$1%),6937.86-(6937.86*$E$1))</f>
        <v>6937.86</v>
      </c>
      <c r="L3492" s="16">
        <f>IF($E$1&gt;=$Q$1%,5686.77-(5686.77*$Q$1%),5686.77-(5686.77*$E$1))</f>
        <v>5686.77</v>
      </c>
      <c r="M3492" s="1">
        <v>6937.86</v>
      </c>
      <c r="N3492" s="1">
        <v>5686.77</v>
      </c>
      <c r="O3492" s="1">
        <v>6937.86</v>
      </c>
      <c r="P3492" s="1">
        <v>5686.77</v>
      </c>
      <c r="Q3492">
        <v>1.85</v>
      </c>
      <c r="R3492">
        <v>4.6439999999999997E-3</v>
      </c>
    </row>
    <row r="3493" spans="1:18" ht="13.8" outlineLevel="3" x14ac:dyDescent="0.25">
      <c r="A3493">
        <v>109913</v>
      </c>
      <c r="B3493" t="s">
        <v>4433</v>
      </c>
      <c r="C3493" t="s">
        <v>4486</v>
      </c>
      <c r="D3493" s="14" t="s">
        <v>4480</v>
      </c>
      <c r="E3493" s="12" t="s">
        <v>28</v>
      </c>
      <c r="F3493" s="18" t="s">
        <v>1467</v>
      </c>
      <c r="G3493">
        <v>1</v>
      </c>
      <c r="H3493" t="s">
        <v>30</v>
      </c>
      <c r="I3493">
        <v>1</v>
      </c>
      <c r="J3493" s="15"/>
      <c r="K3493" s="16">
        <f>IF($E$1&gt;=$Q$1%,9016.25-(9016.25*$Q$1%),9016.25-(9016.25*$E$1))</f>
        <v>9016.25</v>
      </c>
      <c r="L3493" s="16">
        <f>IF($E$1&gt;=$Q$1%,7390.37-(7390.37*$Q$1%),7390.37-(7390.37*$E$1))</f>
        <v>7390.37</v>
      </c>
      <c r="M3493" s="1">
        <v>9016.25</v>
      </c>
      <c r="N3493" s="1">
        <v>7390.37</v>
      </c>
      <c r="O3493" s="1">
        <v>9016.25</v>
      </c>
      <c r="P3493" s="1">
        <v>7390.37</v>
      </c>
      <c r="Q3493">
        <v>2.09</v>
      </c>
      <c r="R3493">
        <v>5.3759999999999997E-3</v>
      </c>
    </row>
    <row r="3494" spans="1:18" ht="16.5" customHeight="1" outlineLevel="2" x14ac:dyDescent="0.35">
      <c r="A3494" s="9"/>
      <c r="B3494" s="10" t="s">
        <v>4487</v>
      </c>
      <c r="C3494" s="10"/>
      <c r="D3494" s="10"/>
      <c r="E3494" s="10"/>
      <c r="F3494" s="10"/>
      <c r="G3494" s="10"/>
      <c r="H3494" s="10"/>
      <c r="I3494" s="10"/>
      <c r="J3494" s="10"/>
      <c r="K3494" s="10"/>
      <c r="L3494" s="10"/>
      <c r="M3494" s="10"/>
      <c r="N3494" s="10"/>
      <c r="O3494" s="10"/>
      <c r="P3494" s="10"/>
      <c r="Q3494" s="10"/>
      <c r="R3494" s="11"/>
    </row>
    <row r="3495" spans="1:18" ht="13.8" outlineLevel="3" x14ac:dyDescent="0.25">
      <c r="A3495">
        <v>109769</v>
      </c>
      <c r="B3495" t="s">
        <v>4488</v>
      </c>
      <c r="C3495" t="s">
        <v>4489</v>
      </c>
      <c r="D3495" s="14" t="s">
        <v>4490</v>
      </c>
      <c r="E3495" s="12" t="s">
        <v>28</v>
      </c>
      <c r="F3495" s="18" t="s">
        <v>1467</v>
      </c>
      <c r="H3495" t="s">
        <v>30</v>
      </c>
      <c r="I3495">
        <v>1</v>
      </c>
      <c r="J3495" s="15"/>
      <c r="K3495" s="16">
        <f>IF($E$1&gt;=$Q$1%,233862.67-(233862.67*$Q$1%),233862.67-(233862.67*$E$1))</f>
        <v>233862.67</v>
      </c>
      <c r="L3495" s="16">
        <f>IF($E$1&gt;=$Q$1%,191690.71-(191690.71*$Q$1%),191690.71-(191690.71*$E$1))</f>
        <v>191690.71</v>
      </c>
      <c r="M3495" s="1">
        <v>233862.67</v>
      </c>
      <c r="N3495" s="1">
        <v>191690.71</v>
      </c>
      <c r="O3495" s="1">
        <v>233862.67</v>
      </c>
      <c r="P3495" s="1">
        <v>191690.71</v>
      </c>
    </row>
    <row r="3496" spans="1:18" ht="13.8" outlineLevel="3" x14ac:dyDescent="0.25">
      <c r="A3496">
        <v>109771</v>
      </c>
      <c r="B3496" t="s">
        <v>4488</v>
      </c>
      <c r="C3496" t="s">
        <v>4491</v>
      </c>
      <c r="D3496" s="14" t="s">
        <v>4492</v>
      </c>
      <c r="E3496" s="12" t="s">
        <v>28</v>
      </c>
      <c r="F3496" s="18" t="s">
        <v>1467</v>
      </c>
      <c r="H3496" t="s">
        <v>30</v>
      </c>
      <c r="I3496">
        <v>1</v>
      </c>
      <c r="J3496" s="15"/>
      <c r="K3496" s="16">
        <f>IF($E$1&gt;=$Q$1%,258632.83-(258632.83*$Q$1%),258632.83-(258632.83*$E$1))</f>
        <v>258632.83</v>
      </c>
      <c r="L3496" s="16">
        <f>IF($E$1&gt;=$Q$1%,211994.12-(211994.12*$Q$1%),211994.12-(211994.12*$E$1))</f>
        <v>211994.12</v>
      </c>
      <c r="M3496" s="1">
        <v>258632.83</v>
      </c>
      <c r="N3496" s="1">
        <v>211994.12</v>
      </c>
      <c r="O3496" s="1">
        <v>258632.83</v>
      </c>
      <c r="P3496" s="1">
        <v>211994.12</v>
      </c>
    </row>
    <row r="3497" spans="1:18" ht="13.8" outlineLevel="3" x14ac:dyDescent="0.25">
      <c r="A3497">
        <v>88396</v>
      </c>
      <c r="B3497" t="s">
        <v>4493</v>
      </c>
      <c r="C3497" t="s">
        <v>4494</v>
      </c>
      <c r="D3497" s="14" t="s">
        <v>4495</v>
      </c>
      <c r="E3497" s="12" t="s">
        <v>28</v>
      </c>
      <c r="F3497" s="13" t="s">
        <v>29</v>
      </c>
      <c r="H3497" t="s">
        <v>30</v>
      </c>
      <c r="I3497">
        <v>1</v>
      </c>
      <c r="J3497" s="15"/>
      <c r="K3497" s="16">
        <f>IF($E$1&gt;=$Q$1%,285964.69-(285964.69*$Q$1%),285964.69-(285964.69*$E$1))</f>
        <v>285964.69</v>
      </c>
      <c r="L3497" s="16">
        <f>IF($E$1&gt;=$Q$1%,234397.29-(234397.29*$Q$1%),234397.29-(234397.29*$E$1))</f>
        <v>234397.29</v>
      </c>
      <c r="M3497" s="1">
        <v>285964.69</v>
      </c>
      <c r="N3497" s="1">
        <v>234397.29</v>
      </c>
      <c r="O3497" s="1">
        <v>285964.69</v>
      </c>
      <c r="P3497" s="1">
        <v>234397.29</v>
      </c>
    </row>
    <row r="3498" spans="1:18" ht="13.8" outlineLevel="3" x14ac:dyDescent="0.25">
      <c r="A3498">
        <v>88397</v>
      </c>
      <c r="B3498" t="s">
        <v>4493</v>
      </c>
      <c r="C3498" t="s">
        <v>4496</v>
      </c>
      <c r="D3498" s="14" t="s">
        <v>4497</v>
      </c>
      <c r="E3498" s="12" t="s">
        <v>28</v>
      </c>
      <c r="F3498" s="13" t="s">
        <v>29</v>
      </c>
      <c r="H3498" t="s">
        <v>30</v>
      </c>
      <c r="I3498">
        <v>1</v>
      </c>
      <c r="J3498" s="15"/>
      <c r="K3498" s="16">
        <f>IF($E$1&gt;=$Q$1%,484486.71-(484486.71*$Q$1%),484486.71-(484486.71*$E$1))</f>
        <v>484486.71</v>
      </c>
      <c r="L3498" s="16">
        <f>IF($E$1&gt;=$Q$1%,397120.25-(397120.25*$Q$1%),397120.25-(397120.25*$E$1))</f>
        <v>397120.25</v>
      </c>
      <c r="M3498" s="1">
        <v>484486.71</v>
      </c>
      <c r="N3498" s="1">
        <v>397120.25</v>
      </c>
      <c r="O3498" s="1">
        <v>484486.71</v>
      </c>
      <c r="P3498" s="1">
        <v>397120.25</v>
      </c>
    </row>
    <row r="3499" spans="1:18" ht="13.8" outlineLevel="3" x14ac:dyDescent="0.25">
      <c r="A3499">
        <v>92357</v>
      </c>
      <c r="B3499" t="s">
        <v>4488</v>
      </c>
      <c r="C3499" t="s">
        <v>4498</v>
      </c>
      <c r="D3499" s="14" t="s">
        <v>4499</v>
      </c>
      <c r="E3499" s="12" t="s">
        <v>28</v>
      </c>
      <c r="F3499" s="13" t="s">
        <v>29</v>
      </c>
      <c r="H3499" t="s">
        <v>30</v>
      </c>
      <c r="I3499">
        <v>1</v>
      </c>
      <c r="J3499" s="15"/>
      <c r="K3499" s="16">
        <f>IF($E$1&gt;=$Q$1%,613885.64-(613885.64*$Q$1%),613885.64-(613885.64*$E$1))</f>
        <v>613885.64</v>
      </c>
      <c r="L3499" s="16">
        <f>IF($E$1&gt;=$Q$1%,503184.95-(503184.95*$Q$1%),503184.95-(503184.95*$E$1))</f>
        <v>503184.95</v>
      </c>
      <c r="M3499" s="1">
        <v>613885.64</v>
      </c>
      <c r="N3499" s="1">
        <v>503184.95</v>
      </c>
      <c r="O3499" s="1">
        <v>613885.64</v>
      </c>
      <c r="P3499" s="1">
        <v>503184.95</v>
      </c>
    </row>
    <row r="3500" spans="1:18" ht="16.5" customHeight="1" outlineLevel="2" x14ac:dyDescent="0.35">
      <c r="A3500" s="9"/>
      <c r="B3500" s="10" t="s">
        <v>4500</v>
      </c>
      <c r="C3500" s="10"/>
      <c r="D3500" s="10"/>
      <c r="E3500" s="10"/>
      <c r="F3500" s="10"/>
      <c r="G3500" s="10"/>
      <c r="H3500" s="10"/>
      <c r="I3500" s="10"/>
      <c r="J3500" s="10"/>
      <c r="K3500" s="10"/>
      <c r="L3500" s="10"/>
      <c r="M3500" s="10"/>
      <c r="N3500" s="10"/>
      <c r="O3500" s="10"/>
      <c r="P3500" s="10"/>
      <c r="Q3500" s="10"/>
      <c r="R3500" s="11"/>
    </row>
    <row r="3501" spans="1:18" ht="13.8" outlineLevel="3" x14ac:dyDescent="0.25">
      <c r="A3501">
        <v>76680</v>
      </c>
      <c r="B3501" t="s">
        <v>4501</v>
      </c>
      <c r="C3501" t="s">
        <v>4502</v>
      </c>
      <c r="D3501" s="14" t="s">
        <v>4503</v>
      </c>
      <c r="E3501" s="12" t="s">
        <v>28</v>
      </c>
      <c r="F3501" s="13" t="s">
        <v>29</v>
      </c>
      <c r="G3501">
        <v>1</v>
      </c>
      <c r="H3501" t="s">
        <v>30</v>
      </c>
      <c r="I3501">
        <v>1</v>
      </c>
      <c r="J3501" s="15"/>
      <c r="K3501" s="16">
        <f>IF($E$1&gt;=$Q$1%,595.4-(595.4*$Q$1%),595.4-(595.4*$E$1))</f>
        <v>595.4</v>
      </c>
      <c r="L3501" s="16">
        <f>IF($E$1&gt;=$Q$1%,488.03-(488.03*$Q$1%),488.03-(488.03*$E$1))</f>
        <v>488.03</v>
      </c>
      <c r="M3501" s="1">
        <v>595.4</v>
      </c>
      <c r="N3501" s="1">
        <v>488.03</v>
      </c>
      <c r="O3501" s="1">
        <v>595.4</v>
      </c>
      <c r="P3501" s="1">
        <v>488.03</v>
      </c>
      <c r="Q3501">
        <v>0.23</v>
      </c>
      <c r="R3501">
        <v>1.6900000000000001E-3</v>
      </c>
    </row>
    <row r="3502" spans="1:18" ht="13.8" outlineLevel="3" x14ac:dyDescent="0.25">
      <c r="A3502">
        <v>76681</v>
      </c>
      <c r="B3502" t="s">
        <v>4501</v>
      </c>
      <c r="C3502" t="s">
        <v>4504</v>
      </c>
      <c r="D3502" s="14" t="s">
        <v>4503</v>
      </c>
      <c r="E3502" s="12" t="s">
        <v>28</v>
      </c>
      <c r="F3502" s="13" t="s">
        <v>29</v>
      </c>
      <c r="G3502">
        <v>1</v>
      </c>
      <c r="H3502" t="s">
        <v>30</v>
      </c>
      <c r="I3502">
        <v>1</v>
      </c>
      <c r="J3502" s="15"/>
      <c r="K3502" s="16">
        <f>IF($E$1&gt;=$Q$1%,816.17-(816.17*$Q$1%),816.17-(816.17*$E$1))</f>
        <v>816.17</v>
      </c>
      <c r="L3502" s="16">
        <f>IF($E$1&gt;=$Q$1%,668.99-(668.99*$Q$1%),668.99-(668.99*$E$1))</f>
        <v>668.99</v>
      </c>
      <c r="M3502" s="1">
        <v>816.17</v>
      </c>
      <c r="N3502" s="1">
        <v>668.99</v>
      </c>
      <c r="O3502" s="1">
        <v>816.17</v>
      </c>
      <c r="P3502" s="1">
        <v>668.99</v>
      </c>
      <c r="Q3502">
        <v>0.33</v>
      </c>
      <c r="R3502">
        <v>1.823E-3</v>
      </c>
    </row>
    <row r="3503" spans="1:18" ht="13.8" outlineLevel="3" x14ac:dyDescent="0.25">
      <c r="A3503">
        <v>76682</v>
      </c>
      <c r="B3503" t="s">
        <v>4501</v>
      </c>
      <c r="C3503" t="s">
        <v>4505</v>
      </c>
      <c r="D3503" s="14" t="s">
        <v>4503</v>
      </c>
      <c r="E3503" s="12" t="s">
        <v>28</v>
      </c>
      <c r="F3503" s="13" t="s">
        <v>29</v>
      </c>
      <c r="G3503">
        <v>1</v>
      </c>
      <c r="H3503" t="s">
        <v>30</v>
      </c>
      <c r="I3503">
        <v>1</v>
      </c>
      <c r="J3503" s="15"/>
      <c r="K3503" s="16">
        <f>IF($E$1&gt;=$Q$1%,1051.96-(1051.96*$Q$1%),1051.96-(1051.96*$E$1))</f>
        <v>1051.96</v>
      </c>
      <c r="L3503" s="16">
        <f>IF($E$1&gt;=$Q$1%,862.26-(862.26*$Q$1%),862.26-(862.26*$E$1))</f>
        <v>862.26</v>
      </c>
      <c r="M3503" s="1">
        <v>1051.96</v>
      </c>
      <c r="N3503" s="1">
        <v>862.26</v>
      </c>
      <c r="O3503" s="1">
        <v>1051.96</v>
      </c>
      <c r="P3503" s="1">
        <v>862.26</v>
      </c>
      <c r="Q3503">
        <v>0.43</v>
      </c>
      <c r="R3503">
        <v>2.1870000000000001E-3</v>
      </c>
    </row>
    <row r="3504" spans="1:18" ht="13.8" outlineLevel="3" x14ac:dyDescent="0.25">
      <c r="A3504">
        <v>76684</v>
      </c>
      <c r="B3504" t="s">
        <v>4501</v>
      </c>
      <c r="C3504" t="s">
        <v>4506</v>
      </c>
      <c r="D3504" s="14" t="s">
        <v>4503</v>
      </c>
      <c r="E3504" s="12" t="s">
        <v>28</v>
      </c>
      <c r="F3504" s="13" t="s">
        <v>29</v>
      </c>
      <c r="G3504">
        <v>1</v>
      </c>
      <c r="H3504" t="s">
        <v>30</v>
      </c>
      <c r="I3504">
        <v>1</v>
      </c>
      <c r="J3504" s="15"/>
      <c r="K3504" s="16">
        <f>IF($E$1&gt;=$Q$1%,1552.25-(1552.25*$Q$1%),1552.25-(1552.25*$E$1))</f>
        <v>1552.25</v>
      </c>
      <c r="L3504" s="16">
        <f>IF($E$1&gt;=$Q$1%,1272.34-(1272.34*$Q$1%),1272.34-(1272.34*$E$1))</f>
        <v>1272.3399999999999</v>
      </c>
      <c r="M3504" s="1">
        <v>1552.25</v>
      </c>
      <c r="N3504" s="1">
        <v>1272.3399999999999</v>
      </c>
      <c r="O3504" s="1">
        <v>1552.25</v>
      </c>
      <c r="P3504" s="1">
        <v>1272.3399999999999</v>
      </c>
      <c r="Q3504">
        <v>0.62</v>
      </c>
      <c r="R3504">
        <v>2.2690000000000002E-3</v>
      </c>
    </row>
    <row r="3505" spans="1:18" ht="13.8" outlineLevel="3" x14ac:dyDescent="0.25">
      <c r="A3505">
        <v>81805</v>
      </c>
      <c r="B3505" t="s">
        <v>4501</v>
      </c>
      <c r="C3505" t="s">
        <v>4507</v>
      </c>
      <c r="D3505" s="14" t="s">
        <v>4508</v>
      </c>
      <c r="E3505" s="12" t="s">
        <v>28</v>
      </c>
      <c r="F3505" s="13" t="s">
        <v>29</v>
      </c>
      <c r="G3505">
        <v>1</v>
      </c>
      <c r="H3505" t="s">
        <v>30</v>
      </c>
      <c r="I3505">
        <v>1</v>
      </c>
      <c r="J3505" s="15"/>
      <c r="K3505" s="16">
        <f>IF($E$1&gt;=$Q$1%,1933.96-(1933.96*$Q$1%),1933.96-(1933.96*$E$1))</f>
        <v>1933.96</v>
      </c>
      <c r="L3505" s="16">
        <f>IF($E$1&gt;=$Q$1%,1585.21-(1585.21*$Q$1%),1585.21-(1585.21*$E$1))</f>
        <v>1585.21</v>
      </c>
      <c r="M3505" s="1">
        <v>1933.96</v>
      </c>
      <c r="N3505" s="1">
        <v>1585.21</v>
      </c>
      <c r="O3505" s="1">
        <v>1933.96</v>
      </c>
      <c r="P3505" s="1">
        <v>1585.21</v>
      </c>
      <c r="Q3505">
        <v>1</v>
      </c>
      <c r="R3505">
        <v>5.8279999999999998E-3</v>
      </c>
    </row>
    <row r="3506" spans="1:18" ht="13.8" outlineLevel="3" x14ac:dyDescent="0.25">
      <c r="A3506">
        <v>76683</v>
      </c>
      <c r="B3506" t="s">
        <v>4501</v>
      </c>
      <c r="C3506" t="s">
        <v>4509</v>
      </c>
      <c r="D3506" s="14" t="s">
        <v>4508</v>
      </c>
      <c r="E3506" s="12" t="s">
        <v>28</v>
      </c>
      <c r="F3506" s="13" t="s">
        <v>29</v>
      </c>
      <c r="G3506">
        <v>1</v>
      </c>
      <c r="H3506" t="s">
        <v>30</v>
      </c>
      <c r="I3506">
        <v>1</v>
      </c>
      <c r="J3506" s="15"/>
      <c r="K3506" s="16">
        <f>IF($E$1&gt;=$Q$1%,2362.88-(2362.88*$Q$1%),2362.88-(2362.88*$E$1))</f>
        <v>2362.88</v>
      </c>
      <c r="L3506" s="16">
        <f>IF($E$1&gt;=$Q$1%,1936.79-(1936.79*$Q$1%),1936.79-(1936.79*$E$1))</f>
        <v>1936.79</v>
      </c>
      <c r="M3506" s="1">
        <v>2362.88</v>
      </c>
      <c r="N3506" s="1">
        <v>1936.79</v>
      </c>
      <c r="O3506" s="1">
        <v>2362.88</v>
      </c>
      <c r="P3506" s="1">
        <v>1936.79</v>
      </c>
      <c r="Q3506">
        <v>1.3</v>
      </c>
      <c r="R3506">
        <v>5.8279999999999998E-3</v>
      </c>
    </row>
    <row r="3507" spans="1:18" ht="13.8" outlineLevel="3" x14ac:dyDescent="0.25">
      <c r="A3507">
        <v>76685</v>
      </c>
      <c r="B3507" t="s">
        <v>4501</v>
      </c>
      <c r="C3507" t="s">
        <v>4510</v>
      </c>
      <c r="D3507" s="14" t="s">
        <v>4508</v>
      </c>
      <c r="E3507" s="12" t="s">
        <v>28</v>
      </c>
      <c r="F3507" s="13" t="s">
        <v>29</v>
      </c>
      <c r="G3507">
        <v>1</v>
      </c>
      <c r="H3507" t="s">
        <v>30</v>
      </c>
      <c r="I3507">
        <v>1</v>
      </c>
      <c r="J3507" s="15"/>
      <c r="K3507" s="16">
        <f>IF($E$1&gt;=$Q$1%,2838.65-(2838.65*$Q$1%),2838.65-(2838.65*$E$1))</f>
        <v>2838.65</v>
      </c>
      <c r="L3507" s="16">
        <f>IF($E$1&gt;=$Q$1%,2326.76-(2326.76*$Q$1%),2326.76-(2326.76*$E$1))</f>
        <v>2326.7600000000002</v>
      </c>
      <c r="M3507" s="1">
        <v>2838.65</v>
      </c>
      <c r="N3507" s="1">
        <v>2326.7600000000002</v>
      </c>
      <c r="O3507" s="1">
        <v>2838.65</v>
      </c>
      <c r="P3507" s="1">
        <v>2326.7600000000002</v>
      </c>
      <c r="Q3507">
        <v>1.6</v>
      </c>
      <c r="R3507">
        <v>5.8279999999999998E-3</v>
      </c>
    </row>
    <row r="3508" spans="1:18" ht="13.8" outlineLevel="3" x14ac:dyDescent="0.25">
      <c r="A3508">
        <v>89624</v>
      </c>
      <c r="B3508" t="s">
        <v>4511</v>
      </c>
      <c r="C3508" t="s">
        <v>4512</v>
      </c>
      <c r="D3508" s="14" t="s">
        <v>4513</v>
      </c>
      <c r="E3508" s="12" t="s">
        <v>28</v>
      </c>
      <c r="F3508" s="13" t="s">
        <v>29</v>
      </c>
      <c r="G3508">
        <v>1</v>
      </c>
      <c r="H3508" t="s">
        <v>30</v>
      </c>
      <c r="I3508">
        <v>1</v>
      </c>
      <c r="J3508" s="15"/>
      <c r="K3508" s="16">
        <f>IF($E$1&gt;=$Q$1%,400.14-(400.14*$Q$1%),400.14-(400.14*$E$1))</f>
        <v>400.14</v>
      </c>
      <c r="L3508" s="16">
        <f>IF($E$1&gt;=$Q$1%,327.98-(327.98*$Q$1%),327.98-(327.98*$E$1))</f>
        <v>327.98</v>
      </c>
      <c r="M3508" s="1">
        <v>400.14</v>
      </c>
      <c r="N3508" s="1">
        <v>327.98</v>
      </c>
      <c r="O3508" s="1">
        <v>400.14</v>
      </c>
      <c r="P3508" s="1">
        <v>327.98</v>
      </c>
      <c r="Q3508">
        <v>0.09</v>
      </c>
      <c r="R3508">
        <v>6.7600000000000004E-3</v>
      </c>
    </row>
    <row r="3509" spans="1:18" ht="13.8" outlineLevel="3" x14ac:dyDescent="0.25">
      <c r="A3509">
        <v>89625</v>
      </c>
      <c r="B3509" t="s">
        <v>4511</v>
      </c>
      <c r="C3509" t="s">
        <v>4514</v>
      </c>
      <c r="D3509" s="14" t="s">
        <v>4513</v>
      </c>
      <c r="E3509" s="12" t="s">
        <v>28</v>
      </c>
      <c r="F3509" s="13" t="s">
        <v>29</v>
      </c>
      <c r="G3509">
        <v>1</v>
      </c>
      <c r="H3509" t="s">
        <v>30</v>
      </c>
      <c r="I3509">
        <v>1</v>
      </c>
      <c r="J3509" s="15"/>
      <c r="K3509" s="16">
        <f>IF($E$1&gt;=$Q$1%,498.96-(498.96*$Q$1%),498.96-(498.96*$E$1))</f>
        <v>498.96</v>
      </c>
      <c r="L3509" s="16">
        <f>IF($E$1&gt;=$Q$1%,408.98-(408.98*$Q$1%),408.98-(408.98*$E$1))</f>
        <v>408.98</v>
      </c>
      <c r="M3509" s="1">
        <v>498.96</v>
      </c>
      <c r="N3509" s="1">
        <v>408.98</v>
      </c>
      <c r="O3509" s="1">
        <v>498.96</v>
      </c>
      <c r="P3509" s="1">
        <v>408.98</v>
      </c>
      <c r="Q3509">
        <v>0.13</v>
      </c>
      <c r="R3509">
        <v>1.3520000000000001E-2</v>
      </c>
    </row>
    <row r="3510" spans="1:18" ht="13.8" outlineLevel="3" x14ac:dyDescent="0.25">
      <c r="A3510">
        <v>89626</v>
      </c>
      <c r="B3510" t="s">
        <v>4511</v>
      </c>
      <c r="C3510" t="s">
        <v>4515</v>
      </c>
      <c r="D3510" s="14" t="s">
        <v>4513</v>
      </c>
      <c r="E3510" s="12" t="s">
        <v>28</v>
      </c>
      <c r="F3510" s="13" t="s">
        <v>29</v>
      </c>
      <c r="G3510">
        <v>1</v>
      </c>
      <c r="H3510" t="s">
        <v>30</v>
      </c>
      <c r="I3510">
        <v>1</v>
      </c>
      <c r="J3510" s="15"/>
      <c r="K3510" s="16">
        <f>IF($E$1&gt;=$Q$1%,595.68-(595.68*$Q$1%),595.68-(595.68*$E$1))</f>
        <v>595.67999999999995</v>
      </c>
      <c r="L3510" s="16">
        <f>IF($E$1&gt;=$Q$1%,488.26-(488.26*$Q$1%),488.26-(488.26*$E$1))</f>
        <v>488.26</v>
      </c>
      <c r="M3510" s="1">
        <v>595.67999999999995</v>
      </c>
      <c r="N3510" s="1">
        <v>488.26</v>
      </c>
      <c r="O3510" s="1">
        <v>595.67999999999995</v>
      </c>
      <c r="P3510" s="1">
        <v>488.26</v>
      </c>
      <c r="Q3510">
        <v>0.21</v>
      </c>
      <c r="R3510">
        <v>1.3520000000000001E-2</v>
      </c>
    </row>
    <row r="3511" spans="1:18" ht="13.8" outlineLevel="3" x14ac:dyDescent="0.25">
      <c r="A3511">
        <v>76654</v>
      </c>
      <c r="B3511" t="s">
        <v>4511</v>
      </c>
      <c r="C3511" t="s">
        <v>4516</v>
      </c>
      <c r="D3511" s="14" t="s">
        <v>4517</v>
      </c>
      <c r="E3511" s="12" t="s">
        <v>28</v>
      </c>
      <c r="F3511" s="13" t="s">
        <v>29</v>
      </c>
      <c r="G3511">
        <v>1</v>
      </c>
      <c r="H3511" t="s">
        <v>30</v>
      </c>
      <c r="I3511">
        <v>1</v>
      </c>
      <c r="J3511" s="15"/>
      <c r="K3511" s="16">
        <f>IF($E$1&gt;=$Q$1%,556.89-(556.89*$Q$1%),556.89-(556.89*$E$1))</f>
        <v>556.89</v>
      </c>
      <c r="L3511" s="16">
        <f>IF($E$1&gt;=$Q$1%,456.47-(456.47*$Q$1%),456.47-(456.47*$E$1))</f>
        <v>456.47</v>
      </c>
      <c r="M3511" s="1">
        <v>556.89</v>
      </c>
      <c r="N3511" s="1">
        <v>456.47</v>
      </c>
      <c r="O3511" s="1">
        <v>556.89</v>
      </c>
      <c r="P3511" s="1">
        <v>456.47</v>
      </c>
      <c r="Q3511">
        <v>0.15</v>
      </c>
      <c r="R3511">
        <v>1.2603E-2</v>
      </c>
    </row>
    <row r="3512" spans="1:18" ht="13.8" outlineLevel="3" x14ac:dyDescent="0.25">
      <c r="A3512">
        <v>76655</v>
      </c>
      <c r="B3512" t="s">
        <v>4511</v>
      </c>
      <c r="C3512" t="s">
        <v>4518</v>
      </c>
      <c r="D3512" s="14" t="s">
        <v>4517</v>
      </c>
      <c r="E3512" s="12" t="s">
        <v>28</v>
      </c>
      <c r="F3512" s="13" t="s">
        <v>29</v>
      </c>
      <c r="G3512">
        <v>1</v>
      </c>
      <c r="H3512" t="s">
        <v>30</v>
      </c>
      <c r="I3512">
        <v>1</v>
      </c>
      <c r="J3512" s="15"/>
      <c r="K3512" s="16">
        <f>IF($E$1&gt;=$Q$1%,701.73-(701.73*$Q$1%),701.73-(701.73*$E$1))</f>
        <v>701.73</v>
      </c>
      <c r="L3512" s="16">
        <f>IF($E$1&gt;=$Q$1%,575.19-(575.19*$Q$1%),575.19-(575.19*$E$1))</f>
        <v>575.19000000000005</v>
      </c>
      <c r="M3512" s="1">
        <v>701.73</v>
      </c>
      <c r="N3512" s="1">
        <v>575.19000000000005</v>
      </c>
      <c r="O3512" s="1">
        <v>701.73</v>
      </c>
      <c r="P3512" s="1">
        <v>575.19000000000005</v>
      </c>
      <c r="Q3512">
        <v>0.24</v>
      </c>
      <c r="R3512">
        <v>3.4229999999999998E-3</v>
      </c>
    </row>
    <row r="3513" spans="1:18" ht="13.8" outlineLevel="3" x14ac:dyDescent="0.25">
      <c r="A3513">
        <v>76656</v>
      </c>
      <c r="B3513" t="s">
        <v>4511</v>
      </c>
      <c r="C3513" t="s">
        <v>4519</v>
      </c>
      <c r="D3513" s="14" t="s">
        <v>4517</v>
      </c>
      <c r="E3513" s="12" t="s">
        <v>28</v>
      </c>
      <c r="F3513" s="13" t="s">
        <v>29</v>
      </c>
      <c r="G3513">
        <v>1</v>
      </c>
      <c r="H3513" t="s">
        <v>30</v>
      </c>
      <c r="I3513">
        <v>1</v>
      </c>
      <c r="J3513" s="15"/>
      <c r="K3513" s="16">
        <f>IF($E$1&gt;=$Q$1%,840.93-(840.93*$Q$1%),840.93-(840.93*$E$1))</f>
        <v>840.93</v>
      </c>
      <c r="L3513" s="16">
        <f>IF($E$1&gt;=$Q$1%,689.29-(689.29*$Q$1%),689.29-(689.29*$E$1))</f>
        <v>689.29</v>
      </c>
      <c r="M3513" s="1">
        <v>840.93</v>
      </c>
      <c r="N3513" s="1">
        <v>689.29</v>
      </c>
      <c r="O3513" s="1">
        <v>840.93</v>
      </c>
      <c r="P3513" s="1">
        <v>689.29</v>
      </c>
      <c r="Q3513">
        <v>0.28599999999999998</v>
      </c>
      <c r="R3513">
        <v>2.1870000000000001E-3</v>
      </c>
    </row>
    <row r="3514" spans="1:18" ht="13.8" outlineLevel="3" x14ac:dyDescent="0.25">
      <c r="A3514">
        <v>76658</v>
      </c>
      <c r="B3514" t="s">
        <v>4511</v>
      </c>
      <c r="C3514" t="s">
        <v>4520</v>
      </c>
      <c r="D3514" s="14" t="s">
        <v>4517</v>
      </c>
      <c r="E3514" s="12" t="s">
        <v>28</v>
      </c>
      <c r="F3514" s="13" t="s">
        <v>29</v>
      </c>
      <c r="G3514">
        <v>1</v>
      </c>
      <c r="H3514" t="s">
        <v>30</v>
      </c>
      <c r="I3514">
        <v>1</v>
      </c>
      <c r="J3514" s="15"/>
      <c r="K3514" s="16">
        <f>IF($E$1&gt;=$Q$1%,1115.57-(1115.57*$Q$1%),1115.57-(1115.57*$E$1))</f>
        <v>1115.57</v>
      </c>
      <c r="L3514" s="16">
        <f>IF($E$1&gt;=$Q$1%,914.4-(914.4*$Q$1%),914.4-(914.4*$E$1))</f>
        <v>914.4</v>
      </c>
      <c r="M3514" s="1">
        <v>1115.57</v>
      </c>
      <c r="N3514" s="1">
        <v>914.4</v>
      </c>
      <c r="O3514" s="1">
        <v>1115.57</v>
      </c>
      <c r="P3514" s="1">
        <v>914.4</v>
      </c>
      <c r="Q3514">
        <v>0.4</v>
      </c>
      <c r="R3514">
        <v>5.0540000000000003E-3</v>
      </c>
    </row>
    <row r="3515" spans="1:18" ht="13.8" outlineLevel="3" x14ac:dyDescent="0.25">
      <c r="A3515">
        <v>81808</v>
      </c>
      <c r="B3515" t="s">
        <v>4511</v>
      </c>
      <c r="C3515" t="s">
        <v>4521</v>
      </c>
      <c r="D3515" s="14" t="s">
        <v>4522</v>
      </c>
      <c r="E3515" s="12" t="s">
        <v>28</v>
      </c>
      <c r="F3515" s="13" t="s">
        <v>29</v>
      </c>
      <c r="G3515">
        <v>1</v>
      </c>
      <c r="H3515" t="s">
        <v>30</v>
      </c>
      <c r="I3515">
        <v>1</v>
      </c>
      <c r="J3515" s="15"/>
      <c r="K3515" s="16">
        <f>IF($E$1&gt;=$Q$1%,2266.14-(2266.14*$Q$1%),2266.14-(2266.14*$E$1))</f>
        <v>2266.14</v>
      </c>
      <c r="L3515" s="16">
        <f>IF($E$1&gt;=$Q$1%,1857.49-(1857.49*$Q$1%),1857.49-(1857.49*$E$1))</f>
        <v>1857.49</v>
      </c>
      <c r="M3515" s="1">
        <v>2266.14</v>
      </c>
      <c r="N3515" s="1">
        <v>1857.49</v>
      </c>
      <c r="O3515" s="1">
        <v>2266.14</v>
      </c>
      <c r="P3515" s="1">
        <v>1857.49</v>
      </c>
      <c r="Q3515">
        <v>1</v>
      </c>
      <c r="R3515">
        <v>5.8279999999999998E-3</v>
      </c>
    </row>
    <row r="3516" spans="1:18" ht="13.8" outlineLevel="3" x14ac:dyDescent="0.25">
      <c r="A3516">
        <v>76657</v>
      </c>
      <c r="B3516" t="s">
        <v>4511</v>
      </c>
      <c r="C3516" t="s">
        <v>4523</v>
      </c>
      <c r="D3516" s="14" t="s">
        <v>4522</v>
      </c>
      <c r="E3516" s="12" t="s">
        <v>28</v>
      </c>
      <c r="F3516" s="13" t="s">
        <v>29</v>
      </c>
      <c r="G3516">
        <v>1</v>
      </c>
      <c r="H3516" t="s">
        <v>30</v>
      </c>
      <c r="I3516">
        <v>1</v>
      </c>
      <c r="J3516" s="15"/>
      <c r="K3516" s="16">
        <f>IF($E$1&gt;=$Q$1%,2516.87-(2516.87*$Q$1%),2516.87-(2516.87*$E$1))</f>
        <v>2516.87</v>
      </c>
      <c r="L3516" s="16">
        <f>IF($E$1&gt;=$Q$1%,2063.01-(2063.01*$Q$1%),2063.01-(2063.01*$E$1))</f>
        <v>2063.0100000000002</v>
      </c>
      <c r="M3516" s="1">
        <v>2516.87</v>
      </c>
      <c r="N3516" s="1">
        <v>2063.0100000000002</v>
      </c>
      <c r="O3516" s="1">
        <v>2516.87</v>
      </c>
      <c r="P3516" s="1">
        <v>2063.0100000000002</v>
      </c>
      <c r="Q3516">
        <v>1.1000000000000001</v>
      </c>
      <c r="R3516">
        <v>5.8279999999999998E-3</v>
      </c>
    </row>
    <row r="3517" spans="1:18" ht="13.8" outlineLevel="3" x14ac:dyDescent="0.25">
      <c r="A3517">
        <v>76659</v>
      </c>
      <c r="B3517" t="s">
        <v>4511</v>
      </c>
      <c r="C3517" t="s">
        <v>4524</v>
      </c>
      <c r="D3517" s="14" t="s">
        <v>4522</v>
      </c>
      <c r="E3517" s="12" t="s">
        <v>28</v>
      </c>
      <c r="F3517" s="13" t="s">
        <v>29</v>
      </c>
      <c r="G3517">
        <v>1</v>
      </c>
      <c r="H3517" t="s">
        <v>30</v>
      </c>
      <c r="I3517">
        <v>1</v>
      </c>
      <c r="J3517" s="15"/>
      <c r="K3517" s="16">
        <f>IF($E$1&gt;=$Q$1%,2682.99-(2682.99*$Q$1%),2682.99-(2682.99*$E$1))</f>
        <v>2682.99</v>
      </c>
      <c r="L3517" s="16">
        <f>IF($E$1&gt;=$Q$1%,2199.17-(2199.17*$Q$1%),2199.17-(2199.17*$E$1))</f>
        <v>2199.17</v>
      </c>
      <c r="M3517" s="1">
        <v>2682.99</v>
      </c>
      <c r="N3517" s="1">
        <v>2199.17</v>
      </c>
      <c r="O3517" s="1">
        <v>2682.99</v>
      </c>
      <c r="P3517" s="1">
        <v>2199.17</v>
      </c>
      <c r="Q3517">
        <v>1.2</v>
      </c>
      <c r="R3517">
        <v>5.8279999999999998E-3</v>
      </c>
    </row>
    <row r="3518" spans="1:18" ht="13.8" outlineLevel="3" x14ac:dyDescent="0.25">
      <c r="A3518">
        <v>76673</v>
      </c>
      <c r="B3518" t="s">
        <v>4511</v>
      </c>
      <c r="C3518" t="s">
        <v>4525</v>
      </c>
      <c r="D3518" s="14" t="s">
        <v>4526</v>
      </c>
      <c r="E3518" s="12" t="s">
        <v>28</v>
      </c>
      <c r="F3518" s="13" t="s">
        <v>29</v>
      </c>
      <c r="G3518">
        <v>1</v>
      </c>
      <c r="H3518" t="s">
        <v>30</v>
      </c>
      <c r="I3518">
        <v>1</v>
      </c>
      <c r="J3518" s="15"/>
      <c r="K3518" s="16">
        <f>IF($E$1&gt;=$Q$1%,1246.33-(1246.33*$Q$1%),1246.33-(1246.33*$E$1))</f>
        <v>1246.33</v>
      </c>
      <c r="L3518" s="16">
        <f>IF($E$1&gt;=$Q$1%,1021.58-(1021.58*$Q$1%),1021.58-(1021.58*$E$1))</f>
        <v>1021.58</v>
      </c>
      <c r="M3518" s="1">
        <v>1246.33</v>
      </c>
      <c r="N3518" s="1">
        <v>1021.58</v>
      </c>
      <c r="O3518" s="1">
        <v>1246.33</v>
      </c>
      <c r="P3518" s="1">
        <v>1021.58</v>
      </c>
      <c r="Q3518">
        <v>0.6</v>
      </c>
      <c r="R3518">
        <v>5.7759999999999999E-3</v>
      </c>
    </row>
    <row r="3519" spans="1:18" ht="13.8" outlineLevel="3" x14ac:dyDescent="0.25">
      <c r="A3519">
        <v>76675</v>
      </c>
      <c r="B3519" t="s">
        <v>4511</v>
      </c>
      <c r="C3519" t="s">
        <v>4527</v>
      </c>
      <c r="D3519" s="14" t="s">
        <v>4526</v>
      </c>
      <c r="E3519" s="12" t="s">
        <v>28</v>
      </c>
      <c r="F3519" s="13" t="s">
        <v>29</v>
      </c>
      <c r="G3519">
        <v>1</v>
      </c>
      <c r="H3519" t="s">
        <v>30</v>
      </c>
      <c r="I3519">
        <v>1</v>
      </c>
      <c r="J3519" s="15"/>
      <c r="K3519" s="16">
        <f>IF($E$1&gt;=$Q$1%,1744.77-(1744.77*$Q$1%),1744.77-(1744.77*$E$1))</f>
        <v>1744.77</v>
      </c>
      <c r="L3519" s="16">
        <f>IF($E$1&gt;=$Q$1%,1430.14-(1430.14*$Q$1%),1430.14-(1430.14*$E$1))</f>
        <v>1430.14</v>
      </c>
      <c r="M3519" s="1">
        <v>1744.77</v>
      </c>
      <c r="N3519" s="1">
        <v>1430.14</v>
      </c>
      <c r="O3519" s="1">
        <v>1744.77</v>
      </c>
      <c r="P3519" s="1">
        <v>1430.14</v>
      </c>
      <c r="Q3519">
        <v>1</v>
      </c>
      <c r="R3519">
        <v>9.1039999999999992E-3</v>
      </c>
    </row>
    <row r="3520" spans="1:18" ht="13.8" outlineLevel="3" x14ac:dyDescent="0.25">
      <c r="A3520">
        <v>76677</v>
      </c>
      <c r="B3520" t="s">
        <v>4511</v>
      </c>
      <c r="C3520" t="s">
        <v>4528</v>
      </c>
      <c r="D3520" s="14" t="s">
        <v>4526</v>
      </c>
      <c r="E3520" s="12" t="s">
        <v>28</v>
      </c>
      <c r="F3520" s="13" t="s">
        <v>29</v>
      </c>
      <c r="G3520">
        <v>1</v>
      </c>
      <c r="H3520" t="s">
        <v>30</v>
      </c>
      <c r="I3520">
        <v>1</v>
      </c>
      <c r="J3520" s="15"/>
      <c r="K3520" s="16">
        <f>IF($E$1&gt;=$Q$1%,2692.63-(2692.63*$Q$1%),2692.63-(2692.63*$E$1))</f>
        <v>2692.63</v>
      </c>
      <c r="L3520" s="16">
        <f>IF($E$1&gt;=$Q$1%,2207.07-(2207.07*$Q$1%),2207.07-(2207.07*$E$1))</f>
        <v>2207.0700000000002</v>
      </c>
      <c r="M3520" s="1">
        <v>2692.63</v>
      </c>
      <c r="N3520" s="1">
        <v>2207.0700000000002</v>
      </c>
      <c r="O3520" s="1">
        <v>2692.63</v>
      </c>
      <c r="P3520" s="1">
        <v>2207.0700000000002</v>
      </c>
      <c r="Q3520">
        <v>1.25</v>
      </c>
      <c r="R3520">
        <v>7.1250000000000003E-3</v>
      </c>
    </row>
    <row r="3521" spans="1:18" ht="13.8" outlineLevel="3" x14ac:dyDescent="0.25">
      <c r="A3521">
        <v>76674</v>
      </c>
      <c r="B3521" t="s">
        <v>4511</v>
      </c>
      <c r="C3521" t="s">
        <v>4529</v>
      </c>
      <c r="D3521" s="14" t="s">
        <v>4530</v>
      </c>
      <c r="E3521" s="12" t="s">
        <v>28</v>
      </c>
      <c r="F3521" s="13" t="s">
        <v>29</v>
      </c>
      <c r="G3521">
        <v>1</v>
      </c>
      <c r="H3521" t="s">
        <v>30</v>
      </c>
      <c r="I3521">
        <v>1</v>
      </c>
      <c r="J3521" s="15"/>
      <c r="K3521" s="16">
        <f>IF($E$1&gt;=$Q$1%,2094.31-(2094.31*$Q$1%),2094.31-(2094.31*$E$1))</f>
        <v>2094.31</v>
      </c>
      <c r="L3521" s="16">
        <f>IF($E$1&gt;=$Q$1%,1716.65-(1716.65*$Q$1%),1716.65-(1716.65*$E$1))</f>
        <v>1716.65</v>
      </c>
      <c r="M3521" s="1">
        <v>2094.31</v>
      </c>
      <c r="N3521" s="1">
        <v>1716.65</v>
      </c>
      <c r="O3521" s="1">
        <v>2094.31</v>
      </c>
      <c r="P3521" s="1">
        <v>1716.65</v>
      </c>
      <c r="Q3521">
        <v>0.93</v>
      </c>
      <c r="R3521">
        <v>1.0368E-2</v>
      </c>
    </row>
    <row r="3522" spans="1:18" ht="13.8" outlineLevel="3" x14ac:dyDescent="0.25">
      <c r="A3522">
        <v>76676</v>
      </c>
      <c r="B3522" t="s">
        <v>4511</v>
      </c>
      <c r="C3522" t="s">
        <v>4531</v>
      </c>
      <c r="D3522" s="14" t="s">
        <v>4530</v>
      </c>
      <c r="E3522" s="12" t="s">
        <v>28</v>
      </c>
      <c r="F3522" s="13" t="s">
        <v>29</v>
      </c>
      <c r="G3522">
        <v>1</v>
      </c>
      <c r="H3522" t="s">
        <v>30</v>
      </c>
      <c r="I3522">
        <v>1</v>
      </c>
      <c r="J3522" s="15"/>
      <c r="K3522" s="16">
        <f>IF($E$1&gt;=$Q$1%,2428.56-(2428.56*$Q$1%),2428.56-(2428.56*$E$1))</f>
        <v>2428.56</v>
      </c>
      <c r="L3522" s="16">
        <f>IF($E$1&gt;=$Q$1%,1990.62-(1990.62*$Q$1%),1990.62-(1990.62*$E$1))</f>
        <v>1990.62</v>
      </c>
      <c r="M3522" s="1">
        <v>2428.56</v>
      </c>
      <c r="N3522" s="1">
        <v>1990.62</v>
      </c>
      <c r="O3522" s="1">
        <v>2428.56</v>
      </c>
      <c r="P3522" s="1">
        <v>1990.62</v>
      </c>
      <c r="Q3522">
        <v>1.27</v>
      </c>
      <c r="R3522">
        <v>6.9360000000000003E-3</v>
      </c>
    </row>
    <row r="3523" spans="1:18" ht="13.8" outlineLevel="3" x14ac:dyDescent="0.25">
      <c r="A3523">
        <v>76678</v>
      </c>
      <c r="B3523" t="s">
        <v>4511</v>
      </c>
      <c r="C3523" t="s">
        <v>4532</v>
      </c>
      <c r="D3523" s="14" t="s">
        <v>4530</v>
      </c>
      <c r="E3523" s="12" t="s">
        <v>28</v>
      </c>
      <c r="F3523" s="13" t="s">
        <v>29</v>
      </c>
      <c r="G3523">
        <v>1</v>
      </c>
      <c r="H3523" t="s">
        <v>30</v>
      </c>
      <c r="I3523">
        <v>1</v>
      </c>
      <c r="J3523" s="15"/>
      <c r="K3523" s="16">
        <f>IF($E$1&gt;=$Q$1%,3097.07-(3097.07*$Q$1%),3097.07-(3097.07*$E$1))</f>
        <v>3097.07</v>
      </c>
      <c r="L3523" s="16">
        <f>IF($E$1&gt;=$Q$1%,2538.58-(2538.58*$Q$1%),2538.58-(2538.58*$E$1))</f>
        <v>2538.58</v>
      </c>
      <c r="M3523" s="1">
        <v>3097.07</v>
      </c>
      <c r="N3523" s="1">
        <v>2538.58</v>
      </c>
      <c r="O3523" s="1">
        <v>3097.07</v>
      </c>
      <c r="P3523" s="1">
        <v>2538.58</v>
      </c>
      <c r="Q3523">
        <v>1.8332999999999999</v>
      </c>
      <c r="R3523">
        <v>8.5749999999999993E-3</v>
      </c>
    </row>
    <row r="3524" spans="1:18" ht="13.8" outlineLevel="3" x14ac:dyDescent="0.25">
      <c r="A3524">
        <v>70431</v>
      </c>
      <c r="B3524" t="s">
        <v>4533</v>
      </c>
      <c r="C3524" t="s">
        <v>4534</v>
      </c>
      <c r="D3524" s="14" t="s">
        <v>4535</v>
      </c>
      <c r="E3524" s="12" t="s">
        <v>28</v>
      </c>
      <c r="F3524" s="13" t="s">
        <v>29</v>
      </c>
      <c r="G3524">
        <v>1</v>
      </c>
      <c r="H3524" t="s">
        <v>30</v>
      </c>
      <c r="I3524">
        <v>1</v>
      </c>
      <c r="J3524" s="15"/>
      <c r="K3524" s="16">
        <f>IF($E$1&gt;=$Q$1%,342.89-(342.89*$Q$1%),342.89-(342.89*$E$1))</f>
        <v>342.89</v>
      </c>
      <c r="L3524" s="16">
        <f>IF($E$1&gt;=$Q$1%,281.06-(281.06*$Q$1%),281.06-(281.06*$E$1))</f>
        <v>281.06</v>
      </c>
      <c r="M3524" s="1">
        <v>342.89</v>
      </c>
      <c r="N3524" s="1">
        <v>281.06</v>
      </c>
      <c r="O3524" s="1">
        <v>342.89</v>
      </c>
      <c r="P3524" s="1">
        <v>281.06</v>
      </c>
      <c r="Q3524">
        <v>0.1</v>
      </c>
      <c r="R3524">
        <v>1.2960000000000001E-3</v>
      </c>
    </row>
    <row r="3525" spans="1:18" ht="13.8" outlineLevel="3" x14ac:dyDescent="0.25">
      <c r="A3525">
        <v>69440</v>
      </c>
      <c r="B3525" t="s">
        <v>4533</v>
      </c>
      <c r="C3525" t="s">
        <v>4536</v>
      </c>
      <c r="D3525" s="14" t="s">
        <v>4535</v>
      </c>
      <c r="E3525" s="12" t="s">
        <v>28</v>
      </c>
      <c r="F3525" s="13" t="s">
        <v>29</v>
      </c>
      <c r="G3525">
        <v>1</v>
      </c>
      <c r="H3525" t="s">
        <v>30</v>
      </c>
      <c r="I3525">
        <v>1</v>
      </c>
      <c r="J3525" s="15"/>
      <c r="K3525" s="16">
        <f>IF($E$1&gt;=$Q$1%,369.44-(369.44*$Q$1%),369.44-(369.44*$E$1))</f>
        <v>369.44</v>
      </c>
      <c r="L3525" s="16">
        <f>IF($E$1&gt;=$Q$1%,302.82-(302.82*$Q$1%),302.82-(302.82*$E$1))</f>
        <v>302.82</v>
      </c>
      <c r="M3525" s="1">
        <v>369.44</v>
      </c>
      <c r="N3525" s="1">
        <v>302.82</v>
      </c>
      <c r="O3525" s="1">
        <v>369.44</v>
      </c>
      <c r="P3525" s="1">
        <v>302.82</v>
      </c>
      <c r="Q3525">
        <v>8.5999999999999993E-2</v>
      </c>
      <c r="R3525">
        <v>1.2600000000000001E-3</v>
      </c>
    </row>
    <row r="3526" spans="1:18" ht="13.8" outlineLevel="3" x14ac:dyDescent="0.25">
      <c r="A3526">
        <v>69441</v>
      </c>
      <c r="B3526" t="s">
        <v>4533</v>
      </c>
      <c r="C3526" t="s">
        <v>4537</v>
      </c>
      <c r="D3526" s="14" t="s">
        <v>4535</v>
      </c>
      <c r="E3526" s="12" t="s">
        <v>28</v>
      </c>
      <c r="F3526" s="13" t="s">
        <v>29</v>
      </c>
      <c r="G3526">
        <v>1</v>
      </c>
      <c r="H3526" t="s">
        <v>30</v>
      </c>
      <c r="I3526">
        <v>1</v>
      </c>
      <c r="J3526" s="15"/>
      <c r="K3526" s="16">
        <f>IF($E$1&gt;=$Q$1%,489.06-(489.06*$Q$1%),489.06-(489.06*$E$1))</f>
        <v>489.06</v>
      </c>
      <c r="L3526" s="16">
        <f>IF($E$1&gt;=$Q$1%,400.87-(400.87*$Q$1%),400.87-(400.87*$E$1))</f>
        <v>400.87</v>
      </c>
      <c r="M3526" s="1">
        <v>489.06</v>
      </c>
      <c r="N3526" s="1">
        <v>400.87</v>
      </c>
      <c r="O3526" s="1">
        <v>489.06</v>
      </c>
      <c r="P3526" s="1">
        <v>400.87</v>
      </c>
      <c r="Q3526">
        <v>0.15</v>
      </c>
      <c r="R3526">
        <v>2.2030000000000001E-3</v>
      </c>
    </row>
    <row r="3527" spans="1:18" ht="13.8" outlineLevel="3" x14ac:dyDescent="0.25">
      <c r="A3527">
        <v>69442</v>
      </c>
      <c r="B3527" t="s">
        <v>4533</v>
      </c>
      <c r="C3527" t="s">
        <v>4538</v>
      </c>
      <c r="D3527" s="14" t="s">
        <v>4535</v>
      </c>
      <c r="E3527" s="12" t="s">
        <v>28</v>
      </c>
      <c r="F3527" s="13" t="s">
        <v>29</v>
      </c>
      <c r="G3527">
        <v>1</v>
      </c>
      <c r="H3527" t="s">
        <v>30</v>
      </c>
      <c r="I3527">
        <v>1</v>
      </c>
      <c r="J3527" s="15"/>
      <c r="K3527" s="16">
        <f>IF($E$1&gt;=$Q$1%,699.73-(699.73*$Q$1%),699.73-(699.73*$E$1))</f>
        <v>699.73</v>
      </c>
      <c r="L3527" s="16">
        <f>IF($E$1&gt;=$Q$1%,573.55-(573.55*$Q$1%),573.55-(573.55*$E$1))</f>
        <v>573.54999999999995</v>
      </c>
      <c r="M3527" s="1">
        <v>699.73</v>
      </c>
      <c r="N3527" s="1">
        <v>573.54999999999995</v>
      </c>
      <c r="O3527" s="1">
        <v>699.73</v>
      </c>
      <c r="P3527" s="1">
        <v>573.54999999999995</v>
      </c>
      <c r="Q3527">
        <v>0.2</v>
      </c>
      <c r="R3527">
        <v>2.5920000000000001E-3</v>
      </c>
    </row>
    <row r="3528" spans="1:18" ht="13.8" outlineLevel="3" x14ac:dyDescent="0.25">
      <c r="A3528">
        <v>69443</v>
      </c>
      <c r="B3528" t="s">
        <v>4533</v>
      </c>
      <c r="C3528" t="s">
        <v>4539</v>
      </c>
      <c r="D3528" s="14" t="s">
        <v>4535</v>
      </c>
      <c r="E3528" s="12" t="s">
        <v>28</v>
      </c>
      <c r="F3528" s="13" t="s">
        <v>29</v>
      </c>
      <c r="G3528">
        <v>1</v>
      </c>
      <c r="H3528" t="s">
        <v>30</v>
      </c>
      <c r="I3528">
        <v>1</v>
      </c>
      <c r="J3528" s="15"/>
      <c r="K3528" s="16">
        <f>IF($E$1&gt;=$Q$1%,1018.5-(1018.5*$Q$1%),1018.5-(1018.5*$E$1))</f>
        <v>1018.5</v>
      </c>
      <c r="L3528" s="16">
        <f>IF($E$1&gt;=$Q$1%,834.84-(834.84*$Q$1%),834.84-(834.84*$E$1))</f>
        <v>834.84</v>
      </c>
      <c r="M3528" s="1">
        <v>1018.5</v>
      </c>
      <c r="N3528" s="1">
        <v>834.84</v>
      </c>
      <c r="O3528" s="1">
        <v>1018.5</v>
      </c>
      <c r="P3528" s="1">
        <v>834.84</v>
      </c>
      <c r="Q3528">
        <v>0.27600000000000002</v>
      </c>
      <c r="R3528">
        <v>2.5920000000000001E-3</v>
      </c>
    </row>
    <row r="3529" spans="1:18" ht="13.8" outlineLevel="3" x14ac:dyDescent="0.25">
      <c r="A3529">
        <v>69446</v>
      </c>
      <c r="B3529" t="s">
        <v>4533</v>
      </c>
      <c r="C3529" t="s">
        <v>4540</v>
      </c>
      <c r="D3529" s="14" t="s">
        <v>4535</v>
      </c>
      <c r="E3529" s="12" t="s">
        <v>28</v>
      </c>
      <c r="F3529" s="13" t="s">
        <v>29</v>
      </c>
      <c r="G3529">
        <v>1</v>
      </c>
      <c r="H3529" t="s">
        <v>30</v>
      </c>
      <c r="I3529">
        <v>1</v>
      </c>
      <c r="J3529" s="15"/>
      <c r="K3529" s="16">
        <f>IF($E$1&gt;=$Q$1%,1255.9-(1255.9*$Q$1%),1255.9-(1255.9*$E$1))</f>
        <v>1255.9000000000001</v>
      </c>
      <c r="L3529" s="16">
        <f>IF($E$1&gt;=$Q$1%,1029.43-(1029.43*$Q$1%),1029.43-(1029.43*$E$1))</f>
        <v>1029.43</v>
      </c>
      <c r="M3529" s="1">
        <v>1255.9000000000001</v>
      </c>
      <c r="N3529" s="1">
        <v>1029.43</v>
      </c>
      <c r="O3529" s="1">
        <v>1255.9000000000001</v>
      </c>
      <c r="P3529" s="1">
        <v>1029.43</v>
      </c>
      <c r="Q3529">
        <v>0.4</v>
      </c>
      <c r="R3529">
        <v>3.4229999999999998E-3</v>
      </c>
    </row>
    <row r="3530" spans="1:18" ht="13.8" outlineLevel="3" x14ac:dyDescent="0.25">
      <c r="A3530">
        <v>77504</v>
      </c>
      <c r="B3530" t="s">
        <v>4533</v>
      </c>
      <c r="C3530" t="s">
        <v>4541</v>
      </c>
      <c r="D3530" s="14" t="s">
        <v>4535</v>
      </c>
      <c r="E3530" s="12" t="s">
        <v>28</v>
      </c>
      <c r="F3530" s="13" t="s">
        <v>29</v>
      </c>
      <c r="G3530">
        <v>1</v>
      </c>
      <c r="H3530" t="s">
        <v>30</v>
      </c>
      <c r="I3530">
        <v>1</v>
      </c>
      <c r="J3530" s="15"/>
      <c r="K3530" s="16">
        <f>IF($E$1&gt;=$Q$1%,1914.91-(1914.91*$Q$1%),1914.91-(1914.91*$E$1))</f>
        <v>1914.91</v>
      </c>
      <c r="L3530" s="16">
        <f>IF($E$1&gt;=$Q$1%,1569.6-(1569.6*$Q$1%),1569.6-(1569.6*$E$1))</f>
        <v>1569.6</v>
      </c>
      <c r="M3530" s="1">
        <v>1914.91</v>
      </c>
      <c r="N3530" s="1">
        <v>1569.6</v>
      </c>
      <c r="O3530" s="1">
        <v>1914.91</v>
      </c>
      <c r="P3530" s="1">
        <v>1569.6</v>
      </c>
      <c r="Q3530">
        <v>0.77200000000000002</v>
      </c>
      <c r="R3530">
        <v>3.4229999999999998E-3</v>
      </c>
    </row>
    <row r="3531" spans="1:18" ht="13.8" outlineLevel="3" x14ac:dyDescent="0.25">
      <c r="A3531">
        <v>77506</v>
      </c>
      <c r="B3531" t="s">
        <v>4542</v>
      </c>
      <c r="C3531" t="s">
        <v>4543</v>
      </c>
      <c r="D3531" s="14" t="s">
        <v>4544</v>
      </c>
      <c r="E3531" s="12" t="s">
        <v>28</v>
      </c>
      <c r="F3531" s="13" t="s">
        <v>29</v>
      </c>
      <c r="G3531">
        <v>1</v>
      </c>
      <c r="H3531" t="s">
        <v>30</v>
      </c>
      <c r="I3531">
        <v>1</v>
      </c>
      <c r="J3531" s="15"/>
      <c r="K3531" s="16">
        <f>IF($E$1&gt;=$Q$1%,1024.36-(1024.36*$Q$1%),1024.36-(1024.36*$E$1))</f>
        <v>1024.3599999999999</v>
      </c>
      <c r="L3531" s="16">
        <f>IF($E$1&gt;=$Q$1%,839.64-(839.64*$Q$1%),839.64-(839.64*$E$1))</f>
        <v>839.64</v>
      </c>
      <c r="M3531" s="1">
        <v>1024.3599999999999</v>
      </c>
      <c r="N3531" s="1">
        <v>839.64</v>
      </c>
      <c r="O3531" s="1">
        <v>1024.3599999999999</v>
      </c>
      <c r="P3531" s="1">
        <v>839.64</v>
      </c>
      <c r="Q3531">
        <v>0.3</v>
      </c>
      <c r="R3531">
        <v>2.5920000000000001E-3</v>
      </c>
    </row>
    <row r="3532" spans="1:18" ht="13.8" outlineLevel="3" x14ac:dyDescent="0.25">
      <c r="A3532">
        <v>77507</v>
      </c>
      <c r="B3532" t="s">
        <v>4533</v>
      </c>
      <c r="C3532" t="s">
        <v>4545</v>
      </c>
      <c r="D3532" s="14" t="s">
        <v>4544</v>
      </c>
      <c r="E3532" s="12" t="s">
        <v>28</v>
      </c>
      <c r="F3532" s="13" t="s">
        <v>29</v>
      </c>
      <c r="G3532">
        <v>1</v>
      </c>
      <c r="H3532" t="s">
        <v>30</v>
      </c>
      <c r="I3532">
        <v>1</v>
      </c>
      <c r="J3532" s="15"/>
      <c r="K3532" s="16">
        <f>IF($E$1&gt;=$Q$1%,1215.16-(1215.16*$Q$1%),1215.16-(1215.16*$E$1))</f>
        <v>1215.1600000000001</v>
      </c>
      <c r="L3532" s="16">
        <f>IF($E$1&gt;=$Q$1%,996.03-(996.03*$Q$1%),996.03-(996.03*$E$1))</f>
        <v>996.03</v>
      </c>
      <c r="M3532" s="1">
        <v>1215.1600000000001</v>
      </c>
      <c r="N3532" s="1">
        <v>996.03</v>
      </c>
      <c r="O3532" s="1">
        <v>1215.1600000000001</v>
      </c>
      <c r="P3532" s="1">
        <v>996.03</v>
      </c>
      <c r="Q3532">
        <v>0.4</v>
      </c>
      <c r="R3532">
        <v>3.2399999999999998E-3</v>
      </c>
    </row>
    <row r="3533" spans="1:18" ht="13.8" outlineLevel="3" x14ac:dyDescent="0.25">
      <c r="A3533">
        <v>69448</v>
      </c>
      <c r="B3533" t="s">
        <v>4533</v>
      </c>
      <c r="C3533" t="s">
        <v>4546</v>
      </c>
      <c r="D3533" s="14" t="s">
        <v>4544</v>
      </c>
      <c r="E3533" s="12" t="s">
        <v>28</v>
      </c>
      <c r="F3533" s="13" t="s">
        <v>29</v>
      </c>
      <c r="G3533">
        <v>1</v>
      </c>
      <c r="H3533" t="s">
        <v>30</v>
      </c>
      <c r="I3533">
        <v>1</v>
      </c>
      <c r="J3533" s="15"/>
      <c r="K3533" s="16">
        <f>IF($E$1&gt;=$Q$1%,1430.88-(1430.88*$Q$1%),1430.88-(1430.88*$E$1))</f>
        <v>1430.88</v>
      </c>
      <c r="L3533" s="16">
        <f>IF($E$1&gt;=$Q$1%,1172.85-(1172.85*$Q$1%),1172.85-(1172.85*$E$1))</f>
        <v>1172.8499999999999</v>
      </c>
      <c r="M3533" s="1">
        <v>1430.88</v>
      </c>
      <c r="N3533" s="1">
        <v>1172.8499999999999</v>
      </c>
      <c r="O3533" s="1">
        <v>1430.88</v>
      </c>
      <c r="P3533" s="1">
        <v>1172.8499999999999</v>
      </c>
      <c r="Q3533">
        <v>0.5</v>
      </c>
      <c r="R3533">
        <v>4.1070000000000004E-3</v>
      </c>
    </row>
    <row r="3534" spans="1:18" ht="13.8" outlineLevel="3" x14ac:dyDescent="0.25">
      <c r="A3534">
        <v>69450</v>
      </c>
      <c r="B3534" t="s">
        <v>4533</v>
      </c>
      <c r="C3534" t="s">
        <v>4547</v>
      </c>
      <c r="D3534" s="14" t="s">
        <v>4544</v>
      </c>
      <c r="E3534" s="12" t="s">
        <v>28</v>
      </c>
      <c r="F3534" s="13" t="s">
        <v>29</v>
      </c>
      <c r="G3534">
        <v>1</v>
      </c>
      <c r="H3534" t="s">
        <v>30</v>
      </c>
      <c r="I3534">
        <v>1</v>
      </c>
      <c r="J3534" s="15"/>
      <c r="K3534" s="16">
        <f>IF($E$1&gt;=$Q$1%,1678.84-(1678.84*$Q$1%),1678.84-(1678.84*$E$1))</f>
        <v>1678.84</v>
      </c>
      <c r="L3534" s="16">
        <f>IF($E$1&gt;=$Q$1%,1376.1-(1376.1*$Q$1%),1376.1-(1376.1*$E$1))</f>
        <v>1376.1</v>
      </c>
      <c r="M3534" s="1">
        <v>1678.84</v>
      </c>
      <c r="N3534" s="1">
        <v>1376.1</v>
      </c>
      <c r="O3534" s="1">
        <v>1678.84</v>
      </c>
      <c r="P3534" s="1">
        <v>1376.1</v>
      </c>
      <c r="Q3534">
        <v>0.7</v>
      </c>
      <c r="R3534">
        <v>4.3319999999999999E-3</v>
      </c>
    </row>
    <row r="3535" spans="1:18" ht="13.8" outlineLevel="3" x14ac:dyDescent="0.25">
      <c r="A3535">
        <v>69452</v>
      </c>
      <c r="B3535" t="s">
        <v>4533</v>
      </c>
      <c r="C3535" t="s">
        <v>4548</v>
      </c>
      <c r="D3535" s="14" t="s">
        <v>4544</v>
      </c>
      <c r="E3535" s="12" t="s">
        <v>28</v>
      </c>
      <c r="F3535" s="17" t="s">
        <v>549</v>
      </c>
      <c r="G3535">
        <v>1</v>
      </c>
      <c r="H3535" t="s">
        <v>30</v>
      </c>
      <c r="I3535">
        <v>1</v>
      </c>
      <c r="J3535" s="15"/>
      <c r="K3535" s="16">
        <f>IF($E$1&gt;=$Q$1%,2506.27-(2506.27*$Q$1%),2506.27-(2506.27*$E$1))</f>
        <v>2506.27</v>
      </c>
      <c r="L3535" s="16">
        <f>IF($E$1&gt;=$Q$1%,2054.32-(2054.32*$Q$1%),2054.32-(2054.32*$E$1))</f>
        <v>2054.3200000000002</v>
      </c>
      <c r="M3535" s="1">
        <v>2506.27</v>
      </c>
      <c r="N3535" s="1">
        <v>2054.3200000000002</v>
      </c>
      <c r="O3535" s="1">
        <v>2506.27</v>
      </c>
      <c r="P3535" s="1">
        <v>2054.3200000000002</v>
      </c>
      <c r="Q3535">
        <v>1.25</v>
      </c>
      <c r="R3535">
        <v>5.4429999999999999E-3</v>
      </c>
    </row>
    <row r="3536" spans="1:18" ht="13.8" outlineLevel="3" x14ac:dyDescent="0.25">
      <c r="A3536">
        <v>69449</v>
      </c>
      <c r="B3536" t="s">
        <v>4533</v>
      </c>
      <c r="C3536" t="s">
        <v>4549</v>
      </c>
      <c r="D3536" s="14" t="s">
        <v>4550</v>
      </c>
      <c r="E3536" s="12" t="s">
        <v>28</v>
      </c>
      <c r="F3536" s="13" t="s">
        <v>29</v>
      </c>
      <c r="G3536">
        <v>1</v>
      </c>
      <c r="H3536" t="s">
        <v>30</v>
      </c>
      <c r="I3536">
        <v>1</v>
      </c>
      <c r="J3536" s="15"/>
      <c r="K3536" s="16">
        <f>IF($E$1&gt;=$Q$1%,2563.24-(2563.24*$Q$1%),2563.24-(2563.24*$E$1))</f>
        <v>2563.2399999999998</v>
      </c>
      <c r="L3536" s="16">
        <f>IF($E$1&gt;=$Q$1%,2101.02-(2101.02*$Q$1%),2101.02-(2101.02*$E$1))</f>
        <v>2101.02</v>
      </c>
      <c r="M3536" s="1">
        <v>2563.2399999999998</v>
      </c>
      <c r="N3536" s="1">
        <v>2101.02</v>
      </c>
      <c r="O3536" s="1">
        <v>2563.2399999999998</v>
      </c>
      <c r="P3536" s="1">
        <v>2101.02</v>
      </c>
      <c r="Q3536">
        <v>0.77</v>
      </c>
      <c r="R3536">
        <v>1.2288E-2</v>
      </c>
    </row>
    <row r="3537" spans="1:18" ht="13.8" outlineLevel="3" x14ac:dyDescent="0.25">
      <c r="A3537">
        <v>69451</v>
      </c>
      <c r="B3537" t="s">
        <v>4533</v>
      </c>
      <c r="C3537" t="s">
        <v>4551</v>
      </c>
      <c r="D3537" s="14" t="s">
        <v>4550</v>
      </c>
      <c r="E3537" s="12" t="s">
        <v>28</v>
      </c>
      <c r="F3537" s="17" t="s">
        <v>549</v>
      </c>
      <c r="G3537">
        <v>1</v>
      </c>
      <c r="H3537" t="s">
        <v>30</v>
      </c>
      <c r="I3537">
        <v>1</v>
      </c>
      <c r="J3537" s="15"/>
      <c r="K3537" s="16">
        <f>IF($E$1&gt;=$Q$1%,2837.06-(2837.06*$Q$1%),2837.06-(2837.06*$E$1))</f>
        <v>2837.06</v>
      </c>
      <c r="L3537" s="16">
        <f>IF($E$1&gt;=$Q$1%,2325.46-(2325.46*$Q$1%),2325.46-(2325.46*$E$1))</f>
        <v>2325.46</v>
      </c>
      <c r="M3537" s="1">
        <v>2837.06</v>
      </c>
      <c r="N3537" s="1">
        <v>2325.46</v>
      </c>
      <c r="O3537" s="1">
        <v>2837.06</v>
      </c>
      <c r="P3537" s="1">
        <v>2325.46</v>
      </c>
      <c r="Q3537">
        <v>1.01</v>
      </c>
      <c r="R3537">
        <v>1.1532000000000001E-2</v>
      </c>
    </row>
    <row r="3538" spans="1:18" ht="13.8" outlineLevel="3" x14ac:dyDescent="0.25">
      <c r="A3538">
        <v>69453</v>
      </c>
      <c r="B3538" t="s">
        <v>4533</v>
      </c>
      <c r="C3538" t="s">
        <v>4552</v>
      </c>
      <c r="D3538" s="14" t="s">
        <v>4550</v>
      </c>
      <c r="E3538" s="12" t="s">
        <v>28</v>
      </c>
      <c r="F3538" s="17" t="s">
        <v>549</v>
      </c>
      <c r="G3538">
        <v>1</v>
      </c>
      <c r="H3538" t="s">
        <v>30</v>
      </c>
      <c r="I3538">
        <v>1</v>
      </c>
      <c r="J3538" s="15"/>
      <c r="K3538" s="16">
        <f>IF($E$1&gt;=$Q$1%,3384.67-(3384.67*$Q$1%),3384.67-(3384.67*$E$1))</f>
        <v>3384.67</v>
      </c>
      <c r="L3538" s="16">
        <f>IF($E$1&gt;=$Q$1%,2774.32-(2774.32*$Q$1%),2774.32-(2774.32*$E$1))</f>
        <v>2774.32</v>
      </c>
      <c r="M3538" s="1">
        <v>3384.67</v>
      </c>
      <c r="N3538" s="1">
        <v>2774.32</v>
      </c>
      <c r="O3538" s="1">
        <v>3384.67</v>
      </c>
      <c r="P3538" s="1">
        <v>2774.32</v>
      </c>
      <c r="Q3538">
        <v>1.43</v>
      </c>
      <c r="R3538">
        <v>7.3499999999999998E-3</v>
      </c>
    </row>
    <row r="3539" spans="1:18" ht="13.8" outlineLevel="3" x14ac:dyDescent="0.25">
      <c r="A3539">
        <v>77502</v>
      </c>
      <c r="B3539" t="s">
        <v>4533</v>
      </c>
      <c r="C3539" t="s">
        <v>4553</v>
      </c>
      <c r="D3539" s="14" t="s">
        <v>4554</v>
      </c>
      <c r="E3539" s="12" t="s">
        <v>28</v>
      </c>
      <c r="F3539" s="13" t="s">
        <v>29</v>
      </c>
      <c r="G3539">
        <v>1</v>
      </c>
      <c r="H3539" t="s">
        <v>30</v>
      </c>
      <c r="I3539">
        <v>1</v>
      </c>
      <c r="J3539" s="15"/>
      <c r="K3539" s="16">
        <f>IF($E$1&gt;=$Q$1%,3216.94-(3216.94*$Q$1%),3216.94-(3216.94*$E$1))</f>
        <v>3216.94</v>
      </c>
      <c r="L3539" s="16">
        <f>IF($E$1&gt;=$Q$1%,2636.84-(2636.84*$Q$1%),2636.84-(2636.84*$E$1))</f>
        <v>2636.84</v>
      </c>
      <c r="M3539" s="1">
        <v>3216.94</v>
      </c>
      <c r="N3539" s="1">
        <v>2636.84</v>
      </c>
      <c r="O3539" s="1">
        <v>3216.94</v>
      </c>
      <c r="P3539" s="1">
        <v>2636.84</v>
      </c>
      <c r="Q3539">
        <v>0.55000000000000004</v>
      </c>
      <c r="R3539">
        <v>1.1532000000000001E-2</v>
      </c>
    </row>
    <row r="3540" spans="1:18" ht="13.8" outlineLevel="3" x14ac:dyDescent="0.25">
      <c r="A3540">
        <v>77503</v>
      </c>
      <c r="B3540" t="s">
        <v>4533</v>
      </c>
      <c r="C3540" t="s">
        <v>4555</v>
      </c>
      <c r="D3540" s="14" t="s">
        <v>4554</v>
      </c>
      <c r="E3540" s="12" t="s">
        <v>28</v>
      </c>
      <c r="F3540" s="13" t="s">
        <v>29</v>
      </c>
      <c r="G3540">
        <v>1</v>
      </c>
      <c r="H3540" t="s">
        <v>30</v>
      </c>
      <c r="I3540">
        <v>1</v>
      </c>
      <c r="J3540" s="15"/>
      <c r="K3540" s="16">
        <f>IF($E$1&gt;=$Q$1%,3525.95-(3525.95*$Q$1%),3525.95-(3525.95*$E$1))</f>
        <v>3525.95</v>
      </c>
      <c r="L3540" s="16">
        <f>IF($E$1&gt;=$Q$1%,2890.12-(2890.12*$Q$1%),2890.12-(2890.12*$E$1))</f>
        <v>2890.12</v>
      </c>
      <c r="M3540" s="1">
        <v>3525.95</v>
      </c>
      <c r="N3540" s="1">
        <v>2890.12</v>
      </c>
      <c r="O3540" s="1">
        <v>3525.95</v>
      </c>
      <c r="P3540" s="1">
        <v>2890.12</v>
      </c>
      <c r="Q3540">
        <v>0.69</v>
      </c>
      <c r="R3540">
        <v>1.2493000000000001E-2</v>
      </c>
    </row>
    <row r="3541" spans="1:18" ht="13.8" outlineLevel="3" x14ac:dyDescent="0.25">
      <c r="A3541">
        <v>77505</v>
      </c>
      <c r="B3541" t="s">
        <v>4533</v>
      </c>
      <c r="C3541" t="s">
        <v>4556</v>
      </c>
      <c r="D3541" s="14" t="s">
        <v>4554</v>
      </c>
      <c r="E3541" s="12" t="s">
        <v>28</v>
      </c>
      <c r="F3541" s="13" t="s">
        <v>29</v>
      </c>
      <c r="G3541">
        <v>1</v>
      </c>
      <c r="H3541" t="s">
        <v>30</v>
      </c>
      <c r="I3541">
        <v>1</v>
      </c>
      <c r="J3541" s="15"/>
      <c r="K3541" s="16">
        <f>IF($E$1&gt;=$Q$1%,4143.83-(4143.83*$Q$1%),4143.83-(4143.83*$E$1))</f>
        <v>4143.83</v>
      </c>
      <c r="L3541" s="16">
        <f>IF($E$1&gt;=$Q$1%,3396.58-(3396.58*$Q$1%),3396.58-(3396.58*$E$1))</f>
        <v>3396.58</v>
      </c>
      <c r="M3541" s="1">
        <v>4143.83</v>
      </c>
      <c r="N3541" s="1">
        <v>3396.58</v>
      </c>
      <c r="O3541" s="1">
        <v>4143.83</v>
      </c>
      <c r="P3541" s="1">
        <v>3396.58</v>
      </c>
      <c r="Q3541">
        <v>1</v>
      </c>
      <c r="R3541">
        <v>1.0711999999999999E-2</v>
      </c>
    </row>
    <row r="3542" spans="1:18" ht="13.8" outlineLevel="3" x14ac:dyDescent="0.25">
      <c r="A3542">
        <v>81811</v>
      </c>
      <c r="B3542" t="s">
        <v>4533</v>
      </c>
      <c r="C3542" t="s">
        <v>4557</v>
      </c>
      <c r="D3542" s="14" t="s">
        <v>4558</v>
      </c>
      <c r="E3542" s="12" t="s">
        <v>28</v>
      </c>
      <c r="F3542" s="13" t="s">
        <v>29</v>
      </c>
      <c r="G3542">
        <v>1</v>
      </c>
      <c r="H3542" t="s">
        <v>30</v>
      </c>
      <c r="I3542">
        <v>1</v>
      </c>
      <c r="J3542" s="15"/>
      <c r="K3542" s="16">
        <f>IF($E$1&gt;=$Q$1%,2201.36-(2201.36*$Q$1%),2201.36-(2201.36*$E$1))</f>
        <v>2201.36</v>
      </c>
      <c r="L3542" s="16">
        <f>IF($E$1&gt;=$Q$1%,1804.39-(1804.39*$Q$1%),1804.39-(1804.39*$E$1))</f>
        <v>1804.39</v>
      </c>
      <c r="M3542" s="1">
        <v>2201.36</v>
      </c>
      <c r="N3542" s="1">
        <v>1804.39</v>
      </c>
      <c r="O3542" s="1">
        <v>2201.36</v>
      </c>
      <c r="P3542" s="1">
        <v>1804.39</v>
      </c>
      <c r="Q3542">
        <v>0.9</v>
      </c>
      <c r="R3542">
        <v>5.8279999999999998E-3</v>
      </c>
    </row>
    <row r="3543" spans="1:18" ht="13.8" outlineLevel="3" x14ac:dyDescent="0.25">
      <c r="A3543">
        <v>81812</v>
      </c>
      <c r="B3543" t="s">
        <v>4533</v>
      </c>
      <c r="C3543" t="s">
        <v>4559</v>
      </c>
      <c r="D3543" s="14" t="s">
        <v>4558</v>
      </c>
      <c r="E3543" s="12" t="s">
        <v>28</v>
      </c>
      <c r="F3543" s="13" t="s">
        <v>29</v>
      </c>
      <c r="G3543">
        <v>1</v>
      </c>
      <c r="H3543" t="s">
        <v>30</v>
      </c>
      <c r="I3543">
        <v>1</v>
      </c>
      <c r="J3543" s="15"/>
      <c r="K3543" s="16">
        <f>IF($E$1&gt;=$Q$1%,2317.26-(2317.26*$Q$1%),2317.26-(2317.26*$E$1))</f>
        <v>2317.2600000000002</v>
      </c>
      <c r="L3543" s="16">
        <f>IF($E$1&gt;=$Q$1%,1899.39-(1899.39*$Q$1%),1899.39-(1899.39*$E$1))</f>
        <v>1899.39</v>
      </c>
      <c r="M3543" s="1">
        <v>2317.2600000000002</v>
      </c>
      <c r="N3543" s="1">
        <v>1899.39</v>
      </c>
      <c r="O3543" s="1">
        <v>2317.2600000000002</v>
      </c>
      <c r="P3543" s="1">
        <v>1899.39</v>
      </c>
      <c r="Q3543">
        <v>1</v>
      </c>
      <c r="R3543">
        <v>5.8279999999999998E-3</v>
      </c>
    </row>
    <row r="3544" spans="1:18" ht="13.8" outlineLevel="3" x14ac:dyDescent="0.25">
      <c r="A3544">
        <v>81125</v>
      </c>
      <c r="B3544" t="s">
        <v>4533</v>
      </c>
      <c r="C3544" t="s">
        <v>4560</v>
      </c>
      <c r="D3544" s="14" t="s">
        <v>4558</v>
      </c>
      <c r="E3544" s="12" t="s">
        <v>28</v>
      </c>
      <c r="F3544" s="13" t="s">
        <v>29</v>
      </c>
      <c r="G3544">
        <v>1</v>
      </c>
      <c r="H3544" t="s">
        <v>30</v>
      </c>
      <c r="I3544">
        <v>1</v>
      </c>
      <c r="J3544" s="15"/>
      <c r="K3544" s="16">
        <f>IF($E$1&gt;=$Q$1%,2433.23-(2433.23*$Q$1%),2433.23-(2433.23*$E$1))</f>
        <v>2433.23</v>
      </c>
      <c r="L3544" s="16">
        <f>IF($E$1&gt;=$Q$1%,1994.45-(1994.45*$Q$1%),1994.45-(1994.45*$E$1))</f>
        <v>1994.45</v>
      </c>
      <c r="M3544" s="1">
        <v>2433.23</v>
      </c>
      <c r="N3544" s="1">
        <v>1994.45</v>
      </c>
      <c r="O3544" s="1">
        <v>2433.23</v>
      </c>
      <c r="P3544" s="1">
        <v>1994.45</v>
      </c>
      <c r="Q3544">
        <v>1.1000000000000001</v>
      </c>
      <c r="R3544">
        <v>5.8279999999999998E-3</v>
      </c>
    </row>
    <row r="3545" spans="1:18" ht="13.8" outlineLevel="3" x14ac:dyDescent="0.25">
      <c r="A3545">
        <v>81126</v>
      </c>
      <c r="B3545" t="s">
        <v>4533</v>
      </c>
      <c r="C3545" t="s">
        <v>4561</v>
      </c>
      <c r="D3545" s="14" t="s">
        <v>4558</v>
      </c>
      <c r="E3545" s="12" t="s">
        <v>28</v>
      </c>
      <c r="F3545" s="13" t="s">
        <v>29</v>
      </c>
      <c r="G3545">
        <v>1</v>
      </c>
      <c r="H3545" t="s">
        <v>30</v>
      </c>
      <c r="I3545">
        <v>1</v>
      </c>
      <c r="J3545" s="15"/>
      <c r="K3545" s="16">
        <f>IF($E$1&gt;=$Q$1%,2665.09-(2665.09*$Q$1%),2665.09-(2665.09*$E$1))</f>
        <v>2665.09</v>
      </c>
      <c r="L3545" s="16">
        <f>IF($E$1&gt;=$Q$1%,2184.5-(2184.5*$Q$1%),2184.5-(2184.5*$E$1))</f>
        <v>2184.5</v>
      </c>
      <c r="M3545" s="1">
        <v>2665.09</v>
      </c>
      <c r="N3545" s="1">
        <v>2184.5</v>
      </c>
      <c r="O3545" s="1">
        <v>2665.09</v>
      </c>
      <c r="P3545" s="1">
        <v>2184.5</v>
      </c>
      <c r="Q3545">
        <v>1.2</v>
      </c>
      <c r="R3545">
        <v>5.8279999999999998E-3</v>
      </c>
    </row>
    <row r="3546" spans="1:18" ht="13.8" outlineLevel="3" x14ac:dyDescent="0.25">
      <c r="A3546">
        <v>79040</v>
      </c>
      <c r="B3546" t="s">
        <v>4533</v>
      </c>
      <c r="C3546" t="s">
        <v>4562</v>
      </c>
      <c r="D3546" s="14" t="s">
        <v>4563</v>
      </c>
      <c r="E3546" s="12" t="s">
        <v>28</v>
      </c>
      <c r="F3546" s="13" t="s">
        <v>29</v>
      </c>
      <c r="G3546">
        <v>1</v>
      </c>
      <c r="H3546" t="s">
        <v>30</v>
      </c>
      <c r="I3546">
        <v>1</v>
      </c>
      <c r="J3546" s="15"/>
      <c r="K3546" s="16">
        <f>IF($E$1&gt;=$Q$1%,4468.79-(4468.79*$Q$1%),4468.79-(4468.79*$E$1))</f>
        <v>4468.79</v>
      </c>
      <c r="L3546" s="16">
        <f>IF($E$1&gt;=$Q$1%,3662.94-(3662.94*$Q$1%),3662.94-(3662.94*$E$1))</f>
        <v>3662.94</v>
      </c>
      <c r="M3546" s="1">
        <v>4468.79</v>
      </c>
      <c r="N3546" s="1">
        <v>3662.94</v>
      </c>
      <c r="O3546" s="1">
        <v>4468.79</v>
      </c>
      <c r="P3546" s="1">
        <v>3662.94</v>
      </c>
      <c r="Q3546">
        <v>1.2</v>
      </c>
      <c r="R3546">
        <v>5.7800000000000004E-3</v>
      </c>
    </row>
    <row r="3547" spans="1:18" ht="13.8" outlineLevel="3" x14ac:dyDescent="0.25">
      <c r="A3547">
        <v>79041</v>
      </c>
      <c r="B3547" t="s">
        <v>4533</v>
      </c>
      <c r="C3547" t="s">
        <v>4564</v>
      </c>
      <c r="D3547" s="14" t="s">
        <v>4563</v>
      </c>
      <c r="E3547" s="12" t="s">
        <v>28</v>
      </c>
      <c r="F3547" s="13" t="s">
        <v>29</v>
      </c>
      <c r="G3547">
        <v>1</v>
      </c>
      <c r="H3547" t="s">
        <v>30</v>
      </c>
      <c r="I3547">
        <v>1</v>
      </c>
      <c r="J3547" s="15"/>
      <c r="K3547" s="16">
        <f>IF($E$1&gt;=$Q$1%,7277.76-(7277.76*$Q$1%),7277.76-(7277.76*$E$1))</f>
        <v>7277.76</v>
      </c>
      <c r="L3547" s="16">
        <f>IF($E$1&gt;=$Q$1%,5965.38-(5965.38*$Q$1%),5965.38-(5965.38*$E$1))</f>
        <v>5965.38</v>
      </c>
      <c r="M3547" s="1">
        <v>7277.76</v>
      </c>
      <c r="N3547" s="1">
        <v>5965.38</v>
      </c>
      <c r="O3547" s="1">
        <v>7277.76</v>
      </c>
      <c r="P3547" s="1">
        <v>5965.38</v>
      </c>
      <c r="Q3547">
        <v>2</v>
      </c>
      <c r="R3547">
        <v>8.4379999999999993E-3</v>
      </c>
    </row>
    <row r="3548" spans="1:18" ht="13.8" outlineLevel="3" x14ac:dyDescent="0.25">
      <c r="A3548">
        <v>79042</v>
      </c>
      <c r="B3548" t="s">
        <v>4533</v>
      </c>
      <c r="C3548" t="s">
        <v>4565</v>
      </c>
      <c r="D3548" s="14" t="s">
        <v>4563</v>
      </c>
      <c r="E3548" s="12" t="s">
        <v>28</v>
      </c>
      <c r="F3548" s="13" t="s">
        <v>29</v>
      </c>
      <c r="G3548">
        <v>1</v>
      </c>
      <c r="H3548" t="s">
        <v>30</v>
      </c>
      <c r="I3548">
        <v>1</v>
      </c>
      <c r="J3548" s="15"/>
      <c r="K3548" s="16">
        <f>IF($E$1&gt;=$Q$1%,7916.18-(7916.18*$Q$1%),7916.18-(7916.18*$E$1))</f>
        <v>7916.18</v>
      </c>
      <c r="L3548" s="16">
        <f>IF($E$1&gt;=$Q$1%,6488.67-(6488.67*$Q$1%),6488.67-(6488.67*$E$1))</f>
        <v>6488.67</v>
      </c>
      <c r="M3548" s="1">
        <v>7916.18</v>
      </c>
      <c r="N3548" s="1">
        <v>6488.67</v>
      </c>
      <c r="O3548" s="1">
        <v>7916.18</v>
      </c>
      <c r="P3548" s="1">
        <v>6488.67</v>
      </c>
      <c r="Q3548">
        <v>2.4</v>
      </c>
      <c r="R3548">
        <v>1.0584E-2</v>
      </c>
    </row>
    <row r="3549" spans="1:18" ht="13.8" outlineLevel="3" x14ac:dyDescent="0.25">
      <c r="A3549">
        <v>79046</v>
      </c>
      <c r="B3549" t="s">
        <v>4533</v>
      </c>
      <c r="C3549" t="s">
        <v>4566</v>
      </c>
      <c r="D3549" s="14" t="s">
        <v>4567</v>
      </c>
      <c r="E3549" s="12" t="s">
        <v>28</v>
      </c>
      <c r="F3549" s="13" t="s">
        <v>29</v>
      </c>
      <c r="G3549">
        <v>1</v>
      </c>
      <c r="H3549" t="s">
        <v>30</v>
      </c>
      <c r="I3549">
        <v>1</v>
      </c>
      <c r="J3549" s="15"/>
      <c r="K3549" s="16">
        <f>IF($E$1&gt;=$Q$1%,5764.74-(5764.74*$Q$1%),5764.74-(5764.74*$E$1))</f>
        <v>5764.74</v>
      </c>
      <c r="L3549" s="16">
        <f>IF($E$1&gt;=$Q$1%,4725.2-(4725.2*$Q$1%),4725.2-(4725.2*$E$1))</f>
        <v>4725.2</v>
      </c>
      <c r="M3549" s="1">
        <v>5764.74</v>
      </c>
      <c r="N3549" s="1">
        <v>4725.2</v>
      </c>
      <c r="O3549" s="1">
        <v>5764.74</v>
      </c>
      <c r="P3549" s="1">
        <v>4725.2</v>
      </c>
      <c r="Q3549">
        <v>3.6</v>
      </c>
      <c r="R3549">
        <v>4.8959999999999997E-2</v>
      </c>
    </row>
    <row r="3550" spans="1:18" ht="13.8" outlineLevel="3" x14ac:dyDescent="0.25">
      <c r="A3550">
        <v>79047</v>
      </c>
      <c r="B3550" t="s">
        <v>4533</v>
      </c>
      <c r="C3550" t="s">
        <v>4568</v>
      </c>
      <c r="D3550" s="14" t="s">
        <v>4567</v>
      </c>
      <c r="E3550" s="12" t="s">
        <v>28</v>
      </c>
      <c r="F3550" s="17" t="s">
        <v>549</v>
      </c>
      <c r="G3550">
        <v>1</v>
      </c>
      <c r="H3550" t="s">
        <v>30</v>
      </c>
      <c r="I3550">
        <v>1</v>
      </c>
      <c r="J3550" s="15"/>
      <c r="K3550" s="16">
        <f>IF($E$1&gt;=$Q$1%,8848.23-(8848.23*$Q$1%),8848.23-(8848.23*$E$1))</f>
        <v>8848.23</v>
      </c>
      <c r="L3550" s="16">
        <f>IF($E$1&gt;=$Q$1%,7252.65-(7252.65*$Q$1%),7252.65-(7252.65*$E$1))</f>
        <v>7252.65</v>
      </c>
      <c r="M3550" s="1">
        <v>8848.23</v>
      </c>
      <c r="N3550" s="1">
        <v>7252.65</v>
      </c>
      <c r="O3550" s="1">
        <v>8848.23</v>
      </c>
      <c r="P3550" s="1">
        <v>7252.65</v>
      </c>
      <c r="Q3550">
        <v>5.3</v>
      </c>
      <c r="R3550">
        <v>4.8959999999999997E-2</v>
      </c>
    </row>
    <row r="3551" spans="1:18" ht="13.8" outlineLevel="3" x14ac:dyDescent="0.25">
      <c r="A3551">
        <v>79048</v>
      </c>
      <c r="B3551" t="s">
        <v>4533</v>
      </c>
      <c r="C3551" t="s">
        <v>4569</v>
      </c>
      <c r="D3551" s="14" t="s">
        <v>4567</v>
      </c>
      <c r="E3551" s="12" t="s">
        <v>28</v>
      </c>
      <c r="F3551" s="13" t="s">
        <v>29</v>
      </c>
      <c r="G3551">
        <v>1</v>
      </c>
      <c r="H3551" t="s">
        <v>30</v>
      </c>
      <c r="I3551">
        <v>1</v>
      </c>
      <c r="J3551" s="15"/>
      <c r="K3551" s="16">
        <f>IF($E$1&gt;=$Q$1%,11395.45-(11395.45*$Q$1%),11395.45-(11395.45*$E$1))</f>
        <v>11395.45</v>
      </c>
      <c r="L3551" s="16">
        <f>IF($E$1&gt;=$Q$1%,9340.53-(9340.53*$Q$1%),9340.53-(9340.53*$E$1))</f>
        <v>9340.5300000000007</v>
      </c>
      <c r="M3551" s="1">
        <v>11395.45</v>
      </c>
      <c r="N3551" s="1">
        <v>9340.5300000000007</v>
      </c>
      <c r="O3551" s="1">
        <v>11395.45</v>
      </c>
      <c r="P3551" s="1">
        <v>9340.5300000000007</v>
      </c>
      <c r="Q3551">
        <v>5.6</v>
      </c>
      <c r="R3551">
        <v>5.4463999999999999E-2</v>
      </c>
    </row>
    <row r="3552" spans="1:18" ht="13.8" outlineLevel="3" x14ac:dyDescent="0.25">
      <c r="A3552">
        <v>69459</v>
      </c>
      <c r="B3552" t="s">
        <v>4533</v>
      </c>
      <c r="C3552" t="s">
        <v>4570</v>
      </c>
      <c r="D3552" s="14" t="s">
        <v>4571</v>
      </c>
      <c r="E3552" s="12" t="s">
        <v>28</v>
      </c>
      <c r="F3552" s="13" t="s">
        <v>29</v>
      </c>
      <c r="G3552">
        <v>1</v>
      </c>
      <c r="H3552" t="s">
        <v>30</v>
      </c>
      <c r="I3552">
        <v>1</v>
      </c>
      <c r="J3552" s="15"/>
      <c r="K3552" s="16">
        <f>IF($E$1&gt;=$Q$1%,27857.46-(27857.46*$Q$1%),27857.46-(27857.46*$E$1))</f>
        <v>27857.46</v>
      </c>
      <c r="L3552" s="16">
        <f>IF($E$1&gt;=$Q$1%,22833.98-(22833.98*$Q$1%),22833.98-(22833.98*$E$1))</f>
        <v>22833.98</v>
      </c>
      <c r="M3552" s="1">
        <v>27857.46</v>
      </c>
      <c r="N3552" s="1">
        <v>22833.98</v>
      </c>
      <c r="O3552" s="1">
        <v>27857.46</v>
      </c>
      <c r="P3552" s="1">
        <v>22833.98</v>
      </c>
      <c r="Q3552">
        <v>14.5</v>
      </c>
      <c r="R3552">
        <v>0.12903200000000001</v>
      </c>
    </row>
    <row r="3553" spans="1:18" ht="13.8" outlineLevel="3" x14ac:dyDescent="0.25">
      <c r="A3553">
        <v>69461</v>
      </c>
      <c r="B3553" t="s">
        <v>4542</v>
      </c>
      <c r="C3553" t="s">
        <v>4572</v>
      </c>
      <c r="D3553" s="14" t="s">
        <v>4571</v>
      </c>
      <c r="E3553" s="12" t="s">
        <v>28</v>
      </c>
      <c r="F3553" s="13" t="s">
        <v>29</v>
      </c>
      <c r="G3553">
        <v>1</v>
      </c>
      <c r="H3553" t="s">
        <v>30</v>
      </c>
      <c r="I3553">
        <v>1</v>
      </c>
      <c r="J3553" s="15"/>
      <c r="K3553" s="16">
        <f>IF($E$1&gt;=$Q$1%,34048.02-(34048.02*$Q$1%),34048.02-(34048.02*$E$1))</f>
        <v>34048.019999999997</v>
      </c>
      <c r="L3553" s="16">
        <f>IF($E$1&gt;=$Q$1%,27908.21-(27908.21*$Q$1%),27908.21-(27908.21*$E$1))</f>
        <v>27908.21</v>
      </c>
      <c r="M3553" s="1">
        <v>34048.019999999997</v>
      </c>
      <c r="N3553" s="1">
        <v>27908.21</v>
      </c>
      <c r="O3553" s="1">
        <v>34048.019999999997</v>
      </c>
      <c r="P3553" s="1">
        <v>27908.21</v>
      </c>
      <c r="Q3553">
        <v>21.5</v>
      </c>
      <c r="R3553">
        <v>0.12903200000000001</v>
      </c>
    </row>
    <row r="3554" spans="1:18" ht="13.8" outlineLevel="3" x14ac:dyDescent="0.25">
      <c r="A3554">
        <v>69458</v>
      </c>
      <c r="B3554" t="s">
        <v>4533</v>
      </c>
      <c r="C3554" t="s">
        <v>4573</v>
      </c>
      <c r="D3554" s="14" t="s">
        <v>4574</v>
      </c>
      <c r="E3554" s="12" t="s">
        <v>28</v>
      </c>
      <c r="F3554" s="13" t="s">
        <v>29</v>
      </c>
      <c r="G3554">
        <v>1</v>
      </c>
      <c r="H3554" t="s">
        <v>30</v>
      </c>
      <c r="I3554">
        <v>1</v>
      </c>
      <c r="J3554" s="15"/>
      <c r="K3554" s="16">
        <f>IF($E$1&gt;=$Q$1%,32102.4-(32102.4*$Q$1%),32102.4-(32102.4*$E$1))</f>
        <v>32102.400000000001</v>
      </c>
      <c r="L3554" s="16">
        <f>IF($E$1&gt;=$Q$1%,26313.44-(26313.44*$Q$1%),26313.44-(26313.44*$E$1))</f>
        <v>26313.439999999999</v>
      </c>
      <c r="M3554" s="1">
        <v>32102.400000000001</v>
      </c>
      <c r="N3554" s="1">
        <v>26313.439999999999</v>
      </c>
      <c r="O3554" s="1">
        <v>32102.400000000001</v>
      </c>
      <c r="P3554" s="1">
        <v>26313.439999999999</v>
      </c>
      <c r="Q3554">
        <v>27.4</v>
      </c>
      <c r="R3554">
        <v>0.68899999999999995</v>
      </c>
    </row>
    <row r="3555" spans="1:18" ht="13.8" outlineLevel="3" x14ac:dyDescent="0.25">
      <c r="A3555">
        <v>69460</v>
      </c>
      <c r="B3555" t="s">
        <v>4533</v>
      </c>
      <c r="C3555" t="s">
        <v>4575</v>
      </c>
      <c r="D3555" s="14" t="s">
        <v>4574</v>
      </c>
      <c r="E3555" s="12" t="s">
        <v>28</v>
      </c>
      <c r="F3555" s="13" t="s">
        <v>29</v>
      </c>
      <c r="G3555">
        <v>1</v>
      </c>
      <c r="H3555" t="s">
        <v>30</v>
      </c>
      <c r="I3555">
        <v>1</v>
      </c>
      <c r="J3555" s="15"/>
      <c r="K3555" s="16">
        <f>IF($E$1&gt;=$Q$1%,37209.61-(37209.61*$Q$1%),37209.61-(37209.61*$E$1))</f>
        <v>37209.61</v>
      </c>
      <c r="L3555" s="16">
        <f>IF($E$1&gt;=$Q$1%,30499.68-(30499.68*$Q$1%),30499.68-(30499.68*$E$1))</f>
        <v>30499.68</v>
      </c>
      <c r="M3555" s="1">
        <v>37209.61</v>
      </c>
      <c r="N3555" s="1">
        <v>30499.68</v>
      </c>
      <c r="O3555" s="1">
        <v>37209.61</v>
      </c>
      <c r="P3555" s="1">
        <v>30499.68</v>
      </c>
      <c r="Q3555">
        <v>34.5</v>
      </c>
      <c r="R3555">
        <v>0.65625</v>
      </c>
    </row>
    <row r="3556" spans="1:18" ht="13.8" outlineLevel="3" x14ac:dyDescent="0.25">
      <c r="A3556">
        <v>78461</v>
      </c>
      <c r="B3556" t="s">
        <v>4533</v>
      </c>
      <c r="C3556" t="s">
        <v>4576</v>
      </c>
      <c r="D3556" s="14" t="s">
        <v>4574</v>
      </c>
      <c r="E3556" s="12" t="s">
        <v>28</v>
      </c>
      <c r="F3556" s="13" t="s">
        <v>29</v>
      </c>
      <c r="G3556">
        <v>1</v>
      </c>
      <c r="H3556" t="s">
        <v>30</v>
      </c>
      <c r="I3556">
        <v>1</v>
      </c>
      <c r="J3556" s="15"/>
      <c r="K3556" s="16">
        <f>IF($E$1&gt;=$Q$1%,49612.8-(49612.8*$Q$1%),49612.8-(49612.8*$E$1))</f>
        <v>49612.800000000003</v>
      </c>
      <c r="L3556" s="16">
        <f>IF($E$1&gt;=$Q$1%,40666.23-(40666.23*$Q$1%),40666.23-(40666.23*$E$1))</f>
        <v>40666.230000000003</v>
      </c>
      <c r="M3556" s="1">
        <v>49612.800000000003</v>
      </c>
      <c r="N3556" s="1">
        <v>40666.230000000003</v>
      </c>
      <c r="O3556" s="1">
        <v>49612.800000000003</v>
      </c>
      <c r="P3556" s="1">
        <v>40666.230000000003</v>
      </c>
      <c r="Q3556">
        <v>43.1</v>
      </c>
      <c r="R3556">
        <v>0.65545200000000003</v>
      </c>
    </row>
    <row r="3557" spans="1:18" ht="13.8" outlineLevel="3" x14ac:dyDescent="0.25">
      <c r="A3557">
        <v>78462</v>
      </c>
      <c r="B3557" t="s">
        <v>4533</v>
      </c>
      <c r="C3557" t="s">
        <v>4577</v>
      </c>
      <c r="D3557" s="14" t="s">
        <v>4574</v>
      </c>
      <c r="E3557" s="12" t="s">
        <v>28</v>
      </c>
      <c r="F3557" s="13" t="s">
        <v>29</v>
      </c>
      <c r="G3557">
        <v>1</v>
      </c>
      <c r="H3557" t="s">
        <v>30</v>
      </c>
      <c r="I3557">
        <v>1</v>
      </c>
      <c r="J3557" s="15"/>
      <c r="K3557" s="16">
        <f>IF($E$1&gt;=$Q$1%,64204.81-(64204.81*$Q$1%),64204.81-(64204.81*$E$1))</f>
        <v>64204.81</v>
      </c>
      <c r="L3557" s="16">
        <f>IF($E$1&gt;=$Q$1%,52626.89-(52626.89*$Q$1%),52626.89-(52626.89*$E$1))</f>
        <v>52626.89</v>
      </c>
      <c r="M3557" s="1">
        <v>64204.81</v>
      </c>
      <c r="N3557" s="1">
        <v>52626.89</v>
      </c>
      <c r="O3557" s="1">
        <v>64204.81</v>
      </c>
      <c r="P3557" s="1">
        <v>52626.89</v>
      </c>
      <c r="Q3557">
        <v>47</v>
      </c>
      <c r="R3557">
        <v>0.66674999999999995</v>
      </c>
    </row>
    <row r="3558" spans="1:18" ht="13.8" outlineLevel="3" x14ac:dyDescent="0.25">
      <c r="A3558">
        <v>75019</v>
      </c>
      <c r="B3558" t="s">
        <v>4533</v>
      </c>
      <c r="C3558" t="s">
        <v>4578</v>
      </c>
      <c r="D3558" s="14" t="s">
        <v>4574</v>
      </c>
      <c r="E3558" s="12" t="s">
        <v>28</v>
      </c>
      <c r="F3558" s="13" t="s">
        <v>29</v>
      </c>
      <c r="G3558">
        <v>1</v>
      </c>
      <c r="H3558" t="s">
        <v>30</v>
      </c>
      <c r="I3558">
        <v>1</v>
      </c>
      <c r="J3558" s="15"/>
      <c r="K3558" s="16">
        <f>IF($E$1&gt;=$Q$1%,78310.4-(78310.4*$Q$1%),78310.4-(78310.4*$E$1))</f>
        <v>78310.399999999994</v>
      </c>
      <c r="L3558" s="16">
        <f>IF($E$1&gt;=$Q$1%,64188.85-(64188.85*$Q$1%),64188.85-(64188.85*$E$1))</f>
        <v>64188.85</v>
      </c>
      <c r="M3558" s="1">
        <v>78310.399999999994</v>
      </c>
      <c r="N3558" s="1">
        <v>64188.85</v>
      </c>
      <c r="O3558" s="1">
        <v>78310.399999999994</v>
      </c>
      <c r="P3558" s="1">
        <v>64188.85</v>
      </c>
      <c r="Q3558">
        <v>53.5</v>
      </c>
      <c r="R3558">
        <v>0.66674999999999995</v>
      </c>
    </row>
    <row r="3559" spans="1:18" ht="16.5" customHeight="1" outlineLevel="1" x14ac:dyDescent="0.35">
      <c r="A3559" s="9"/>
      <c r="B3559" s="10" t="s">
        <v>4579</v>
      </c>
      <c r="C3559" s="10"/>
      <c r="D3559" s="10"/>
      <c r="E3559" s="10"/>
      <c r="F3559" s="10"/>
      <c r="G3559" s="10"/>
      <c r="H3559" s="10"/>
      <c r="I3559" s="10"/>
      <c r="J3559" s="10"/>
      <c r="K3559" s="10"/>
      <c r="L3559" s="10"/>
      <c r="M3559" s="10"/>
      <c r="N3559" s="10"/>
      <c r="O3559" s="10"/>
      <c r="P3559" s="10"/>
      <c r="Q3559" s="10"/>
      <c r="R3559" s="11"/>
    </row>
    <row r="3560" spans="1:18" ht="13.8" outlineLevel="2" x14ac:dyDescent="0.25">
      <c r="A3560">
        <v>102932</v>
      </c>
      <c r="B3560" t="s">
        <v>4580</v>
      </c>
      <c r="C3560" t="s">
        <v>4581</v>
      </c>
      <c r="D3560" s="14" t="s">
        <v>4582</v>
      </c>
      <c r="E3560" s="12" t="s">
        <v>28</v>
      </c>
      <c r="F3560" s="13" t="s">
        <v>29</v>
      </c>
      <c r="G3560">
        <v>1</v>
      </c>
      <c r="H3560" t="s">
        <v>30</v>
      </c>
      <c r="I3560">
        <v>1</v>
      </c>
      <c r="J3560" s="15"/>
      <c r="K3560" s="16">
        <f>IF($E$1&gt;=$Q$1%,3154.09-(3154.09*$Q$1%),3154.09-(3154.09*$E$1))</f>
        <v>3154.09</v>
      </c>
      <c r="L3560" s="16">
        <f>IF($E$1&gt;=$Q$1%,2585.32-(2585.32*$Q$1%),2585.32-(2585.32*$E$1))</f>
        <v>2585.3200000000002</v>
      </c>
      <c r="M3560" s="1">
        <v>3154.09</v>
      </c>
      <c r="N3560" s="1">
        <v>2585.3200000000002</v>
      </c>
      <c r="O3560" s="1">
        <v>3154.09</v>
      </c>
      <c r="P3560" s="1">
        <v>2585.3200000000002</v>
      </c>
      <c r="Q3560">
        <v>1.62</v>
      </c>
      <c r="R3560">
        <v>1.008E-2</v>
      </c>
    </row>
    <row r="3561" spans="1:18" ht="13.8" outlineLevel="2" x14ac:dyDescent="0.25">
      <c r="A3561">
        <v>102933</v>
      </c>
      <c r="B3561" t="s">
        <v>4580</v>
      </c>
      <c r="C3561" t="s">
        <v>4583</v>
      </c>
      <c r="D3561" s="14" t="s">
        <v>4584</v>
      </c>
      <c r="E3561" s="12" t="s">
        <v>28</v>
      </c>
      <c r="F3561" s="13" t="s">
        <v>29</v>
      </c>
      <c r="G3561">
        <v>1</v>
      </c>
      <c r="H3561" t="s">
        <v>30</v>
      </c>
      <c r="I3561">
        <v>1</v>
      </c>
      <c r="J3561" s="15"/>
      <c r="K3561" s="16">
        <f>IF($E$1&gt;=$Q$1%,4446.86-(4446.86*$Q$1%),4446.86-(4446.86*$E$1))</f>
        <v>4446.8599999999997</v>
      </c>
      <c r="L3561" s="16">
        <f>IF($E$1&gt;=$Q$1%,3644.97-(3644.97*$Q$1%),3644.97-(3644.97*$E$1))</f>
        <v>3644.97</v>
      </c>
      <c r="M3561" s="1">
        <v>4446.8599999999997</v>
      </c>
      <c r="N3561" s="1">
        <v>3644.97</v>
      </c>
      <c r="O3561" s="1">
        <v>4446.8599999999997</v>
      </c>
      <c r="P3561" s="1">
        <v>3644.97</v>
      </c>
      <c r="Q3561">
        <v>1.7</v>
      </c>
      <c r="R3561">
        <v>9.7649999999999994E-3</v>
      </c>
    </row>
    <row r="3562" spans="1:18" ht="13.8" outlineLevel="2" x14ac:dyDescent="0.25">
      <c r="A3562">
        <v>102934</v>
      </c>
      <c r="B3562" t="s">
        <v>4580</v>
      </c>
      <c r="C3562" t="s">
        <v>4585</v>
      </c>
      <c r="D3562" s="14" t="s">
        <v>4586</v>
      </c>
      <c r="E3562" s="12" t="s">
        <v>28</v>
      </c>
      <c r="F3562" s="13" t="s">
        <v>29</v>
      </c>
      <c r="G3562">
        <v>1</v>
      </c>
      <c r="H3562" t="s">
        <v>30</v>
      </c>
      <c r="I3562">
        <v>1</v>
      </c>
      <c r="J3562" s="15"/>
      <c r="K3562" s="16">
        <f>IF($E$1&gt;=$Q$1%,5844.25-(5844.25*$Q$1%),5844.25-(5844.25*$E$1))</f>
        <v>5844.25</v>
      </c>
      <c r="L3562" s="16">
        <f>IF($E$1&gt;=$Q$1%,4790.37-(4790.37*$Q$1%),4790.37-(4790.37*$E$1))</f>
        <v>4790.37</v>
      </c>
      <c r="M3562" s="1">
        <v>5844.25</v>
      </c>
      <c r="N3562" s="1">
        <v>4790.37</v>
      </c>
      <c r="O3562" s="1">
        <v>5844.25</v>
      </c>
      <c r="P3562" s="1">
        <v>4790.37</v>
      </c>
      <c r="Q3562">
        <v>1.7</v>
      </c>
      <c r="R3562">
        <v>9.7649999999999994E-3</v>
      </c>
    </row>
    <row r="3563" spans="1:18" ht="13.8" outlineLevel="2" x14ac:dyDescent="0.25">
      <c r="A3563">
        <v>57760</v>
      </c>
      <c r="B3563" t="s">
        <v>4587</v>
      </c>
      <c r="C3563" t="s">
        <v>4588</v>
      </c>
      <c r="D3563" s="14" t="s">
        <v>4589</v>
      </c>
      <c r="E3563" s="12" t="s">
        <v>28</v>
      </c>
      <c r="F3563" s="13" t="s">
        <v>29</v>
      </c>
      <c r="G3563">
        <v>1</v>
      </c>
      <c r="H3563" t="s">
        <v>30</v>
      </c>
      <c r="I3563">
        <v>1</v>
      </c>
      <c r="J3563" s="15"/>
      <c r="K3563" s="16">
        <f>IF($E$1&gt;=$Q$1%,4612.14-(4612.14*$Q$1%),4612.14-(4612.14*$E$1))</f>
        <v>4612.1400000000003</v>
      </c>
      <c r="L3563" s="16">
        <f>IF($E$1&gt;=$Q$1%,3780.44-(3780.44*$Q$1%),3780.44-(3780.44*$E$1))</f>
        <v>3780.44</v>
      </c>
      <c r="M3563" s="1">
        <v>4612.1400000000003</v>
      </c>
      <c r="N3563" s="1">
        <v>3780.44</v>
      </c>
      <c r="O3563" s="1">
        <v>4612.1400000000003</v>
      </c>
      <c r="P3563" s="1">
        <v>3780.44</v>
      </c>
      <c r="Q3563">
        <v>1.64</v>
      </c>
      <c r="R3563">
        <v>5.4809999999999998E-3</v>
      </c>
    </row>
    <row r="3564" spans="1:18" ht="13.8" outlineLevel="2" x14ac:dyDescent="0.25">
      <c r="A3564">
        <v>101927</v>
      </c>
      <c r="B3564" t="s">
        <v>4590</v>
      </c>
      <c r="C3564" t="s">
        <v>4591</v>
      </c>
      <c r="D3564" s="14" t="s">
        <v>4591</v>
      </c>
      <c r="E3564" s="12" t="s">
        <v>28</v>
      </c>
      <c r="F3564" s="13" t="s">
        <v>29</v>
      </c>
      <c r="G3564">
        <v>1</v>
      </c>
      <c r="H3564" t="s">
        <v>30</v>
      </c>
      <c r="I3564">
        <v>1</v>
      </c>
      <c r="J3564" s="15"/>
      <c r="K3564" s="16">
        <f>IF($E$1&gt;=$Q$1%,1442.65-(1442.65*$Q$1%),1442.65-(1442.65*$E$1))</f>
        <v>1442.65</v>
      </c>
      <c r="L3564" s="16">
        <f>IF($E$1&gt;=$Q$1%,1182.5-(1182.5*$Q$1%),1182.5-(1182.5*$E$1))</f>
        <v>1182.5</v>
      </c>
      <c r="M3564" s="1">
        <v>1442.65</v>
      </c>
      <c r="N3564" s="1">
        <v>1182.5</v>
      </c>
      <c r="O3564" s="1">
        <v>1442.65</v>
      </c>
      <c r="P3564" s="1">
        <v>1182.5</v>
      </c>
      <c r="Q3564">
        <v>0.78</v>
      </c>
      <c r="R3564">
        <v>2.3470000000000001E-3</v>
      </c>
    </row>
    <row r="3565" spans="1:18" ht="13.8" outlineLevel="2" x14ac:dyDescent="0.25">
      <c r="A3565">
        <v>66237</v>
      </c>
      <c r="B3565" t="s">
        <v>4592</v>
      </c>
      <c r="C3565" t="s">
        <v>4593</v>
      </c>
      <c r="D3565" s="14" t="s">
        <v>4594</v>
      </c>
      <c r="E3565" s="12" t="s">
        <v>28</v>
      </c>
      <c r="F3565" s="17" t="s">
        <v>549</v>
      </c>
      <c r="G3565">
        <v>1</v>
      </c>
      <c r="H3565" t="s">
        <v>30</v>
      </c>
      <c r="I3565">
        <v>1</v>
      </c>
      <c r="J3565" s="15"/>
      <c r="K3565" s="16">
        <f>IF($E$1&gt;=$Q$1%,2530.33-(2530.33*$Q$1%),2530.33-(2530.33*$E$1))</f>
        <v>2530.33</v>
      </c>
      <c r="L3565" s="16">
        <f>IF($E$1&gt;=$Q$1%,2074.04-(2074.04*$Q$1%),2074.04-(2074.04*$E$1))</f>
        <v>2074.04</v>
      </c>
      <c r="M3565" s="1">
        <v>2530.33</v>
      </c>
      <c r="N3565" s="1">
        <v>2074.04</v>
      </c>
      <c r="O3565" s="1">
        <v>2530.33</v>
      </c>
      <c r="P3565" s="1">
        <v>2074.04</v>
      </c>
      <c r="Q3565">
        <v>0.24</v>
      </c>
      <c r="R3565">
        <v>2.7720000000000002E-3</v>
      </c>
    </row>
    <row r="3566" spans="1:18" ht="13.8" outlineLevel="2" x14ac:dyDescent="0.25">
      <c r="A3566">
        <v>66238</v>
      </c>
      <c r="B3566" t="s">
        <v>4592</v>
      </c>
      <c r="C3566" t="s">
        <v>4595</v>
      </c>
      <c r="D3566" s="14" t="s">
        <v>4596</v>
      </c>
      <c r="E3566" s="12" t="s">
        <v>28</v>
      </c>
      <c r="F3566" s="13" t="s">
        <v>29</v>
      </c>
      <c r="G3566">
        <v>1</v>
      </c>
      <c r="H3566" t="s">
        <v>30</v>
      </c>
      <c r="I3566">
        <v>1</v>
      </c>
      <c r="J3566" s="15"/>
      <c r="K3566" s="16">
        <f>IF($E$1&gt;=$Q$1%,3555.06-(3555.06*$Q$1%),3555.06-(3555.06*$E$1))</f>
        <v>3555.06</v>
      </c>
      <c r="L3566" s="16">
        <f>IF($E$1&gt;=$Q$1%,2913.98-(2913.98*$Q$1%),2913.98-(2913.98*$E$1))</f>
        <v>2913.98</v>
      </c>
      <c r="M3566" s="1">
        <v>3555.06</v>
      </c>
      <c r="N3566" s="1">
        <v>2913.98</v>
      </c>
      <c r="O3566" s="1">
        <v>3555.06</v>
      </c>
      <c r="P3566" s="1">
        <v>2913.98</v>
      </c>
      <c r="Q3566">
        <v>0.28000000000000003</v>
      </c>
      <c r="R3566">
        <v>2.8639999999999998E-3</v>
      </c>
    </row>
    <row r="3567" spans="1:18" ht="13.8" outlineLevel="2" x14ac:dyDescent="0.25">
      <c r="A3567">
        <v>66240</v>
      </c>
      <c r="B3567" t="s">
        <v>4597</v>
      </c>
      <c r="C3567" t="s">
        <v>4598</v>
      </c>
      <c r="D3567" s="14" t="s">
        <v>4599</v>
      </c>
      <c r="E3567" s="12" t="s">
        <v>28</v>
      </c>
      <c r="F3567" s="13" t="s">
        <v>29</v>
      </c>
      <c r="G3567">
        <v>1</v>
      </c>
      <c r="H3567" t="s">
        <v>30</v>
      </c>
      <c r="I3567">
        <v>1</v>
      </c>
      <c r="J3567" s="15"/>
      <c r="K3567" s="16">
        <f>IF($E$1&gt;=$Q$1%,4386.34-(4386.34*$Q$1%),4386.34-(4386.34*$E$1))</f>
        <v>4386.34</v>
      </c>
      <c r="L3567" s="16">
        <f>IF($E$1&gt;=$Q$1%,3595.36-(3595.36*$Q$1%),3595.36-(3595.36*$E$1))</f>
        <v>3595.36</v>
      </c>
      <c r="M3567" s="1">
        <v>4386.34</v>
      </c>
      <c r="N3567" s="1">
        <v>3595.36</v>
      </c>
      <c r="O3567" s="1">
        <v>4386.34</v>
      </c>
      <c r="P3567" s="1">
        <v>3595.36</v>
      </c>
      <c r="Q3567">
        <v>0.4</v>
      </c>
      <c r="R3567">
        <v>1.6069999999999999E-3</v>
      </c>
    </row>
    <row r="3568" spans="1:18" ht="13.8" outlineLevel="2" x14ac:dyDescent="0.25">
      <c r="A3568">
        <v>88066</v>
      </c>
      <c r="B3568" t="s">
        <v>4600</v>
      </c>
      <c r="C3568" t="s">
        <v>4601</v>
      </c>
      <c r="D3568" s="14" t="s">
        <v>4602</v>
      </c>
      <c r="E3568" s="12" t="s">
        <v>28</v>
      </c>
      <c r="F3568" s="13" t="s">
        <v>29</v>
      </c>
      <c r="G3568">
        <v>1</v>
      </c>
      <c r="H3568" t="s">
        <v>30</v>
      </c>
      <c r="I3568">
        <v>1</v>
      </c>
      <c r="J3568" s="15"/>
      <c r="K3568" s="16">
        <f>IF($E$1&gt;=$Q$1%,449.07-(449.07*$Q$1%),449.07-(449.07*$E$1))</f>
        <v>449.07</v>
      </c>
      <c r="L3568" s="16">
        <f>IF($E$1&gt;=$Q$1%,368.09-(368.09*$Q$1%),368.09-(368.09*$E$1))</f>
        <v>368.09</v>
      </c>
      <c r="M3568" s="1">
        <v>449.07</v>
      </c>
      <c r="N3568" s="1">
        <v>368.09</v>
      </c>
      <c r="O3568" s="1">
        <v>449.07</v>
      </c>
      <c r="P3568" s="1">
        <v>368.09</v>
      </c>
      <c r="Q3568">
        <v>0.128</v>
      </c>
      <c r="R3568">
        <v>1.3699999999999999E-3</v>
      </c>
    </row>
    <row r="3569" spans="1:18" ht="13.8" outlineLevel="2" x14ac:dyDescent="0.25">
      <c r="A3569">
        <v>88067</v>
      </c>
      <c r="B3569" t="s">
        <v>4600</v>
      </c>
      <c r="C3569" t="s">
        <v>4603</v>
      </c>
      <c r="D3569" s="14" t="s">
        <v>4604</v>
      </c>
      <c r="E3569" s="12" t="s">
        <v>28</v>
      </c>
      <c r="F3569" s="13" t="s">
        <v>29</v>
      </c>
      <c r="G3569">
        <v>1</v>
      </c>
      <c r="H3569" t="s">
        <v>30</v>
      </c>
      <c r="I3569">
        <v>1</v>
      </c>
      <c r="J3569" s="15"/>
      <c r="K3569" s="16">
        <f>IF($E$1&gt;=$Q$1%,464.25-(464.25*$Q$1%),464.25-(464.25*$E$1))</f>
        <v>464.25</v>
      </c>
      <c r="L3569" s="16">
        <f>IF($E$1&gt;=$Q$1%,380.53-(380.53*$Q$1%),380.53-(380.53*$E$1))</f>
        <v>380.53</v>
      </c>
      <c r="M3569" s="1">
        <v>464.25</v>
      </c>
      <c r="N3569" s="1">
        <v>380.53</v>
      </c>
      <c r="O3569" s="1">
        <v>464.25</v>
      </c>
      <c r="P3569" s="1">
        <v>380.53</v>
      </c>
      <c r="Q3569">
        <v>0.14799999999999999</v>
      </c>
      <c r="R3569">
        <v>1.518E-3</v>
      </c>
    </row>
    <row r="3570" spans="1:18" ht="13.8" outlineLevel="2" x14ac:dyDescent="0.25">
      <c r="A3570">
        <v>88068</v>
      </c>
      <c r="B3570" t="s">
        <v>4600</v>
      </c>
      <c r="C3570" t="s">
        <v>4605</v>
      </c>
      <c r="D3570" s="14" t="s">
        <v>4606</v>
      </c>
      <c r="E3570" s="12" t="s">
        <v>28</v>
      </c>
      <c r="F3570" s="13" t="s">
        <v>29</v>
      </c>
      <c r="G3570">
        <v>1</v>
      </c>
      <c r="H3570" t="s">
        <v>30</v>
      </c>
      <c r="I3570">
        <v>1</v>
      </c>
      <c r="J3570" s="15"/>
      <c r="K3570" s="16">
        <f>IF($E$1&gt;=$Q$1%,525.99-(525.99*$Q$1%),525.99-(525.99*$E$1))</f>
        <v>525.99</v>
      </c>
      <c r="L3570" s="16">
        <f>IF($E$1&gt;=$Q$1%,431.14-(431.14*$Q$1%),431.14-(431.14*$E$1))</f>
        <v>431.14</v>
      </c>
      <c r="M3570" s="1">
        <v>525.99</v>
      </c>
      <c r="N3570" s="1">
        <v>431.14</v>
      </c>
      <c r="O3570" s="1">
        <v>525.99</v>
      </c>
      <c r="P3570" s="1">
        <v>431.14</v>
      </c>
      <c r="Q3570">
        <v>0.13800000000000001</v>
      </c>
      <c r="R3570">
        <v>1.3799999999999999E-3</v>
      </c>
    </row>
    <row r="3571" spans="1:18" ht="13.8" outlineLevel="2" x14ac:dyDescent="0.25">
      <c r="A3571">
        <v>88069</v>
      </c>
      <c r="B3571" t="s">
        <v>4600</v>
      </c>
      <c r="C3571" t="s">
        <v>4607</v>
      </c>
      <c r="D3571" s="14" t="s">
        <v>4608</v>
      </c>
      <c r="E3571" s="12" t="s">
        <v>28</v>
      </c>
      <c r="F3571" s="13" t="s">
        <v>29</v>
      </c>
      <c r="G3571">
        <v>1</v>
      </c>
      <c r="H3571" t="s">
        <v>30</v>
      </c>
      <c r="I3571">
        <v>1</v>
      </c>
      <c r="J3571" s="15"/>
      <c r="K3571" s="16">
        <f>IF($E$1&gt;=$Q$1%,548.62-(548.62*$Q$1%),548.62-(548.62*$E$1))</f>
        <v>548.62</v>
      </c>
      <c r="L3571" s="16">
        <f>IF($E$1&gt;=$Q$1%,449.69-(449.69*$Q$1%),449.69-(449.69*$E$1))</f>
        <v>449.69</v>
      </c>
      <c r="M3571" s="1">
        <v>548.62</v>
      </c>
      <c r="N3571" s="1">
        <v>449.69</v>
      </c>
      <c r="O3571" s="1">
        <v>548.62</v>
      </c>
      <c r="P3571" s="1">
        <v>449.69</v>
      </c>
      <c r="Q3571">
        <v>0.2</v>
      </c>
      <c r="R3571">
        <v>1.47E-3</v>
      </c>
    </row>
    <row r="3572" spans="1:18" ht="13.8" outlineLevel="2" x14ac:dyDescent="0.25">
      <c r="A3572">
        <v>88070</v>
      </c>
      <c r="B3572" t="s">
        <v>4600</v>
      </c>
      <c r="C3572" t="s">
        <v>4609</v>
      </c>
      <c r="D3572" s="14" t="s">
        <v>4610</v>
      </c>
      <c r="E3572" s="12" t="s">
        <v>28</v>
      </c>
      <c r="F3572" s="13" t="s">
        <v>29</v>
      </c>
      <c r="G3572">
        <v>1</v>
      </c>
      <c r="H3572" t="s">
        <v>30</v>
      </c>
      <c r="I3572">
        <v>1</v>
      </c>
      <c r="J3572" s="15"/>
      <c r="K3572" s="16">
        <f>IF($E$1&gt;=$Q$1%,710.92-(710.92*$Q$1%),710.92-(710.92*$E$1))</f>
        <v>710.92</v>
      </c>
      <c r="L3572" s="16">
        <f>IF($E$1&gt;=$Q$1%,582.72-(582.72*$Q$1%),582.72-(582.72*$E$1))</f>
        <v>582.72</v>
      </c>
      <c r="M3572" s="1">
        <v>710.92</v>
      </c>
      <c r="N3572" s="1">
        <v>582.72</v>
      </c>
      <c r="O3572" s="1">
        <v>710.92</v>
      </c>
      <c r="P3572" s="1">
        <v>582.72</v>
      </c>
      <c r="Q3572">
        <v>0.14199999999999999</v>
      </c>
      <c r="R3572">
        <v>1.4E-3</v>
      </c>
    </row>
    <row r="3573" spans="1:18" ht="13.8" outlineLevel="2" x14ac:dyDescent="0.25">
      <c r="A3573">
        <v>88071</v>
      </c>
      <c r="B3573" t="s">
        <v>4600</v>
      </c>
      <c r="C3573" t="s">
        <v>4611</v>
      </c>
      <c r="D3573" s="14" t="s">
        <v>4612</v>
      </c>
      <c r="E3573" s="12" t="s">
        <v>28</v>
      </c>
      <c r="F3573" s="13" t="s">
        <v>29</v>
      </c>
      <c r="G3573">
        <v>1</v>
      </c>
      <c r="H3573" t="s">
        <v>30</v>
      </c>
      <c r="I3573">
        <v>1</v>
      </c>
      <c r="J3573" s="15"/>
      <c r="K3573" s="16">
        <f>IF($E$1&gt;=$Q$1%,874-(874*$Q$1%),874-(874*$E$1))</f>
        <v>874</v>
      </c>
      <c r="L3573" s="16">
        <f>IF($E$1&gt;=$Q$1%,716.39-(716.39*$Q$1%),716.39-(716.39*$E$1))</f>
        <v>716.39</v>
      </c>
      <c r="M3573" s="1">
        <v>874</v>
      </c>
      <c r="N3573" s="1">
        <v>716.39</v>
      </c>
      <c r="O3573" s="1">
        <v>874</v>
      </c>
      <c r="P3573" s="1">
        <v>716.39</v>
      </c>
      <c r="Q3573">
        <v>0.188</v>
      </c>
      <c r="R3573">
        <v>1.4339999999999999E-3</v>
      </c>
    </row>
    <row r="3574" spans="1:18" ht="13.8" outlineLevel="2" x14ac:dyDescent="0.25">
      <c r="A3574">
        <v>88072</v>
      </c>
      <c r="B3574" t="s">
        <v>4600</v>
      </c>
      <c r="C3574" t="s">
        <v>4613</v>
      </c>
      <c r="D3574" s="14" t="s">
        <v>4614</v>
      </c>
      <c r="E3574" s="12" t="s">
        <v>28</v>
      </c>
      <c r="F3574" s="13" t="s">
        <v>29</v>
      </c>
      <c r="G3574">
        <v>1</v>
      </c>
      <c r="H3574" t="s">
        <v>30</v>
      </c>
      <c r="I3574">
        <v>1</v>
      </c>
      <c r="J3574" s="15"/>
      <c r="K3574" s="16">
        <f>IF($E$1&gt;=$Q$1%,778.63-(778.63*$Q$1%),778.63-(778.63*$E$1))</f>
        <v>778.63</v>
      </c>
      <c r="L3574" s="16">
        <f>IF($E$1&gt;=$Q$1%,638.22-(638.22*$Q$1%),638.22-(638.22*$E$1))</f>
        <v>638.22</v>
      </c>
      <c r="M3574" s="1">
        <v>778.63</v>
      </c>
      <c r="N3574" s="1">
        <v>638.22</v>
      </c>
      <c r="O3574" s="1">
        <v>778.63</v>
      </c>
      <c r="P3574" s="1">
        <v>638.22</v>
      </c>
      <c r="Q3574">
        <v>0.26</v>
      </c>
      <c r="R3574">
        <v>1.0120000000000001E-3</v>
      </c>
    </row>
    <row r="3575" spans="1:18" ht="13.8" outlineLevel="2" x14ac:dyDescent="0.25">
      <c r="A3575">
        <v>88073</v>
      </c>
      <c r="B3575" t="s">
        <v>4615</v>
      </c>
      <c r="C3575" t="s">
        <v>4616</v>
      </c>
      <c r="D3575" s="14" t="s">
        <v>4617</v>
      </c>
      <c r="E3575" s="12" t="s">
        <v>28</v>
      </c>
      <c r="F3575" s="17" t="s">
        <v>549</v>
      </c>
      <c r="G3575">
        <v>1</v>
      </c>
      <c r="H3575" t="s">
        <v>30</v>
      </c>
      <c r="I3575">
        <v>1</v>
      </c>
      <c r="J3575" s="15"/>
      <c r="K3575" s="16">
        <f>IF($E$1&gt;=$Q$1%,248.94-(248.94*$Q$1%),248.94-(248.94*$E$1))</f>
        <v>248.94</v>
      </c>
      <c r="L3575" s="16">
        <f>IF($E$1&gt;=$Q$1%,204.05-(204.05*$Q$1%),204.05-(204.05*$E$1))</f>
        <v>204.05</v>
      </c>
      <c r="M3575" s="1">
        <v>248.94</v>
      </c>
      <c r="N3575" s="1">
        <v>204.05</v>
      </c>
      <c r="O3575" s="1">
        <v>248.94</v>
      </c>
      <c r="P3575" s="1">
        <v>204.05</v>
      </c>
      <c r="Q3575">
        <v>0.124</v>
      </c>
      <c r="R3575">
        <v>1.1039999999999999E-3</v>
      </c>
    </row>
    <row r="3576" spans="1:18" ht="13.8" outlineLevel="2" x14ac:dyDescent="0.25">
      <c r="A3576">
        <v>88074</v>
      </c>
      <c r="B3576" t="s">
        <v>4615</v>
      </c>
      <c r="C3576" t="s">
        <v>4618</v>
      </c>
      <c r="D3576" s="14" t="s">
        <v>4619</v>
      </c>
      <c r="E3576" s="12" t="s">
        <v>28</v>
      </c>
      <c r="F3576" s="13" t="s">
        <v>29</v>
      </c>
      <c r="G3576">
        <v>1</v>
      </c>
      <c r="H3576" t="s">
        <v>30</v>
      </c>
      <c r="I3576">
        <v>1</v>
      </c>
      <c r="J3576" s="15"/>
      <c r="K3576" s="16">
        <f>IF($E$1&gt;=$Q$1%,860.88-(860.88*$Q$1%),860.88-(860.88*$E$1))</f>
        <v>860.88</v>
      </c>
      <c r="L3576" s="16">
        <f>IF($E$1&gt;=$Q$1%,705.64-(705.64*$Q$1%),705.64-(705.64*$E$1))</f>
        <v>705.64</v>
      </c>
      <c r="M3576" s="1">
        <v>860.88</v>
      </c>
      <c r="N3576" s="1">
        <v>705.64</v>
      </c>
      <c r="O3576" s="1">
        <v>860.88</v>
      </c>
      <c r="P3576" s="1">
        <v>705.64</v>
      </c>
      <c r="Q3576">
        <v>0.20599999999999999</v>
      </c>
      <c r="R3576">
        <v>8.5499999999999997E-4</v>
      </c>
    </row>
    <row r="3577" spans="1:18" ht="13.8" outlineLevel="2" x14ac:dyDescent="0.25">
      <c r="A3577">
        <v>106782</v>
      </c>
      <c r="B3577" t="s">
        <v>4620</v>
      </c>
      <c r="C3577" t="s">
        <v>4621</v>
      </c>
      <c r="D3577" s="14" t="s">
        <v>4622</v>
      </c>
      <c r="E3577" s="12" t="s">
        <v>28</v>
      </c>
      <c r="F3577" s="18" t="s">
        <v>1467</v>
      </c>
      <c r="G3577">
        <v>1</v>
      </c>
      <c r="H3577" t="s">
        <v>30</v>
      </c>
      <c r="I3577">
        <v>1</v>
      </c>
      <c r="J3577" s="15"/>
      <c r="K3577" s="16">
        <f>IF($E$1&gt;=$Q$1%,940.29-(940.29*$Q$1%),940.29-(940.29*$E$1))</f>
        <v>940.29</v>
      </c>
      <c r="L3577" s="16">
        <f>IF($E$1&gt;=$Q$1%,770.73-(770.73*$Q$1%),770.73-(770.73*$E$1))</f>
        <v>770.73</v>
      </c>
      <c r="M3577" s="1">
        <v>940.29</v>
      </c>
      <c r="N3577" s="1">
        <v>770.73</v>
      </c>
      <c r="O3577" s="1">
        <v>940.29</v>
      </c>
      <c r="P3577" s="1">
        <v>770.73</v>
      </c>
      <c r="Q3577">
        <v>0.22</v>
      </c>
      <c r="R3577">
        <v>2.8210000000000002E-3</v>
      </c>
    </row>
    <row r="3578" spans="1:18" ht="16.5" customHeight="1" outlineLevel="1" x14ac:dyDescent="0.35">
      <c r="A3578" s="9"/>
      <c r="B3578" s="10" t="s">
        <v>4623</v>
      </c>
      <c r="C3578" s="10"/>
      <c r="D3578" s="10"/>
      <c r="E3578" s="10"/>
      <c r="F3578" s="10"/>
      <c r="G3578" s="10"/>
      <c r="H3578" s="10"/>
      <c r="I3578" s="10"/>
      <c r="J3578" s="10"/>
      <c r="K3578" s="10"/>
      <c r="L3578" s="10"/>
      <c r="M3578" s="10"/>
      <c r="N3578" s="10"/>
      <c r="O3578" s="10"/>
      <c r="P3578" s="10"/>
      <c r="Q3578" s="10"/>
      <c r="R3578" s="11"/>
    </row>
    <row r="3579" spans="1:18" ht="13.8" outlineLevel="2" x14ac:dyDescent="0.25">
      <c r="A3579">
        <v>55960</v>
      </c>
      <c r="B3579" t="s">
        <v>4624</v>
      </c>
      <c r="C3579" t="s">
        <v>4625</v>
      </c>
      <c r="D3579" s="14" t="s">
        <v>4626</v>
      </c>
      <c r="E3579" s="12" t="s">
        <v>28</v>
      </c>
      <c r="F3579" s="13" t="s">
        <v>29</v>
      </c>
      <c r="G3579">
        <v>1</v>
      </c>
      <c r="H3579" t="s">
        <v>30</v>
      </c>
      <c r="I3579">
        <v>1</v>
      </c>
      <c r="J3579" s="15"/>
      <c r="K3579" s="16">
        <f>1560.77 - (1560.77 * $E$1)</f>
        <v>1560.77</v>
      </c>
      <c r="L3579" s="16">
        <f>1279.32 - (1279.32 * $E$1)</f>
        <v>1279.32</v>
      </c>
      <c r="M3579" s="1">
        <v>1560.77</v>
      </c>
      <c r="N3579" s="1">
        <v>1279.32</v>
      </c>
      <c r="O3579" s="1">
        <v>1326.65</v>
      </c>
      <c r="P3579" s="1">
        <v>1087.42</v>
      </c>
      <c r="Q3579">
        <v>0.4</v>
      </c>
      <c r="R3579">
        <v>9.2100000000000005E-4</v>
      </c>
    </row>
    <row r="3580" spans="1:18" ht="13.8" outlineLevel="2" x14ac:dyDescent="0.25">
      <c r="A3580">
        <v>55961</v>
      </c>
      <c r="B3580" t="s">
        <v>4627</v>
      </c>
      <c r="C3580" t="s">
        <v>4628</v>
      </c>
      <c r="D3580" s="14" t="s">
        <v>4629</v>
      </c>
      <c r="E3580" s="12" t="s">
        <v>28</v>
      </c>
      <c r="F3580" s="13" t="s">
        <v>29</v>
      </c>
      <c r="G3580">
        <v>1</v>
      </c>
      <c r="H3580" t="s">
        <v>30</v>
      </c>
      <c r="I3580">
        <v>1</v>
      </c>
      <c r="J3580" s="15"/>
      <c r="K3580" s="16">
        <f>4333.15 - (4333.15 * $E$1)</f>
        <v>4333.1499999999996</v>
      </c>
      <c r="L3580" s="16">
        <f>3551.76 - (3551.76 * $E$1)</f>
        <v>3551.76</v>
      </c>
      <c r="M3580" s="1">
        <v>4333.1499999999996</v>
      </c>
      <c r="N3580" s="1">
        <v>3551.76</v>
      </c>
      <c r="O3580" s="1">
        <v>3683.18</v>
      </c>
      <c r="P3580" s="1">
        <v>3019</v>
      </c>
      <c r="Q3580">
        <v>0.6</v>
      </c>
      <c r="R3580">
        <v>1.4040000000000001E-3</v>
      </c>
    </row>
    <row r="3581" spans="1:18" ht="13.8" outlineLevel="2" x14ac:dyDescent="0.25">
      <c r="A3581">
        <v>57603</v>
      </c>
      <c r="B3581" t="s">
        <v>4624</v>
      </c>
      <c r="C3581" t="s">
        <v>4630</v>
      </c>
      <c r="D3581" s="14" t="s">
        <v>4631</v>
      </c>
      <c r="E3581" s="12" t="s">
        <v>28</v>
      </c>
      <c r="F3581" s="13" t="s">
        <v>29</v>
      </c>
      <c r="G3581">
        <v>1</v>
      </c>
      <c r="H3581" t="s">
        <v>30</v>
      </c>
      <c r="I3581">
        <v>1</v>
      </c>
      <c r="J3581" s="15"/>
      <c r="K3581" s="16">
        <f>1067.94 - (1067.94 * $E$1)</f>
        <v>1067.94</v>
      </c>
      <c r="L3581" s="16">
        <f>875.36 - (875.36 * $E$1)</f>
        <v>875.36</v>
      </c>
      <c r="M3581" s="1">
        <v>1067.94</v>
      </c>
      <c r="N3581" s="1">
        <v>875.36</v>
      </c>
      <c r="O3581" s="1">
        <v>907.75</v>
      </c>
      <c r="P3581" s="1">
        <v>744.06</v>
      </c>
      <c r="Q3581">
        <v>0.3</v>
      </c>
      <c r="R3581">
        <v>9.2500000000000004E-4</v>
      </c>
    </row>
    <row r="3582" spans="1:18" ht="13.8" outlineLevel="2" x14ac:dyDescent="0.25">
      <c r="A3582">
        <v>63732</v>
      </c>
      <c r="B3582" t="s">
        <v>4627</v>
      </c>
      <c r="C3582" t="s">
        <v>4632</v>
      </c>
      <c r="D3582" s="14" t="s">
        <v>4633</v>
      </c>
      <c r="E3582" s="12" t="s">
        <v>28</v>
      </c>
      <c r="F3582" s="13" t="s">
        <v>29</v>
      </c>
      <c r="G3582">
        <v>1</v>
      </c>
      <c r="H3582" t="s">
        <v>30</v>
      </c>
      <c r="I3582">
        <v>1</v>
      </c>
      <c r="J3582" s="15"/>
      <c r="K3582" s="16">
        <f>9344.59 - (9344.59 * $E$1)</f>
        <v>9344.59</v>
      </c>
      <c r="L3582" s="16">
        <f>7659.5 - (7659.5 * $E$1)</f>
        <v>7659.5</v>
      </c>
      <c r="M3582" s="1">
        <v>9344.59</v>
      </c>
      <c r="N3582" s="1">
        <v>7659.5</v>
      </c>
      <c r="O3582" s="1">
        <v>7942.9</v>
      </c>
      <c r="P3582" s="1">
        <v>6510.58</v>
      </c>
      <c r="Q3582">
        <v>0.6</v>
      </c>
      <c r="R3582">
        <v>1.8504E-2</v>
      </c>
    </row>
    <row r="3583" spans="1:18" ht="13.8" outlineLevel="2" x14ac:dyDescent="0.25">
      <c r="A3583">
        <v>63026</v>
      </c>
      <c r="B3583" t="s">
        <v>4634</v>
      </c>
      <c r="C3583" t="s">
        <v>4635</v>
      </c>
      <c r="D3583" s="14" t="s">
        <v>4636</v>
      </c>
      <c r="E3583" s="12" t="s">
        <v>28</v>
      </c>
      <c r="F3583" s="13" t="s">
        <v>29</v>
      </c>
      <c r="G3583">
        <v>1</v>
      </c>
      <c r="H3583" t="s">
        <v>30</v>
      </c>
      <c r="I3583">
        <v>1</v>
      </c>
      <c r="J3583" s="15"/>
      <c r="K3583" s="16">
        <f>IF($E$1&gt;=$Q$1%,5252.43-(5252.43*$Q$1%),5252.43-(5252.43*$E$1))</f>
        <v>5252.43</v>
      </c>
      <c r="L3583" s="16">
        <f>IF($E$1&gt;=$Q$1%,4305.27-(4305.27*$Q$1%),4305.27-(4305.27*$E$1))</f>
        <v>4305.2700000000004</v>
      </c>
      <c r="M3583" s="1">
        <v>5252.43</v>
      </c>
      <c r="N3583" s="1">
        <v>4305.2700000000004</v>
      </c>
      <c r="O3583" s="1">
        <v>5252.43</v>
      </c>
      <c r="P3583" s="1">
        <v>4305.2700000000004</v>
      </c>
      <c r="Q3583">
        <v>2.0099999999999998</v>
      </c>
      <c r="R3583">
        <v>2.3210000000000001E-3</v>
      </c>
    </row>
    <row r="3584" spans="1:18" ht="13.8" outlineLevel="2" x14ac:dyDescent="0.25">
      <c r="A3584">
        <v>74030</v>
      </c>
      <c r="B3584" t="s">
        <v>4634</v>
      </c>
      <c r="C3584" t="s">
        <v>4637</v>
      </c>
      <c r="D3584" s="14" t="s">
        <v>4638</v>
      </c>
      <c r="E3584" s="12" t="s">
        <v>28</v>
      </c>
      <c r="F3584" s="13" t="s">
        <v>29</v>
      </c>
      <c r="G3584">
        <v>1</v>
      </c>
      <c r="H3584" t="s">
        <v>30</v>
      </c>
      <c r="I3584">
        <v>1</v>
      </c>
      <c r="J3584" s="15"/>
      <c r="K3584" s="16">
        <f>IF($E$1&gt;=$Q$1%,5533.76-(5533.76*$Q$1%),5533.76-(5533.76*$E$1))</f>
        <v>5533.76</v>
      </c>
      <c r="L3584" s="16">
        <f>IF($E$1&gt;=$Q$1%,4535.87-(4535.87*$Q$1%),4535.87-(4535.87*$E$1))</f>
        <v>4535.87</v>
      </c>
      <c r="M3584" s="1">
        <v>5533.76</v>
      </c>
      <c r="N3584" s="1">
        <v>4535.87</v>
      </c>
      <c r="O3584" s="1">
        <v>5533.76</v>
      </c>
      <c r="P3584" s="1">
        <v>4535.87</v>
      </c>
      <c r="Q3584">
        <v>1.22</v>
      </c>
      <c r="R3584">
        <v>2.0799999999999998E-3</v>
      </c>
    </row>
    <row r="3585" spans="1:18" ht="13.8" outlineLevel="2" x14ac:dyDescent="0.25">
      <c r="A3585">
        <v>73577</v>
      </c>
      <c r="B3585" t="s">
        <v>4634</v>
      </c>
      <c r="C3585" t="s">
        <v>4639</v>
      </c>
      <c r="D3585" s="14" t="s">
        <v>4640</v>
      </c>
      <c r="E3585" s="12" t="s">
        <v>28</v>
      </c>
      <c r="F3585" s="13" t="s">
        <v>29</v>
      </c>
      <c r="G3585">
        <v>1</v>
      </c>
      <c r="H3585" t="s">
        <v>30</v>
      </c>
      <c r="I3585">
        <v>1</v>
      </c>
      <c r="J3585" s="15"/>
      <c r="K3585" s="16">
        <f>IF($E$1&gt;=$Q$1%,6171.52-(6171.52*$Q$1%),6171.52-(6171.52*$E$1))</f>
        <v>6171.52</v>
      </c>
      <c r="L3585" s="16">
        <f>IF($E$1&gt;=$Q$1%,5058.62-(5058.62*$Q$1%),5058.62-(5058.62*$E$1))</f>
        <v>5058.62</v>
      </c>
      <c r="M3585" s="1">
        <v>6171.52</v>
      </c>
      <c r="N3585" s="1">
        <v>5058.62</v>
      </c>
      <c r="O3585" s="1">
        <v>6171.52</v>
      </c>
      <c r="P3585" s="1">
        <v>5058.62</v>
      </c>
      <c r="Q3585">
        <v>1.3</v>
      </c>
      <c r="R3585">
        <v>2.5959999999999998E-3</v>
      </c>
    </row>
    <row r="3586" spans="1:18" ht="13.8" outlineLevel="2" x14ac:dyDescent="0.25">
      <c r="A3586">
        <v>63025</v>
      </c>
      <c r="B3586" t="s">
        <v>4641</v>
      </c>
      <c r="C3586" t="s">
        <v>4642</v>
      </c>
      <c r="D3586" s="14" t="s">
        <v>4643</v>
      </c>
      <c r="E3586" s="12" t="s">
        <v>28</v>
      </c>
      <c r="F3586" s="13" t="s">
        <v>29</v>
      </c>
      <c r="G3586">
        <v>1</v>
      </c>
      <c r="H3586" t="s">
        <v>30</v>
      </c>
      <c r="I3586">
        <v>1</v>
      </c>
      <c r="J3586" s="15"/>
      <c r="K3586" s="16">
        <f>IF($E$1&gt;=$Q$1%,1766.41-(1766.41*$Q$1%),1766.41-(1766.41*$E$1))</f>
        <v>1766.41</v>
      </c>
      <c r="L3586" s="16">
        <f>IF($E$1&gt;=$Q$1%,1447.88-(1447.88*$Q$1%),1447.88-(1447.88*$E$1))</f>
        <v>1447.88</v>
      </c>
      <c r="M3586" s="1">
        <v>1766.41</v>
      </c>
      <c r="N3586" s="1">
        <v>1447.88</v>
      </c>
      <c r="O3586" s="1">
        <v>1766.41</v>
      </c>
      <c r="P3586" s="1">
        <v>1447.88</v>
      </c>
      <c r="Q3586">
        <v>0.88</v>
      </c>
      <c r="R3586">
        <v>1.299E-3</v>
      </c>
    </row>
    <row r="3587" spans="1:18" ht="16.5" customHeight="1" outlineLevel="1" x14ac:dyDescent="0.35">
      <c r="A3587" s="9"/>
      <c r="B3587" s="10" t="s">
        <v>4644</v>
      </c>
      <c r="C3587" s="10"/>
      <c r="D3587" s="10"/>
      <c r="E3587" s="10"/>
      <c r="F3587" s="10"/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1"/>
    </row>
    <row r="3588" spans="1:18" ht="13.8" outlineLevel="2" x14ac:dyDescent="0.25">
      <c r="A3588">
        <v>78068</v>
      </c>
      <c r="B3588" t="s">
        <v>4645</v>
      </c>
      <c r="C3588" t="s">
        <v>4646</v>
      </c>
      <c r="D3588" s="14" t="s">
        <v>4647</v>
      </c>
      <c r="E3588" s="12" t="s">
        <v>28</v>
      </c>
      <c r="F3588" s="13" t="s">
        <v>29</v>
      </c>
      <c r="G3588">
        <v>1</v>
      </c>
      <c r="H3588" t="s">
        <v>30</v>
      </c>
      <c r="I3588">
        <v>1</v>
      </c>
      <c r="J3588" s="15"/>
      <c r="K3588" s="16">
        <f>483.6 - (483.6 * $E$1)</f>
        <v>483.6</v>
      </c>
      <c r="L3588" s="16">
        <f>396.39 - (396.39 * $E$1)</f>
        <v>396.39</v>
      </c>
      <c r="M3588" s="1">
        <v>483.6</v>
      </c>
      <c r="N3588" s="1">
        <v>396.39</v>
      </c>
      <c r="O3588" s="1">
        <v>411.06</v>
      </c>
      <c r="P3588" s="1">
        <v>336.93</v>
      </c>
      <c r="Q3588">
        <v>7.0000000000000007E-2</v>
      </c>
      <c r="R3588">
        <v>1.76E-4</v>
      </c>
    </row>
    <row r="3589" spans="1:18" ht="13.8" outlineLevel="2" x14ac:dyDescent="0.25">
      <c r="A3589">
        <v>84624</v>
      </c>
      <c r="B3589" t="s">
        <v>4645</v>
      </c>
      <c r="C3589" t="s">
        <v>4648</v>
      </c>
      <c r="D3589" s="14" t="s">
        <v>4649</v>
      </c>
      <c r="E3589" s="12" t="s">
        <v>28</v>
      </c>
      <c r="F3589" s="13" t="s">
        <v>29</v>
      </c>
      <c r="G3589">
        <v>1</v>
      </c>
      <c r="H3589" t="s">
        <v>30</v>
      </c>
      <c r="I3589">
        <v>1</v>
      </c>
      <c r="J3589" s="15"/>
      <c r="K3589" s="16">
        <f>429.39 - (429.39 * $E$1)</f>
        <v>429.39</v>
      </c>
      <c r="L3589" s="16">
        <f>351.96 - (351.96 * $E$1)</f>
        <v>351.96</v>
      </c>
      <c r="M3589" s="1">
        <v>429.39</v>
      </c>
      <c r="N3589" s="1">
        <v>351.96</v>
      </c>
      <c r="O3589" s="1">
        <v>364.98</v>
      </c>
      <c r="P3589" s="1">
        <v>299.17</v>
      </c>
      <c r="Q3589">
        <v>0.1</v>
      </c>
      <c r="R3589">
        <v>2.04E-4</v>
      </c>
    </row>
    <row r="3590" spans="1:18" ht="13.8" outlineLevel="2" x14ac:dyDescent="0.25">
      <c r="A3590">
        <v>78069</v>
      </c>
      <c r="B3590" t="s">
        <v>4645</v>
      </c>
      <c r="C3590" t="s">
        <v>4650</v>
      </c>
      <c r="D3590" s="14" t="s">
        <v>4651</v>
      </c>
      <c r="E3590" s="12" t="s">
        <v>28</v>
      </c>
      <c r="F3590" s="13" t="s">
        <v>29</v>
      </c>
      <c r="G3590">
        <v>1</v>
      </c>
      <c r="H3590" t="s">
        <v>30</v>
      </c>
      <c r="I3590">
        <v>1</v>
      </c>
      <c r="J3590" s="15"/>
      <c r="K3590" s="16">
        <f>1250.4 - (1250.4 * $E$1)</f>
        <v>1250.4000000000001</v>
      </c>
      <c r="L3590" s="16">
        <f>1024.92 - (1024.92 * $E$1)</f>
        <v>1024.92</v>
      </c>
      <c r="M3590" s="1">
        <v>1250.4000000000001</v>
      </c>
      <c r="N3590" s="1">
        <v>1024.92</v>
      </c>
      <c r="O3590" s="1">
        <v>1062.8399999999999</v>
      </c>
      <c r="P3590" s="1">
        <v>871.18</v>
      </c>
      <c r="Q3590">
        <v>0.15</v>
      </c>
      <c r="R3590">
        <v>3.3E-4</v>
      </c>
    </row>
    <row r="3591" spans="1:18" ht="16.5" customHeight="1" outlineLevel="1" x14ac:dyDescent="0.35">
      <c r="A3591" s="9"/>
      <c r="B3591" s="10" t="s">
        <v>4652</v>
      </c>
      <c r="C3591" s="10"/>
      <c r="D3591" s="10"/>
      <c r="E3591" s="10"/>
      <c r="F3591" s="10"/>
      <c r="G3591" s="10"/>
      <c r="H3591" s="10"/>
      <c r="I3591" s="10"/>
      <c r="J3591" s="10"/>
      <c r="K3591" s="10"/>
      <c r="L3591" s="10"/>
      <c r="M3591" s="10"/>
      <c r="N3591" s="10"/>
      <c r="O3591" s="10"/>
      <c r="P3591" s="10"/>
      <c r="Q3591" s="10"/>
      <c r="R3591" s="11"/>
    </row>
    <row r="3592" spans="1:18" ht="13.8" outlineLevel="2" x14ac:dyDescent="0.25">
      <c r="A3592">
        <v>59511</v>
      </c>
      <c r="B3592" t="s">
        <v>4653</v>
      </c>
      <c r="C3592" t="s">
        <v>4654</v>
      </c>
      <c r="D3592" s="14" t="s">
        <v>4654</v>
      </c>
      <c r="E3592" s="12" t="s">
        <v>28</v>
      </c>
      <c r="F3592" s="13" t="s">
        <v>29</v>
      </c>
      <c r="G3592">
        <v>1</v>
      </c>
      <c r="H3592" t="s">
        <v>30</v>
      </c>
      <c r="I3592">
        <v>1</v>
      </c>
      <c r="J3592" s="15"/>
      <c r="K3592" s="16">
        <f>IF($E$1&gt;=$Q$1%,16444.03-(16444.03*$Q$1%),16444.03-(16444.03*$E$1))</f>
        <v>16444.03</v>
      </c>
      <c r="L3592" s="16">
        <f>IF($E$1&gt;=$Q$1%,13478.71-(13478.71*$Q$1%),13478.71-(13478.71*$E$1))</f>
        <v>13478.71</v>
      </c>
      <c r="M3592" s="1">
        <v>16444.03</v>
      </c>
      <c r="N3592" s="1">
        <v>13478.71</v>
      </c>
      <c r="O3592" s="1">
        <v>16444.03</v>
      </c>
      <c r="P3592" s="1">
        <v>13478.71</v>
      </c>
      <c r="Q3592">
        <v>7.31</v>
      </c>
      <c r="R3592">
        <v>3.3628999999999999E-2</v>
      </c>
    </row>
    <row r="3593" spans="1:18" ht="13.8" outlineLevel="2" x14ac:dyDescent="0.25">
      <c r="A3593">
        <v>101924</v>
      </c>
      <c r="B3593" t="s">
        <v>4653</v>
      </c>
      <c r="C3593" t="s">
        <v>4655</v>
      </c>
      <c r="D3593" s="14" t="s">
        <v>4656</v>
      </c>
      <c r="E3593" s="12" t="s">
        <v>28</v>
      </c>
      <c r="F3593" s="13" t="s">
        <v>29</v>
      </c>
      <c r="G3593">
        <v>1</v>
      </c>
      <c r="H3593" t="s">
        <v>30</v>
      </c>
      <c r="I3593">
        <v>1</v>
      </c>
      <c r="J3593" s="15"/>
      <c r="K3593" s="16">
        <f>IF($E$1&gt;=$Q$1%,30815.81-(30815.81*$Q$1%),30815.81-(30815.81*$E$1))</f>
        <v>30815.81</v>
      </c>
      <c r="L3593" s="16">
        <f>IF($E$1&gt;=$Q$1%,25258.86-(25258.86*$Q$1%),25258.86-(25258.86*$E$1))</f>
        <v>25258.86</v>
      </c>
      <c r="M3593" s="1">
        <v>30815.81</v>
      </c>
      <c r="N3593" s="1">
        <v>25258.86</v>
      </c>
      <c r="O3593" s="1">
        <v>30815.81</v>
      </c>
      <c r="P3593" s="1">
        <v>25258.86</v>
      </c>
      <c r="Q3593">
        <v>11.35</v>
      </c>
      <c r="R3593">
        <v>3.3628999999999999E-2</v>
      </c>
    </row>
    <row r="3594" spans="1:18" ht="13.8" outlineLevel="2" x14ac:dyDescent="0.25">
      <c r="A3594">
        <v>101925</v>
      </c>
      <c r="B3594" t="s">
        <v>4653</v>
      </c>
      <c r="C3594" t="s">
        <v>4657</v>
      </c>
      <c r="D3594" s="14" t="s">
        <v>4658</v>
      </c>
      <c r="E3594" s="12" t="s">
        <v>28</v>
      </c>
      <c r="F3594" s="13" t="s">
        <v>29</v>
      </c>
      <c r="G3594">
        <v>1</v>
      </c>
      <c r="H3594" t="s">
        <v>30</v>
      </c>
      <c r="I3594">
        <v>1</v>
      </c>
      <c r="J3594" s="15"/>
      <c r="K3594" s="16">
        <f>IF($E$1&gt;=$Q$1%,47177.63-(47177.63*$Q$1%),47177.63-(47177.63*$E$1))</f>
        <v>47177.63</v>
      </c>
      <c r="L3594" s="16">
        <f>IF($E$1&gt;=$Q$1%,38670.19-(38670.19*$Q$1%),38670.19-(38670.19*$E$1))</f>
        <v>38670.19</v>
      </c>
      <c r="M3594" s="1">
        <v>47177.63</v>
      </c>
      <c r="N3594" s="1">
        <v>38670.19</v>
      </c>
      <c r="O3594" s="1">
        <v>47177.63</v>
      </c>
      <c r="P3594" s="1">
        <v>38670.19</v>
      </c>
      <c r="Q3594">
        <v>11.73</v>
      </c>
      <c r="R3594">
        <v>3.3271000000000002E-2</v>
      </c>
    </row>
    <row r="3595" spans="1:18" ht="13.8" outlineLevel="2" x14ac:dyDescent="0.25">
      <c r="A3595">
        <v>101926</v>
      </c>
      <c r="B3595" t="s">
        <v>4653</v>
      </c>
      <c r="C3595" t="s">
        <v>4659</v>
      </c>
      <c r="D3595" s="14" t="s">
        <v>4659</v>
      </c>
      <c r="E3595" s="12" t="s">
        <v>28</v>
      </c>
      <c r="F3595" s="13" t="s">
        <v>29</v>
      </c>
      <c r="G3595">
        <v>1</v>
      </c>
      <c r="H3595" t="s">
        <v>30</v>
      </c>
      <c r="I3595">
        <v>1</v>
      </c>
      <c r="J3595" s="15"/>
      <c r="K3595" s="16">
        <f>IF($E$1&gt;=$Q$1%,28497.87-(28497.87*$Q$1%),28497.87-(28497.87*$E$1))</f>
        <v>28497.87</v>
      </c>
      <c r="L3595" s="16">
        <f>IF($E$1&gt;=$Q$1%,23358.91-(23358.91*$Q$1%),23358.91-(23358.91*$E$1))</f>
        <v>23358.91</v>
      </c>
      <c r="M3595" s="1">
        <v>28497.87</v>
      </c>
      <c r="N3595" s="1">
        <v>23358.91</v>
      </c>
      <c r="O3595" s="1">
        <v>28497.87</v>
      </c>
      <c r="P3595" s="1">
        <v>23358.91</v>
      </c>
      <c r="Q3595">
        <v>10.51</v>
      </c>
      <c r="R3595">
        <v>3.3271000000000002E-2</v>
      </c>
    </row>
    <row r="3596" spans="1:18" ht="13.8" outlineLevel="2" x14ac:dyDescent="0.25">
      <c r="A3596">
        <v>63033</v>
      </c>
      <c r="B3596" t="s">
        <v>4660</v>
      </c>
      <c r="C3596" t="s">
        <v>4661</v>
      </c>
      <c r="D3596" s="14" t="s">
        <v>4661</v>
      </c>
      <c r="E3596" s="12" t="s">
        <v>28</v>
      </c>
      <c r="F3596" s="13" t="s">
        <v>29</v>
      </c>
      <c r="G3596">
        <v>1</v>
      </c>
      <c r="H3596" t="s">
        <v>30</v>
      </c>
      <c r="I3596">
        <v>1</v>
      </c>
      <c r="J3596" s="15"/>
      <c r="K3596" s="16">
        <f>21185.18 - (21185.18 * $E$1)</f>
        <v>21185.18</v>
      </c>
      <c r="L3596" s="16">
        <f>17364.9 - (17364.9 * $E$1)</f>
        <v>17364.900000000001</v>
      </c>
      <c r="M3596" s="1">
        <v>21185.18</v>
      </c>
      <c r="N3596" s="1">
        <v>17364.900000000001</v>
      </c>
      <c r="O3596" s="1">
        <v>18007.400000000001</v>
      </c>
      <c r="P3596" s="1">
        <v>14760.17</v>
      </c>
      <c r="Q3596">
        <v>5.98</v>
      </c>
      <c r="R3596">
        <v>3.3898999999999999E-2</v>
      </c>
    </row>
    <row r="3597" spans="1:18" ht="13.8" outlineLevel="2" x14ac:dyDescent="0.25">
      <c r="A3597">
        <v>66353</v>
      </c>
      <c r="B3597" t="s">
        <v>4660</v>
      </c>
      <c r="C3597" t="s">
        <v>4662</v>
      </c>
      <c r="D3597" s="14" t="s">
        <v>4662</v>
      </c>
      <c r="E3597" s="12" t="s">
        <v>28</v>
      </c>
      <c r="F3597" s="13" t="s">
        <v>29</v>
      </c>
      <c r="G3597">
        <v>1</v>
      </c>
      <c r="H3597" t="s">
        <v>30</v>
      </c>
      <c r="I3597">
        <v>1</v>
      </c>
      <c r="J3597" s="15"/>
      <c r="K3597" s="16">
        <f>16060.19 - (16060.19 * $E$1)</f>
        <v>16060.19</v>
      </c>
      <c r="L3597" s="16">
        <f>13164.09 - (13164.09 * $E$1)</f>
        <v>13164.09</v>
      </c>
      <c r="M3597" s="1">
        <v>16060.19</v>
      </c>
      <c r="N3597" s="1">
        <v>13164.09</v>
      </c>
      <c r="O3597" s="1">
        <v>13651.16</v>
      </c>
      <c r="P3597" s="1">
        <v>11189.48</v>
      </c>
      <c r="Q3597">
        <v>3.78</v>
      </c>
      <c r="R3597">
        <v>1.512E-2</v>
      </c>
    </row>
    <row r="3598" spans="1:18" ht="13.8" outlineLevel="2" x14ac:dyDescent="0.25">
      <c r="A3598">
        <v>66355</v>
      </c>
      <c r="B3598" t="s">
        <v>4663</v>
      </c>
      <c r="C3598" t="s">
        <v>4664</v>
      </c>
      <c r="D3598" s="14" t="s">
        <v>4664</v>
      </c>
      <c r="E3598" s="12" t="s">
        <v>28</v>
      </c>
      <c r="F3598" s="13" t="s">
        <v>29</v>
      </c>
      <c r="G3598">
        <v>1</v>
      </c>
      <c r="H3598" t="s">
        <v>30</v>
      </c>
      <c r="I3598">
        <v>1</v>
      </c>
      <c r="J3598" s="15"/>
      <c r="K3598" s="16">
        <f>16455.93 - (16455.93 * $E$1)</f>
        <v>16455.93</v>
      </c>
      <c r="L3598" s="16">
        <f>13488.47 - (13488.47 * $E$1)</f>
        <v>13488.47</v>
      </c>
      <c r="M3598" s="1">
        <v>16455.93</v>
      </c>
      <c r="N3598" s="1">
        <v>13488.47</v>
      </c>
      <c r="O3598" s="1">
        <v>13987.54</v>
      </c>
      <c r="P3598" s="1">
        <v>11465.2</v>
      </c>
      <c r="Q3598">
        <v>4.1500000000000004</v>
      </c>
      <c r="R3598">
        <v>1.512E-2</v>
      </c>
    </row>
    <row r="3599" spans="1:18" ht="13.8" outlineLevel="2" x14ac:dyDescent="0.25">
      <c r="A3599">
        <v>67332</v>
      </c>
      <c r="B3599" t="s">
        <v>4665</v>
      </c>
      <c r="C3599" t="s">
        <v>4666</v>
      </c>
      <c r="D3599" s="14" t="s">
        <v>4666</v>
      </c>
      <c r="E3599" s="12" t="s">
        <v>28</v>
      </c>
      <c r="F3599" s="13" t="s">
        <v>29</v>
      </c>
      <c r="G3599">
        <v>1</v>
      </c>
      <c r="H3599" t="s">
        <v>30</v>
      </c>
      <c r="I3599">
        <v>1</v>
      </c>
      <c r="J3599" s="15"/>
      <c r="K3599" s="16">
        <f>32359.44 - (32359.44 * $E$1)</f>
        <v>32359.439999999999</v>
      </c>
      <c r="L3599" s="16">
        <f>26524.13 - (26524.13 * $E$1)</f>
        <v>26524.13</v>
      </c>
      <c r="M3599" s="1">
        <v>32359.439999999999</v>
      </c>
      <c r="N3599" s="1">
        <v>26524.13</v>
      </c>
      <c r="O3599" s="1">
        <v>27505.52</v>
      </c>
      <c r="P3599" s="1">
        <v>22545.51</v>
      </c>
      <c r="Q3599">
        <v>7.67</v>
      </c>
      <c r="R3599">
        <v>3.3534000000000001E-2</v>
      </c>
    </row>
    <row r="3600" spans="1:18" ht="13.8" outlineLevel="2" x14ac:dyDescent="0.25">
      <c r="A3600">
        <v>69812</v>
      </c>
      <c r="B3600" t="s">
        <v>4667</v>
      </c>
      <c r="C3600" t="s">
        <v>4668</v>
      </c>
      <c r="D3600" s="14" t="s">
        <v>4669</v>
      </c>
      <c r="E3600" s="12" t="s">
        <v>28</v>
      </c>
      <c r="F3600" s="13" t="s">
        <v>29</v>
      </c>
      <c r="G3600">
        <v>1</v>
      </c>
      <c r="H3600" t="s">
        <v>30</v>
      </c>
      <c r="I3600">
        <v>1</v>
      </c>
      <c r="J3600" s="15"/>
      <c r="K3600" s="16">
        <f>7947.03 - (7947.03 * $E$1)</f>
        <v>7947.03</v>
      </c>
      <c r="L3600" s="16">
        <f>6513.96 - (6513.96 * $E$1)</f>
        <v>6513.96</v>
      </c>
      <c r="M3600" s="1">
        <v>7947.03</v>
      </c>
      <c r="N3600" s="1">
        <v>6513.96</v>
      </c>
      <c r="O3600" s="1">
        <v>6754.98</v>
      </c>
      <c r="P3600" s="1">
        <v>5536.87</v>
      </c>
      <c r="Q3600">
        <v>2.9</v>
      </c>
      <c r="R3600">
        <v>1.9158999999999999E-2</v>
      </c>
    </row>
    <row r="3601" spans="1:18" ht="13.8" outlineLevel="2" x14ac:dyDescent="0.25">
      <c r="A3601">
        <v>87135</v>
      </c>
      <c r="B3601" t="s">
        <v>4670</v>
      </c>
      <c r="C3601" t="s">
        <v>4671</v>
      </c>
      <c r="D3601" s="14" t="s">
        <v>4671</v>
      </c>
      <c r="E3601" s="12" t="s">
        <v>28</v>
      </c>
      <c r="F3601" s="13" t="s">
        <v>29</v>
      </c>
      <c r="G3601">
        <v>1</v>
      </c>
      <c r="H3601" t="s">
        <v>30</v>
      </c>
      <c r="I3601">
        <v>1</v>
      </c>
      <c r="J3601" s="15"/>
      <c r="K3601" s="16">
        <f>12710.75 - (12710.75 * $E$1)</f>
        <v>12710.75</v>
      </c>
      <c r="L3601" s="16">
        <f>10418.65 - (10418.65 * $E$1)</f>
        <v>10418.65</v>
      </c>
      <c r="M3601" s="1">
        <v>12710.75</v>
      </c>
      <c r="N3601" s="1">
        <v>10418.65</v>
      </c>
      <c r="O3601" s="1">
        <v>10804.14</v>
      </c>
      <c r="P3601" s="1">
        <v>8855.85</v>
      </c>
      <c r="Q3601">
        <v>3.67</v>
      </c>
      <c r="R3601">
        <v>1.512E-2</v>
      </c>
    </row>
    <row r="3602" spans="1:18" ht="13.8" outlineLevel="2" x14ac:dyDescent="0.25">
      <c r="A3602">
        <v>89264</v>
      </c>
      <c r="B3602" t="s">
        <v>4660</v>
      </c>
      <c r="C3602" t="s">
        <v>4672</v>
      </c>
      <c r="D3602" s="14" t="s">
        <v>4672</v>
      </c>
      <c r="E3602" s="12" t="s">
        <v>28</v>
      </c>
      <c r="F3602" s="13" t="s">
        <v>29</v>
      </c>
      <c r="G3602">
        <v>1</v>
      </c>
      <c r="H3602" t="s">
        <v>30</v>
      </c>
      <c r="I3602">
        <v>1</v>
      </c>
      <c r="J3602" s="15"/>
      <c r="K3602" s="16">
        <f>29044.33 - (29044.33 * $E$1)</f>
        <v>29044.33</v>
      </c>
      <c r="L3602" s="16">
        <f>23806.83 - (23806.83 * $E$1)</f>
        <v>23806.83</v>
      </c>
      <c r="M3602" s="1">
        <v>29044.33</v>
      </c>
      <c r="N3602" s="1">
        <v>23806.83</v>
      </c>
      <c r="O3602" s="1">
        <v>24687.68</v>
      </c>
      <c r="P3602" s="1">
        <v>20235.810000000001</v>
      </c>
      <c r="Q3602">
        <v>6.75</v>
      </c>
      <c r="R3602">
        <v>2.8864000000000001E-2</v>
      </c>
    </row>
    <row r="3603" spans="1:18" ht="33.75" customHeight="1" x14ac:dyDescent="0.35">
      <c r="A3603" s="9"/>
      <c r="B3603" s="10" t="s">
        <v>4673</v>
      </c>
      <c r="C3603" s="10"/>
      <c r="D3603" s="10"/>
      <c r="E3603" s="10"/>
      <c r="F3603" s="10"/>
      <c r="G3603" s="10"/>
      <c r="H3603" s="10"/>
      <c r="I3603" s="10"/>
      <c r="J3603" s="10"/>
      <c r="K3603" s="10"/>
      <c r="L3603" s="10"/>
      <c r="M3603" s="10"/>
      <c r="N3603" s="10"/>
      <c r="O3603" s="10"/>
      <c r="P3603" s="10"/>
      <c r="Q3603" s="10"/>
      <c r="R3603" s="11"/>
    </row>
    <row r="3604" spans="1:18" ht="16.5" customHeight="1" outlineLevel="1" x14ac:dyDescent="0.35">
      <c r="A3604" s="9"/>
      <c r="B3604" s="10" t="s">
        <v>4674</v>
      </c>
      <c r="C3604" s="10"/>
      <c r="D3604" s="10"/>
      <c r="E3604" s="10"/>
      <c r="F3604" s="10"/>
      <c r="G3604" s="10"/>
      <c r="H3604" s="10"/>
      <c r="I3604" s="10"/>
      <c r="J3604" s="10"/>
      <c r="K3604" s="10"/>
      <c r="L3604" s="10"/>
      <c r="M3604" s="10"/>
      <c r="N3604" s="10"/>
      <c r="O3604" s="10"/>
      <c r="P3604" s="10"/>
      <c r="Q3604" s="10"/>
      <c r="R3604" s="11"/>
    </row>
    <row r="3605" spans="1:18" ht="13.8" outlineLevel="2" x14ac:dyDescent="0.25">
      <c r="A3605">
        <v>105212</v>
      </c>
      <c r="C3605" t="s">
        <v>4675</v>
      </c>
      <c r="D3605" s="14" t="s">
        <v>4676</v>
      </c>
      <c r="E3605" s="12" t="s">
        <v>28</v>
      </c>
      <c r="F3605" s="13" t="s">
        <v>29</v>
      </c>
      <c r="G3605">
        <v>1</v>
      </c>
      <c r="H3605" t="s">
        <v>30</v>
      </c>
      <c r="I3605">
        <v>1</v>
      </c>
      <c r="J3605" s="15"/>
      <c r="K3605" s="16">
        <f>1109.39 - (1109.39 * $E$1)</f>
        <v>1109.3900000000001</v>
      </c>
      <c r="L3605" s="16">
        <f>909.34 - (909.34 * $E$1)</f>
        <v>909.34</v>
      </c>
      <c r="M3605" s="1">
        <v>1109.3900000000001</v>
      </c>
      <c r="N3605" s="1">
        <v>909.34</v>
      </c>
      <c r="O3605" s="1">
        <v>942.99</v>
      </c>
      <c r="P3605" s="1">
        <v>772.94</v>
      </c>
      <c r="Q3605">
        <v>0.26700000000000002</v>
      </c>
      <c r="R3605">
        <v>3.86E-4</v>
      </c>
    </row>
    <row r="3606" spans="1:18" ht="13.8" outlineLevel="2" x14ac:dyDescent="0.25">
      <c r="A3606">
        <v>105213</v>
      </c>
      <c r="C3606" t="s">
        <v>4677</v>
      </c>
      <c r="D3606" s="14" t="s">
        <v>4678</v>
      </c>
      <c r="E3606" s="12" t="s">
        <v>28</v>
      </c>
      <c r="F3606" s="13" t="s">
        <v>29</v>
      </c>
      <c r="G3606">
        <v>1</v>
      </c>
      <c r="H3606" t="s">
        <v>30</v>
      </c>
      <c r="I3606">
        <v>1</v>
      </c>
      <c r="J3606" s="15"/>
      <c r="K3606" s="16">
        <f>1158.27 - (1158.27 * $E$1)</f>
        <v>1158.27</v>
      </c>
      <c r="L3606" s="16">
        <f>949.4 - (949.4 * $E$1)</f>
        <v>949.4</v>
      </c>
      <c r="M3606" s="1">
        <v>1158.27</v>
      </c>
      <c r="N3606" s="1">
        <v>949.4</v>
      </c>
      <c r="O3606" s="1">
        <v>984.53</v>
      </c>
      <c r="P3606" s="1">
        <v>806.99</v>
      </c>
      <c r="Q3606">
        <v>0.32200000000000001</v>
      </c>
      <c r="R3606">
        <v>4.2900000000000002E-4</v>
      </c>
    </row>
    <row r="3607" spans="1:18" ht="13.8" outlineLevel="2" x14ac:dyDescent="0.25">
      <c r="A3607">
        <v>107266</v>
      </c>
      <c r="C3607" t="s">
        <v>4679</v>
      </c>
      <c r="D3607" s="14" t="s">
        <v>4680</v>
      </c>
      <c r="E3607" s="12" t="s">
        <v>28</v>
      </c>
      <c r="F3607" s="18" t="s">
        <v>1467</v>
      </c>
      <c r="G3607">
        <v>1</v>
      </c>
      <c r="H3607" t="s">
        <v>30</v>
      </c>
      <c r="I3607">
        <v>1</v>
      </c>
      <c r="J3607" s="15"/>
      <c r="K3607" s="16">
        <f>1676.57 - (1676.57 * $E$1)</f>
        <v>1676.57</v>
      </c>
      <c r="L3607" s="16">
        <f>1374.24 - (1374.24 * $E$1)</f>
        <v>1374.24</v>
      </c>
      <c r="M3607" s="1">
        <v>1676.57</v>
      </c>
      <c r="N3607" s="1">
        <v>1374.24</v>
      </c>
      <c r="O3607" s="1">
        <v>1425.09</v>
      </c>
      <c r="P3607" s="1">
        <v>1168.0999999999999</v>
      </c>
      <c r="Q3607">
        <v>0.32</v>
      </c>
      <c r="R3607">
        <v>5.9999999999999995E-4</v>
      </c>
    </row>
    <row r="3608" spans="1:18" ht="13.8" outlineLevel="2" x14ac:dyDescent="0.25">
      <c r="A3608">
        <v>105216</v>
      </c>
      <c r="C3608" t="s">
        <v>4681</v>
      </c>
      <c r="D3608" s="14" t="s">
        <v>4682</v>
      </c>
      <c r="E3608" s="12" t="s">
        <v>28</v>
      </c>
      <c r="F3608" s="13" t="s">
        <v>29</v>
      </c>
      <c r="G3608">
        <v>1</v>
      </c>
      <c r="H3608" t="s">
        <v>30</v>
      </c>
      <c r="I3608">
        <v>1</v>
      </c>
      <c r="J3608" s="15"/>
      <c r="K3608" s="16">
        <f>1065.85 - (1065.85 * $E$1)</f>
        <v>1065.8499999999999</v>
      </c>
      <c r="L3608" s="16">
        <f>873.65 - (873.65 * $E$1)</f>
        <v>873.65</v>
      </c>
      <c r="M3608" s="1">
        <v>1065.8499999999999</v>
      </c>
      <c r="N3608" s="1">
        <v>873.65</v>
      </c>
      <c r="O3608" s="1">
        <v>905.98</v>
      </c>
      <c r="P3608" s="1">
        <v>742.6</v>
      </c>
      <c r="Q3608">
        <v>0.17499999999999999</v>
      </c>
      <c r="R3608">
        <v>3.0200000000000002E-4</v>
      </c>
    </row>
    <row r="3609" spans="1:18" ht="13.8" outlineLevel="2" x14ac:dyDescent="0.25">
      <c r="A3609">
        <v>105217</v>
      </c>
      <c r="C3609" t="s">
        <v>4683</v>
      </c>
      <c r="D3609" s="14" t="s">
        <v>4684</v>
      </c>
      <c r="E3609" s="12" t="s">
        <v>28</v>
      </c>
      <c r="F3609" s="13" t="s">
        <v>29</v>
      </c>
      <c r="G3609">
        <v>1</v>
      </c>
      <c r="H3609" t="s">
        <v>30</v>
      </c>
      <c r="I3609">
        <v>1</v>
      </c>
      <c r="J3609" s="15"/>
      <c r="K3609" s="16">
        <f>1159.37 - (1159.37 * $E$1)</f>
        <v>1159.3699999999999</v>
      </c>
      <c r="L3609" s="16">
        <f>950.3 - (950.3 * $E$1)</f>
        <v>950.3</v>
      </c>
      <c r="M3609" s="1">
        <v>1159.3699999999999</v>
      </c>
      <c r="N3609" s="1">
        <v>950.3</v>
      </c>
      <c r="O3609" s="1">
        <v>985.46</v>
      </c>
      <c r="P3609" s="1">
        <v>807.76</v>
      </c>
      <c r="Q3609">
        <v>0.26500000000000001</v>
      </c>
      <c r="R3609">
        <v>3.86E-4</v>
      </c>
    </row>
    <row r="3610" spans="1:18" ht="13.8" outlineLevel="2" x14ac:dyDescent="0.25">
      <c r="A3610">
        <v>107267</v>
      </c>
      <c r="C3610" t="s">
        <v>4685</v>
      </c>
      <c r="D3610" s="14" t="s">
        <v>4686</v>
      </c>
      <c r="E3610" s="12" t="s">
        <v>28</v>
      </c>
      <c r="F3610" s="18" t="s">
        <v>1467</v>
      </c>
      <c r="G3610">
        <v>1</v>
      </c>
      <c r="H3610" t="s">
        <v>30</v>
      </c>
      <c r="I3610">
        <v>1</v>
      </c>
      <c r="J3610" s="15"/>
      <c r="K3610" s="16">
        <f>1676.57 - (1676.57 * $E$1)</f>
        <v>1676.57</v>
      </c>
      <c r="L3610" s="16">
        <f>1374.24 - (1374.24 * $E$1)</f>
        <v>1374.24</v>
      </c>
      <c r="M3610" s="1">
        <v>1676.57</v>
      </c>
      <c r="N3610" s="1">
        <v>1374.24</v>
      </c>
      <c r="O3610" s="1">
        <v>1425.09</v>
      </c>
      <c r="P3610" s="1">
        <v>1168.0999999999999</v>
      </c>
      <c r="Q3610">
        <v>0.26</v>
      </c>
      <c r="R3610">
        <v>4.8000000000000001E-4</v>
      </c>
    </row>
    <row r="3611" spans="1:18" ht="13.8" outlineLevel="2" x14ac:dyDescent="0.25">
      <c r="A3611">
        <v>105214</v>
      </c>
      <c r="C3611" t="s">
        <v>4687</v>
      </c>
      <c r="D3611" s="14" t="s">
        <v>4688</v>
      </c>
      <c r="E3611" s="12" t="s">
        <v>28</v>
      </c>
      <c r="F3611" s="13" t="s">
        <v>29</v>
      </c>
      <c r="G3611">
        <v>1</v>
      </c>
      <c r="H3611" t="s">
        <v>30</v>
      </c>
      <c r="I3611">
        <v>1</v>
      </c>
      <c r="J3611" s="15"/>
      <c r="K3611" s="16">
        <f>1111.36 - (1111.36 * $E$1)</f>
        <v>1111.3599999999999</v>
      </c>
      <c r="L3611" s="16">
        <f>910.95 - (910.95 * $E$1)</f>
        <v>910.95</v>
      </c>
      <c r="M3611" s="1">
        <v>1111.3599999999999</v>
      </c>
      <c r="N3611" s="1">
        <v>910.95</v>
      </c>
      <c r="O3611" s="1">
        <v>944.66</v>
      </c>
      <c r="P3611" s="1">
        <v>774.31</v>
      </c>
      <c r="Q3611">
        <v>0.20899999999999999</v>
      </c>
      <c r="R3611">
        <v>3.7199999999999999E-4</v>
      </c>
    </row>
    <row r="3612" spans="1:18" ht="13.8" outlineLevel="2" x14ac:dyDescent="0.25">
      <c r="A3612">
        <v>105215</v>
      </c>
      <c r="C3612" t="s">
        <v>4689</v>
      </c>
      <c r="D3612" s="14" t="s">
        <v>4690</v>
      </c>
      <c r="E3612" s="12" t="s">
        <v>28</v>
      </c>
      <c r="F3612" s="13" t="s">
        <v>29</v>
      </c>
      <c r="G3612">
        <v>1</v>
      </c>
      <c r="H3612" t="s">
        <v>30</v>
      </c>
      <c r="I3612">
        <v>1</v>
      </c>
      <c r="J3612" s="15"/>
      <c r="K3612" s="16">
        <f>1211.16 - (1211.16 * $E$1)</f>
        <v>1211.1600000000001</v>
      </c>
      <c r="L3612" s="16">
        <f>992.75 - (992.75 * $E$1)</f>
        <v>992.75</v>
      </c>
      <c r="M3612" s="1">
        <v>1211.1600000000001</v>
      </c>
      <c r="N3612" s="1">
        <v>992.75</v>
      </c>
      <c r="O3612" s="1">
        <v>1029.48</v>
      </c>
      <c r="P3612" s="1">
        <v>843.84</v>
      </c>
      <c r="Q3612">
        <v>0.33</v>
      </c>
      <c r="R3612">
        <v>4.0900000000000002E-4</v>
      </c>
    </row>
    <row r="3613" spans="1:18" ht="13.8" outlineLevel="2" x14ac:dyDescent="0.25">
      <c r="A3613">
        <v>107206</v>
      </c>
      <c r="C3613" t="s">
        <v>4691</v>
      </c>
      <c r="D3613" s="14" t="s">
        <v>4692</v>
      </c>
      <c r="E3613" s="12" t="s">
        <v>28</v>
      </c>
      <c r="F3613" s="18" t="s">
        <v>1467</v>
      </c>
      <c r="G3613">
        <v>1</v>
      </c>
      <c r="H3613" t="s">
        <v>30</v>
      </c>
      <c r="I3613">
        <v>1</v>
      </c>
      <c r="J3613" s="15"/>
      <c r="K3613" s="16">
        <f>1676.57 - (1676.57 * $E$1)</f>
        <v>1676.57</v>
      </c>
      <c r="L3613" s="16">
        <f>1374.24 - (1374.24 * $E$1)</f>
        <v>1374.24</v>
      </c>
      <c r="M3613" s="1">
        <v>1676.57</v>
      </c>
      <c r="N3613" s="1">
        <v>1374.24</v>
      </c>
      <c r="O3613" s="1">
        <v>1425.09</v>
      </c>
      <c r="P3613" s="1">
        <v>1168.0999999999999</v>
      </c>
      <c r="Q3613">
        <v>0.31</v>
      </c>
      <c r="R3613">
        <v>5.0000000000000001E-4</v>
      </c>
    </row>
    <row r="3614" spans="1:18" ht="13.8" outlineLevel="2" x14ac:dyDescent="0.25">
      <c r="A3614">
        <v>67357</v>
      </c>
      <c r="C3614" t="s">
        <v>4693</v>
      </c>
      <c r="D3614" s="14" t="s">
        <v>4694</v>
      </c>
      <c r="E3614" s="12" t="s">
        <v>28</v>
      </c>
      <c r="F3614" s="13" t="s">
        <v>29</v>
      </c>
      <c r="G3614">
        <v>1</v>
      </c>
      <c r="H3614" t="s">
        <v>30</v>
      </c>
      <c r="I3614">
        <v>1</v>
      </c>
      <c r="J3614" s="15"/>
      <c r="K3614" s="16">
        <f>1208.86 - (1208.86 * $E$1)</f>
        <v>1208.8599999999999</v>
      </c>
      <c r="L3614" s="16">
        <f>990.87 - (990.87 * $E$1)</f>
        <v>990.87</v>
      </c>
      <c r="M3614" s="1">
        <v>1208.8599999999999</v>
      </c>
      <c r="N3614" s="1">
        <v>990.87</v>
      </c>
      <c r="O3614" s="1">
        <v>1027.53</v>
      </c>
      <c r="P3614" s="1">
        <v>842.24</v>
      </c>
      <c r="Q3614">
        <v>0.3</v>
      </c>
      <c r="R3614">
        <v>3.3799999999999998E-4</v>
      </c>
    </row>
    <row r="3615" spans="1:18" ht="13.8" outlineLevel="2" x14ac:dyDescent="0.25">
      <c r="A3615">
        <v>67358</v>
      </c>
      <c r="C3615" t="s">
        <v>4695</v>
      </c>
      <c r="D3615" s="14" t="s">
        <v>4696</v>
      </c>
      <c r="E3615" s="12" t="s">
        <v>28</v>
      </c>
      <c r="F3615" s="13" t="s">
        <v>29</v>
      </c>
      <c r="G3615">
        <v>1</v>
      </c>
      <c r="H3615" t="s">
        <v>30</v>
      </c>
      <c r="I3615">
        <v>1</v>
      </c>
      <c r="J3615" s="15"/>
      <c r="K3615" s="16">
        <f>1258.59 - (1258.59 * $E$1)</f>
        <v>1258.5899999999999</v>
      </c>
      <c r="L3615" s="16">
        <f>1031.63 - (1031.63 * $E$1)</f>
        <v>1031.6300000000001</v>
      </c>
      <c r="M3615" s="1">
        <v>1258.5899999999999</v>
      </c>
      <c r="N3615" s="1">
        <v>1031.6300000000001</v>
      </c>
      <c r="O3615" s="1">
        <v>1069.8</v>
      </c>
      <c r="P3615" s="1">
        <v>876.89</v>
      </c>
      <c r="Q3615">
        <v>0.3</v>
      </c>
      <c r="R3615">
        <v>4.2299999999999998E-4</v>
      </c>
    </row>
    <row r="3616" spans="1:18" ht="13.8" outlineLevel="2" x14ac:dyDescent="0.25">
      <c r="A3616">
        <v>67361</v>
      </c>
      <c r="C3616" t="s">
        <v>4697</v>
      </c>
      <c r="D3616" s="14" t="s">
        <v>4698</v>
      </c>
      <c r="E3616" s="12" t="s">
        <v>28</v>
      </c>
      <c r="F3616" s="13" t="s">
        <v>29</v>
      </c>
      <c r="G3616">
        <v>1</v>
      </c>
      <c r="H3616" t="s">
        <v>30</v>
      </c>
      <c r="I3616">
        <v>1</v>
      </c>
      <c r="J3616" s="15"/>
      <c r="K3616" s="16">
        <f>1285.07 - (1285.07 * $E$1)</f>
        <v>1285.07</v>
      </c>
      <c r="L3616" s="16">
        <f>1053.34 - (1053.34 * $E$1)</f>
        <v>1053.3399999999999</v>
      </c>
      <c r="M3616" s="1">
        <v>1285.07</v>
      </c>
      <c r="N3616" s="1">
        <v>1053.3399999999999</v>
      </c>
      <c r="O3616" s="1">
        <v>1092.31</v>
      </c>
      <c r="P3616" s="1">
        <v>895.34</v>
      </c>
      <c r="Q3616">
        <v>0.17</v>
      </c>
      <c r="R3616">
        <v>3.0400000000000002E-4</v>
      </c>
    </row>
    <row r="3617" spans="1:18" ht="13.8" outlineLevel="2" x14ac:dyDescent="0.25">
      <c r="A3617">
        <v>79220</v>
      </c>
      <c r="C3617" t="s">
        <v>4699</v>
      </c>
      <c r="D3617" s="14" t="s">
        <v>4700</v>
      </c>
      <c r="E3617" s="12" t="s">
        <v>28</v>
      </c>
      <c r="F3617" s="13" t="s">
        <v>29</v>
      </c>
      <c r="G3617">
        <v>1</v>
      </c>
      <c r="H3617" t="s">
        <v>30</v>
      </c>
      <c r="I3617">
        <v>1</v>
      </c>
      <c r="J3617" s="15"/>
      <c r="K3617" s="16">
        <f>1334.79 - (1334.79 * $E$1)</f>
        <v>1334.79</v>
      </c>
      <c r="L3617" s="16">
        <f>1094.09 - (1094.09 * $E$1)</f>
        <v>1094.0899999999999</v>
      </c>
      <c r="M3617" s="1">
        <v>1334.79</v>
      </c>
      <c r="N3617" s="1">
        <v>1094.0899999999999</v>
      </c>
      <c r="O3617" s="1">
        <v>1134.57</v>
      </c>
      <c r="P3617" s="1">
        <v>929.98</v>
      </c>
      <c r="Q3617">
        <v>0.25</v>
      </c>
      <c r="R3617">
        <v>4.1399999999999998E-4</v>
      </c>
    </row>
    <row r="3618" spans="1:18" ht="13.8" outlineLevel="2" x14ac:dyDescent="0.25">
      <c r="A3618">
        <v>67359</v>
      </c>
      <c r="C3618" t="s">
        <v>4701</v>
      </c>
      <c r="D3618" s="14" t="s">
        <v>4702</v>
      </c>
      <c r="E3618" s="12" t="s">
        <v>28</v>
      </c>
      <c r="F3618" s="13" t="s">
        <v>29</v>
      </c>
      <c r="G3618">
        <v>1</v>
      </c>
      <c r="H3618" t="s">
        <v>30</v>
      </c>
      <c r="I3618">
        <v>1</v>
      </c>
      <c r="J3618" s="15"/>
      <c r="K3618" s="16">
        <f>1269.82 - (1269.82 * $E$1)</f>
        <v>1269.82</v>
      </c>
      <c r="L3618" s="16">
        <f>1040.84 - (1040.84 * $E$1)</f>
        <v>1040.8399999999999</v>
      </c>
      <c r="M3618" s="1">
        <v>1269.82</v>
      </c>
      <c r="N3618" s="1">
        <v>1040.8399999999999</v>
      </c>
      <c r="O3618" s="1">
        <v>1079.3499999999999</v>
      </c>
      <c r="P3618" s="1">
        <v>884.71</v>
      </c>
      <c r="Q3618">
        <v>0.2</v>
      </c>
      <c r="R3618">
        <v>4.0900000000000002E-4</v>
      </c>
    </row>
    <row r="3619" spans="1:18" ht="13.8" outlineLevel="2" x14ac:dyDescent="0.25">
      <c r="A3619">
        <v>67360</v>
      </c>
      <c r="C3619" t="s">
        <v>4703</v>
      </c>
      <c r="D3619" s="14" t="s">
        <v>4704</v>
      </c>
      <c r="E3619" s="12" t="s">
        <v>28</v>
      </c>
      <c r="F3619" s="13" t="s">
        <v>29</v>
      </c>
      <c r="G3619">
        <v>1</v>
      </c>
      <c r="H3619" t="s">
        <v>30</v>
      </c>
      <c r="I3619">
        <v>1</v>
      </c>
      <c r="J3619" s="15"/>
      <c r="K3619" s="16">
        <f>1372.9 - (1372.9 * $E$1)</f>
        <v>1372.9</v>
      </c>
      <c r="L3619" s="16">
        <f>1125.33 - (1125.33 * $E$1)</f>
        <v>1125.33</v>
      </c>
      <c r="M3619" s="1">
        <v>1372.9</v>
      </c>
      <c r="N3619" s="1">
        <v>1125.33</v>
      </c>
      <c r="O3619" s="1">
        <v>1166.97</v>
      </c>
      <c r="P3619" s="1">
        <v>956.53</v>
      </c>
      <c r="Q3619">
        <v>0.26</v>
      </c>
      <c r="R3619">
        <v>3.9399999999999998E-4</v>
      </c>
    </row>
    <row r="3620" spans="1:18" ht="13.8" outlineLevel="2" x14ac:dyDescent="0.25">
      <c r="A3620">
        <v>55984</v>
      </c>
      <c r="C3620" t="s">
        <v>4705</v>
      </c>
      <c r="D3620" s="14" t="s">
        <v>4706</v>
      </c>
      <c r="E3620" s="12" t="s">
        <v>28</v>
      </c>
      <c r="F3620" s="13" t="s">
        <v>29</v>
      </c>
      <c r="G3620">
        <v>1</v>
      </c>
      <c r="H3620" t="s">
        <v>30</v>
      </c>
      <c r="I3620">
        <v>1</v>
      </c>
      <c r="J3620" s="15"/>
      <c r="K3620" s="16">
        <f>1087.17 - (1087.17 * $E$1)</f>
        <v>1087.17</v>
      </c>
      <c r="L3620" s="16">
        <f>891.12 - (891.12 * $E$1)</f>
        <v>891.12</v>
      </c>
      <c r="M3620" s="1">
        <v>1087.17</v>
      </c>
      <c r="N3620" s="1">
        <v>891.12</v>
      </c>
      <c r="O3620" s="1">
        <v>924.09</v>
      </c>
      <c r="P3620" s="1">
        <v>757.45</v>
      </c>
      <c r="Q3620">
        <v>0.2</v>
      </c>
      <c r="R3620">
        <v>4.9299999999999995E-4</v>
      </c>
    </row>
    <row r="3621" spans="1:18" ht="13.8" outlineLevel="2" x14ac:dyDescent="0.25">
      <c r="A3621">
        <v>55985</v>
      </c>
      <c r="C3621" t="s">
        <v>4707</v>
      </c>
      <c r="D3621" s="14" t="s">
        <v>4708</v>
      </c>
      <c r="E3621" s="12" t="s">
        <v>28</v>
      </c>
      <c r="F3621" s="13" t="s">
        <v>29</v>
      </c>
      <c r="G3621">
        <v>1</v>
      </c>
      <c r="H3621" t="s">
        <v>30</v>
      </c>
      <c r="I3621">
        <v>1</v>
      </c>
      <c r="J3621" s="15"/>
      <c r="K3621" s="16">
        <f>1111.79 - (1111.79 * $E$1)</f>
        <v>1111.79</v>
      </c>
      <c r="L3621" s="16">
        <f>911.3 - (911.3 * $E$1)</f>
        <v>911.3</v>
      </c>
      <c r="M3621" s="1">
        <v>1111.79</v>
      </c>
      <c r="N3621" s="1">
        <v>911.3</v>
      </c>
      <c r="O3621" s="1">
        <v>945.02</v>
      </c>
      <c r="P3621" s="1">
        <v>774.61</v>
      </c>
      <c r="Q3621">
        <v>0.3</v>
      </c>
      <c r="R3621">
        <v>5.3600000000000002E-4</v>
      </c>
    </row>
    <row r="3622" spans="1:18" ht="13.8" outlineLevel="2" x14ac:dyDescent="0.25">
      <c r="A3622">
        <v>60876</v>
      </c>
      <c r="C3622" t="s">
        <v>4709</v>
      </c>
      <c r="D3622" s="14" t="s">
        <v>4710</v>
      </c>
      <c r="E3622" s="12" t="s">
        <v>28</v>
      </c>
      <c r="F3622" s="13" t="s">
        <v>29</v>
      </c>
      <c r="G3622">
        <v>1</v>
      </c>
      <c r="H3622" t="s">
        <v>30</v>
      </c>
      <c r="I3622">
        <v>1</v>
      </c>
      <c r="J3622" s="15"/>
      <c r="K3622" s="16">
        <f>1189.62 - (1189.62 * $E$1)</f>
        <v>1189.6199999999999</v>
      </c>
      <c r="L3622" s="16">
        <f>975.1 - (975.1 * $E$1)</f>
        <v>975.1</v>
      </c>
      <c r="M3622" s="1">
        <v>1189.6199999999999</v>
      </c>
      <c r="N3622" s="1">
        <v>975.1</v>
      </c>
      <c r="O3622" s="1">
        <v>1011.18</v>
      </c>
      <c r="P3622" s="1">
        <v>828.84</v>
      </c>
      <c r="Q3622">
        <v>0.26</v>
      </c>
      <c r="R3622">
        <v>4.86E-4</v>
      </c>
    </row>
    <row r="3623" spans="1:18" ht="13.8" outlineLevel="2" x14ac:dyDescent="0.25">
      <c r="A3623">
        <v>87297</v>
      </c>
      <c r="C3623" t="s">
        <v>4711</v>
      </c>
      <c r="D3623" s="14" t="s">
        <v>4712</v>
      </c>
      <c r="E3623" s="12" t="s">
        <v>28</v>
      </c>
      <c r="F3623" s="17" t="s">
        <v>549</v>
      </c>
      <c r="G3623">
        <v>1</v>
      </c>
      <c r="H3623" t="s">
        <v>30</v>
      </c>
      <c r="I3623">
        <v>1</v>
      </c>
      <c r="J3623" s="15"/>
      <c r="K3623" s="16">
        <f>2128.6 - (2128.6 * $E$1)</f>
        <v>2128.6</v>
      </c>
      <c r="L3623" s="16">
        <f>1744.75 - (1744.75 * $E$1)</f>
        <v>1744.75</v>
      </c>
      <c r="M3623" s="1">
        <v>2128.6</v>
      </c>
      <c r="N3623" s="1">
        <v>1744.75</v>
      </c>
      <c r="O3623" s="1">
        <v>1809.31</v>
      </c>
      <c r="P3623" s="1">
        <v>1483.04</v>
      </c>
      <c r="Q3623">
        <v>0.32</v>
      </c>
      <c r="R3623">
        <v>6.4999999999999997E-4</v>
      </c>
    </row>
    <row r="3624" spans="1:18" ht="13.8" outlineLevel="2" x14ac:dyDescent="0.25">
      <c r="A3624">
        <v>102700</v>
      </c>
      <c r="C3624" t="s">
        <v>4713</v>
      </c>
      <c r="D3624" s="14" t="s">
        <v>4714</v>
      </c>
      <c r="E3624" s="12" t="s">
        <v>28</v>
      </c>
      <c r="F3624" s="13" t="s">
        <v>29</v>
      </c>
      <c r="G3624">
        <v>1</v>
      </c>
      <c r="H3624" t="s">
        <v>30</v>
      </c>
      <c r="I3624">
        <v>1</v>
      </c>
      <c r="J3624" s="15"/>
      <c r="K3624" s="16">
        <f>1827.04 - (1827.04 * $E$1)</f>
        <v>1827.04</v>
      </c>
      <c r="L3624" s="16">
        <f>1497.57 - (1497.57 * $E$1)</f>
        <v>1497.57</v>
      </c>
      <c r="M3624" s="1">
        <v>1827.04</v>
      </c>
      <c r="N3624" s="1">
        <v>1497.57</v>
      </c>
      <c r="O3624" s="1">
        <v>1552.98</v>
      </c>
      <c r="P3624" s="1">
        <v>1272.93</v>
      </c>
      <c r="Q3624">
        <v>0.4</v>
      </c>
      <c r="R3624">
        <v>6.4899999999999995E-4</v>
      </c>
    </row>
    <row r="3625" spans="1:18" ht="13.8" outlineLevel="2" x14ac:dyDescent="0.25">
      <c r="A3625">
        <v>55986</v>
      </c>
      <c r="C3625" t="s">
        <v>4715</v>
      </c>
      <c r="D3625" s="14" t="s">
        <v>4716</v>
      </c>
      <c r="E3625" s="12" t="s">
        <v>28</v>
      </c>
      <c r="F3625" s="13" t="s">
        <v>29</v>
      </c>
      <c r="G3625">
        <v>1</v>
      </c>
      <c r="H3625" t="s">
        <v>30</v>
      </c>
      <c r="I3625">
        <v>1</v>
      </c>
      <c r="J3625" s="15"/>
      <c r="K3625" s="16">
        <f>1093.61 - (1093.61 * $E$1)</f>
        <v>1093.6099999999999</v>
      </c>
      <c r="L3625" s="16">
        <f>896.4 - (896.4 * $E$1)</f>
        <v>896.4</v>
      </c>
      <c r="M3625" s="1">
        <v>1093.6099999999999</v>
      </c>
      <c r="N3625" s="1">
        <v>896.4</v>
      </c>
      <c r="O3625" s="1">
        <v>929.57</v>
      </c>
      <c r="P3625" s="1">
        <v>761.94</v>
      </c>
      <c r="Q3625">
        <v>0.17</v>
      </c>
      <c r="R3625">
        <v>4.8500000000000003E-4</v>
      </c>
    </row>
    <row r="3626" spans="1:18" ht="13.8" outlineLevel="2" x14ac:dyDescent="0.25">
      <c r="A3626">
        <v>60472</v>
      </c>
      <c r="C3626" t="s">
        <v>4717</v>
      </c>
      <c r="D3626" s="14" t="s">
        <v>4718</v>
      </c>
      <c r="E3626" s="12" t="s">
        <v>28</v>
      </c>
      <c r="F3626" s="13" t="s">
        <v>29</v>
      </c>
      <c r="G3626">
        <v>1</v>
      </c>
      <c r="H3626" t="s">
        <v>30</v>
      </c>
      <c r="I3626">
        <v>1</v>
      </c>
      <c r="J3626" s="15"/>
      <c r="K3626" s="16">
        <f>1174.13 - (1174.13 * $E$1)</f>
        <v>1174.1300000000001</v>
      </c>
      <c r="L3626" s="16">
        <f>962.4 - (962.4 * $E$1)</f>
        <v>962.4</v>
      </c>
      <c r="M3626" s="1">
        <v>1174.1300000000001</v>
      </c>
      <c r="N3626" s="1">
        <v>962.4</v>
      </c>
      <c r="O3626" s="1">
        <v>998.01</v>
      </c>
      <c r="P3626" s="1">
        <v>818.04</v>
      </c>
      <c r="Q3626">
        <v>0.23</v>
      </c>
      <c r="R3626">
        <v>4.8799999999999999E-4</v>
      </c>
    </row>
    <row r="3627" spans="1:18" ht="13.8" outlineLevel="2" x14ac:dyDescent="0.25">
      <c r="A3627">
        <v>60473</v>
      </c>
      <c r="C3627" t="s">
        <v>4719</v>
      </c>
      <c r="D3627" s="14" t="s">
        <v>4720</v>
      </c>
      <c r="E3627" s="12" t="s">
        <v>28</v>
      </c>
      <c r="F3627" s="13" t="s">
        <v>29</v>
      </c>
      <c r="G3627">
        <v>1</v>
      </c>
      <c r="H3627" t="s">
        <v>30</v>
      </c>
      <c r="I3627">
        <v>1</v>
      </c>
      <c r="J3627" s="15"/>
      <c r="K3627" s="16">
        <f>1209.06 - (1209.06 * $E$1)</f>
        <v>1209.06</v>
      </c>
      <c r="L3627" s="16">
        <f>991.03 - (991.03 * $E$1)</f>
        <v>991.03</v>
      </c>
      <c r="M3627" s="1">
        <v>1209.06</v>
      </c>
      <c r="N3627" s="1">
        <v>991.03</v>
      </c>
      <c r="O3627" s="1">
        <v>1027.7</v>
      </c>
      <c r="P3627" s="1">
        <v>842.38</v>
      </c>
      <c r="Q3627">
        <v>0.23</v>
      </c>
      <c r="R3627">
        <v>5.2899999999999996E-4</v>
      </c>
    </row>
    <row r="3628" spans="1:18" ht="13.8" outlineLevel="2" x14ac:dyDescent="0.25">
      <c r="A3628">
        <v>87298</v>
      </c>
      <c r="C3628" t="s">
        <v>4721</v>
      </c>
      <c r="D3628" s="14" t="s">
        <v>4722</v>
      </c>
      <c r="E3628" s="12" t="s">
        <v>28</v>
      </c>
      <c r="F3628" s="17" t="s">
        <v>549</v>
      </c>
      <c r="G3628">
        <v>1</v>
      </c>
      <c r="H3628" t="s">
        <v>30</v>
      </c>
      <c r="I3628">
        <v>1</v>
      </c>
      <c r="J3628" s="15"/>
      <c r="K3628" s="16">
        <f>2004.37 - (2004.37 * $E$1)</f>
        <v>2004.37</v>
      </c>
      <c r="L3628" s="16">
        <f>1642.93 - (1642.93 * $E$1)</f>
        <v>1642.93</v>
      </c>
      <c r="M3628" s="1">
        <v>2004.37</v>
      </c>
      <c r="N3628" s="1">
        <v>1642.93</v>
      </c>
      <c r="O3628" s="1">
        <v>1703.72</v>
      </c>
      <c r="P3628" s="1">
        <v>1396.49</v>
      </c>
      <c r="Q3628">
        <v>0.24</v>
      </c>
      <c r="R3628">
        <v>6.1600000000000001E-4</v>
      </c>
    </row>
    <row r="3629" spans="1:18" ht="13.8" outlineLevel="2" x14ac:dyDescent="0.25">
      <c r="A3629">
        <v>60475</v>
      </c>
      <c r="C3629" t="s">
        <v>4723</v>
      </c>
      <c r="D3629" s="14" t="s">
        <v>4724</v>
      </c>
      <c r="E3629" s="12" t="s">
        <v>28</v>
      </c>
      <c r="F3629" s="13" t="s">
        <v>29</v>
      </c>
      <c r="G3629">
        <v>1</v>
      </c>
      <c r="H3629" t="s">
        <v>30</v>
      </c>
      <c r="I3629">
        <v>1</v>
      </c>
      <c r="J3629" s="15"/>
      <c r="K3629" s="16">
        <f>1086.63 - (1086.63 * $E$1)</f>
        <v>1086.6300000000001</v>
      </c>
      <c r="L3629" s="16">
        <f>890.68 - (890.68 * $E$1)</f>
        <v>890.68</v>
      </c>
      <c r="M3629" s="1">
        <v>1086.6300000000001</v>
      </c>
      <c r="N3629" s="1">
        <v>890.68</v>
      </c>
      <c r="O3629" s="1">
        <v>923.64</v>
      </c>
      <c r="P3629" s="1">
        <v>757.08</v>
      </c>
      <c r="Q3629">
        <v>0.15</v>
      </c>
      <c r="R3629">
        <v>3.0699999999999998E-4</v>
      </c>
    </row>
    <row r="3630" spans="1:18" ht="13.8" outlineLevel="2" x14ac:dyDescent="0.25">
      <c r="A3630">
        <v>60471</v>
      </c>
      <c r="C3630" t="s">
        <v>4725</v>
      </c>
      <c r="D3630" s="14" t="s">
        <v>4726</v>
      </c>
      <c r="E3630" s="12" t="s">
        <v>28</v>
      </c>
      <c r="F3630" s="13" t="s">
        <v>29</v>
      </c>
      <c r="G3630">
        <v>1</v>
      </c>
      <c r="H3630" t="s">
        <v>30</v>
      </c>
      <c r="I3630">
        <v>1</v>
      </c>
      <c r="J3630" s="15"/>
      <c r="K3630" s="16">
        <f>1129.07 - (1129.07 * $E$1)</f>
        <v>1129.07</v>
      </c>
      <c r="L3630" s="16">
        <f>925.47 - (925.47 * $E$1)</f>
        <v>925.47</v>
      </c>
      <c r="M3630" s="1">
        <v>1129.07</v>
      </c>
      <c r="N3630" s="1">
        <v>925.47</v>
      </c>
      <c r="O3630" s="1">
        <v>959.71</v>
      </c>
      <c r="P3630" s="1">
        <v>786.65</v>
      </c>
      <c r="Q3630">
        <v>0.2</v>
      </c>
      <c r="R3630">
        <v>5.2099999999999998E-4</v>
      </c>
    </row>
    <row r="3631" spans="1:18" ht="13.8" outlineLevel="2" x14ac:dyDescent="0.25">
      <c r="A3631">
        <v>57902</v>
      </c>
      <c r="C3631" t="s">
        <v>4727</v>
      </c>
      <c r="D3631" s="14" t="s">
        <v>4728</v>
      </c>
      <c r="E3631" s="12" t="s">
        <v>28</v>
      </c>
      <c r="F3631" s="13" t="s">
        <v>29</v>
      </c>
      <c r="G3631">
        <v>1</v>
      </c>
      <c r="H3631" t="s">
        <v>30</v>
      </c>
      <c r="I3631">
        <v>1</v>
      </c>
      <c r="J3631" s="15"/>
      <c r="K3631" s="16">
        <f>1227.71 - (1227.71 * $E$1)</f>
        <v>1227.71</v>
      </c>
      <c r="L3631" s="16">
        <f>1006.32 - (1006.32 * $E$1)</f>
        <v>1006.32</v>
      </c>
      <c r="M3631" s="1">
        <v>1227.71</v>
      </c>
      <c r="N3631" s="1">
        <v>1006.32</v>
      </c>
      <c r="O3631" s="1">
        <v>1043.55</v>
      </c>
      <c r="P3631" s="1">
        <v>855.37</v>
      </c>
      <c r="Q3631">
        <v>0.3</v>
      </c>
      <c r="R3631">
        <v>6.2200000000000005E-4</v>
      </c>
    </row>
    <row r="3632" spans="1:18" ht="13.8" outlineLevel="2" x14ac:dyDescent="0.25">
      <c r="A3632">
        <v>102701</v>
      </c>
      <c r="C3632" t="s">
        <v>4729</v>
      </c>
      <c r="D3632" s="14" t="s">
        <v>4730</v>
      </c>
      <c r="E3632" s="12" t="s">
        <v>28</v>
      </c>
      <c r="F3632" s="17" t="s">
        <v>549</v>
      </c>
      <c r="G3632">
        <v>1</v>
      </c>
      <c r="H3632" t="s">
        <v>30</v>
      </c>
      <c r="I3632">
        <v>1</v>
      </c>
      <c r="J3632" s="15"/>
      <c r="K3632" s="16">
        <f>1756.74 - (1756.74 * $E$1)</f>
        <v>1756.74</v>
      </c>
      <c r="L3632" s="16">
        <f>1439.95 - (1439.95 * $E$1)</f>
        <v>1439.95</v>
      </c>
      <c r="M3632" s="1">
        <v>1756.74</v>
      </c>
      <c r="N3632" s="1">
        <v>1439.95</v>
      </c>
      <c r="O3632" s="1">
        <v>1493.23</v>
      </c>
      <c r="P3632" s="1">
        <v>1223.96</v>
      </c>
      <c r="Q3632">
        <v>0.36</v>
      </c>
      <c r="R3632">
        <v>6.4899999999999995E-4</v>
      </c>
    </row>
    <row r="3633" spans="1:18" ht="13.8" outlineLevel="2" x14ac:dyDescent="0.25">
      <c r="A3633">
        <v>60474</v>
      </c>
      <c r="C3633" t="s">
        <v>4731</v>
      </c>
      <c r="D3633" s="14" t="s">
        <v>4732</v>
      </c>
      <c r="E3633" s="12" t="s">
        <v>28</v>
      </c>
      <c r="F3633" s="13" t="s">
        <v>29</v>
      </c>
      <c r="G3633">
        <v>1</v>
      </c>
      <c r="H3633" t="s">
        <v>30</v>
      </c>
      <c r="I3633">
        <v>1</v>
      </c>
      <c r="J3633" s="15"/>
      <c r="K3633" s="16">
        <f>1253.51 - (1253.51 * $E$1)</f>
        <v>1253.51</v>
      </c>
      <c r="L3633" s="16">
        <f>1027.47 - (1027.47 * $E$1)</f>
        <v>1027.47</v>
      </c>
      <c r="M3633" s="1">
        <v>1253.51</v>
      </c>
      <c r="N3633" s="1">
        <v>1027.47</v>
      </c>
      <c r="O3633" s="1">
        <v>1065.49</v>
      </c>
      <c r="P3633" s="1">
        <v>873.35</v>
      </c>
      <c r="Q3633">
        <v>0.2</v>
      </c>
      <c r="R3633">
        <v>5.3899999999999998E-4</v>
      </c>
    </row>
    <row r="3634" spans="1:18" ht="13.8" outlineLevel="2" x14ac:dyDescent="0.25">
      <c r="A3634">
        <v>61436</v>
      </c>
      <c r="C3634" t="s">
        <v>4733</v>
      </c>
      <c r="D3634" s="14" t="s">
        <v>4734</v>
      </c>
      <c r="E3634" s="12" t="s">
        <v>28</v>
      </c>
      <c r="F3634" s="13" t="s">
        <v>29</v>
      </c>
      <c r="G3634">
        <v>1</v>
      </c>
      <c r="H3634" t="s">
        <v>30</v>
      </c>
      <c r="I3634">
        <v>1</v>
      </c>
      <c r="J3634" s="15"/>
      <c r="K3634" s="16">
        <f>1041.32 - (1041.32 * $E$1)</f>
        <v>1041.32</v>
      </c>
      <c r="L3634" s="16">
        <f>853.54 - (853.54 * $E$1)</f>
        <v>853.54</v>
      </c>
      <c r="M3634" s="1">
        <v>1041.32</v>
      </c>
      <c r="N3634" s="1">
        <v>853.54</v>
      </c>
      <c r="O3634" s="1">
        <v>885.12</v>
      </c>
      <c r="P3634" s="1">
        <v>725.51</v>
      </c>
      <c r="Q3634">
        <v>0.48</v>
      </c>
      <c r="R3634">
        <v>8.6799999999999996E-4</v>
      </c>
    </row>
    <row r="3635" spans="1:18" ht="13.8" outlineLevel="2" x14ac:dyDescent="0.25">
      <c r="A3635">
        <v>70353</v>
      </c>
      <c r="C3635" t="s">
        <v>4735</v>
      </c>
      <c r="D3635" s="14" t="s">
        <v>4736</v>
      </c>
      <c r="E3635" s="12" t="s">
        <v>28</v>
      </c>
      <c r="F3635" s="13" t="s">
        <v>29</v>
      </c>
      <c r="G3635">
        <v>1</v>
      </c>
      <c r="H3635" t="s">
        <v>30</v>
      </c>
      <c r="I3635">
        <v>1</v>
      </c>
      <c r="J3635" s="15"/>
      <c r="K3635" s="16">
        <f>819.44 - (819.44 * $E$1)</f>
        <v>819.44</v>
      </c>
      <c r="L3635" s="16">
        <f>671.67 - (671.67 * $E$1)</f>
        <v>671.67</v>
      </c>
      <c r="M3635" s="1">
        <v>819.44</v>
      </c>
      <c r="N3635" s="1">
        <v>671.67</v>
      </c>
      <c r="O3635" s="1">
        <v>696.52</v>
      </c>
      <c r="P3635" s="1">
        <v>570.91999999999996</v>
      </c>
      <c r="Q3635">
        <v>0.28000000000000003</v>
      </c>
      <c r="R3635">
        <v>4.73E-4</v>
      </c>
    </row>
    <row r="3636" spans="1:18" ht="13.8" outlineLevel="2" x14ac:dyDescent="0.25">
      <c r="A3636">
        <v>70354</v>
      </c>
      <c r="C3636" t="s">
        <v>4737</v>
      </c>
      <c r="D3636" s="14" t="s">
        <v>4738</v>
      </c>
      <c r="E3636" s="12" t="s">
        <v>28</v>
      </c>
      <c r="F3636" s="13" t="s">
        <v>29</v>
      </c>
      <c r="G3636">
        <v>1</v>
      </c>
      <c r="H3636" t="s">
        <v>30</v>
      </c>
      <c r="I3636">
        <v>1</v>
      </c>
      <c r="J3636" s="15"/>
      <c r="K3636" s="16">
        <f>868.13 - (868.13 * $E$1)</f>
        <v>868.13</v>
      </c>
      <c r="L3636" s="16">
        <f>711.58 - (711.58 * $E$1)</f>
        <v>711.58</v>
      </c>
      <c r="M3636" s="1">
        <v>868.13</v>
      </c>
      <c r="N3636" s="1">
        <v>711.58</v>
      </c>
      <c r="O3636" s="1">
        <v>737.91</v>
      </c>
      <c r="P3636" s="1">
        <v>604.84</v>
      </c>
      <c r="Q3636">
        <v>0.33</v>
      </c>
      <c r="R3636">
        <v>4.8299999999999998E-4</v>
      </c>
    </row>
    <row r="3637" spans="1:18" ht="13.8" outlineLevel="2" x14ac:dyDescent="0.25">
      <c r="A3637">
        <v>87100</v>
      </c>
      <c r="C3637" t="s">
        <v>4739</v>
      </c>
      <c r="D3637" s="14" t="s">
        <v>4740</v>
      </c>
      <c r="E3637" s="12" t="s">
        <v>28</v>
      </c>
      <c r="F3637" s="13" t="s">
        <v>29</v>
      </c>
      <c r="G3637">
        <v>1</v>
      </c>
      <c r="H3637" t="s">
        <v>30</v>
      </c>
      <c r="I3637">
        <v>1</v>
      </c>
      <c r="J3637" s="15"/>
      <c r="K3637" s="16">
        <f>921.15 - (921.15 * $E$1)</f>
        <v>921.15</v>
      </c>
      <c r="L3637" s="16">
        <f>755.04 - (755.04 * $E$1)</f>
        <v>755.04</v>
      </c>
      <c r="M3637" s="1">
        <v>921.15</v>
      </c>
      <c r="N3637" s="1">
        <v>755.04</v>
      </c>
      <c r="O3637" s="1">
        <v>782.98</v>
      </c>
      <c r="P3637" s="1">
        <v>641.78</v>
      </c>
      <c r="Q3637">
        <v>0.39</v>
      </c>
      <c r="R3637">
        <v>5.7600000000000001E-4</v>
      </c>
    </row>
    <row r="3638" spans="1:18" ht="13.8" outlineLevel="2" x14ac:dyDescent="0.25">
      <c r="A3638">
        <v>70355</v>
      </c>
      <c r="C3638" t="s">
        <v>4741</v>
      </c>
      <c r="D3638" s="14" t="s">
        <v>4742</v>
      </c>
      <c r="E3638" s="12" t="s">
        <v>28</v>
      </c>
      <c r="F3638" s="13" t="s">
        <v>29</v>
      </c>
      <c r="G3638">
        <v>1</v>
      </c>
      <c r="H3638" t="s">
        <v>30</v>
      </c>
      <c r="I3638">
        <v>1</v>
      </c>
      <c r="J3638" s="15"/>
      <c r="K3638" s="16">
        <f>793.55 - (793.55 * $E$1)</f>
        <v>793.55</v>
      </c>
      <c r="L3638" s="16">
        <f>650.45 - (650.45 * $E$1)</f>
        <v>650.45000000000005</v>
      </c>
      <c r="M3638" s="1">
        <v>793.55</v>
      </c>
      <c r="N3638" s="1">
        <v>650.45000000000005</v>
      </c>
      <c r="O3638" s="1">
        <v>674.52</v>
      </c>
      <c r="P3638" s="1">
        <v>552.88</v>
      </c>
      <c r="Q3638">
        <v>0.21</v>
      </c>
      <c r="R3638">
        <v>4.3100000000000001E-4</v>
      </c>
    </row>
    <row r="3639" spans="1:18" ht="13.8" outlineLevel="2" x14ac:dyDescent="0.25">
      <c r="A3639">
        <v>70357</v>
      </c>
      <c r="C3639" t="s">
        <v>4743</v>
      </c>
      <c r="D3639" s="14" t="s">
        <v>4744</v>
      </c>
      <c r="E3639" s="12" t="s">
        <v>28</v>
      </c>
      <c r="F3639" s="13" t="s">
        <v>29</v>
      </c>
      <c r="G3639">
        <v>1</v>
      </c>
      <c r="H3639" t="s">
        <v>30</v>
      </c>
      <c r="I3639">
        <v>1</v>
      </c>
      <c r="J3639" s="15"/>
      <c r="K3639" s="16">
        <f>796.38 - (796.38 * $E$1)</f>
        <v>796.38</v>
      </c>
      <c r="L3639" s="16">
        <f>652.77 - (652.77 * $E$1)</f>
        <v>652.77</v>
      </c>
      <c r="M3639" s="1">
        <v>796.38</v>
      </c>
      <c r="N3639" s="1">
        <v>652.77</v>
      </c>
      <c r="O3639" s="1">
        <v>676.92</v>
      </c>
      <c r="P3639" s="1">
        <v>554.85</v>
      </c>
      <c r="Q3639">
        <v>0.19</v>
      </c>
      <c r="R3639">
        <v>4.4099999999999999E-4</v>
      </c>
    </row>
    <row r="3640" spans="1:18" ht="13.8" outlineLevel="2" x14ac:dyDescent="0.25">
      <c r="A3640">
        <v>70356</v>
      </c>
      <c r="C3640" t="s">
        <v>4745</v>
      </c>
      <c r="D3640" s="14" t="s">
        <v>4746</v>
      </c>
      <c r="E3640" s="12" t="s">
        <v>28</v>
      </c>
      <c r="F3640" s="13" t="s">
        <v>29</v>
      </c>
      <c r="G3640">
        <v>1</v>
      </c>
      <c r="H3640" t="s">
        <v>30</v>
      </c>
      <c r="I3640">
        <v>1</v>
      </c>
      <c r="J3640" s="15"/>
      <c r="K3640" s="16">
        <f>863.87 - (863.87 * $E$1)</f>
        <v>863.87</v>
      </c>
      <c r="L3640" s="16">
        <f>708.09 - (708.09 * $E$1)</f>
        <v>708.09</v>
      </c>
      <c r="M3640" s="1">
        <v>863.87</v>
      </c>
      <c r="N3640" s="1">
        <v>708.09</v>
      </c>
      <c r="O3640" s="1">
        <v>734.29</v>
      </c>
      <c r="P3640" s="1">
        <v>601.88</v>
      </c>
      <c r="Q3640">
        <v>0.25</v>
      </c>
      <c r="R3640">
        <v>4.8299999999999998E-4</v>
      </c>
    </row>
    <row r="3641" spans="1:18" ht="13.8" outlineLevel="2" x14ac:dyDescent="0.25">
      <c r="A3641">
        <v>87101</v>
      </c>
      <c r="C3641" t="s">
        <v>4747</v>
      </c>
      <c r="D3641" s="14" t="s">
        <v>4748</v>
      </c>
      <c r="E3641" s="12" t="s">
        <v>28</v>
      </c>
      <c r="F3641" s="13" t="s">
        <v>29</v>
      </c>
      <c r="G3641">
        <v>1</v>
      </c>
      <c r="H3641" t="s">
        <v>30</v>
      </c>
      <c r="I3641">
        <v>1</v>
      </c>
      <c r="J3641" s="15"/>
      <c r="K3641" s="16">
        <f>836.01 - (836.01 * $E$1)</f>
        <v>836.01</v>
      </c>
      <c r="L3641" s="16">
        <f>685.25 - (685.25 * $E$1)</f>
        <v>685.25</v>
      </c>
      <c r="M3641" s="1">
        <v>836.01</v>
      </c>
      <c r="N3641" s="1">
        <v>685.25</v>
      </c>
      <c r="O3641" s="1">
        <v>710.6</v>
      </c>
      <c r="P3641" s="1">
        <v>582.46</v>
      </c>
      <c r="Q3641">
        <v>0.24</v>
      </c>
      <c r="R3641">
        <v>5.04E-4</v>
      </c>
    </row>
    <row r="3642" spans="1:18" ht="13.8" outlineLevel="2" x14ac:dyDescent="0.25">
      <c r="A3642">
        <v>70358</v>
      </c>
      <c r="C3642" t="s">
        <v>4749</v>
      </c>
      <c r="D3642" s="14" t="s">
        <v>4750</v>
      </c>
      <c r="E3642" s="12" t="s">
        <v>28</v>
      </c>
      <c r="F3642" s="13" t="s">
        <v>29</v>
      </c>
      <c r="G3642">
        <v>1</v>
      </c>
      <c r="H3642" t="s">
        <v>30</v>
      </c>
      <c r="I3642">
        <v>1</v>
      </c>
      <c r="J3642" s="15"/>
      <c r="K3642" s="16">
        <f>816.61 - (816.61 * $E$1)</f>
        <v>816.61</v>
      </c>
      <c r="L3642" s="16">
        <f>669.35 - (669.35 * $E$1)</f>
        <v>669.35</v>
      </c>
      <c r="M3642" s="1">
        <v>816.61</v>
      </c>
      <c r="N3642" s="1">
        <v>669.35</v>
      </c>
      <c r="O3642" s="1">
        <v>694.12</v>
      </c>
      <c r="P3642" s="1">
        <v>568.95000000000005</v>
      </c>
      <c r="Q3642">
        <v>0.25</v>
      </c>
      <c r="R3642">
        <v>4.9399999999999997E-4</v>
      </c>
    </row>
    <row r="3643" spans="1:18" ht="13.8" outlineLevel="2" x14ac:dyDescent="0.25">
      <c r="A3643">
        <v>70359</v>
      </c>
      <c r="C3643" t="s">
        <v>4751</v>
      </c>
      <c r="D3643" s="14" t="s">
        <v>4752</v>
      </c>
      <c r="E3643" s="12" t="s">
        <v>28</v>
      </c>
      <c r="F3643" s="13" t="s">
        <v>29</v>
      </c>
      <c r="G3643">
        <v>1</v>
      </c>
      <c r="H3643" t="s">
        <v>30</v>
      </c>
      <c r="I3643">
        <v>1</v>
      </c>
      <c r="J3643" s="15"/>
      <c r="K3643" s="16">
        <f>850.33 - (850.33 * $E$1)</f>
        <v>850.33</v>
      </c>
      <c r="L3643" s="16">
        <f>696.99 - (696.99 * $E$1)</f>
        <v>696.99</v>
      </c>
      <c r="M3643" s="1">
        <v>850.33</v>
      </c>
      <c r="N3643" s="1">
        <v>696.99</v>
      </c>
      <c r="O3643" s="1">
        <v>722.78</v>
      </c>
      <c r="P3643" s="1">
        <v>592.44000000000005</v>
      </c>
      <c r="Q3643">
        <v>0.28999999999999998</v>
      </c>
      <c r="R3643">
        <v>5.1500000000000005E-4</v>
      </c>
    </row>
    <row r="3644" spans="1:18" ht="16.5" customHeight="1" outlineLevel="1" x14ac:dyDescent="0.35">
      <c r="A3644" s="9"/>
      <c r="B3644" s="10" t="s">
        <v>4753</v>
      </c>
      <c r="C3644" s="10"/>
      <c r="D3644" s="10"/>
      <c r="E3644" s="10"/>
      <c r="F3644" s="10"/>
      <c r="G3644" s="10"/>
      <c r="H3644" s="10"/>
      <c r="I3644" s="10"/>
      <c r="J3644" s="10"/>
      <c r="K3644" s="10"/>
      <c r="L3644" s="10"/>
      <c r="M3644" s="10"/>
      <c r="N3644" s="10"/>
      <c r="O3644" s="10"/>
      <c r="P3644" s="10"/>
      <c r="Q3644" s="10"/>
      <c r="R3644" s="11"/>
    </row>
    <row r="3645" spans="1:18" ht="13.8" outlineLevel="2" x14ac:dyDescent="0.25">
      <c r="A3645">
        <v>102998</v>
      </c>
      <c r="B3645" t="s">
        <v>4754</v>
      </c>
      <c r="C3645" t="s">
        <v>4755</v>
      </c>
      <c r="D3645" s="14" t="s">
        <v>4756</v>
      </c>
      <c r="E3645" s="12" t="s">
        <v>28</v>
      </c>
      <c r="F3645" s="13" t="s">
        <v>29</v>
      </c>
      <c r="G3645">
        <v>1</v>
      </c>
      <c r="H3645" t="s">
        <v>30</v>
      </c>
      <c r="I3645">
        <v>1</v>
      </c>
      <c r="J3645" s="15"/>
      <c r="K3645" s="16">
        <f>170.52 - (170.52 * $E$1)</f>
        <v>170.52</v>
      </c>
      <c r="L3645" s="16">
        <f>139.77 - (139.77 * $E$1)</f>
        <v>139.77000000000001</v>
      </c>
      <c r="M3645" s="1">
        <v>170.52</v>
      </c>
      <c r="N3645" s="1">
        <v>139.77000000000001</v>
      </c>
      <c r="O3645" s="1">
        <v>144.94</v>
      </c>
      <c r="P3645" s="1">
        <v>118.8</v>
      </c>
      <c r="Q3645">
        <v>3.7999999999999999E-2</v>
      </c>
      <c r="R3645">
        <v>1.85E-4</v>
      </c>
    </row>
    <row r="3646" spans="1:18" ht="13.8" outlineLevel="2" x14ac:dyDescent="0.25">
      <c r="A3646">
        <v>78608</v>
      </c>
      <c r="B3646" t="s">
        <v>4754</v>
      </c>
      <c r="C3646" t="s">
        <v>4757</v>
      </c>
      <c r="D3646" s="14" t="s">
        <v>4756</v>
      </c>
      <c r="E3646" s="12" t="s">
        <v>28</v>
      </c>
      <c r="F3646" s="13" t="s">
        <v>29</v>
      </c>
      <c r="G3646">
        <v>1</v>
      </c>
      <c r="H3646" t="s">
        <v>30</v>
      </c>
      <c r="I3646">
        <v>1</v>
      </c>
      <c r="J3646" s="15"/>
      <c r="K3646" s="16">
        <f>176.41 - (176.41 * $E$1)</f>
        <v>176.41</v>
      </c>
      <c r="L3646" s="16">
        <f>144.6 - (144.6 * $E$1)</f>
        <v>144.6</v>
      </c>
      <c r="M3646" s="1">
        <v>176.41</v>
      </c>
      <c r="N3646" s="1">
        <v>144.6</v>
      </c>
      <c r="O3646" s="1">
        <v>149.94999999999999</v>
      </c>
      <c r="P3646" s="1">
        <v>122.91</v>
      </c>
      <c r="Q3646">
        <v>0.04</v>
      </c>
      <c r="R3646">
        <v>2.1000000000000001E-4</v>
      </c>
    </row>
    <row r="3647" spans="1:18" ht="13.8" outlineLevel="2" x14ac:dyDescent="0.25">
      <c r="A3647">
        <v>78609</v>
      </c>
      <c r="B3647" t="s">
        <v>4754</v>
      </c>
      <c r="C3647" t="s">
        <v>4758</v>
      </c>
      <c r="D3647" s="14" t="s">
        <v>4756</v>
      </c>
      <c r="E3647" s="12" t="s">
        <v>28</v>
      </c>
      <c r="F3647" s="13" t="s">
        <v>29</v>
      </c>
      <c r="G3647">
        <v>1</v>
      </c>
      <c r="H3647" t="s">
        <v>30</v>
      </c>
      <c r="I3647">
        <v>1</v>
      </c>
      <c r="J3647" s="15"/>
      <c r="K3647" s="16">
        <f>193.03 - (193.03 * $E$1)</f>
        <v>193.03</v>
      </c>
      <c r="L3647" s="16">
        <f>158.22 - (158.22 * $E$1)</f>
        <v>158.22</v>
      </c>
      <c r="M3647" s="1">
        <v>193.03</v>
      </c>
      <c r="N3647" s="1">
        <v>158.22</v>
      </c>
      <c r="O3647" s="1">
        <v>164.07</v>
      </c>
      <c r="P3647" s="1">
        <v>134.49</v>
      </c>
      <c r="Q3647">
        <v>0.04</v>
      </c>
      <c r="R3647">
        <v>1.84E-4</v>
      </c>
    </row>
    <row r="3648" spans="1:18" ht="13.8" outlineLevel="2" x14ac:dyDescent="0.25">
      <c r="A3648">
        <v>78610</v>
      </c>
      <c r="B3648" t="s">
        <v>4754</v>
      </c>
      <c r="C3648" t="s">
        <v>4759</v>
      </c>
      <c r="D3648" s="14" t="s">
        <v>4756</v>
      </c>
      <c r="E3648" s="12" t="s">
        <v>28</v>
      </c>
      <c r="F3648" s="13" t="s">
        <v>29</v>
      </c>
      <c r="G3648">
        <v>1</v>
      </c>
      <c r="H3648" t="s">
        <v>30</v>
      </c>
      <c r="I3648">
        <v>1</v>
      </c>
      <c r="J3648" s="15"/>
      <c r="K3648" s="16">
        <f>222.26 - (222.26 * $E$1)</f>
        <v>222.26</v>
      </c>
      <c r="L3648" s="16">
        <f>182.18 - (182.18 * $E$1)</f>
        <v>182.18</v>
      </c>
      <c r="M3648" s="1">
        <v>222.26</v>
      </c>
      <c r="N3648" s="1">
        <v>182.18</v>
      </c>
      <c r="O3648" s="1">
        <v>188.92</v>
      </c>
      <c r="P3648" s="1">
        <v>154.85</v>
      </c>
      <c r="Q3648">
        <v>0.08</v>
      </c>
      <c r="R3648">
        <v>3.7800000000000003E-4</v>
      </c>
    </row>
    <row r="3649" spans="1:18" ht="13.8" outlineLevel="2" x14ac:dyDescent="0.25">
      <c r="A3649">
        <v>102999</v>
      </c>
      <c r="B3649" t="s">
        <v>4754</v>
      </c>
      <c r="C3649" t="s">
        <v>4760</v>
      </c>
      <c r="D3649" s="14" t="s">
        <v>4756</v>
      </c>
      <c r="E3649" s="12" t="s">
        <v>28</v>
      </c>
      <c r="F3649" s="13" t="s">
        <v>29</v>
      </c>
      <c r="G3649">
        <v>1</v>
      </c>
      <c r="H3649" t="s">
        <v>30</v>
      </c>
      <c r="I3649">
        <v>1</v>
      </c>
      <c r="J3649" s="15"/>
      <c r="K3649" s="16">
        <f>274.21 - (274.21 * $E$1)</f>
        <v>274.20999999999998</v>
      </c>
      <c r="L3649" s="16">
        <f>224.76 - (224.76 * $E$1)</f>
        <v>224.76</v>
      </c>
      <c r="M3649" s="1">
        <v>274.20999999999998</v>
      </c>
      <c r="N3649" s="1">
        <v>224.76</v>
      </c>
      <c r="O3649" s="1">
        <v>233.08</v>
      </c>
      <c r="P3649" s="1">
        <v>191.05</v>
      </c>
      <c r="Q3649">
        <v>0.12</v>
      </c>
      <c r="R3649">
        <v>3.9199999999999999E-4</v>
      </c>
    </row>
    <row r="3650" spans="1:18" ht="13.8" outlineLevel="2" x14ac:dyDescent="0.25">
      <c r="A3650">
        <v>103000</v>
      </c>
      <c r="B3650" t="s">
        <v>4754</v>
      </c>
      <c r="C3650" t="s">
        <v>4761</v>
      </c>
      <c r="D3650" s="14" t="s">
        <v>4756</v>
      </c>
      <c r="E3650" s="12" t="s">
        <v>28</v>
      </c>
      <c r="F3650" s="13" t="s">
        <v>29</v>
      </c>
      <c r="G3650">
        <v>1</v>
      </c>
      <c r="H3650" t="s">
        <v>30</v>
      </c>
      <c r="I3650">
        <v>1</v>
      </c>
      <c r="J3650" s="15"/>
      <c r="K3650" s="16">
        <f>140.19 - (140.19 * $E$1)</f>
        <v>140.19</v>
      </c>
      <c r="L3650" s="16">
        <f>114.91 - (114.91 * $E$1)</f>
        <v>114.91</v>
      </c>
      <c r="M3650" s="1">
        <v>140.19</v>
      </c>
      <c r="N3650" s="1">
        <v>114.91</v>
      </c>
      <c r="O3650" s="1">
        <v>119.16</v>
      </c>
      <c r="P3650" s="1">
        <v>97.67</v>
      </c>
      <c r="Q3650">
        <v>3.9E-2</v>
      </c>
      <c r="R3650">
        <v>1.85E-4</v>
      </c>
    </row>
    <row r="3651" spans="1:18" ht="13.8" outlineLevel="2" x14ac:dyDescent="0.25">
      <c r="A3651">
        <v>78611</v>
      </c>
      <c r="B3651" t="s">
        <v>4754</v>
      </c>
      <c r="C3651" t="s">
        <v>4762</v>
      </c>
      <c r="D3651" s="14" t="s">
        <v>4756</v>
      </c>
      <c r="E3651" s="12" t="s">
        <v>28</v>
      </c>
      <c r="F3651" s="13" t="s">
        <v>29</v>
      </c>
      <c r="G3651">
        <v>1</v>
      </c>
      <c r="H3651" t="s">
        <v>30</v>
      </c>
      <c r="I3651">
        <v>1</v>
      </c>
      <c r="J3651" s="15"/>
      <c r="K3651" s="16">
        <f>209.55 - (209.55 * $E$1)</f>
        <v>209.55</v>
      </c>
      <c r="L3651" s="16">
        <f>171.76 - (171.76 * $E$1)</f>
        <v>171.76</v>
      </c>
      <c r="M3651" s="1">
        <v>209.55</v>
      </c>
      <c r="N3651" s="1">
        <v>171.76</v>
      </c>
      <c r="O3651" s="1">
        <v>178.12</v>
      </c>
      <c r="P3651" s="1">
        <v>146</v>
      </c>
      <c r="Q3651">
        <v>0.06</v>
      </c>
      <c r="R3651">
        <v>2.52E-4</v>
      </c>
    </row>
    <row r="3652" spans="1:18" ht="13.8" outlineLevel="2" x14ac:dyDescent="0.25">
      <c r="A3652">
        <v>78612</v>
      </c>
      <c r="B3652" t="s">
        <v>4754</v>
      </c>
      <c r="C3652" t="s">
        <v>4763</v>
      </c>
      <c r="D3652" s="14" t="s">
        <v>4756</v>
      </c>
      <c r="E3652" s="12" t="s">
        <v>28</v>
      </c>
      <c r="F3652" s="13" t="s">
        <v>29</v>
      </c>
      <c r="G3652">
        <v>1</v>
      </c>
      <c r="H3652" t="s">
        <v>30</v>
      </c>
      <c r="I3652">
        <v>1</v>
      </c>
      <c r="J3652" s="15"/>
      <c r="K3652" s="16">
        <f>266.7 - (266.7 * $E$1)</f>
        <v>266.7</v>
      </c>
      <c r="L3652" s="16">
        <f>218.61 - (218.61 * $E$1)</f>
        <v>218.61</v>
      </c>
      <c r="M3652" s="1">
        <v>266.7</v>
      </c>
      <c r="N3652" s="1">
        <v>218.61</v>
      </c>
      <c r="O3652" s="1">
        <v>226.7</v>
      </c>
      <c r="P3652" s="1">
        <v>185.82</v>
      </c>
      <c r="Q3652">
        <v>9.8000000000000004E-2</v>
      </c>
      <c r="R3652">
        <v>3.8400000000000001E-4</v>
      </c>
    </row>
    <row r="3653" spans="1:18" ht="13.8" outlineLevel="2" x14ac:dyDescent="0.25">
      <c r="A3653">
        <v>78613</v>
      </c>
      <c r="B3653" t="s">
        <v>4754</v>
      </c>
      <c r="C3653" t="s">
        <v>4764</v>
      </c>
      <c r="D3653" s="14" t="s">
        <v>4756</v>
      </c>
      <c r="E3653" s="12" t="s">
        <v>28</v>
      </c>
      <c r="F3653" s="13" t="s">
        <v>29</v>
      </c>
      <c r="G3653">
        <v>1</v>
      </c>
      <c r="H3653" t="s">
        <v>30</v>
      </c>
      <c r="I3653">
        <v>1</v>
      </c>
      <c r="J3653" s="15"/>
      <c r="K3653" s="16">
        <f>209.55 - (209.55 * $E$1)</f>
        <v>209.55</v>
      </c>
      <c r="L3653" s="16">
        <f>171.76 - (171.76 * $E$1)</f>
        <v>171.76</v>
      </c>
      <c r="M3653" s="1">
        <v>209.55</v>
      </c>
      <c r="N3653" s="1">
        <v>171.76</v>
      </c>
      <c r="O3653" s="1">
        <v>178.12</v>
      </c>
      <c r="P3653" s="1">
        <v>146</v>
      </c>
      <c r="Q3653">
        <v>0.06</v>
      </c>
      <c r="R3653">
        <v>2.52E-4</v>
      </c>
    </row>
    <row r="3654" spans="1:18" ht="13.8" outlineLevel="2" x14ac:dyDescent="0.25">
      <c r="A3654">
        <v>78614</v>
      </c>
      <c r="B3654" t="s">
        <v>4754</v>
      </c>
      <c r="C3654" t="s">
        <v>4765</v>
      </c>
      <c r="D3654" s="14" t="s">
        <v>4756</v>
      </c>
      <c r="E3654" s="12" t="s">
        <v>28</v>
      </c>
      <c r="F3654" s="13" t="s">
        <v>29</v>
      </c>
      <c r="G3654">
        <v>1</v>
      </c>
      <c r="H3654" t="s">
        <v>30</v>
      </c>
      <c r="I3654">
        <v>1</v>
      </c>
      <c r="J3654" s="15"/>
      <c r="K3654" s="16">
        <f>259.74 - (259.74 * $E$1)</f>
        <v>259.74</v>
      </c>
      <c r="L3654" s="16">
        <f>212.9 - (212.9 * $E$1)</f>
        <v>212.9</v>
      </c>
      <c r="M3654" s="1">
        <v>259.74</v>
      </c>
      <c r="N3654" s="1">
        <v>212.9</v>
      </c>
      <c r="O3654" s="1">
        <v>220.78</v>
      </c>
      <c r="P3654" s="1">
        <v>180.97</v>
      </c>
      <c r="Q3654">
        <v>0.09</v>
      </c>
      <c r="R3654">
        <v>3.68E-4</v>
      </c>
    </row>
    <row r="3655" spans="1:18" ht="13.8" outlineLevel="2" x14ac:dyDescent="0.25">
      <c r="A3655">
        <v>79776</v>
      </c>
      <c r="B3655" t="s">
        <v>4754</v>
      </c>
      <c r="C3655" t="s">
        <v>4766</v>
      </c>
      <c r="D3655" s="14" t="s">
        <v>4756</v>
      </c>
      <c r="E3655" s="12" t="s">
        <v>28</v>
      </c>
      <c r="F3655" s="13" t="s">
        <v>29</v>
      </c>
      <c r="G3655">
        <v>1</v>
      </c>
      <c r="H3655" t="s">
        <v>30</v>
      </c>
      <c r="I3655">
        <v>1</v>
      </c>
      <c r="J3655" s="15"/>
      <c r="K3655" s="16">
        <f>272.78 - (272.78 * $E$1)</f>
        <v>272.77999999999997</v>
      </c>
      <c r="L3655" s="16">
        <f>223.59 - (223.59 * $E$1)</f>
        <v>223.59</v>
      </c>
      <c r="M3655" s="1">
        <v>272.77999999999997</v>
      </c>
      <c r="N3655" s="1">
        <v>223.59</v>
      </c>
      <c r="O3655" s="1">
        <v>231.86</v>
      </c>
      <c r="P3655" s="1">
        <v>190.05</v>
      </c>
      <c r="Q3655">
        <v>7.0000000000000007E-2</v>
      </c>
      <c r="R3655">
        <v>2.6400000000000002E-4</v>
      </c>
    </row>
    <row r="3656" spans="1:18" ht="13.8" outlineLevel="2" x14ac:dyDescent="0.25">
      <c r="A3656">
        <v>79777</v>
      </c>
      <c r="B3656" t="s">
        <v>4754</v>
      </c>
      <c r="C3656" t="s">
        <v>4767</v>
      </c>
      <c r="D3656" s="14" t="s">
        <v>4756</v>
      </c>
      <c r="E3656" s="12" t="s">
        <v>28</v>
      </c>
      <c r="F3656" s="13" t="s">
        <v>29</v>
      </c>
      <c r="G3656">
        <v>1</v>
      </c>
      <c r="H3656" t="s">
        <v>30</v>
      </c>
      <c r="I3656">
        <v>1</v>
      </c>
      <c r="J3656" s="15"/>
      <c r="K3656" s="16">
        <f>318.69 - (318.69 * $E$1)</f>
        <v>318.69</v>
      </c>
      <c r="L3656" s="16">
        <f>261.22 - (261.22 * $E$1)</f>
        <v>261.22000000000003</v>
      </c>
      <c r="M3656" s="1">
        <v>318.69</v>
      </c>
      <c r="N3656" s="1">
        <v>261.22000000000003</v>
      </c>
      <c r="O3656" s="1">
        <v>270.89</v>
      </c>
      <c r="P3656" s="1">
        <v>222.04</v>
      </c>
      <c r="Q3656">
        <v>0.1</v>
      </c>
      <c r="R3656">
        <v>2.9999999999999997E-4</v>
      </c>
    </row>
    <row r="3657" spans="1:18" ht="13.8" outlineLevel="2" x14ac:dyDescent="0.25">
      <c r="A3657">
        <v>79778</v>
      </c>
      <c r="B3657" t="s">
        <v>4754</v>
      </c>
      <c r="C3657" t="s">
        <v>4768</v>
      </c>
      <c r="D3657" s="14" t="s">
        <v>4756</v>
      </c>
      <c r="E3657" s="12" t="s">
        <v>28</v>
      </c>
      <c r="F3657" s="13" t="s">
        <v>29</v>
      </c>
      <c r="G3657">
        <v>1</v>
      </c>
      <c r="H3657" t="s">
        <v>30</v>
      </c>
      <c r="I3657">
        <v>1</v>
      </c>
      <c r="J3657" s="15"/>
      <c r="K3657" s="16">
        <f>272.78 - (272.78 * $E$1)</f>
        <v>272.77999999999997</v>
      </c>
      <c r="L3657" s="16">
        <f>223.59 - (223.59 * $E$1)</f>
        <v>223.59</v>
      </c>
      <c r="M3657" s="1">
        <v>272.77999999999997</v>
      </c>
      <c r="N3657" s="1">
        <v>223.59</v>
      </c>
      <c r="O3657" s="1">
        <v>231.86</v>
      </c>
      <c r="P3657" s="1">
        <v>190.05</v>
      </c>
      <c r="Q3657">
        <v>7.0000000000000007E-2</v>
      </c>
      <c r="R3657">
        <v>2.6400000000000002E-4</v>
      </c>
    </row>
    <row r="3658" spans="1:18" ht="13.8" outlineLevel="2" x14ac:dyDescent="0.25">
      <c r="A3658">
        <v>79779</v>
      </c>
      <c r="B3658" t="s">
        <v>4754</v>
      </c>
      <c r="C3658" t="s">
        <v>4769</v>
      </c>
      <c r="D3658" s="14" t="s">
        <v>4756</v>
      </c>
      <c r="E3658" s="12" t="s">
        <v>28</v>
      </c>
      <c r="F3658" s="13" t="s">
        <v>29</v>
      </c>
      <c r="G3658">
        <v>1</v>
      </c>
      <c r="H3658" t="s">
        <v>30</v>
      </c>
      <c r="I3658">
        <v>1</v>
      </c>
      <c r="J3658" s="15"/>
      <c r="K3658" s="16">
        <f>318.69 - (318.69 * $E$1)</f>
        <v>318.69</v>
      </c>
      <c r="L3658" s="16">
        <f>261.22 - (261.22 * $E$1)</f>
        <v>261.22000000000003</v>
      </c>
      <c r="M3658" s="1">
        <v>318.69</v>
      </c>
      <c r="N3658" s="1">
        <v>261.22000000000003</v>
      </c>
      <c r="O3658" s="1">
        <v>270.89</v>
      </c>
      <c r="P3658" s="1">
        <v>222.04</v>
      </c>
      <c r="Q3658">
        <v>0.1</v>
      </c>
      <c r="R3658">
        <v>2.9999999999999997E-4</v>
      </c>
    </row>
    <row r="3659" spans="1:18" ht="13.8" outlineLevel="2" x14ac:dyDescent="0.25">
      <c r="A3659">
        <v>78617</v>
      </c>
      <c r="B3659" t="s">
        <v>4770</v>
      </c>
      <c r="C3659" t="s">
        <v>4771</v>
      </c>
      <c r="D3659" s="14" t="s">
        <v>4772</v>
      </c>
      <c r="E3659" s="12" t="s">
        <v>28</v>
      </c>
      <c r="F3659" s="13" t="s">
        <v>29</v>
      </c>
      <c r="G3659">
        <v>1</v>
      </c>
      <c r="H3659" t="s">
        <v>30</v>
      </c>
      <c r="I3659">
        <v>1</v>
      </c>
      <c r="J3659" s="15"/>
      <c r="K3659" s="16">
        <f>1493 - (1493 * $E$1)</f>
        <v>1493</v>
      </c>
      <c r="L3659" s="16">
        <f>1223.77 - (1223.77 * $E$1)</f>
        <v>1223.77</v>
      </c>
      <c r="M3659" s="1">
        <v>1493</v>
      </c>
      <c r="N3659" s="1">
        <v>1223.77</v>
      </c>
      <c r="O3659" s="1">
        <v>1269.05</v>
      </c>
      <c r="P3659" s="1">
        <v>1040.2</v>
      </c>
      <c r="Q3659">
        <v>0.41</v>
      </c>
      <c r="R3659">
        <v>1.5499999999999999E-3</v>
      </c>
    </row>
    <row r="3660" spans="1:18" ht="13.8" outlineLevel="2" x14ac:dyDescent="0.25">
      <c r="A3660">
        <v>87129</v>
      </c>
      <c r="B3660" t="s">
        <v>4770</v>
      </c>
      <c r="C3660" t="s">
        <v>4773</v>
      </c>
      <c r="D3660" s="14" t="s">
        <v>4774</v>
      </c>
      <c r="E3660" s="12" t="s">
        <v>28</v>
      </c>
      <c r="F3660" s="13" t="s">
        <v>29</v>
      </c>
      <c r="G3660">
        <v>1</v>
      </c>
      <c r="H3660" t="s">
        <v>30</v>
      </c>
      <c r="I3660">
        <v>1</v>
      </c>
      <c r="J3660" s="15"/>
      <c r="K3660" s="16">
        <f>1602.32 - (1602.32 * $E$1)</f>
        <v>1602.32</v>
      </c>
      <c r="L3660" s="16">
        <f>1313.38 - (1313.38 * $E$1)</f>
        <v>1313.38</v>
      </c>
      <c r="M3660" s="1">
        <v>1602.32</v>
      </c>
      <c r="N3660" s="1">
        <v>1313.38</v>
      </c>
      <c r="O3660" s="1">
        <v>1361.98</v>
      </c>
      <c r="P3660" s="1">
        <v>1116.3699999999999</v>
      </c>
      <c r="Q3660">
        <v>0.41799999999999998</v>
      </c>
      <c r="R3660">
        <v>1.299E-3</v>
      </c>
    </row>
    <row r="3661" spans="1:18" ht="13.8" outlineLevel="2" x14ac:dyDescent="0.25">
      <c r="A3661">
        <v>78618</v>
      </c>
      <c r="B3661" t="s">
        <v>4770</v>
      </c>
      <c r="C3661" t="s">
        <v>4775</v>
      </c>
      <c r="D3661" s="14" t="s">
        <v>4776</v>
      </c>
      <c r="E3661" s="12" t="s">
        <v>28</v>
      </c>
      <c r="F3661" s="13" t="s">
        <v>29</v>
      </c>
      <c r="G3661">
        <v>1</v>
      </c>
      <c r="H3661" t="s">
        <v>30</v>
      </c>
      <c r="I3661">
        <v>1</v>
      </c>
      <c r="J3661" s="15"/>
      <c r="K3661" s="16">
        <f>1776.65 - (1776.65 * $E$1)</f>
        <v>1776.65</v>
      </c>
      <c r="L3661" s="16">
        <f>1456.27 - (1456.27 * $E$1)</f>
        <v>1456.27</v>
      </c>
      <c r="M3661" s="1">
        <v>1776.65</v>
      </c>
      <c r="N3661" s="1">
        <v>1456.27</v>
      </c>
      <c r="O3661" s="1">
        <v>1510.15</v>
      </c>
      <c r="P3661" s="1">
        <v>1237.83</v>
      </c>
      <c r="Q3661">
        <v>0.53</v>
      </c>
      <c r="R3661">
        <v>1.74E-3</v>
      </c>
    </row>
    <row r="3662" spans="1:18" ht="13.8" outlineLevel="2" x14ac:dyDescent="0.25">
      <c r="A3662">
        <v>78619</v>
      </c>
      <c r="B3662" t="s">
        <v>4770</v>
      </c>
      <c r="C3662" t="s">
        <v>4777</v>
      </c>
      <c r="D3662" s="14" t="s">
        <v>4778</v>
      </c>
      <c r="E3662" s="12" t="s">
        <v>28</v>
      </c>
      <c r="F3662" s="13" t="s">
        <v>29</v>
      </c>
      <c r="G3662">
        <v>1</v>
      </c>
      <c r="H3662" t="s">
        <v>30</v>
      </c>
      <c r="I3662">
        <v>1</v>
      </c>
      <c r="J3662" s="15"/>
      <c r="K3662" s="16">
        <f>1933.88 - (1933.88 * $E$1)</f>
        <v>1933.88</v>
      </c>
      <c r="L3662" s="16">
        <f>1585.15 - (1585.15 * $E$1)</f>
        <v>1585.15</v>
      </c>
      <c r="M3662" s="1">
        <v>1933.88</v>
      </c>
      <c r="N3662" s="1">
        <v>1585.15</v>
      </c>
      <c r="O3662" s="1">
        <v>1643.8</v>
      </c>
      <c r="P3662" s="1">
        <v>1347.38</v>
      </c>
      <c r="Q3662">
        <v>0.57999999999999996</v>
      </c>
      <c r="R3662">
        <v>2.0790000000000001E-3</v>
      </c>
    </row>
    <row r="3663" spans="1:18" ht="13.8" outlineLevel="2" x14ac:dyDescent="0.25">
      <c r="A3663">
        <v>87130</v>
      </c>
      <c r="B3663" t="s">
        <v>4770</v>
      </c>
      <c r="C3663" t="s">
        <v>4779</v>
      </c>
      <c r="D3663" s="14" t="s">
        <v>4780</v>
      </c>
      <c r="E3663" s="12" t="s">
        <v>28</v>
      </c>
      <c r="F3663" s="13" t="s">
        <v>29</v>
      </c>
      <c r="G3663">
        <v>1</v>
      </c>
      <c r="H3663" t="s">
        <v>30</v>
      </c>
      <c r="I3663">
        <v>1</v>
      </c>
      <c r="J3663" s="15"/>
      <c r="K3663" s="16">
        <f>2075.9 - (2075.9 * $E$1)</f>
        <v>2075.9</v>
      </c>
      <c r="L3663" s="16">
        <f>1701.56 - (1701.56 * $E$1)</f>
        <v>1701.56</v>
      </c>
      <c r="M3663" s="1">
        <v>2075.9</v>
      </c>
      <c r="N3663" s="1">
        <v>1701.56</v>
      </c>
      <c r="O3663" s="1">
        <v>1764.52</v>
      </c>
      <c r="P3663" s="1">
        <v>1446.33</v>
      </c>
      <c r="Q3663">
        <v>0.58399999999999996</v>
      </c>
      <c r="R3663">
        <v>1.792E-3</v>
      </c>
    </row>
    <row r="3664" spans="1:18" ht="13.8" outlineLevel="2" x14ac:dyDescent="0.25">
      <c r="A3664">
        <v>78620</v>
      </c>
      <c r="B3664" t="s">
        <v>4770</v>
      </c>
      <c r="C3664" t="s">
        <v>4781</v>
      </c>
      <c r="D3664" s="14" t="s">
        <v>4782</v>
      </c>
      <c r="E3664" s="12" t="s">
        <v>28</v>
      </c>
      <c r="F3664" s="13" t="s">
        <v>29</v>
      </c>
      <c r="G3664">
        <v>1</v>
      </c>
      <c r="H3664" t="s">
        <v>30</v>
      </c>
      <c r="I3664">
        <v>1</v>
      </c>
      <c r="J3664" s="15"/>
      <c r="K3664" s="16">
        <f>2223.74 - (2223.74 * $E$1)</f>
        <v>2223.7399999999998</v>
      </c>
      <c r="L3664" s="16">
        <f>1822.74 - (1822.74 * $E$1)</f>
        <v>1822.74</v>
      </c>
      <c r="M3664" s="1">
        <v>2223.7399999999998</v>
      </c>
      <c r="N3664" s="1">
        <v>1822.74</v>
      </c>
      <c r="O3664" s="1">
        <v>1890.18</v>
      </c>
      <c r="P3664" s="1">
        <v>1549.33</v>
      </c>
      <c r="Q3664">
        <v>0.7</v>
      </c>
      <c r="R3664">
        <v>2.4650000000000002E-3</v>
      </c>
    </row>
    <row r="3665" spans="1:18" ht="13.8" outlineLevel="2" x14ac:dyDescent="0.25">
      <c r="A3665">
        <v>103016</v>
      </c>
      <c r="B3665" t="s">
        <v>4783</v>
      </c>
      <c r="C3665" t="s">
        <v>4784</v>
      </c>
      <c r="D3665" s="14" t="s">
        <v>4785</v>
      </c>
      <c r="E3665" s="12" t="s">
        <v>28</v>
      </c>
      <c r="F3665" s="13" t="s">
        <v>29</v>
      </c>
      <c r="G3665">
        <v>1</v>
      </c>
      <c r="H3665" t="s">
        <v>30</v>
      </c>
      <c r="I3665">
        <v>1</v>
      </c>
      <c r="J3665" s="15"/>
      <c r="K3665" s="16">
        <f>2546.35 - (2546.35 * $E$1)</f>
        <v>2546.35</v>
      </c>
      <c r="L3665" s="16">
        <f>2087.17 - (2087.17 * $E$1)</f>
        <v>2087.17</v>
      </c>
      <c r="M3665" s="1">
        <v>2546.35</v>
      </c>
      <c r="N3665" s="1">
        <v>2087.17</v>
      </c>
      <c r="O3665" s="1">
        <v>2164.4</v>
      </c>
      <c r="P3665" s="1">
        <v>1774.09</v>
      </c>
      <c r="Q3665">
        <v>0.71</v>
      </c>
      <c r="R3665">
        <v>2.2230000000000001E-3</v>
      </c>
    </row>
    <row r="3666" spans="1:18" ht="13.8" outlineLevel="2" x14ac:dyDescent="0.25">
      <c r="A3666">
        <v>103015</v>
      </c>
      <c r="B3666" t="s">
        <v>4783</v>
      </c>
      <c r="C3666" t="s">
        <v>4786</v>
      </c>
      <c r="D3666" s="14" t="s">
        <v>4787</v>
      </c>
      <c r="E3666" s="12" t="s">
        <v>28</v>
      </c>
      <c r="F3666" s="13" t="s">
        <v>29</v>
      </c>
      <c r="G3666">
        <v>1</v>
      </c>
      <c r="H3666" t="s">
        <v>30</v>
      </c>
      <c r="I3666">
        <v>1</v>
      </c>
      <c r="J3666" s="15"/>
      <c r="K3666" s="16">
        <f>3250.53 - (3250.53 * $E$1)</f>
        <v>3250.53</v>
      </c>
      <c r="L3666" s="16">
        <f>2664.37 - (2664.37 * $E$1)</f>
        <v>2664.37</v>
      </c>
      <c r="M3666" s="1">
        <v>3250.53</v>
      </c>
      <c r="N3666" s="1">
        <v>2664.37</v>
      </c>
      <c r="O3666" s="1">
        <v>2762.95</v>
      </c>
      <c r="P3666" s="1">
        <v>2264.71</v>
      </c>
      <c r="Q3666">
        <v>1.01</v>
      </c>
      <c r="R3666">
        <v>2.9759999999999999E-3</v>
      </c>
    </row>
    <row r="3667" spans="1:18" ht="13.8" outlineLevel="2" x14ac:dyDescent="0.25">
      <c r="A3667">
        <v>103001</v>
      </c>
      <c r="B3667" t="s">
        <v>4754</v>
      </c>
      <c r="C3667" t="s">
        <v>4788</v>
      </c>
      <c r="D3667" s="14" t="s">
        <v>4789</v>
      </c>
      <c r="E3667" s="12" t="s">
        <v>28</v>
      </c>
      <c r="F3667" s="13" t="s">
        <v>29</v>
      </c>
      <c r="G3667">
        <v>1</v>
      </c>
      <c r="H3667" t="s">
        <v>30</v>
      </c>
      <c r="I3667">
        <v>1</v>
      </c>
      <c r="J3667" s="15"/>
      <c r="K3667" s="16">
        <f>187.75 - (187.75 * $E$1)</f>
        <v>187.75</v>
      </c>
      <c r="L3667" s="16">
        <f>153.89 - (153.89 * $E$1)</f>
        <v>153.88999999999999</v>
      </c>
      <c r="M3667" s="1">
        <v>187.75</v>
      </c>
      <c r="N3667" s="1">
        <v>153.88999999999999</v>
      </c>
      <c r="O3667" s="1">
        <v>159.58000000000001</v>
      </c>
      <c r="P3667" s="1">
        <v>130.81</v>
      </c>
      <c r="Q3667">
        <v>4.2000000000000003E-2</v>
      </c>
      <c r="R3667">
        <v>1.9799999999999999E-4</v>
      </c>
    </row>
    <row r="3668" spans="1:18" ht="13.8" outlineLevel="2" x14ac:dyDescent="0.25">
      <c r="A3668">
        <v>103002</v>
      </c>
      <c r="B3668" t="s">
        <v>4754</v>
      </c>
      <c r="C3668" t="s">
        <v>4790</v>
      </c>
      <c r="D3668" s="14" t="s">
        <v>4789</v>
      </c>
      <c r="E3668" s="12" t="s">
        <v>28</v>
      </c>
      <c r="F3668" s="13" t="s">
        <v>29</v>
      </c>
      <c r="G3668">
        <v>1</v>
      </c>
      <c r="H3668" t="s">
        <v>30</v>
      </c>
      <c r="I3668">
        <v>1</v>
      </c>
      <c r="J3668" s="15"/>
      <c r="K3668" s="16">
        <f>190.45 - (190.45 * $E$1)</f>
        <v>190.45</v>
      </c>
      <c r="L3668" s="16">
        <f>156.11 - (156.11 * $E$1)</f>
        <v>156.11000000000001</v>
      </c>
      <c r="M3668" s="1">
        <v>190.45</v>
      </c>
      <c r="N3668" s="1">
        <v>156.11000000000001</v>
      </c>
      <c r="O3668" s="1">
        <v>161.88999999999999</v>
      </c>
      <c r="P3668" s="1">
        <v>132.69</v>
      </c>
      <c r="Q3668">
        <v>4.7E-2</v>
      </c>
      <c r="R3668">
        <v>2.2800000000000001E-4</v>
      </c>
    </row>
    <row r="3669" spans="1:18" ht="13.8" outlineLevel="2" x14ac:dyDescent="0.25">
      <c r="A3669">
        <v>103003</v>
      </c>
      <c r="B3669" t="s">
        <v>4754</v>
      </c>
      <c r="C3669" t="s">
        <v>4791</v>
      </c>
      <c r="D3669" s="14" t="s">
        <v>4789</v>
      </c>
      <c r="E3669" s="12" t="s">
        <v>28</v>
      </c>
      <c r="F3669" s="13" t="s">
        <v>29</v>
      </c>
      <c r="G3669">
        <v>1</v>
      </c>
      <c r="H3669" t="s">
        <v>30</v>
      </c>
      <c r="I3669">
        <v>1</v>
      </c>
      <c r="J3669" s="15"/>
      <c r="K3669" s="16">
        <f>205.75 - (205.75 * $E$1)</f>
        <v>205.75</v>
      </c>
      <c r="L3669" s="16">
        <f>168.65 - (168.65 * $E$1)</f>
        <v>168.65</v>
      </c>
      <c r="M3669" s="1">
        <v>205.75</v>
      </c>
      <c r="N3669" s="1">
        <v>168.65</v>
      </c>
      <c r="O3669" s="1">
        <v>174.89</v>
      </c>
      <c r="P3669" s="1">
        <v>143.35</v>
      </c>
      <c r="Q3669">
        <v>0.05</v>
      </c>
      <c r="R3669">
        <v>2.2800000000000001E-4</v>
      </c>
    </row>
    <row r="3670" spans="1:18" ht="13.8" outlineLevel="2" x14ac:dyDescent="0.25">
      <c r="A3670">
        <v>103004</v>
      </c>
      <c r="B3670" t="s">
        <v>4754</v>
      </c>
      <c r="C3670" t="s">
        <v>4792</v>
      </c>
      <c r="D3670" s="14" t="s">
        <v>4789</v>
      </c>
      <c r="E3670" s="12" t="s">
        <v>28</v>
      </c>
      <c r="F3670" s="13" t="s">
        <v>29</v>
      </c>
      <c r="G3670">
        <v>1</v>
      </c>
      <c r="H3670" t="s">
        <v>30</v>
      </c>
      <c r="I3670">
        <v>1</v>
      </c>
      <c r="J3670" s="15"/>
      <c r="K3670" s="16">
        <f>252.83 - (252.83 * $E$1)</f>
        <v>252.83</v>
      </c>
      <c r="L3670" s="16">
        <f>207.24 - (207.24 * $E$1)</f>
        <v>207.24</v>
      </c>
      <c r="M3670" s="1">
        <v>252.83</v>
      </c>
      <c r="N3670" s="1">
        <v>207.24</v>
      </c>
      <c r="O3670" s="1">
        <v>214.91</v>
      </c>
      <c r="P3670" s="1">
        <v>176.15</v>
      </c>
      <c r="Q3670">
        <v>0.08</v>
      </c>
      <c r="R3670">
        <v>3.1500000000000001E-4</v>
      </c>
    </row>
    <row r="3671" spans="1:18" ht="13.8" outlineLevel="2" x14ac:dyDescent="0.25">
      <c r="A3671">
        <v>103005</v>
      </c>
      <c r="B3671" t="s">
        <v>4754</v>
      </c>
      <c r="C3671" t="s">
        <v>4793</v>
      </c>
      <c r="D3671" s="14" t="s">
        <v>4789</v>
      </c>
      <c r="E3671" s="12" t="s">
        <v>28</v>
      </c>
      <c r="F3671" s="13" t="s">
        <v>29</v>
      </c>
      <c r="G3671">
        <v>1</v>
      </c>
      <c r="H3671" t="s">
        <v>30</v>
      </c>
      <c r="I3671">
        <v>1</v>
      </c>
      <c r="J3671" s="15"/>
      <c r="K3671" s="16">
        <f>302.57 - (302.57 * $E$1)</f>
        <v>302.57</v>
      </c>
      <c r="L3671" s="16">
        <f>248.01 - (248.01 * $E$1)</f>
        <v>248.01</v>
      </c>
      <c r="M3671" s="1">
        <v>302.57</v>
      </c>
      <c r="N3671" s="1">
        <v>248.01</v>
      </c>
      <c r="O3671" s="1">
        <v>257.19</v>
      </c>
      <c r="P3671" s="1">
        <v>210.81</v>
      </c>
      <c r="Q3671">
        <v>0.112</v>
      </c>
      <c r="R3671">
        <v>3.6400000000000001E-4</v>
      </c>
    </row>
    <row r="3672" spans="1:18" ht="13.8" outlineLevel="2" x14ac:dyDescent="0.25">
      <c r="A3672">
        <v>103006</v>
      </c>
      <c r="B3672" t="s">
        <v>4754</v>
      </c>
      <c r="C3672" t="s">
        <v>4794</v>
      </c>
      <c r="D3672" s="14" t="s">
        <v>4789</v>
      </c>
      <c r="E3672" s="12" t="s">
        <v>28</v>
      </c>
      <c r="F3672" s="13" t="s">
        <v>29</v>
      </c>
      <c r="G3672">
        <v>1</v>
      </c>
      <c r="H3672" t="s">
        <v>30</v>
      </c>
      <c r="I3672">
        <v>1</v>
      </c>
      <c r="J3672" s="15"/>
      <c r="K3672" s="16">
        <f>189.7 - (189.7 * $E$1)</f>
        <v>189.7</v>
      </c>
      <c r="L3672" s="16">
        <f>155.49 - (155.49 * $E$1)</f>
        <v>155.49</v>
      </c>
      <c r="M3672" s="1">
        <v>189.7</v>
      </c>
      <c r="N3672" s="1">
        <v>155.49</v>
      </c>
      <c r="O3672" s="1">
        <v>161.24</v>
      </c>
      <c r="P3672" s="1">
        <v>132.16999999999999</v>
      </c>
      <c r="Q3672">
        <v>4.3999999999999997E-2</v>
      </c>
      <c r="R3672">
        <v>1.8000000000000001E-4</v>
      </c>
    </row>
    <row r="3673" spans="1:18" ht="13.8" outlineLevel="2" x14ac:dyDescent="0.25">
      <c r="A3673">
        <v>103007</v>
      </c>
      <c r="B3673" t="s">
        <v>4754</v>
      </c>
      <c r="C3673" t="s">
        <v>4795</v>
      </c>
      <c r="D3673" s="14" t="s">
        <v>4789</v>
      </c>
      <c r="E3673" s="12" t="s">
        <v>28</v>
      </c>
      <c r="F3673" s="13" t="s">
        <v>29</v>
      </c>
      <c r="G3673">
        <v>1</v>
      </c>
      <c r="H3673" t="s">
        <v>30</v>
      </c>
      <c r="I3673">
        <v>1</v>
      </c>
      <c r="J3673" s="15"/>
      <c r="K3673" s="16">
        <f>222.11 - (222.11 * $E$1)</f>
        <v>222.11</v>
      </c>
      <c r="L3673" s="16">
        <f>182.06 - (182.06 * $E$1)</f>
        <v>182.06</v>
      </c>
      <c r="M3673" s="1">
        <v>222.11</v>
      </c>
      <c r="N3673" s="1">
        <v>182.06</v>
      </c>
      <c r="O3673" s="1">
        <v>188.8</v>
      </c>
      <c r="P3673" s="1">
        <v>154.75</v>
      </c>
      <c r="Q3673">
        <v>6.4000000000000001E-2</v>
      </c>
      <c r="R3673">
        <v>2.52E-4</v>
      </c>
    </row>
    <row r="3674" spans="1:18" ht="13.8" outlineLevel="2" x14ac:dyDescent="0.25">
      <c r="A3674">
        <v>103008</v>
      </c>
      <c r="B3674" t="s">
        <v>4754</v>
      </c>
      <c r="C3674" t="s">
        <v>4796</v>
      </c>
      <c r="D3674" s="14" t="s">
        <v>4789</v>
      </c>
      <c r="E3674" s="12" t="s">
        <v>28</v>
      </c>
      <c r="F3674" s="13" t="s">
        <v>29</v>
      </c>
      <c r="G3674">
        <v>1</v>
      </c>
      <c r="H3674" t="s">
        <v>30</v>
      </c>
      <c r="I3674">
        <v>1</v>
      </c>
      <c r="J3674" s="15"/>
      <c r="K3674" s="16">
        <f>280.94 - (280.94 * $E$1)</f>
        <v>280.94</v>
      </c>
      <c r="L3674" s="16">
        <f>230.28 - (230.28 * $E$1)</f>
        <v>230.28</v>
      </c>
      <c r="M3674" s="1">
        <v>280.94</v>
      </c>
      <c r="N3674" s="1">
        <v>230.28</v>
      </c>
      <c r="O3674" s="1">
        <v>238.8</v>
      </c>
      <c r="P3674" s="1">
        <v>195.74</v>
      </c>
      <c r="Q3674">
        <v>9.4E-2</v>
      </c>
      <c r="R3674">
        <v>3.4400000000000001E-4</v>
      </c>
    </row>
    <row r="3675" spans="1:18" ht="13.8" outlineLevel="2" x14ac:dyDescent="0.25">
      <c r="A3675">
        <v>103009</v>
      </c>
      <c r="B3675" t="s">
        <v>4754</v>
      </c>
      <c r="C3675" t="s">
        <v>4797</v>
      </c>
      <c r="D3675" s="14" t="s">
        <v>4789</v>
      </c>
      <c r="E3675" s="12" t="s">
        <v>28</v>
      </c>
      <c r="F3675" s="13" t="s">
        <v>29</v>
      </c>
      <c r="G3675">
        <v>1</v>
      </c>
      <c r="H3675" t="s">
        <v>30</v>
      </c>
      <c r="I3675">
        <v>1</v>
      </c>
      <c r="J3675" s="15"/>
      <c r="K3675" s="16">
        <f>222.11 - (222.11 * $E$1)</f>
        <v>222.11</v>
      </c>
      <c r="L3675" s="16">
        <f>182.06 - (182.06 * $E$1)</f>
        <v>182.06</v>
      </c>
      <c r="M3675" s="1">
        <v>222.11</v>
      </c>
      <c r="N3675" s="1">
        <v>182.06</v>
      </c>
      <c r="O3675" s="1">
        <v>188.8</v>
      </c>
      <c r="P3675" s="1">
        <v>154.75</v>
      </c>
      <c r="Q3675">
        <v>6.2E-2</v>
      </c>
      <c r="R3675">
        <v>2.52E-4</v>
      </c>
    </row>
    <row r="3676" spans="1:18" ht="13.8" outlineLevel="2" x14ac:dyDescent="0.25">
      <c r="A3676">
        <v>103010</v>
      </c>
      <c r="B3676" t="s">
        <v>4754</v>
      </c>
      <c r="C3676" t="s">
        <v>4798</v>
      </c>
      <c r="D3676" s="14" t="s">
        <v>4789</v>
      </c>
      <c r="E3676" s="12" t="s">
        <v>28</v>
      </c>
      <c r="F3676" s="13" t="s">
        <v>29</v>
      </c>
      <c r="G3676">
        <v>1</v>
      </c>
      <c r="H3676" t="s">
        <v>30</v>
      </c>
      <c r="I3676">
        <v>1</v>
      </c>
      <c r="J3676" s="15"/>
      <c r="K3676" s="16">
        <f>275.57 - (275.57 * $E$1)</f>
        <v>275.57</v>
      </c>
      <c r="L3676" s="16">
        <f>225.88 - (225.88 * $E$1)</f>
        <v>225.88</v>
      </c>
      <c r="M3676" s="1">
        <v>275.57</v>
      </c>
      <c r="N3676" s="1">
        <v>225.88</v>
      </c>
      <c r="O3676" s="1">
        <v>234.24</v>
      </c>
      <c r="P3676" s="1">
        <v>192</v>
      </c>
      <c r="Q3676">
        <v>9.2999999999999999E-2</v>
      </c>
      <c r="R3676">
        <v>3.4400000000000001E-4</v>
      </c>
    </row>
    <row r="3677" spans="1:18" ht="13.8" outlineLevel="2" x14ac:dyDescent="0.25">
      <c r="A3677">
        <v>103011</v>
      </c>
      <c r="B3677" t="s">
        <v>4754</v>
      </c>
      <c r="C3677" t="s">
        <v>4799</v>
      </c>
      <c r="D3677" s="14" t="s">
        <v>4789</v>
      </c>
      <c r="E3677" s="12" t="s">
        <v>28</v>
      </c>
      <c r="F3677" s="13" t="s">
        <v>29</v>
      </c>
      <c r="G3677">
        <v>1</v>
      </c>
      <c r="H3677" t="s">
        <v>30</v>
      </c>
      <c r="I3677">
        <v>1</v>
      </c>
      <c r="J3677" s="15"/>
      <c r="K3677" s="16">
        <f>291.87 - (291.87 * $E$1)</f>
        <v>291.87</v>
      </c>
      <c r="L3677" s="16">
        <f>239.24 - (239.24 * $E$1)</f>
        <v>239.24</v>
      </c>
      <c r="M3677" s="1">
        <v>291.87</v>
      </c>
      <c r="N3677" s="1">
        <v>239.24</v>
      </c>
      <c r="O3677" s="1">
        <v>248.09</v>
      </c>
      <c r="P3677" s="1">
        <v>203.35</v>
      </c>
      <c r="Q3677">
        <v>6.2E-2</v>
      </c>
      <c r="R3677">
        <v>2.52E-4</v>
      </c>
    </row>
    <row r="3678" spans="1:18" ht="13.8" outlineLevel="2" x14ac:dyDescent="0.25">
      <c r="A3678">
        <v>103012</v>
      </c>
      <c r="B3678" t="s">
        <v>4754</v>
      </c>
      <c r="C3678" t="s">
        <v>4800</v>
      </c>
      <c r="D3678" s="14" t="s">
        <v>4789</v>
      </c>
      <c r="E3678" s="12" t="s">
        <v>28</v>
      </c>
      <c r="F3678" s="13" t="s">
        <v>29</v>
      </c>
      <c r="G3678">
        <v>1</v>
      </c>
      <c r="H3678" t="s">
        <v>30</v>
      </c>
      <c r="I3678">
        <v>1</v>
      </c>
      <c r="J3678" s="15"/>
      <c r="K3678" s="16">
        <f>339.04 - (339.04 * $E$1)</f>
        <v>339.04</v>
      </c>
      <c r="L3678" s="16">
        <f>277.9 - (277.9 * $E$1)</f>
        <v>277.89999999999998</v>
      </c>
      <c r="M3678" s="1">
        <v>339.04</v>
      </c>
      <c r="N3678" s="1">
        <v>277.89999999999998</v>
      </c>
      <c r="O3678" s="1">
        <v>288.18</v>
      </c>
      <c r="P3678" s="1">
        <v>236.22</v>
      </c>
      <c r="Q3678">
        <v>0.09</v>
      </c>
      <c r="R3678">
        <v>3.01E-4</v>
      </c>
    </row>
    <row r="3679" spans="1:18" ht="13.8" outlineLevel="2" x14ac:dyDescent="0.25">
      <c r="A3679">
        <v>103013</v>
      </c>
      <c r="B3679" t="s">
        <v>4754</v>
      </c>
      <c r="C3679" t="s">
        <v>4801</v>
      </c>
      <c r="D3679" s="14" t="s">
        <v>4789</v>
      </c>
      <c r="E3679" s="12" t="s">
        <v>28</v>
      </c>
      <c r="F3679" s="13" t="s">
        <v>29</v>
      </c>
      <c r="G3679">
        <v>1</v>
      </c>
      <c r="H3679" t="s">
        <v>30</v>
      </c>
      <c r="I3679">
        <v>1</v>
      </c>
      <c r="J3679" s="15"/>
      <c r="K3679" s="16">
        <f>291.87 - (291.87 * $E$1)</f>
        <v>291.87</v>
      </c>
      <c r="L3679" s="16">
        <f>239.24 - (239.24 * $E$1)</f>
        <v>239.24</v>
      </c>
      <c r="M3679" s="1">
        <v>291.87</v>
      </c>
      <c r="N3679" s="1">
        <v>239.24</v>
      </c>
      <c r="O3679" s="1">
        <v>248.09</v>
      </c>
      <c r="P3679" s="1">
        <v>203.35</v>
      </c>
      <c r="Q3679">
        <v>6.2E-2</v>
      </c>
      <c r="R3679">
        <v>2.52E-4</v>
      </c>
    </row>
    <row r="3680" spans="1:18" ht="13.8" outlineLevel="2" x14ac:dyDescent="0.25">
      <c r="A3680">
        <v>103014</v>
      </c>
      <c r="B3680" t="s">
        <v>4754</v>
      </c>
      <c r="C3680" t="s">
        <v>4802</v>
      </c>
      <c r="D3680" s="14" t="s">
        <v>4789</v>
      </c>
      <c r="E3680" s="12" t="s">
        <v>28</v>
      </c>
      <c r="F3680" s="13" t="s">
        <v>29</v>
      </c>
      <c r="G3680">
        <v>1</v>
      </c>
      <c r="H3680" t="s">
        <v>30</v>
      </c>
      <c r="I3680">
        <v>1</v>
      </c>
      <c r="J3680" s="15"/>
      <c r="K3680" s="16">
        <f>339.04 - (339.04 * $E$1)</f>
        <v>339.04</v>
      </c>
      <c r="L3680" s="16">
        <f>277.9 - (277.9 * $E$1)</f>
        <v>277.89999999999998</v>
      </c>
      <c r="M3680" s="1">
        <v>339.04</v>
      </c>
      <c r="N3680" s="1">
        <v>277.89999999999998</v>
      </c>
      <c r="O3680" s="1">
        <v>288.18</v>
      </c>
      <c r="P3680" s="1">
        <v>236.22</v>
      </c>
      <c r="Q3680">
        <v>0.09</v>
      </c>
      <c r="R3680">
        <v>3.01E-4</v>
      </c>
    </row>
    <row r="3681" spans="1:18" ht="13.8" outlineLevel="2" x14ac:dyDescent="0.25">
      <c r="A3681">
        <v>78586</v>
      </c>
      <c r="C3681" t="s">
        <v>4803</v>
      </c>
      <c r="D3681" s="14" t="s">
        <v>4789</v>
      </c>
      <c r="E3681" s="12" t="s">
        <v>28</v>
      </c>
      <c r="F3681" s="17" t="s">
        <v>549</v>
      </c>
      <c r="G3681">
        <v>1</v>
      </c>
      <c r="H3681" t="s">
        <v>30</v>
      </c>
      <c r="I3681">
        <v>1</v>
      </c>
      <c r="J3681" s="15"/>
      <c r="K3681" s="16">
        <f>399.18 - (399.18 * $E$1)</f>
        <v>399.18</v>
      </c>
      <c r="L3681" s="16">
        <f>327.2 - (327.2 * $E$1)</f>
        <v>327.2</v>
      </c>
      <c r="M3681" s="1">
        <v>399.18</v>
      </c>
      <c r="N3681" s="1">
        <v>327.2</v>
      </c>
      <c r="O3681" s="1">
        <v>339.31</v>
      </c>
      <c r="P3681" s="1">
        <v>278.12</v>
      </c>
      <c r="Q3681">
        <v>0.1</v>
      </c>
      <c r="R3681">
        <v>3.6499999999999998E-4</v>
      </c>
    </row>
    <row r="3682" spans="1:18" ht="13.8" outlineLevel="2" x14ac:dyDescent="0.25">
      <c r="A3682">
        <v>88929</v>
      </c>
      <c r="B3682" t="s">
        <v>4783</v>
      </c>
      <c r="C3682" t="s">
        <v>4804</v>
      </c>
      <c r="D3682" s="14" t="s">
        <v>4805</v>
      </c>
      <c r="E3682" s="12" t="s">
        <v>28</v>
      </c>
      <c r="F3682" s="17" t="s">
        <v>549</v>
      </c>
      <c r="G3682">
        <v>1</v>
      </c>
      <c r="H3682" t="s">
        <v>30</v>
      </c>
      <c r="I3682">
        <v>1</v>
      </c>
      <c r="J3682" s="15"/>
      <c r="K3682" s="16">
        <f>590.94 - (590.94 * $E$1)</f>
        <v>590.94000000000005</v>
      </c>
      <c r="L3682" s="16">
        <f>484.38 - (484.38 * $E$1)</f>
        <v>484.38</v>
      </c>
      <c r="M3682" s="1">
        <v>590.94000000000005</v>
      </c>
      <c r="N3682" s="1">
        <v>484.38</v>
      </c>
      <c r="O3682" s="1">
        <v>502.3</v>
      </c>
      <c r="P3682" s="1">
        <v>411.72</v>
      </c>
      <c r="Q3682">
        <v>0.20799999999999999</v>
      </c>
      <c r="R3682">
        <v>1.3910000000000001E-3</v>
      </c>
    </row>
    <row r="3683" spans="1:18" ht="13.8" outlineLevel="2" x14ac:dyDescent="0.25">
      <c r="A3683">
        <v>88930</v>
      </c>
      <c r="B3683" t="s">
        <v>4783</v>
      </c>
      <c r="C3683" t="s">
        <v>4806</v>
      </c>
      <c r="D3683" s="14" t="s">
        <v>4807</v>
      </c>
      <c r="E3683" s="12" t="s">
        <v>28</v>
      </c>
      <c r="F3683" s="13" t="s">
        <v>29</v>
      </c>
      <c r="G3683">
        <v>1</v>
      </c>
      <c r="H3683" t="s">
        <v>30</v>
      </c>
      <c r="I3683">
        <v>1</v>
      </c>
      <c r="J3683" s="15"/>
      <c r="K3683" s="16">
        <f>690.01 - (690.01 * $E$1)</f>
        <v>690.01</v>
      </c>
      <c r="L3683" s="16">
        <f>565.58 - (565.58 * $E$1)</f>
        <v>565.58000000000004</v>
      </c>
      <c r="M3683" s="1">
        <v>690.01</v>
      </c>
      <c r="N3683" s="1">
        <v>565.58000000000004</v>
      </c>
      <c r="O3683" s="1">
        <v>586.51</v>
      </c>
      <c r="P3683" s="1">
        <v>480.74</v>
      </c>
      <c r="Q3683">
        <v>0.18</v>
      </c>
      <c r="R3683">
        <v>1.011E-3</v>
      </c>
    </row>
    <row r="3684" spans="1:18" ht="13.8" outlineLevel="2" x14ac:dyDescent="0.25">
      <c r="A3684">
        <v>88931</v>
      </c>
      <c r="B3684" t="s">
        <v>4783</v>
      </c>
      <c r="C3684" t="s">
        <v>4808</v>
      </c>
      <c r="D3684" s="14" t="s">
        <v>4809</v>
      </c>
      <c r="E3684" s="12" t="s">
        <v>28</v>
      </c>
      <c r="F3684" s="13" t="s">
        <v>29</v>
      </c>
      <c r="G3684">
        <v>1</v>
      </c>
      <c r="H3684" t="s">
        <v>30</v>
      </c>
      <c r="I3684">
        <v>1</v>
      </c>
      <c r="J3684" s="15"/>
      <c r="K3684" s="16">
        <f>1021.51 - (1021.51 * $E$1)</f>
        <v>1021.51</v>
      </c>
      <c r="L3684" s="16">
        <f>837.3 - (837.3 * $E$1)</f>
        <v>837.3</v>
      </c>
      <c r="M3684" s="1">
        <v>1021.51</v>
      </c>
      <c r="N3684" s="1">
        <v>837.3</v>
      </c>
      <c r="O3684" s="1">
        <v>868.28</v>
      </c>
      <c r="P3684" s="1">
        <v>711.71</v>
      </c>
      <c r="Q3684">
        <v>0.32</v>
      </c>
      <c r="R3684">
        <v>1.7080000000000001E-3</v>
      </c>
    </row>
    <row r="3685" spans="1:18" ht="13.8" outlineLevel="2" x14ac:dyDescent="0.25">
      <c r="A3685">
        <v>88927</v>
      </c>
      <c r="B3685" t="s">
        <v>4810</v>
      </c>
      <c r="C3685" t="s">
        <v>4811</v>
      </c>
      <c r="D3685" s="14" t="s">
        <v>4812</v>
      </c>
      <c r="E3685" s="12" t="s">
        <v>28</v>
      </c>
      <c r="F3685" s="13" t="s">
        <v>29</v>
      </c>
      <c r="G3685">
        <v>1</v>
      </c>
      <c r="H3685" t="s">
        <v>30</v>
      </c>
      <c r="I3685">
        <v>1</v>
      </c>
      <c r="J3685" s="15"/>
      <c r="K3685" s="16">
        <f>2592.2 - (2592.2 * $E$1)</f>
        <v>2592.1999999999998</v>
      </c>
      <c r="L3685" s="16">
        <f>2124.75 - (2124.75 * $E$1)</f>
        <v>2124.75</v>
      </c>
      <c r="M3685" s="1">
        <v>2592.1999999999998</v>
      </c>
      <c r="N3685" s="1">
        <v>2124.75</v>
      </c>
      <c r="O3685" s="1">
        <v>2203.37</v>
      </c>
      <c r="P3685" s="1">
        <v>1806.04</v>
      </c>
      <c r="Q3685">
        <v>0.8</v>
      </c>
      <c r="R3685">
        <v>1.8240000000000001E-3</v>
      </c>
    </row>
    <row r="3686" spans="1:18" ht="13.8" outlineLevel="2" x14ac:dyDescent="0.25">
      <c r="A3686">
        <v>88932</v>
      </c>
      <c r="B3686" t="s">
        <v>4783</v>
      </c>
      <c r="C3686" t="s">
        <v>4813</v>
      </c>
      <c r="D3686" s="14" t="s">
        <v>4814</v>
      </c>
      <c r="E3686" s="12" t="s">
        <v>28</v>
      </c>
      <c r="F3686" s="13" t="s">
        <v>29</v>
      </c>
      <c r="G3686">
        <v>1</v>
      </c>
      <c r="H3686" t="s">
        <v>30</v>
      </c>
      <c r="I3686">
        <v>1</v>
      </c>
      <c r="J3686" s="15"/>
      <c r="K3686" s="16">
        <f>1469.36 - (1469.36 * $E$1)</f>
        <v>1469.36</v>
      </c>
      <c r="L3686" s="16">
        <f>1204.39 - (1204.39 * $E$1)</f>
        <v>1204.3900000000001</v>
      </c>
      <c r="M3686" s="1">
        <v>1469.36</v>
      </c>
      <c r="N3686" s="1">
        <v>1204.3900000000001</v>
      </c>
      <c r="O3686" s="1">
        <v>1248.95</v>
      </c>
      <c r="P3686" s="1">
        <v>1023.73</v>
      </c>
      <c r="Q3686">
        <v>0.432</v>
      </c>
      <c r="R3686">
        <v>1.328E-3</v>
      </c>
    </row>
    <row r="3687" spans="1:18" ht="13.8" outlineLevel="2" x14ac:dyDescent="0.25">
      <c r="A3687">
        <v>88925</v>
      </c>
      <c r="B3687" t="s">
        <v>4783</v>
      </c>
      <c r="C3687" t="s">
        <v>4815</v>
      </c>
      <c r="D3687" s="14" t="s">
        <v>4816</v>
      </c>
      <c r="E3687" s="12" t="s">
        <v>28</v>
      </c>
      <c r="F3687" s="13" t="s">
        <v>29</v>
      </c>
      <c r="G3687">
        <v>1</v>
      </c>
      <c r="H3687" t="s">
        <v>30</v>
      </c>
      <c r="I3687">
        <v>1</v>
      </c>
      <c r="J3687" s="15"/>
      <c r="K3687" s="16">
        <f>1451.7 - (1451.7 * $E$1)</f>
        <v>1451.7</v>
      </c>
      <c r="L3687" s="16">
        <f>1189.92 - (1189.92 * $E$1)</f>
        <v>1189.92</v>
      </c>
      <c r="M3687" s="1">
        <v>1451.7</v>
      </c>
      <c r="N3687" s="1">
        <v>1189.92</v>
      </c>
      <c r="O3687" s="1">
        <v>1233.95</v>
      </c>
      <c r="P3687" s="1">
        <v>1011.43</v>
      </c>
      <c r="Q3687">
        <v>0.44400000000000001</v>
      </c>
      <c r="R3687">
        <v>1.261E-3</v>
      </c>
    </row>
    <row r="3688" spans="1:18" ht="13.8" outlineLevel="2" x14ac:dyDescent="0.25">
      <c r="A3688">
        <v>88933</v>
      </c>
      <c r="B3688" t="s">
        <v>4783</v>
      </c>
      <c r="C3688" t="s">
        <v>4817</v>
      </c>
      <c r="D3688" s="14" t="s">
        <v>4818</v>
      </c>
      <c r="E3688" s="12" t="s">
        <v>28</v>
      </c>
      <c r="F3688" s="13" t="s">
        <v>29</v>
      </c>
      <c r="G3688">
        <v>1</v>
      </c>
      <c r="H3688" t="s">
        <v>30</v>
      </c>
      <c r="I3688">
        <v>1</v>
      </c>
      <c r="J3688" s="15"/>
      <c r="K3688" s="16">
        <f>1735.85 - (1735.85 * $E$1)</f>
        <v>1735.85</v>
      </c>
      <c r="L3688" s="16">
        <f>1422.83 - (1422.83 * $E$1)</f>
        <v>1422.83</v>
      </c>
      <c r="M3688" s="1">
        <v>1735.85</v>
      </c>
      <c r="N3688" s="1">
        <v>1422.83</v>
      </c>
      <c r="O3688" s="1">
        <v>1475.47</v>
      </c>
      <c r="P3688" s="1">
        <v>1209.4100000000001</v>
      </c>
      <c r="Q3688">
        <v>0.55600000000000005</v>
      </c>
      <c r="R3688">
        <v>1.5579999999999999E-3</v>
      </c>
    </row>
    <row r="3689" spans="1:18" ht="13.8" outlineLevel="2" x14ac:dyDescent="0.25">
      <c r="A3689">
        <v>103018</v>
      </c>
      <c r="B3689" t="s">
        <v>4783</v>
      </c>
      <c r="C3689" t="s">
        <v>4819</v>
      </c>
      <c r="D3689" s="14" t="s">
        <v>4820</v>
      </c>
      <c r="E3689" s="12" t="s">
        <v>28</v>
      </c>
      <c r="F3689" s="13" t="s">
        <v>29</v>
      </c>
      <c r="G3689">
        <v>1</v>
      </c>
      <c r="H3689" t="s">
        <v>30</v>
      </c>
      <c r="I3689">
        <v>1</v>
      </c>
      <c r="J3689" s="15"/>
      <c r="K3689" s="16">
        <f>2001.89 - (2001.89 * $E$1)</f>
        <v>2001.89</v>
      </c>
      <c r="L3689" s="16">
        <f>1640.89 - (1640.89 * $E$1)</f>
        <v>1640.89</v>
      </c>
      <c r="M3689" s="1">
        <v>2001.89</v>
      </c>
      <c r="N3689" s="1">
        <v>1640.89</v>
      </c>
      <c r="O3689" s="1">
        <v>1701.6</v>
      </c>
      <c r="P3689" s="1">
        <v>1394.76</v>
      </c>
      <c r="Q3689">
        <v>0.55000000000000004</v>
      </c>
      <c r="R3689">
        <v>1.5950000000000001E-3</v>
      </c>
    </row>
    <row r="3690" spans="1:18" ht="13.8" outlineLevel="2" x14ac:dyDescent="0.25">
      <c r="A3690">
        <v>88934</v>
      </c>
      <c r="B3690" t="s">
        <v>4783</v>
      </c>
      <c r="C3690" t="s">
        <v>4821</v>
      </c>
      <c r="D3690" s="14" t="s">
        <v>4822</v>
      </c>
      <c r="E3690" s="12" t="s">
        <v>28</v>
      </c>
      <c r="F3690" s="13" t="s">
        <v>29</v>
      </c>
      <c r="G3690">
        <v>1</v>
      </c>
      <c r="H3690" t="s">
        <v>30</v>
      </c>
      <c r="I3690">
        <v>1</v>
      </c>
      <c r="J3690" s="15"/>
      <c r="K3690" s="16">
        <f>1988.06 - (1988.06 * $E$1)</f>
        <v>1988.06</v>
      </c>
      <c r="L3690" s="16">
        <f>1629.56 - (1629.56 * $E$1)</f>
        <v>1629.56</v>
      </c>
      <c r="M3690" s="1">
        <v>1988.06</v>
      </c>
      <c r="N3690" s="1">
        <v>1629.56</v>
      </c>
      <c r="O3690" s="1">
        <v>1689.85</v>
      </c>
      <c r="P3690" s="1">
        <v>1385.13</v>
      </c>
      <c r="Q3690">
        <v>0.59199999999999997</v>
      </c>
      <c r="R3690">
        <v>1.7440000000000001E-3</v>
      </c>
    </row>
    <row r="3691" spans="1:18" ht="13.8" outlineLevel="2" x14ac:dyDescent="0.25">
      <c r="A3691">
        <v>88926</v>
      </c>
      <c r="B3691" t="s">
        <v>4783</v>
      </c>
      <c r="C3691" t="s">
        <v>4823</v>
      </c>
      <c r="D3691" s="14" t="s">
        <v>4824</v>
      </c>
      <c r="E3691" s="12" t="s">
        <v>28</v>
      </c>
      <c r="F3691" s="13" t="s">
        <v>29</v>
      </c>
      <c r="G3691">
        <v>1</v>
      </c>
      <c r="H3691" t="s">
        <v>30</v>
      </c>
      <c r="I3691">
        <v>1</v>
      </c>
      <c r="J3691" s="15"/>
      <c r="K3691" s="16">
        <f>1948.99 - (1948.99 * $E$1)</f>
        <v>1948.99</v>
      </c>
      <c r="L3691" s="16">
        <f>1597.53 - (1597.53 * $E$1)</f>
        <v>1597.53</v>
      </c>
      <c r="M3691" s="1">
        <v>1948.99</v>
      </c>
      <c r="N3691" s="1">
        <v>1597.53</v>
      </c>
      <c r="O3691" s="1">
        <v>1656.64</v>
      </c>
      <c r="P3691" s="1">
        <v>1357.9</v>
      </c>
      <c r="Q3691">
        <v>0.61799999999999999</v>
      </c>
      <c r="R3691">
        <v>1.7440000000000001E-3</v>
      </c>
    </row>
    <row r="3692" spans="1:18" ht="13.8" outlineLevel="2" x14ac:dyDescent="0.25">
      <c r="A3692">
        <v>88935</v>
      </c>
      <c r="B3692" t="s">
        <v>4783</v>
      </c>
      <c r="C3692" t="s">
        <v>4825</v>
      </c>
      <c r="D3692" s="14" t="s">
        <v>4826</v>
      </c>
      <c r="E3692" s="12" t="s">
        <v>28</v>
      </c>
      <c r="F3692" s="13" t="s">
        <v>29</v>
      </c>
      <c r="G3692">
        <v>1</v>
      </c>
      <c r="H3692" t="s">
        <v>30</v>
      </c>
      <c r="I3692">
        <v>1</v>
      </c>
      <c r="J3692" s="15"/>
      <c r="K3692" s="16">
        <f>2276.89 - (2276.89 * $E$1)</f>
        <v>2276.89</v>
      </c>
      <c r="L3692" s="16">
        <f>1866.3 - (1866.3 * $E$1)</f>
        <v>1866.3</v>
      </c>
      <c r="M3692" s="1">
        <v>2276.89</v>
      </c>
      <c r="N3692" s="1">
        <v>1866.3</v>
      </c>
      <c r="O3692" s="1">
        <v>1935.35</v>
      </c>
      <c r="P3692" s="1">
        <v>1586.36</v>
      </c>
      <c r="Q3692">
        <v>0.70599999999999996</v>
      </c>
      <c r="R3692">
        <v>1.7440000000000001E-3</v>
      </c>
    </row>
    <row r="3693" spans="1:18" ht="13.8" outlineLevel="2" x14ac:dyDescent="0.25">
      <c r="A3693">
        <v>103017</v>
      </c>
      <c r="B3693" t="s">
        <v>4783</v>
      </c>
      <c r="C3693" t="s">
        <v>4827</v>
      </c>
      <c r="D3693" s="14" t="s">
        <v>4828</v>
      </c>
      <c r="E3693" s="12" t="s">
        <v>28</v>
      </c>
      <c r="F3693" s="13" t="s">
        <v>29</v>
      </c>
      <c r="G3693">
        <v>1</v>
      </c>
      <c r="H3693" t="s">
        <v>30</v>
      </c>
      <c r="I3693">
        <v>1</v>
      </c>
      <c r="J3693" s="15"/>
      <c r="K3693" s="16">
        <f>2288.05 - (2288.05 * $E$1)</f>
        <v>2288.0500000000002</v>
      </c>
      <c r="L3693" s="16">
        <f>1875.45 - (1875.45 * $E$1)</f>
        <v>1875.45</v>
      </c>
      <c r="M3693" s="1">
        <v>2288.0500000000002</v>
      </c>
      <c r="N3693" s="1">
        <v>1875.45</v>
      </c>
      <c r="O3693" s="1">
        <v>1944.84</v>
      </c>
      <c r="P3693" s="1">
        <v>1594.13</v>
      </c>
      <c r="Q3693">
        <v>0.64</v>
      </c>
      <c r="R3693">
        <v>2.088E-3</v>
      </c>
    </row>
    <row r="3694" spans="1:18" ht="13.8" outlineLevel="2" x14ac:dyDescent="0.25">
      <c r="A3694">
        <v>88928</v>
      </c>
      <c r="B3694" t="s">
        <v>4829</v>
      </c>
      <c r="C3694" t="s">
        <v>4830</v>
      </c>
      <c r="D3694" s="14" t="s">
        <v>4831</v>
      </c>
      <c r="E3694" s="12" t="s">
        <v>28</v>
      </c>
      <c r="F3694" s="13" t="s">
        <v>29</v>
      </c>
      <c r="G3694">
        <v>1</v>
      </c>
      <c r="H3694" t="s">
        <v>30</v>
      </c>
      <c r="I3694">
        <v>1</v>
      </c>
      <c r="J3694" s="15"/>
      <c r="K3694" s="16">
        <f>700.48 - (700.48 * $E$1)</f>
        <v>700.48</v>
      </c>
      <c r="L3694" s="16">
        <f>574.16 - (574.16 * $E$1)</f>
        <v>574.16</v>
      </c>
      <c r="M3694" s="1">
        <v>700.48</v>
      </c>
      <c r="N3694" s="1">
        <v>574.16</v>
      </c>
      <c r="O3694" s="1">
        <v>595.4</v>
      </c>
      <c r="P3694" s="1">
        <v>488.04</v>
      </c>
      <c r="Q3694">
        <v>0.2</v>
      </c>
      <c r="R3694">
        <v>5.4600000000000004E-4</v>
      </c>
    </row>
    <row r="3695" spans="1:18" ht="13.8" outlineLevel="2" x14ac:dyDescent="0.25">
      <c r="A3695">
        <v>90952</v>
      </c>
      <c r="B3695" t="s">
        <v>4832</v>
      </c>
      <c r="C3695" t="s">
        <v>4833</v>
      </c>
      <c r="D3695" s="14" t="s">
        <v>4834</v>
      </c>
      <c r="E3695" s="12" t="s">
        <v>28</v>
      </c>
      <c r="F3695" s="13" t="s">
        <v>29</v>
      </c>
      <c r="G3695">
        <v>1</v>
      </c>
      <c r="H3695" t="s">
        <v>30</v>
      </c>
      <c r="I3695">
        <v>1</v>
      </c>
      <c r="J3695" s="15"/>
      <c r="K3695" s="16">
        <f>15901.88 - (15901.88 * $E$1)</f>
        <v>15901.88</v>
      </c>
      <c r="L3695" s="16">
        <f>13034.33 - (13034.33 * $E$1)</f>
        <v>13034.33</v>
      </c>
      <c r="M3695" s="1">
        <v>15901.88</v>
      </c>
      <c r="N3695" s="1">
        <v>13034.33</v>
      </c>
      <c r="O3695" s="1">
        <v>13516.6</v>
      </c>
      <c r="P3695" s="1">
        <v>11079.18</v>
      </c>
      <c r="Q3695">
        <v>0.44800000000000001</v>
      </c>
      <c r="R3695">
        <v>1.155E-3</v>
      </c>
    </row>
    <row r="3696" spans="1:18" ht="13.8" outlineLevel="2" x14ac:dyDescent="0.25">
      <c r="A3696">
        <v>78279</v>
      </c>
      <c r="B3696" t="s">
        <v>4832</v>
      </c>
      <c r="C3696" t="s">
        <v>4835</v>
      </c>
      <c r="D3696" s="14" t="s">
        <v>4836</v>
      </c>
      <c r="E3696" s="12" t="s">
        <v>28</v>
      </c>
      <c r="F3696" s="13" t="s">
        <v>29</v>
      </c>
      <c r="G3696">
        <v>1</v>
      </c>
      <c r="H3696" t="s">
        <v>30</v>
      </c>
      <c r="I3696">
        <v>1</v>
      </c>
      <c r="J3696" s="15"/>
      <c r="K3696" s="16">
        <f>16709.45 - (16709.45 * $E$1)</f>
        <v>16709.45</v>
      </c>
      <c r="L3696" s="16">
        <f>13696.27 - (13696.27 * $E$1)</f>
        <v>13696.27</v>
      </c>
      <c r="M3696" s="1">
        <v>16709.45</v>
      </c>
      <c r="N3696" s="1">
        <v>13696.27</v>
      </c>
      <c r="O3696" s="1">
        <v>14203.03</v>
      </c>
      <c r="P3696" s="1">
        <v>11641.83</v>
      </c>
      <c r="Q3696">
        <v>0.47</v>
      </c>
      <c r="R3696">
        <v>1.155E-3</v>
      </c>
    </row>
    <row r="3697" spans="1:18" ht="13.8" outlineLevel="2" x14ac:dyDescent="0.25">
      <c r="A3697">
        <v>61949</v>
      </c>
      <c r="B3697" t="s">
        <v>4837</v>
      </c>
      <c r="C3697" t="s">
        <v>4838</v>
      </c>
      <c r="D3697" s="14" t="s">
        <v>4839</v>
      </c>
      <c r="E3697" s="12" t="s">
        <v>28</v>
      </c>
      <c r="F3697" s="13" t="s">
        <v>29</v>
      </c>
      <c r="G3697">
        <v>1</v>
      </c>
      <c r="H3697" t="s">
        <v>30</v>
      </c>
      <c r="I3697">
        <v>1</v>
      </c>
      <c r="J3697" s="15"/>
      <c r="K3697" s="16">
        <f>2492.51 - (2492.51 * $E$1)</f>
        <v>2492.5100000000002</v>
      </c>
      <c r="L3697" s="16">
        <f>2043.04 - (2043.04 * $E$1)</f>
        <v>2043.04</v>
      </c>
      <c r="M3697" s="1">
        <v>2492.5100000000002</v>
      </c>
      <c r="N3697" s="1">
        <v>2043.04</v>
      </c>
      <c r="O3697" s="1">
        <v>2118.63</v>
      </c>
      <c r="P3697" s="1">
        <v>1736.58</v>
      </c>
      <c r="Q3697">
        <v>0.27</v>
      </c>
      <c r="R3697">
        <v>9.1399999999999999E-4</v>
      </c>
    </row>
    <row r="3698" spans="1:18" ht="13.8" outlineLevel="2" x14ac:dyDescent="0.25">
      <c r="A3698">
        <v>109332</v>
      </c>
      <c r="B3698" t="s">
        <v>4837</v>
      </c>
      <c r="C3698" t="s">
        <v>4840</v>
      </c>
      <c r="D3698" s="14" t="s">
        <v>4841</v>
      </c>
      <c r="E3698" s="12" t="s">
        <v>28</v>
      </c>
      <c r="F3698" s="18" t="s">
        <v>1467</v>
      </c>
      <c r="G3698">
        <v>1</v>
      </c>
      <c r="H3698" t="s">
        <v>30</v>
      </c>
      <c r="I3698">
        <v>1</v>
      </c>
      <c r="J3698" s="15"/>
      <c r="K3698" s="16">
        <f>3060.63 - (3060.63 * $E$1)</f>
        <v>3060.63</v>
      </c>
      <c r="L3698" s="16">
        <f>2508.71 - (2508.71 * $E$1)</f>
        <v>2508.71</v>
      </c>
      <c r="M3698" s="1">
        <v>3060.63</v>
      </c>
      <c r="N3698" s="1">
        <v>2508.71</v>
      </c>
      <c r="O3698" s="1">
        <v>2601.5300000000002</v>
      </c>
      <c r="P3698" s="1">
        <v>2132.4</v>
      </c>
      <c r="Q3698">
        <v>0.42499999999999999</v>
      </c>
      <c r="R3698">
        <v>7.3499999999999998E-4</v>
      </c>
    </row>
    <row r="3699" spans="1:18" ht="13.8" outlineLevel="2" x14ac:dyDescent="0.25">
      <c r="A3699">
        <v>61950</v>
      </c>
      <c r="B3699" t="s">
        <v>4837</v>
      </c>
      <c r="C3699" t="s">
        <v>4842</v>
      </c>
      <c r="D3699" s="14" t="s">
        <v>4843</v>
      </c>
      <c r="E3699" s="12" t="s">
        <v>28</v>
      </c>
      <c r="F3699" s="13" t="s">
        <v>29</v>
      </c>
      <c r="G3699">
        <v>1</v>
      </c>
      <c r="H3699" t="s">
        <v>30</v>
      </c>
      <c r="I3699">
        <v>1</v>
      </c>
      <c r="J3699" s="15"/>
      <c r="K3699" s="16">
        <f>3655.43 - (3655.43 * $E$1)</f>
        <v>3655.43</v>
      </c>
      <c r="L3699" s="16">
        <f>2996.25 - (2996.25 * $E$1)</f>
        <v>2996.25</v>
      </c>
      <c r="M3699" s="1">
        <v>3655.43</v>
      </c>
      <c r="N3699" s="1">
        <v>2996.25</v>
      </c>
      <c r="O3699" s="1">
        <v>3107.11</v>
      </c>
      <c r="P3699" s="1">
        <v>2546.81</v>
      </c>
      <c r="Q3699">
        <v>0.41</v>
      </c>
      <c r="R3699">
        <v>1.32E-3</v>
      </c>
    </row>
    <row r="3700" spans="1:18" ht="13.8" outlineLevel="2" x14ac:dyDescent="0.25">
      <c r="A3700">
        <v>105634</v>
      </c>
      <c r="B3700" t="s">
        <v>4837</v>
      </c>
      <c r="C3700" t="s">
        <v>4844</v>
      </c>
      <c r="D3700" s="14" t="s">
        <v>4845</v>
      </c>
      <c r="E3700" s="12" t="s">
        <v>28</v>
      </c>
      <c r="F3700" s="18" t="s">
        <v>1467</v>
      </c>
      <c r="G3700">
        <v>1</v>
      </c>
      <c r="H3700" t="s">
        <v>30</v>
      </c>
      <c r="I3700">
        <v>1</v>
      </c>
      <c r="J3700" s="15"/>
      <c r="K3700" s="16">
        <f>4840.46 - (4840.46 * $E$1)</f>
        <v>4840.46</v>
      </c>
      <c r="L3700" s="16">
        <f>3967.59 - (3967.59 * $E$1)</f>
        <v>3967.59</v>
      </c>
      <c r="M3700" s="1">
        <v>4840.46</v>
      </c>
      <c r="N3700" s="1">
        <v>3967.59</v>
      </c>
      <c r="O3700" s="1">
        <v>4114.3900000000003</v>
      </c>
      <c r="P3700" s="1">
        <v>3372.45</v>
      </c>
      <c r="Q3700">
        <v>0.56999999999999995</v>
      </c>
      <c r="R3700">
        <v>1.5839999999999999E-3</v>
      </c>
    </row>
    <row r="3701" spans="1:18" ht="13.8" outlineLevel="2" x14ac:dyDescent="0.25">
      <c r="A3701">
        <v>79771</v>
      </c>
      <c r="B3701" t="s">
        <v>4770</v>
      </c>
      <c r="C3701" t="s">
        <v>4846</v>
      </c>
      <c r="D3701" s="14" t="s">
        <v>4847</v>
      </c>
      <c r="E3701" s="12" t="s">
        <v>28</v>
      </c>
      <c r="F3701" s="13" t="s">
        <v>29</v>
      </c>
      <c r="G3701">
        <v>1</v>
      </c>
      <c r="H3701" t="s">
        <v>30</v>
      </c>
      <c r="I3701">
        <v>1</v>
      </c>
      <c r="J3701" s="15"/>
      <c r="K3701" s="16">
        <f>1286.88 - (1286.88 * $E$1)</f>
        <v>1286.8800000000001</v>
      </c>
      <c r="L3701" s="16">
        <f>1054.82 - (1054.82 * $E$1)</f>
        <v>1054.82</v>
      </c>
      <c r="M3701" s="1">
        <v>1286.8800000000001</v>
      </c>
      <c r="N3701" s="1">
        <v>1054.82</v>
      </c>
      <c r="O3701" s="1">
        <v>1093.8499999999999</v>
      </c>
      <c r="P3701" s="1">
        <v>896.6</v>
      </c>
      <c r="Q3701">
        <v>0.2</v>
      </c>
      <c r="R3701">
        <v>5.4000000000000001E-4</v>
      </c>
    </row>
    <row r="3702" spans="1:18" ht="13.8" outlineLevel="2" x14ac:dyDescent="0.25">
      <c r="A3702">
        <v>109333</v>
      </c>
      <c r="B3702" t="s">
        <v>4837</v>
      </c>
      <c r="C3702" t="s">
        <v>4848</v>
      </c>
      <c r="D3702" s="14" t="s">
        <v>4849</v>
      </c>
      <c r="E3702" s="12" t="s">
        <v>28</v>
      </c>
      <c r="F3702" s="18" t="s">
        <v>1467</v>
      </c>
      <c r="G3702">
        <v>1</v>
      </c>
      <c r="H3702" t="s">
        <v>30</v>
      </c>
      <c r="I3702">
        <v>1</v>
      </c>
      <c r="J3702" s="15"/>
      <c r="K3702" s="16">
        <f>966.84 - (966.84 * $E$1)</f>
        <v>966.84</v>
      </c>
      <c r="L3702" s="16">
        <f>792.49 - (792.49 * $E$1)</f>
        <v>792.49</v>
      </c>
      <c r="M3702" s="1">
        <v>966.84</v>
      </c>
      <c r="N3702" s="1">
        <v>792.49</v>
      </c>
      <c r="O3702" s="1">
        <v>821.81</v>
      </c>
      <c r="P3702" s="1">
        <v>673.62</v>
      </c>
      <c r="Q3702">
        <v>0.17</v>
      </c>
      <c r="R3702">
        <v>4.28E-4</v>
      </c>
    </row>
    <row r="3703" spans="1:18" ht="13.8" outlineLevel="2" x14ac:dyDescent="0.25">
      <c r="A3703">
        <v>83785</v>
      </c>
      <c r="B3703" t="s">
        <v>4837</v>
      </c>
      <c r="C3703" t="s">
        <v>4850</v>
      </c>
      <c r="D3703" s="14" t="s">
        <v>4851</v>
      </c>
      <c r="E3703" s="12" t="s">
        <v>28</v>
      </c>
      <c r="F3703" s="13" t="s">
        <v>29</v>
      </c>
      <c r="G3703">
        <v>1</v>
      </c>
      <c r="H3703" t="s">
        <v>30</v>
      </c>
      <c r="I3703">
        <v>1</v>
      </c>
      <c r="J3703" s="15"/>
      <c r="K3703" s="16">
        <f>1584.95 - (1584.95 * $E$1)</f>
        <v>1584.95</v>
      </c>
      <c r="L3703" s="16">
        <f>1299.14 - (1299.14 * $E$1)</f>
        <v>1299.1400000000001</v>
      </c>
      <c r="M3703" s="1">
        <v>1584.95</v>
      </c>
      <c r="N3703" s="1">
        <v>1299.1400000000001</v>
      </c>
      <c r="O3703" s="1">
        <v>1347.21</v>
      </c>
      <c r="P3703" s="1">
        <v>1104.27</v>
      </c>
      <c r="Q3703">
        <v>0.39</v>
      </c>
      <c r="R3703">
        <v>2.562E-3</v>
      </c>
    </row>
    <row r="3704" spans="1:18" ht="13.8" outlineLevel="2" x14ac:dyDescent="0.25">
      <c r="A3704">
        <v>78616</v>
      </c>
      <c r="B3704" t="s">
        <v>4837</v>
      </c>
      <c r="C3704" t="s">
        <v>4852</v>
      </c>
      <c r="D3704" s="14" t="s">
        <v>4853</v>
      </c>
      <c r="E3704" s="12" t="s">
        <v>28</v>
      </c>
      <c r="F3704" s="13" t="s">
        <v>29</v>
      </c>
      <c r="G3704">
        <v>1</v>
      </c>
      <c r="H3704" t="s">
        <v>30</v>
      </c>
      <c r="I3704">
        <v>1</v>
      </c>
      <c r="J3704" s="15"/>
      <c r="K3704" s="16">
        <f>2071 - (2071 * $E$1)</f>
        <v>2071</v>
      </c>
      <c r="L3704" s="16">
        <f>1697.54 - (1697.54 * $E$1)</f>
        <v>1697.54</v>
      </c>
      <c r="M3704" s="1">
        <v>2071</v>
      </c>
      <c r="N3704" s="1">
        <v>1697.54</v>
      </c>
      <c r="O3704" s="1">
        <v>1760.35</v>
      </c>
      <c r="P3704" s="1">
        <v>1442.91</v>
      </c>
      <c r="Q3704">
        <v>0.33</v>
      </c>
      <c r="R3704">
        <v>8.0800000000000002E-4</v>
      </c>
    </row>
    <row r="3705" spans="1:18" ht="13.8" outlineLevel="2" x14ac:dyDescent="0.25">
      <c r="A3705">
        <v>78615</v>
      </c>
      <c r="B3705" t="s">
        <v>4837</v>
      </c>
      <c r="C3705" t="s">
        <v>4854</v>
      </c>
      <c r="D3705" s="14" t="s">
        <v>4855</v>
      </c>
      <c r="E3705" s="12" t="s">
        <v>28</v>
      </c>
      <c r="F3705" s="13" t="s">
        <v>29</v>
      </c>
      <c r="G3705">
        <v>1</v>
      </c>
      <c r="H3705" t="s">
        <v>30</v>
      </c>
      <c r="I3705">
        <v>1</v>
      </c>
      <c r="J3705" s="15"/>
      <c r="K3705" s="16">
        <f>2918.84 - (2918.84 * $E$1)</f>
        <v>2918.84</v>
      </c>
      <c r="L3705" s="16">
        <f>2392.49 - (2392.49 * $E$1)</f>
        <v>2392.4899999999998</v>
      </c>
      <c r="M3705" s="1">
        <v>2918.84</v>
      </c>
      <c r="N3705" s="1">
        <v>2392.4899999999998</v>
      </c>
      <c r="O3705" s="1">
        <v>2481.0100000000002</v>
      </c>
      <c r="P3705" s="1">
        <v>2033.62</v>
      </c>
      <c r="Q3705">
        <v>0.83</v>
      </c>
      <c r="R3705">
        <v>1.519E-3</v>
      </c>
    </row>
    <row r="3706" spans="1:18" ht="13.8" outlineLevel="2" x14ac:dyDescent="0.25">
      <c r="A3706">
        <v>87128</v>
      </c>
      <c r="B3706" t="s">
        <v>4837</v>
      </c>
      <c r="C3706" t="s">
        <v>4856</v>
      </c>
      <c r="D3706" s="14" t="s">
        <v>4857</v>
      </c>
      <c r="E3706" s="12" t="s">
        <v>28</v>
      </c>
      <c r="F3706" s="13" t="s">
        <v>29</v>
      </c>
      <c r="G3706">
        <v>1</v>
      </c>
      <c r="H3706" t="s">
        <v>30</v>
      </c>
      <c r="I3706">
        <v>1</v>
      </c>
      <c r="J3706" s="15"/>
      <c r="K3706" s="16">
        <f>2334.08 - (2334.08 * $E$1)</f>
        <v>2334.08</v>
      </c>
      <c r="L3706" s="16">
        <f>1913.18 - (1913.18 * $E$1)</f>
        <v>1913.18</v>
      </c>
      <c r="M3706" s="1">
        <v>2334.08</v>
      </c>
      <c r="N3706" s="1">
        <v>1913.18</v>
      </c>
      <c r="O3706" s="1">
        <v>1983.97</v>
      </c>
      <c r="P3706" s="1">
        <v>1626.2</v>
      </c>
      <c r="Q3706">
        <v>0.57799999999999996</v>
      </c>
      <c r="R3706">
        <v>1.954E-3</v>
      </c>
    </row>
    <row r="3707" spans="1:18" ht="13.8" outlineLevel="2" x14ac:dyDescent="0.25">
      <c r="A3707">
        <v>105777</v>
      </c>
      <c r="B3707" t="s">
        <v>4858</v>
      </c>
      <c r="C3707" t="s">
        <v>4859</v>
      </c>
      <c r="D3707" s="14" t="s">
        <v>4860</v>
      </c>
      <c r="E3707" s="12" t="s">
        <v>28</v>
      </c>
      <c r="F3707" s="13" t="s">
        <v>29</v>
      </c>
      <c r="H3707" t="s">
        <v>30</v>
      </c>
      <c r="I3707">
        <v>1</v>
      </c>
      <c r="J3707" s="15"/>
      <c r="K3707" s="16">
        <f>960.96 - (960.96 * $E$1)</f>
        <v>960.96</v>
      </c>
      <c r="L3707" s="16">
        <f>787.67 - (787.67 * $E$1)</f>
        <v>787.67</v>
      </c>
      <c r="M3707" s="1">
        <v>960.96</v>
      </c>
      <c r="N3707" s="1">
        <v>787.67</v>
      </c>
      <c r="O3707" s="1">
        <v>816.81</v>
      </c>
      <c r="P3707" s="1">
        <v>669.52</v>
      </c>
    </row>
    <row r="3708" spans="1:18" ht="13.8" outlineLevel="2" x14ac:dyDescent="0.25">
      <c r="A3708">
        <v>87283</v>
      </c>
      <c r="B3708" t="s">
        <v>4861</v>
      </c>
      <c r="C3708" t="s">
        <v>4862</v>
      </c>
      <c r="D3708" s="14" t="s">
        <v>4863</v>
      </c>
      <c r="E3708" s="12" t="s">
        <v>28</v>
      </c>
      <c r="F3708" s="13" t="s">
        <v>29</v>
      </c>
      <c r="G3708">
        <v>1</v>
      </c>
      <c r="H3708" t="s">
        <v>30</v>
      </c>
      <c r="I3708">
        <v>1</v>
      </c>
      <c r="J3708" s="15"/>
      <c r="K3708" s="16">
        <f>232.25 - (232.25 * $E$1)</f>
        <v>232.25</v>
      </c>
      <c r="L3708" s="16">
        <f>190.37 - (190.37 * $E$1)</f>
        <v>190.37</v>
      </c>
      <c r="M3708" s="1">
        <v>232.25</v>
      </c>
      <c r="N3708" s="1">
        <v>190.37</v>
      </c>
      <c r="O3708" s="1">
        <v>197.41</v>
      </c>
      <c r="P3708" s="1">
        <v>161.81</v>
      </c>
      <c r="Q3708">
        <v>2.4E-2</v>
      </c>
      <c r="R3708">
        <v>1.1900000000000001E-4</v>
      </c>
    </row>
    <row r="3709" spans="1:18" ht="13.8" outlineLevel="2" x14ac:dyDescent="0.25">
      <c r="A3709">
        <v>87284</v>
      </c>
      <c r="B3709" t="s">
        <v>4861</v>
      </c>
      <c r="C3709" t="s">
        <v>4864</v>
      </c>
      <c r="D3709" s="14" t="s">
        <v>4865</v>
      </c>
      <c r="E3709" s="12" t="s">
        <v>28</v>
      </c>
      <c r="F3709" s="13" t="s">
        <v>29</v>
      </c>
      <c r="G3709">
        <v>1</v>
      </c>
      <c r="H3709" t="s">
        <v>30</v>
      </c>
      <c r="I3709">
        <v>1</v>
      </c>
      <c r="J3709" s="15"/>
      <c r="K3709" s="16">
        <f>519.34 - (519.34 * $E$1)</f>
        <v>519.34</v>
      </c>
      <c r="L3709" s="16">
        <f>425.69 - (425.69 * $E$1)</f>
        <v>425.69</v>
      </c>
      <c r="M3709" s="1">
        <v>519.34</v>
      </c>
      <c r="N3709" s="1">
        <v>425.69</v>
      </c>
      <c r="O3709" s="1">
        <v>441.44</v>
      </c>
      <c r="P3709" s="1">
        <v>361.84</v>
      </c>
      <c r="Q3709">
        <v>4.3999999999999997E-2</v>
      </c>
      <c r="R3709">
        <v>4.2000000000000002E-4</v>
      </c>
    </row>
    <row r="3710" spans="1:18" ht="13.8" outlineLevel="2" x14ac:dyDescent="0.25">
      <c r="A3710">
        <v>74840</v>
      </c>
      <c r="B3710" t="s">
        <v>4866</v>
      </c>
      <c r="C3710" t="s">
        <v>4867</v>
      </c>
      <c r="D3710" s="14" t="s">
        <v>4868</v>
      </c>
      <c r="E3710" s="12" t="s">
        <v>28</v>
      </c>
      <c r="F3710" s="13" t="s">
        <v>29</v>
      </c>
      <c r="G3710">
        <v>1</v>
      </c>
      <c r="H3710" t="s">
        <v>30</v>
      </c>
      <c r="I3710">
        <v>1</v>
      </c>
      <c r="J3710" s="15"/>
      <c r="K3710" s="16">
        <f>300.82 - (300.82 * $E$1)</f>
        <v>300.82</v>
      </c>
      <c r="L3710" s="16">
        <f>246.57 - (246.57 * $E$1)</f>
        <v>246.57</v>
      </c>
      <c r="M3710" s="1">
        <v>300.82</v>
      </c>
      <c r="N3710" s="1">
        <v>246.57</v>
      </c>
      <c r="O3710" s="1">
        <v>255.69</v>
      </c>
      <c r="P3710" s="1">
        <v>209.58</v>
      </c>
      <c r="Q3710">
        <v>0.05</v>
      </c>
      <c r="R3710">
        <v>4.0999999999999999E-4</v>
      </c>
    </row>
    <row r="3711" spans="1:18" ht="16.5" customHeight="1" outlineLevel="1" x14ac:dyDescent="0.35">
      <c r="A3711" s="9"/>
      <c r="B3711" s="10" t="s">
        <v>4869</v>
      </c>
      <c r="C3711" s="10"/>
      <c r="D3711" s="10"/>
      <c r="E3711" s="10"/>
      <c r="F3711" s="10"/>
      <c r="G3711" s="10"/>
      <c r="H3711" s="10"/>
      <c r="I3711" s="10"/>
      <c r="J3711" s="10"/>
      <c r="K3711" s="10"/>
      <c r="L3711" s="10"/>
      <c r="M3711" s="10"/>
      <c r="N3711" s="10"/>
      <c r="O3711" s="10"/>
      <c r="P3711" s="10"/>
      <c r="Q3711" s="10"/>
      <c r="R3711" s="11"/>
    </row>
    <row r="3712" spans="1:18" ht="13.8" outlineLevel="2" x14ac:dyDescent="0.25">
      <c r="A3712">
        <v>63845</v>
      </c>
      <c r="B3712" t="s">
        <v>4870</v>
      </c>
      <c r="C3712" t="s">
        <v>4871</v>
      </c>
      <c r="D3712" s="14" t="s">
        <v>4872</v>
      </c>
      <c r="E3712" s="12" t="s">
        <v>28</v>
      </c>
      <c r="F3712" s="13" t="s">
        <v>29</v>
      </c>
      <c r="G3712">
        <v>1</v>
      </c>
      <c r="H3712" t="s">
        <v>30</v>
      </c>
      <c r="I3712">
        <v>1</v>
      </c>
      <c r="J3712" s="15"/>
      <c r="K3712" s="16">
        <f>2036.07 - (2036.07 * $E$1)</f>
        <v>2036.07</v>
      </c>
      <c r="L3712" s="16">
        <f>1668.91 - (1668.91 * $E$1)</f>
        <v>1668.91</v>
      </c>
      <c r="M3712" s="1">
        <v>2036.07</v>
      </c>
      <c r="N3712" s="1">
        <v>1668.91</v>
      </c>
      <c r="O3712" s="1">
        <v>1730.66</v>
      </c>
      <c r="P3712" s="1">
        <v>1418.57</v>
      </c>
      <c r="Q3712">
        <v>0.126</v>
      </c>
      <c r="R3712">
        <v>8.12E-4</v>
      </c>
    </row>
    <row r="3713" spans="1:18" ht="13.8" outlineLevel="2" x14ac:dyDescent="0.25">
      <c r="A3713">
        <v>63846</v>
      </c>
      <c r="B3713" t="s">
        <v>4870</v>
      </c>
      <c r="C3713" t="s">
        <v>4873</v>
      </c>
      <c r="D3713" s="14" t="s">
        <v>4874</v>
      </c>
      <c r="E3713" s="12" t="s">
        <v>28</v>
      </c>
      <c r="F3713" s="13" t="s">
        <v>29</v>
      </c>
      <c r="G3713">
        <v>1</v>
      </c>
      <c r="H3713" t="s">
        <v>30</v>
      </c>
      <c r="I3713">
        <v>1</v>
      </c>
      <c r="J3713" s="15"/>
      <c r="K3713" s="16">
        <f>1506.15 - (1506.15 * $E$1)</f>
        <v>1506.15</v>
      </c>
      <c r="L3713" s="16">
        <f>1234.55 - (1234.55 * $E$1)</f>
        <v>1234.55</v>
      </c>
      <c r="M3713" s="1">
        <v>1506.15</v>
      </c>
      <c r="N3713" s="1">
        <v>1234.55</v>
      </c>
      <c r="O3713" s="1">
        <v>1280.23</v>
      </c>
      <c r="P3713" s="1">
        <v>1049.3699999999999</v>
      </c>
      <c r="Q3713">
        <v>0.12</v>
      </c>
      <c r="R3713">
        <v>8.12E-4</v>
      </c>
    </row>
    <row r="3714" spans="1:18" ht="13.8" outlineLevel="2" x14ac:dyDescent="0.25">
      <c r="A3714">
        <v>63847</v>
      </c>
      <c r="B3714" t="s">
        <v>4870</v>
      </c>
      <c r="C3714" t="s">
        <v>4875</v>
      </c>
      <c r="D3714" s="14" t="s">
        <v>4876</v>
      </c>
      <c r="E3714" s="12" t="s">
        <v>28</v>
      </c>
      <c r="F3714" s="13" t="s">
        <v>29</v>
      </c>
      <c r="G3714">
        <v>1</v>
      </c>
      <c r="H3714" t="s">
        <v>30</v>
      </c>
      <c r="I3714">
        <v>1</v>
      </c>
      <c r="J3714" s="15"/>
      <c r="K3714" s="16">
        <f>1537.32 - (1537.32 * $E$1)</f>
        <v>1537.32</v>
      </c>
      <c r="L3714" s="16">
        <f>1260.1 - (1260.1 * $E$1)</f>
        <v>1260.0999999999999</v>
      </c>
      <c r="M3714" s="1">
        <v>1537.32</v>
      </c>
      <c r="N3714" s="1">
        <v>1260.0999999999999</v>
      </c>
      <c r="O3714" s="1">
        <v>1306.72</v>
      </c>
      <c r="P3714" s="1">
        <v>1071.0899999999999</v>
      </c>
      <c r="Q3714">
        <v>0.12</v>
      </c>
      <c r="R3714">
        <v>8.12E-4</v>
      </c>
    </row>
    <row r="3715" spans="1:18" ht="13.8" outlineLevel="2" x14ac:dyDescent="0.25">
      <c r="A3715">
        <v>63838</v>
      </c>
      <c r="B3715" t="s">
        <v>4877</v>
      </c>
      <c r="C3715" t="s">
        <v>4878</v>
      </c>
      <c r="D3715" s="14" t="s">
        <v>4879</v>
      </c>
      <c r="E3715" s="12" t="s">
        <v>28</v>
      </c>
      <c r="F3715" s="13" t="s">
        <v>29</v>
      </c>
      <c r="G3715">
        <v>1</v>
      </c>
      <c r="H3715" t="s">
        <v>30</v>
      </c>
      <c r="I3715">
        <v>1</v>
      </c>
      <c r="J3715" s="15"/>
      <c r="K3715" s="16">
        <f>2202.36 - (2202.36 * $E$1)</f>
        <v>2202.36</v>
      </c>
      <c r="L3715" s="16">
        <f>1805.21 - (1805.21 * $E$1)</f>
        <v>1805.21</v>
      </c>
      <c r="M3715" s="1">
        <v>2202.36</v>
      </c>
      <c r="N3715" s="1">
        <v>1805.21</v>
      </c>
      <c r="O3715" s="1">
        <v>1872</v>
      </c>
      <c r="P3715" s="1">
        <v>1534.43</v>
      </c>
      <c r="Q3715">
        <v>0.11</v>
      </c>
      <c r="R3715">
        <v>8.1899999999999996E-4</v>
      </c>
    </row>
    <row r="3716" spans="1:18" ht="13.8" outlineLevel="2" x14ac:dyDescent="0.25">
      <c r="A3716">
        <v>60466</v>
      </c>
      <c r="B3716" t="s">
        <v>4870</v>
      </c>
      <c r="C3716" t="s">
        <v>4880</v>
      </c>
      <c r="D3716" s="14" t="s">
        <v>4881</v>
      </c>
      <c r="E3716" s="12" t="s">
        <v>28</v>
      </c>
      <c r="F3716" s="13" t="s">
        <v>29</v>
      </c>
      <c r="G3716">
        <v>1</v>
      </c>
      <c r="H3716" t="s">
        <v>30</v>
      </c>
      <c r="I3716">
        <v>1</v>
      </c>
      <c r="J3716" s="15"/>
      <c r="K3716" s="16">
        <f>1662.01 - (1662.01 * $E$1)</f>
        <v>1662.01</v>
      </c>
      <c r="L3716" s="16">
        <f>1362.3 - (1362.3 * $E$1)</f>
        <v>1362.3</v>
      </c>
      <c r="M3716" s="1">
        <v>1662.01</v>
      </c>
      <c r="N3716" s="1">
        <v>1362.3</v>
      </c>
      <c r="O3716" s="1">
        <v>1412.71</v>
      </c>
      <c r="P3716" s="1">
        <v>1157.96</v>
      </c>
      <c r="Q3716">
        <v>0.13</v>
      </c>
      <c r="R3716">
        <v>6.96E-4</v>
      </c>
    </row>
    <row r="3717" spans="1:18" ht="13.8" outlineLevel="2" x14ac:dyDescent="0.25">
      <c r="A3717">
        <v>86566</v>
      </c>
      <c r="B3717" t="s">
        <v>4870</v>
      </c>
      <c r="C3717" t="s">
        <v>4882</v>
      </c>
      <c r="D3717" s="14" t="s">
        <v>4883</v>
      </c>
      <c r="E3717" s="12" t="s">
        <v>28</v>
      </c>
      <c r="F3717" s="13" t="s">
        <v>29</v>
      </c>
      <c r="G3717">
        <v>1</v>
      </c>
      <c r="H3717" t="s">
        <v>30</v>
      </c>
      <c r="I3717">
        <v>1</v>
      </c>
      <c r="J3717" s="15"/>
      <c r="K3717" s="16">
        <f>1143.3 - (1143.3 * $E$1)</f>
        <v>1143.3</v>
      </c>
      <c r="L3717" s="16">
        <f>937.13 - (937.13 * $E$1)</f>
        <v>937.13</v>
      </c>
      <c r="M3717" s="1">
        <v>1143.3</v>
      </c>
      <c r="N3717" s="1">
        <v>937.13</v>
      </c>
      <c r="O3717" s="1">
        <v>971.8</v>
      </c>
      <c r="P3717" s="1">
        <v>796.56</v>
      </c>
      <c r="Q3717">
        <v>0.1</v>
      </c>
      <c r="R3717">
        <v>5.8799999999999998E-4</v>
      </c>
    </row>
    <row r="3718" spans="1:18" ht="13.8" outlineLevel="2" x14ac:dyDescent="0.25">
      <c r="A3718">
        <v>92313</v>
      </c>
      <c r="B3718" t="s">
        <v>4884</v>
      </c>
      <c r="C3718" t="s">
        <v>4885</v>
      </c>
      <c r="D3718" s="14" t="s">
        <v>4886</v>
      </c>
      <c r="E3718" s="12" t="s">
        <v>28</v>
      </c>
      <c r="F3718" s="13" t="s">
        <v>29</v>
      </c>
      <c r="G3718">
        <v>1</v>
      </c>
      <c r="H3718" t="s">
        <v>30</v>
      </c>
      <c r="I3718">
        <v>1</v>
      </c>
      <c r="J3718" s="15"/>
      <c r="K3718" s="16">
        <f>981.12 - (981.12 * $E$1)</f>
        <v>981.12</v>
      </c>
      <c r="L3718" s="16">
        <f>804.2 - (804.2 * $E$1)</f>
        <v>804.2</v>
      </c>
      <c r="M3718" s="1">
        <v>981.12</v>
      </c>
      <c r="N3718" s="1">
        <v>804.2</v>
      </c>
      <c r="O3718" s="1">
        <v>833.96</v>
      </c>
      <c r="P3718" s="1">
        <v>683.57</v>
      </c>
      <c r="Q3718">
        <v>0.1</v>
      </c>
      <c r="R3718">
        <v>5.8799999999999998E-4</v>
      </c>
    </row>
    <row r="3719" spans="1:18" ht="13.8" outlineLevel="2" x14ac:dyDescent="0.25">
      <c r="A3719">
        <v>86567</v>
      </c>
      <c r="B3719" t="s">
        <v>4870</v>
      </c>
      <c r="C3719" t="s">
        <v>4887</v>
      </c>
      <c r="D3719" s="14" t="s">
        <v>4888</v>
      </c>
      <c r="E3719" s="12" t="s">
        <v>28</v>
      </c>
      <c r="F3719" s="13" t="s">
        <v>29</v>
      </c>
      <c r="G3719">
        <v>1</v>
      </c>
      <c r="H3719" t="s">
        <v>30</v>
      </c>
      <c r="I3719">
        <v>1</v>
      </c>
      <c r="J3719" s="15"/>
      <c r="K3719" s="16">
        <f>981.12 - (981.12 * $E$1)</f>
        <v>981.12</v>
      </c>
      <c r="L3719" s="16">
        <f>804.2 - (804.2 * $E$1)</f>
        <v>804.2</v>
      </c>
      <c r="M3719" s="1">
        <v>981.12</v>
      </c>
      <c r="N3719" s="1">
        <v>804.2</v>
      </c>
      <c r="O3719" s="1">
        <v>833.96</v>
      </c>
      <c r="P3719" s="1">
        <v>683.57</v>
      </c>
      <c r="Q3719">
        <v>0.1</v>
      </c>
      <c r="R3719">
        <v>5.8799999999999998E-4</v>
      </c>
    </row>
    <row r="3720" spans="1:18" ht="13.8" outlineLevel="2" x14ac:dyDescent="0.25">
      <c r="A3720">
        <v>62151</v>
      </c>
      <c r="B3720" t="s">
        <v>4889</v>
      </c>
      <c r="C3720" t="s">
        <v>4890</v>
      </c>
      <c r="D3720" s="14" t="s">
        <v>4891</v>
      </c>
      <c r="E3720" s="12" t="s">
        <v>28</v>
      </c>
      <c r="F3720" s="17" t="s">
        <v>549</v>
      </c>
      <c r="G3720">
        <v>1</v>
      </c>
      <c r="H3720" t="s">
        <v>30</v>
      </c>
      <c r="I3720">
        <v>1</v>
      </c>
      <c r="J3720" s="15"/>
      <c r="K3720" s="16">
        <f>2730.35 - (2730.35 * $E$1)</f>
        <v>2730.35</v>
      </c>
      <c r="L3720" s="16">
        <f>2237.99 - (2237.99 * $E$1)</f>
        <v>2237.9899999999998</v>
      </c>
      <c r="M3720" s="1">
        <v>2730.35</v>
      </c>
      <c r="N3720" s="1">
        <v>2237.9899999999998</v>
      </c>
      <c r="O3720" s="1">
        <v>2320.8000000000002</v>
      </c>
      <c r="P3720" s="1">
        <v>1902.29</v>
      </c>
      <c r="Q3720">
        <v>0.104</v>
      </c>
      <c r="R3720">
        <v>2.72E-4</v>
      </c>
    </row>
    <row r="3721" spans="1:18" ht="13.8" outlineLevel="2" x14ac:dyDescent="0.25">
      <c r="A3721">
        <v>105898</v>
      </c>
      <c r="C3721" t="s">
        <v>4892</v>
      </c>
      <c r="D3721" s="14" t="s">
        <v>4893</v>
      </c>
      <c r="E3721" s="12" t="s">
        <v>28</v>
      </c>
      <c r="F3721" s="13" t="s">
        <v>29</v>
      </c>
      <c r="G3721">
        <v>1</v>
      </c>
      <c r="H3721" t="s">
        <v>30</v>
      </c>
      <c r="I3721">
        <v>1</v>
      </c>
      <c r="J3721" s="15"/>
      <c r="K3721" s="16">
        <f>1329.64 - (1329.64 * $E$1)</f>
        <v>1329.64</v>
      </c>
      <c r="L3721" s="16">
        <f>1089.87 - (1089.87 * $E$1)</f>
        <v>1089.8699999999999</v>
      </c>
      <c r="M3721" s="1">
        <v>1329.64</v>
      </c>
      <c r="N3721" s="1">
        <v>1089.8699999999999</v>
      </c>
      <c r="O3721" s="1">
        <v>1130.2</v>
      </c>
      <c r="P3721" s="1">
        <v>926.39</v>
      </c>
      <c r="Q3721">
        <v>0.33500000000000002</v>
      </c>
      <c r="R3721">
        <v>7.0500000000000001E-4</v>
      </c>
    </row>
    <row r="3722" spans="1:18" ht="13.8" outlineLevel="2" x14ac:dyDescent="0.25">
      <c r="A3722">
        <v>69578</v>
      </c>
      <c r="C3722" t="s">
        <v>4894</v>
      </c>
      <c r="D3722" s="14" t="s">
        <v>4895</v>
      </c>
      <c r="E3722" s="12" t="s">
        <v>28</v>
      </c>
      <c r="F3722" s="13" t="s">
        <v>29</v>
      </c>
      <c r="G3722">
        <v>1</v>
      </c>
      <c r="H3722" t="s">
        <v>30</v>
      </c>
      <c r="I3722">
        <v>1</v>
      </c>
      <c r="J3722" s="15"/>
      <c r="K3722" s="16">
        <f>3771.18 - (3771.18 * $E$1)</f>
        <v>3771.18</v>
      </c>
      <c r="L3722" s="16">
        <f>3091.13 - (3091.13 * $E$1)</f>
        <v>3091.13</v>
      </c>
      <c r="M3722" s="1">
        <v>3771.18</v>
      </c>
      <c r="N3722" s="1">
        <v>3091.13</v>
      </c>
      <c r="O3722" s="1">
        <v>3205.5</v>
      </c>
      <c r="P3722" s="1">
        <v>2627.46</v>
      </c>
      <c r="Q3722">
        <v>0.5</v>
      </c>
      <c r="R3722">
        <v>6.0899999999999995E-4</v>
      </c>
    </row>
    <row r="3723" spans="1:18" ht="13.8" outlineLevel="2" x14ac:dyDescent="0.25">
      <c r="A3723">
        <v>67505</v>
      </c>
      <c r="B3723" t="s">
        <v>4896</v>
      </c>
      <c r="C3723" t="s">
        <v>4897</v>
      </c>
      <c r="D3723" s="14" t="s">
        <v>4898</v>
      </c>
      <c r="E3723" s="12" t="s">
        <v>28</v>
      </c>
      <c r="F3723" s="13" t="s">
        <v>29</v>
      </c>
      <c r="G3723">
        <v>1</v>
      </c>
      <c r="H3723" t="s">
        <v>30</v>
      </c>
      <c r="I3723">
        <v>1</v>
      </c>
      <c r="J3723" s="15"/>
      <c r="K3723" s="16">
        <f>862.94 - (862.94 * $E$1)</f>
        <v>862.94</v>
      </c>
      <c r="L3723" s="16">
        <f>707.33 - (707.33 * $E$1)</f>
        <v>707.33</v>
      </c>
      <c r="M3723" s="1">
        <v>862.94</v>
      </c>
      <c r="N3723" s="1">
        <v>707.33</v>
      </c>
      <c r="O3723" s="1">
        <v>733.5</v>
      </c>
      <c r="P3723" s="1">
        <v>601.23</v>
      </c>
      <c r="Q3723">
        <v>0.2</v>
      </c>
      <c r="R3723">
        <v>5.3399999999999997E-4</v>
      </c>
    </row>
    <row r="3724" spans="1:18" ht="13.8" outlineLevel="2" x14ac:dyDescent="0.25">
      <c r="A3724">
        <v>67375</v>
      </c>
      <c r="B3724" t="s">
        <v>4896</v>
      </c>
      <c r="C3724" t="s">
        <v>4899</v>
      </c>
      <c r="D3724" s="14" t="s">
        <v>4900</v>
      </c>
      <c r="E3724" s="12" t="s">
        <v>28</v>
      </c>
      <c r="F3724" s="13" t="s">
        <v>29</v>
      </c>
      <c r="G3724">
        <v>1</v>
      </c>
      <c r="H3724" t="s">
        <v>30</v>
      </c>
      <c r="I3724">
        <v>1</v>
      </c>
      <c r="J3724" s="15"/>
      <c r="K3724" s="16">
        <f>1173.24 - (1173.24 * $E$1)</f>
        <v>1173.24</v>
      </c>
      <c r="L3724" s="16">
        <f>961.67 - (961.67 * $E$1)</f>
        <v>961.67</v>
      </c>
      <c r="M3724" s="1">
        <v>1173.24</v>
      </c>
      <c r="N3724" s="1">
        <v>961.67</v>
      </c>
      <c r="O3724" s="1">
        <v>997.25</v>
      </c>
      <c r="P3724" s="1">
        <v>817.42</v>
      </c>
      <c r="Q3724">
        <v>0.48</v>
      </c>
      <c r="R3724">
        <v>7.3499999999999998E-4</v>
      </c>
    </row>
    <row r="3725" spans="1:18" ht="13.8" outlineLevel="2" x14ac:dyDescent="0.25">
      <c r="A3725">
        <v>101856</v>
      </c>
      <c r="B3725" t="s">
        <v>4901</v>
      </c>
      <c r="C3725" t="s">
        <v>4902</v>
      </c>
      <c r="D3725" s="14" t="s">
        <v>4903</v>
      </c>
      <c r="E3725" s="12" t="s">
        <v>28</v>
      </c>
      <c r="F3725" s="13" t="s">
        <v>29</v>
      </c>
      <c r="G3725">
        <v>1</v>
      </c>
      <c r="H3725" t="s">
        <v>30</v>
      </c>
      <c r="I3725">
        <v>1</v>
      </c>
      <c r="J3725" s="15"/>
      <c r="K3725" s="16">
        <f>775.53 - (775.53 * $E$1)</f>
        <v>775.53</v>
      </c>
      <c r="L3725" s="16">
        <f>635.68 - (635.68 * $E$1)</f>
        <v>635.67999999999995</v>
      </c>
      <c r="M3725" s="1">
        <v>775.53</v>
      </c>
      <c r="N3725" s="1">
        <v>635.67999999999995</v>
      </c>
      <c r="O3725" s="1">
        <v>659.2</v>
      </c>
      <c r="P3725" s="1">
        <v>540.33000000000004</v>
      </c>
      <c r="Q3725">
        <v>0.37</v>
      </c>
      <c r="R3725">
        <v>6.0899999999999995E-4</v>
      </c>
    </row>
    <row r="3726" spans="1:18" ht="13.8" outlineLevel="2" x14ac:dyDescent="0.25">
      <c r="A3726">
        <v>57365</v>
      </c>
      <c r="B3726" t="s">
        <v>4896</v>
      </c>
      <c r="C3726" t="s">
        <v>4904</v>
      </c>
      <c r="D3726" s="14" t="s">
        <v>4905</v>
      </c>
      <c r="E3726" s="12" t="s">
        <v>28</v>
      </c>
      <c r="F3726" s="13" t="s">
        <v>29</v>
      </c>
      <c r="G3726">
        <v>1</v>
      </c>
      <c r="H3726" t="s">
        <v>30</v>
      </c>
      <c r="I3726">
        <v>1</v>
      </c>
      <c r="J3726" s="15"/>
      <c r="K3726" s="16">
        <f>1063.38 - (1063.38 * $E$1)</f>
        <v>1063.3800000000001</v>
      </c>
      <c r="L3726" s="16">
        <f>871.62 - (871.62 * $E$1)</f>
        <v>871.62</v>
      </c>
      <c r="M3726" s="1">
        <v>1063.3800000000001</v>
      </c>
      <c r="N3726" s="1">
        <v>871.62</v>
      </c>
      <c r="O3726" s="1">
        <v>903.87</v>
      </c>
      <c r="P3726" s="1">
        <v>740.88</v>
      </c>
      <c r="Q3726">
        <v>0.54</v>
      </c>
      <c r="R3726">
        <v>7.7800000000000005E-4</v>
      </c>
    </row>
    <row r="3727" spans="1:18" ht="13.8" outlineLevel="2" x14ac:dyDescent="0.25">
      <c r="A3727">
        <v>101966</v>
      </c>
      <c r="B3727" t="s">
        <v>4901</v>
      </c>
      <c r="C3727" t="s">
        <v>4906</v>
      </c>
      <c r="D3727" s="14" t="s">
        <v>4907</v>
      </c>
      <c r="E3727" s="12" t="s">
        <v>28</v>
      </c>
      <c r="F3727" s="13" t="s">
        <v>29</v>
      </c>
      <c r="G3727">
        <v>1</v>
      </c>
      <c r="H3727" t="s">
        <v>30</v>
      </c>
      <c r="I3727">
        <v>1</v>
      </c>
      <c r="J3727" s="15"/>
      <c r="K3727" s="16">
        <f>3327.53 - (3327.53 * $E$1)</f>
        <v>3327.53</v>
      </c>
      <c r="L3727" s="16">
        <f>2727.48 - (2727.48 * $E$1)</f>
        <v>2727.48</v>
      </c>
      <c r="M3727" s="1">
        <v>3327.53</v>
      </c>
      <c r="N3727" s="1">
        <v>2727.48</v>
      </c>
      <c r="O3727" s="1">
        <v>2828.4</v>
      </c>
      <c r="P3727" s="1">
        <v>2318.36</v>
      </c>
      <c r="Q3727">
        <v>1.1299999999999999</v>
      </c>
      <c r="R3727">
        <v>2.1259999999999999E-3</v>
      </c>
    </row>
    <row r="3728" spans="1:18" ht="13.8" outlineLevel="2" x14ac:dyDescent="0.25">
      <c r="A3728">
        <v>101967</v>
      </c>
      <c r="B3728" t="s">
        <v>4901</v>
      </c>
      <c r="C3728" t="s">
        <v>4908</v>
      </c>
      <c r="D3728" s="14" t="s">
        <v>4909</v>
      </c>
      <c r="E3728" s="12" t="s">
        <v>28</v>
      </c>
      <c r="F3728" s="13" t="s">
        <v>29</v>
      </c>
      <c r="G3728">
        <v>1</v>
      </c>
      <c r="H3728" t="s">
        <v>30</v>
      </c>
      <c r="I3728">
        <v>1</v>
      </c>
      <c r="J3728" s="15"/>
      <c r="K3728" s="16">
        <f>4571.86 - (4571.86 * $E$1)</f>
        <v>4571.8599999999997</v>
      </c>
      <c r="L3728" s="16">
        <f>3747.43 - (3747.43 * $E$1)</f>
        <v>3747.43</v>
      </c>
      <c r="M3728" s="1">
        <v>4571.8599999999997</v>
      </c>
      <c r="N3728" s="1">
        <v>3747.43</v>
      </c>
      <c r="O3728" s="1">
        <v>3886.08</v>
      </c>
      <c r="P3728" s="1">
        <v>3185.32</v>
      </c>
      <c r="Q3728">
        <v>2.14</v>
      </c>
      <c r="R3728">
        <v>4.2240000000000003E-3</v>
      </c>
    </row>
    <row r="3729" spans="1:18" ht="13.8" outlineLevel="2" x14ac:dyDescent="0.25">
      <c r="A3729">
        <v>101968</v>
      </c>
      <c r="B3729" t="s">
        <v>4901</v>
      </c>
      <c r="C3729" t="s">
        <v>4910</v>
      </c>
      <c r="D3729" s="14" t="s">
        <v>4911</v>
      </c>
      <c r="E3729" s="12" t="s">
        <v>28</v>
      </c>
      <c r="F3729" s="13" t="s">
        <v>29</v>
      </c>
      <c r="G3729">
        <v>1</v>
      </c>
      <c r="H3729" t="s">
        <v>30</v>
      </c>
      <c r="I3729">
        <v>1</v>
      </c>
      <c r="J3729" s="15"/>
      <c r="K3729" s="16">
        <f>8395.63 - (8395.63 * $E$1)</f>
        <v>8395.6299999999992</v>
      </c>
      <c r="L3729" s="16">
        <f>6881.66 - (6881.66 * $E$1)</f>
        <v>6881.66</v>
      </c>
      <c r="M3729" s="1">
        <v>8395.6299999999992</v>
      </c>
      <c r="N3729" s="1">
        <v>6881.66</v>
      </c>
      <c r="O3729" s="1">
        <v>7136.28</v>
      </c>
      <c r="P3729" s="1">
        <v>5849.41</v>
      </c>
      <c r="Q3729">
        <v>4.68</v>
      </c>
      <c r="R3729">
        <v>6.9189999999999998E-3</v>
      </c>
    </row>
    <row r="3730" spans="1:18" ht="16.5" customHeight="1" outlineLevel="1" x14ac:dyDescent="0.35">
      <c r="A3730" s="9"/>
      <c r="B3730" s="10" t="s">
        <v>4912</v>
      </c>
      <c r="C3730" s="10"/>
      <c r="D3730" s="10"/>
      <c r="E3730" s="10"/>
      <c r="F3730" s="10"/>
      <c r="G3730" s="10"/>
      <c r="H3730" s="10"/>
      <c r="I3730" s="10"/>
      <c r="J3730" s="10"/>
      <c r="K3730" s="10"/>
      <c r="L3730" s="10"/>
      <c r="M3730" s="10"/>
      <c r="N3730" s="10"/>
      <c r="O3730" s="10"/>
      <c r="P3730" s="10"/>
      <c r="Q3730" s="10"/>
      <c r="R3730" s="11"/>
    </row>
    <row r="3731" spans="1:18" ht="16.5" customHeight="1" outlineLevel="2" x14ac:dyDescent="0.35">
      <c r="A3731" s="9"/>
      <c r="B3731" s="10" t="s">
        <v>4912</v>
      </c>
      <c r="C3731" s="10"/>
      <c r="D3731" s="10"/>
      <c r="E3731" s="10"/>
      <c r="F3731" s="10"/>
      <c r="G3731" s="10"/>
      <c r="H3731" s="10"/>
      <c r="I3731" s="10"/>
      <c r="J3731" s="10"/>
      <c r="K3731" s="10"/>
      <c r="L3731" s="10"/>
      <c r="M3731" s="10"/>
      <c r="N3731" s="10"/>
      <c r="O3731" s="10"/>
      <c r="P3731" s="10"/>
      <c r="Q3731" s="10"/>
      <c r="R3731" s="11"/>
    </row>
    <row r="3732" spans="1:18" ht="13.8" outlineLevel="3" x14ac:dyDescent="0.25">
      <c r="A3732">
        <v>59380</v>
      </c>
      <c r="B3732" t="s">
        <v>4913</v>
      </c>
      <c r="C3732" t="s">
        <v>4914</v>
      </c>
      <c r="D3732" s="14" t="s">
        <v>4915</v>
      </c>
      <c r="E3732" s="12" t="s">
        <v>28</v>
      </c>
      <c r="F3732" s="13" t="s">
        <v>29</v>
      </c>
      <c r="G3732">
        <v>1</v>
      </c>
      <c r="H3732" t="s">
        <v>30</v>
      </c>
      <c r="I3732">
        <v>1</v>
      </c>
      <c r="J3732" s="15"/>
      <c r="K3732" s="16">
        <f>4773.37 - (4773.37 * $E$1)</f>
        <v>4773.37</v>
      </c>
      <c r="L3732" s="16">
        <f>3912.6 - (3912.6 * $E$1)</f>
        <v>3912.6</v>
      </c>
      <c r="M3732" s="1">
        <v>4773.37</v>
      </c>
      <c r="N3732" s="1">
        <v>3912.6</v>
      </c>
      <c r="O3732" s="1">
        <v>4057.37</v>
      </c>
      <c r="P3732" s="1">
        <v>3325.71</v>
      </c>
      <c r="Q3732">
        <v>1.5</v>
      </c>
      <c r="R3732">
        <v>3.333E-3</v>
      </c>
    </row>
    <row r="3733" spans="1:18" ht="13.8" outlineLevel="3" x14ac:dyDescent="0.25">
      <c r="A3733">
        <v>105635</v>
      </c>
      <c r="B3733" t="s">
        <v>4916</v>
      </c>
      <c r="C3733" t="s">
        <v>4917</v>
      </c>
      <c r="D3733" s="14" t="s">
        <v>4918</v>
      </c>
      <c r="E3733" s="12" t="s">
        <v>28</v>
      </c>
      <c r="F3733" s="18" t="s">
        <v>1467</v>
      </c>
      <c r="G3733">
        <v>1</v>
      </c>
      <c r="H3733" t="s">
        <v>30</v>
      </c>
      <c r="I3733">
        <v>1</v>
      </c>
      <c r="J3733" s="15"/>
      <c r="K3733" s="16">
        <f>8741.93 - (8741.93 * $E$1)</f>
        <v>8741.93</v>
      </c>
      <c r="L3733" s="16">
        <f>7165.52 - (7165.52 * $E$1)</f>
        <v>7165.52</v>
      </c>
      <c r="M3733" s="1">
        <v>8741.93</v>
      </c>
      <c r="N3733" s="1">
        <v>7165.52</v>
      </c>
      <c r="O3733" s="1">
        <v>7430.64</v>
      </c>
      <c r="P3733" s="1">
        <v>6090.69</v>
      </c>
      <c r="Q3733">
        <v>2.67</v>
      </c>
      <c r="R3733">
        <v>1.0289E-2</v>
      </c>
    </row>
    <row r="3734" spans="1:18" ht="13.8" outlineLevel="3" x14ac:dyDescent="0.25">
      <c r="A3734">
        <v>55987</v>
      </c>
      <c r="B3734" t="s">
        <v>4913</v>
      </c>
      <c r="C3734" t="s">
        <v>4919</v>
      </c>
      <c r="D3734" s="14" t="s">
        <v>4920</v>
      </c>
      <c r="E3734" s="12" t="s">
        <v>28</v>
      </c>
      <c r="F3734" s="13" t="s">
        <v>29</v>
      </c>
      <c r="G3734">
        <v>1</v>
      </c>
      <c r="H3734" t="s">
        <v>30</v>
      </c>
      <c r="I3734">
        <v>1</v>
      </c>
      <c r="J3734" s="15"/>
      <c r="K3734" s="16">
        <f>2328.31 - (2328.31 * $E$1)</f>
        <v>2328.31</v>
      </c>
      <c r="L3734" s="16">
        <f>1908.45 - (1908.45 * $E$1)</f>
        <v>1908.45</v>
      </c>
      <c r="M3734" s="1">
        <v>2328.31</v>
      </c>
      <c r="N3734" s="1">
        <v>1908.45</v>
      </c>
      <c r="O3734" s="1">
        <v>1979.06</v>
      </c>
      <c r="P3734" s="1">
        <v>1622.18</v>
      </c>
      <c r="Q3734">
        <v>0.87</v>
      </c>
      <c r="R3734">
        <v>1.596E-3</v>
      </c>
    </row>
    <row r="3735" spans="1:18" ht="13.8" outlineLevel="3" x14ac:dyDescent="0.25">
      <c r="A3735">
        <v>63995</v>
      </c>
      <c r="B3735" t="s">
        <v>4913</v>
      </c>
      <c r="C3735" t="s">
        <v>4921</v>
      </c>
      <c r="D3735" s="14" t="s">
        <v>4922</v>
      </c>
      <c r="E3735" s="12" t="s">
        <v>28</v>
      </c>
      <c r="F3735" s="13" t="s">
        <v>29</v>
      </c>
      <c r="G3735">
        <v>1</v>
      </c>
      <c r="H3735" t="s">
        <v>30</v>
      </c>
      <c r="I3735">
        <v>1</v>
      </c>
      <c r="J3735" s="15"/>
      <c r="K3735" s="16">
        <f>2957.72 - (2957.72 * $E$1)</f>
        <v>2957.72</v>
      </c>
      <c r="L3735" s="16">
        <f>2424.36 - (2424.36 * $E$1)</f>
        <v>2424.36</v>
      </c>
      <c r="M3735" s="1">
        <v>2957.72</v>
      </c>
      <c r="N3735" s="1">
        <v>2424.36</v>
      </c>
      <c r="O3735" s="1">
        <v>2514.06</v>
      </c>
      <c r="P3735" s="1">
        <v>2060.71</v>
      </c>
      <c r="Q3735">
        <v>1.1299999999999999</v>
      </c>
      <c r="R3735">
        <v>2.5000000000000001E-3</v>
      </c>
    </row>
    <row r="3736" spans="1:18" ht="13.8" outlineLevel="3" x14ac:dyDescent="0.25">
      <c r="A3736">
        <v>67374</v>
      </c>
      <c r="B3736" t="s">
        <v>4913</v>
      </c>
      <c r="C3736" t="s">
        <v>4923</v>
      </c>
      <c r="D3736" s="14" t="s">
        <v>4924</v>
      </c>
      <c r="E3736" s="12" t="s">
        <v>28</v>
      </c>
      <c r="F3736" s="13" t="s">
        <v>29</v>
      </c>
      <c r="G3736">
        <v>1</v>
      </c>
      <c r="H3736" t="s">
        <v>30</v>
      </c>
      <c r="I3736">
        <v>1</v>
      </c>
      <c r="J3736" s="15"/>
      <c r="K3736" s="16">
        <f>3414.85 - (3414.85 * $E$1)</f>
        <v>3414.85</v>
      </c>
      <c r="L3736" s="16">
        <f>2799.06 - (2799.06 * $E$1)</f>
        <v>2799.06</v>
      </c>
      <c r="M3736" s="1">
        <v>3414.85</v>
      </c>
      <c r="N3736" s="1">
        <v>2799.06</v>
      </c>
      <c r="O3736" s="1">
        <v>2902.63</v>
      </c>
      <c r="P3736" s="1">
        <v>2379.1999999999998</v>
      </c>
      <c r="Q3736">
        <v>0.78</v>
      </c>
      <c r="R3736">
        <v>1.536E-3</v>
      </c>
    </row>
    <row r="3737" spans="1:18" ht="13.8" outlineLevel="3" x14ac:dyDescent="0.25">
      <c r="A3737">
        <v>73301</v>
      </c>
      <c r="B3737" t="s">
        <v>4913</v>
      </c>
      <c r="C3737" t="s">
        <v>4925</v>
      </c>
      <c r="D3737" s="14" t="s">
        <v>4926</v>
      </c>
      <c r="E3737" s="12" t="s">
        <v>28</v>
      </c>
      <c r="F3737" s="13" t="s">
        <v>29</v>
      </c>
      <c r="G3737">
        <v>1</v>
      </c>
      <c r="H3737" t="s">
        <v>30</v>
      </c>
      <c r="I3737">
        <v>1</v>
      </c>
      <c r="J3737" s="15"/>
      <c r="K3737" s="16">
        <f>11573.65 - (11573.65 * $E$1)</f>
        <v>11573.65</v>
      </c>
      <c r="L3737" s="16">
        <f>9486.6 - (9486.6 * $E$1)</f>
        <v>9486.6</v>
      </c>
      <c r="M3737" s="1">
        <v>11573.65</v>
      </c>
      <c r="N3737" s="1">
        <v>9486.6</v>
      </c>
      <c r="O3737" s="1">
        <v>9837.6</v>
      </c>
      <c r="P3737" s="1">
        <v>8063.61</v>
      </c>
      <c r="Q3737">
        <v>1.4</v>
      </c>
      <c r="R3737">
        <v>3.64E-3</v>
      </c>
    </row>
    <row r="3738" spans="1:18" ht="13.8" outlineLevel="3" x14ac:dyDescent="0.25">
      <c r="A3738">
        <v>73302</v>
      </c>
      <c r="B3738" t="s">
        <v>4913</v>
      </c>
      <c r="C3738" t="s">
        <v>4927</v>
      </c>
      <c r="D3738" s="14" t="s">
        <v>4928</v>
      </c>
      <c r="E3738" s="12" t="s">
        <v>28</v>
      </c>
      <c r="F3738" s="13" t="s">
        <v>29</v>
      </c>
      <c r="G3738">
        <v>1</v>
      </c>
      <c r="H3738" t="s">
        <v>30</v>
      </c>
      <c r="I3738">
        <v>1</v>
      </c>
      <c r="J3738" s="15"/>
      <c r="K3738" s="16">
        <f>3859.98 - (3859.98 * $E$1)</f>
        <v>3859.98</v>
      </c>
      <c r="L3738" s="16">
        <f>3163.92 - (3163.92 * $E$1)</f>
        <v>3163.92</v>
      </c>
      <c r="M3738" s="1">
        <v>3859.98</v>
      </c>
      <c r="N3738" s="1">
        <v>3163.92</v>
      </c>
      <c r="O3738" s="1">
        <v>3280.99</v>
      </c>
      <c r="P3738" s="1">
        <v>2689.33</v>
      </c>
      <c r="Q3738">
        <v>1.474</v>
      </c>
      <c r="R3738">
        <v>3.3279999999999998E-3</v>
      </c>
    </row>
    <row r="3739" spans="1:18" ht="13.8" outlineLevel="3" x14ac:dyDescent="0.25">
      <c r="A3739">
        <v>88962</v>
      </c>
      <c r="B3739" t="s">
        <v>4916</v>
      </c>
      <c r="C3739" t="s">
        <v>4929</v>
      </c>
      <c r="D3739" s="14" t="s">
        <v>4930</v>
      </c>
      <c r="E3739" s="12" t="s">
        <v>28</v>
      </c>
      <c r="F3739" s="13" t="s">
        <v>29</v>
      </c>
      <c r="G3739">
        <v>1</v>
      </c>
      <c r="H3739" t="s">
        <v>30</v>
      </c>
      <c r="I3739">
        <v>1</v>
      </c>
      <c r="J3739" s="15"/>
      <c r="K3739" s="16">
        <f>4920.39 - (4920.39 * $E$1)</f>
        <v>4920.3900000000003</v>
      </c>
      <c r="L3739" s="16">
        <f>4033.11 - (4033.11 * $E$1)</f>
        <v>4033.11</v>
      </c>
      <c r="M3739" s="1">
        <v>4920.3900000000003</v>
      </c>
      <c r="N3739" s="1">
        <v>4033.11</v>
      </c>
      <c r="O3739" s="1">
        <v>4182.34</v>
      </c>
      <c r="P3739" s="1">
        <v>3428.14</v>
      </c>
      <c r="Q3739">
        <v>1.202</v>
      </c>
      <c r="R3739">
        <v>2.5500000000000002E-3</v>
      </c>
    </row>
    <row r="3740" spans="1:18" ht="13.8" outlineLevel="3" x14ac:dyDescent="0.25">
      <c r="A3740">
        <v>92069</v>
      </c>
      <c r="B3740" t="s">
        <v>4916</v>
      </c>
      <c r="C3740" t="s">
        <v>4931</v>
      </c>
      <c r="D3740" s="14" t="s">
        <v>4932</v>
      </c>
      <c r="E3740" s="12" t="s">
        <v>28</v>
      </c>
      <c r="F3740" s="13" t="s">
        <v>29</v>
      </c>
      <c r="G3740">
        <v>1</v>
      </c>
      <c r="H3740" t="s">
        <v>30</v>
      </c>
      <c r="I3740">
        <v>1</v>
      </c>
      <c r="J3740" s="15"/>
      <c r="K3740" s="16">
        <f>12985.81 - (12985.81 * $E$1)</f>
        <v>12985.81</v>
      </c>
      <c r="L3740" s="16">
        <f>10644.11 - (10644.11 * $E$1)</f>
        <v>10644.11</v>
      </c>
      <c r="M3740" s="1">
        <v>12985.81</v>
      </c>
      <c r="N3740" s="1">
        <v>10644.11</v>
      </c>
      <c r="O3740" s="1">
        <v>11037.94</v>
      </c>
      <c r="P3740" s="1">
        <v>9047.49</v>
      </c>
      <c r="Q3740">
        <v>2.76</v>
      </c>
      <c r="R3740">
        <v>4.914E-3</v>
      </c>
    </row>
    <row r="3741" spans="1:18" ht="13.8" outlineLevel="3" x14ac:dyDescent="0.25">
      <c r="A3741">
        <v>92070</v>
      </c>
      <c r="B3741" t="s">
        <v>4916</v>
      </c>
      <c r="C3741" t="s">
        <v>4933</v>
      </c>
      <c r="D3741" s="14" t="s">
        <v>4934</v>
      </c>
      <c r="E3741" s="12" t="s">
        <v>28</v>
      </c>
      <c r="F3741" s="13" t="s">
        <v>29</v>
      </c>
      <c r="G3741">
        <v>1</v>
      </c>
      <c r="H3741" t="s">
        <v>30</v>
      </c>
      <c r="I3741">
        <v>1</v>
      </c>
      <c r="J3741" s="15"/>
      <c r="K3741" s="16">
        <f>5417.62 - (5417.62 * $E$1)</f>
        <v>5417.62</v>
      </c>
      <c r="L3741" s="16">
        <f>4440.67 - (4440.67 * $E$1)</f>
        <v>4440.67</v>
      </c>
      <c r="M3741" s="1">
        <v>5417.62</v>
      </c>
      <c r="N3741" s="1">
        <v>4440.67</v>
      </c>
      <c r="O3741" s="1">
        <v>4604.97</v>
      </c>
      <c r="P3741" s="1">
        <v>3774.57</v>
      </c>
      <c r="Q3741">
        <v>1.48</v>
      </c>
      <c r="R3741">
        <v>4.9699999999999996E-3</v>
      </c>
    </row>
    <row r="3742" spans="1:18" ht="16.5" customHeight="1" outlineLevel="2" x14ac:dyDescent="0.35">
      <c r="A3742" s="9"/>
      <c r="B3742" s="10" t="s">
        <v>4935</v>
      </c>
      <c r="C3742" s="10"/>
      <c r="D3742" s="10"/>
      <c r="E3742" s="10"/>
      <c r="F3742" s="10"/>
      <c r="G3742" s="10"/>
      <c r="H3742" s="10"/>
      <c r="I3742" s="10"/>
      <c r="J3742" s="10"/>
      <c r="K3742" s="10"/>
      <c r="L3742" s="10"/>
      <c r="M3742" s="10"/>
      <c r="N3742" s="10"/>
      <c r="O3742" s="10"/>
      <c r="P3742" s="10"/>
      <c r="Q3742" s="10"/>
      <c r="R3742" s="11"/>
    </row>
    <row r="3743" spans="1:18" ht="13.8" outlineLevel="3" x14ac:dyDescent="0.25">
      <c r="A3743">
        <v>71103</v>
      </c>
      <c r="B3743" t="s">
        <v>4916</v>
      </c>
      <c r="C3743" t="s">
        <v>4936</v>
      </c>
      <c r="D3743" s="14" t="s">
        <v>4937</v>
      </c>
      <c r="E3743" s="12" t="s">
        <v>28</v>
      </c>
      <c r="F3743" s="13" t="s">
        <v>29</v>
      </c>
      <c r="G3743">
        <v>1</v>
      </c>
      <c r="H3743" t="s">
        <v>30</v>
      </c>
      <c r="I3743">
        <v>1</v>
      </c>
      <c r="J3743" s="15"/>
      <c r="K3743" s="16">
        <f>20917.55 - (20917.55 * $E$1)</f>
        <v>20917.55</v>
      </c>
      <c r="L3743" s="16">
        <f>17145.53 - (17145.53 * $E$1)</f>
        <v>17145.53</v>
      </c>
      <c r="M3743" s="1">
        <v>20917.55</v>
      </c>
      <c r="N3743" s="1">
        <v>17145.53</v>
      </c>
      <c r="O3743" s="1">
        <v>17779.91</v>
      </c>
      <c r="P3743" s="1">
        <v>14573.7</v>
      </c>
      <c r="Q3743">
        <v>1.2</v>
      </c>
      <c r="R3743">
        <v>4.1539999999999997E-3</v>
      </c>
    </row>
    <row r="3744" spans="1:18" ht="13.8" outlineLevel="3" x14ac:dyDescent="0.25">
      <c r="A3744">
        <v>71104</v>
      </c>
      <c r="B3744" t="s">
        <v>4938</v>
      </c>
      <c r="C3744" t="s">
        <v>4939</v>
      </c>
      <c r="D3744" s="14" t="s">
        <v>4940</v>
      </c>
      <c r="E3744" s="12" t="s">
        <v>28</v>
      </c>
      <c r="F3744" s="13" t="s">
        <v>29</v>
      </c>
      <c r="G3744">
        <v>1</v>
      </c>
      <c r="H3744" t="s">
        <v>30</v>
      </c>
      <c r="I3744">
        <v>1</v>
      </c>
      <c r="J3744" s="15"/>
      <c r="K3744" s="16">
        <f>27247.99 - (27247.99 * $E$1)</f>
        <v>27247.99</v>
      </c>
      <c r="L3744" s="16">
        <f>22334.42 - (22334.42 * $E$1)</f>
        <v>22334.42</v>
      </c>
      <c r="M3744" s="1">
        <v>27247.99</v>
      </c>
      <c r="N3744" s="1">
        <v>22334.42</v>
      </c>
      <c r="O3744" s="1">
        <v>23160.79</v>
      </c>
      <c r="P3744" s="1">
        <v>18984.259999999998</v>
      </c>
      <c r="Q3744">
        <v>2.96</v>
      </c>
      <c r="R3744">
        <v>1.0919999999999999E-2</v>
      </c>
    </row>
    <row r="3745" spans="1:18" ht="13.8" outlineLevel="3" x14ac:dyDescent="0.25">
      <c r="A3745">
        <v>60468</v>
      </c>
      <c r="B3745" t="s">
        <v>4941</v>
      </c>
      <c r="C3745" t="s">
        <v>4942</v>
      </c>
      <c r="D3745" s="14" t="s">
        <v>4943</v>
      </c>
      <c r="E3745" s="12" t="s">
        <v>28</v>
      </c>
      <c r="F3745" s="13" t="s">
        <v>29</v>
      </c>
      <c r="G3745">
        <v>1</v>
      </c>
      <c r="H3745" t="s">
        <v>30</v>
      </c>
      <c r="I3745">
        <v>1</v>
      </c>
      <c r="J3745" s="15"/>
      <c r="K3745" s="16">
        <f>35020.17 - (35020.17 * $E$1)</f>
        <v>35020.17</v>
      </c>
      <c r="L3745" s="16">
        <f>28705.06 - (28705.06 * $E$1)</f>
        <v>28705.06</v>
      </c>
      <c r="M3745" s="1">
        <v>35020.17</v>
      </c>
      <c r="N3745" s="1">
        <v>28705.06</v>
      </c>
      <c r="O3745" s="1">
        <v>29767.15</v>
      </c>
      <c r="P3745" s="1">
        <v>24399.3</v>
      </c>
      <c r="Q3745">
        <v>4.7</v>
      </c>
      <c r="R3745">
        <v>1.1088000000000001E-2</v>
      </c>
    </row>
    <row r="3746" spans="1:18" ht="13.8" outlineLevel="3" x14ac:dyDescent="0.25">
      <c r="A3746">
        <v>105955</v>
      </c>
      <c r="B3746" t="s">
        <v>4916</v>
      </c>
      <c r="C3746" t="s">
        <v>4944</v>
      </c>
      <c r="D3746" s="14" t="s">
        <v>4945</v>
      </c>
      <c r="E3746" s="12" t="s">
        <v>28</v>
      </c>
      <c r="F3746" s="18" t="s">
        <v>1467</v>
      </c>
      <c r="G3746">
        <v>1</v>
      </c>
      <c r="H3746" t="s">
        <v>30</v>
      </c>
      <c r="I3746">
        <v>1</v>
      </c>
      <c r="J3746" s="15"/>
      <c r="K3746" s="16">
        <f>27787.1 - (27787.1 * $E$1)</f>
        <v>27787.1</v>
      </c>
      <c r="L3746" s="16">
        <f>22776.31 - (22776.31 * $E$1)</f>
        <v>22776.31</v>
      </c>
      <c r="M3746" s="1">
        <v>27787.1</v>
      </c>
      <c r="N3746" s="1">
        <v>22776.31</v>
      </c>
      <c r="O3746" s="1">
        <v>23619.03</v>
      </c>
      <c r="P3746" s="1">
        <v>19359.86</v>
      </c>
      <c r="Q3746">
        <v>3.3250000000000002</v>
      </c>
      <c r="R3746">
        <v>1.0919999999999999E-2</v>
      </c>
    </row>
    <row r="3747" spans="1:18" ht="13.8" outlineLevel="3" x14ac:dyDescent="0.25">
      <c r="A3747">
        <v>65186</v>
      </c>
      <c r="B3747" t="s">
        <v>4916</v>
      </c>
      <c r="C3747" t="s">
        <v>4946</v>
      </c>
      <c r="D3747" s="14" t="s">
        <v>4947</v>
      </c>
      <c r="E3747" s="12" t="s">
        <v>28</v>
      </c>
      <c r="F3747" s="13" t="s">
        <v>29</v>
      </c>
      <c r="G3747">
        <v>1</v>
      </c>
      <c r="H3747" t="s">
        <v>30</v>
      </c>
      <c r="I3747">
        <v>1</v>
      </c>
      <c r="J3747" s="15"/>
      <c r="K3747" s="16">
        <f>33659.84 - (33659.84 * $E$1)</f>
        <v>33659.839999999997</v>
      </c>
      <c r="L3747" s="16">
        <f>27590.03 - (27590.03 * $E$1)</f>
        <v>27590.03</v>
      </c>
      <c r="M3747" s="1">
        <v>33659.839999999997</v>
      </c>
      <c r="N3747" s="1">
        <v>27590.03</v>
      </c>
      <c r="O3747" s="1">
        <v>28610.86</v>
      </c>
      <c r="P3747" s="1">
        <v>23451.53</v>
      </c>
      <c r="Q3747">
        <v>4.165</v>
      </c>
      <c r="R3747">
        <v>1.0919999999999999E-2</v>
      </c>
    </row>
    <row r="3748" spans="1:18" ht="13.8" outlineLevel="3" x14ac:dyDescent="0.25">
      <c r="A3748">
        <v>105668</v>
      </c>
      <c r="B3748" t="s">
        <v>4916</v>
      </c>
      <c r="C3748" t="s">
        <v>4948</v>
      </c>
      <c r="D3748" s="14" t="s">
        <v>4949</v>
      </c>
      <c r="E3748" s="12" t="s">
        <v>28</v>
      </c>
      <c r="F3748" s="18" t="s">
        <v>1467</v>
      </c>
      <c r="G3748">
        <v>1</v>
      </c>
      <c r="H3748" t="s">
        <v>30</v>
      </c>
      <c r="I3748">
        <v>1</v>
      </c>
      <c r="J3748" s="15"/>
      <c r="K3748" s="16">
        <f>41389.01 - (41389.01 * $E$1)</f>
        <v>41389.01</v>
      </c>
      <c r="L3748" s="16">
        <f>33925.42 - (33925.42 * $E$1)</f>
        <v>33925.42</v>
      </c>
      <c r="M3748" s="1">
        <v>41389.01</v>
      </c>
      <c r="N3748" s="1">
        <v>33925.42</v>
      </c>
      <c r="O3748" s="1">
        <v>35180.660000000003</v>
      </c>
      <c r="P3748" s="1">
        <v>28836.61</v>
      </c>
      <c r="Q3748">
        <v>5.9</v>
      </c>
      <c r="R3748">
        <v>1.7812999999999999E-2</v>
      </c>
    </row>
    <row r="3749" spans="1:18" ht="13.8" outlineLevel="3" x14ac:dyDescent="0.25">
      <c r="A3749">
        <v>87296</v>
      </c>
      <c r="B3749" t="s">
        <v>4950</v>
      </c>
      <c r="C3749" t="s">
        <v>4951</v>
      </c>
      <c r="D3749" s="14" t="s">
        <v>4952</v>
      </c>
      <c r="E3749" s="12" t="s">
        <v>28</v>
      </c>
      <c r="F3749" s="13" t="s">
        <v>29</v>
      </c>
      <c r="G3749">
        <v>1</v>
      </c>
      <c r="H3749" t="s">
        <v>30</v>
      </c>
      <c r="I3749">
        <v>1</v>
      </c>
      <c r="J3749" s="15"/>
      <c r="K3749" s="16">
        <f>45181.02 - (45181.02 * $E$1)</f>
        <v>45181.02</v>
      </c>
      <c r="L3749" s="16">
        <f>37033.62 - (37033.62 * $E$1)</f>
        <v>37033.620000000003</v>
      </c>
      <c r="M3749" s="1">
        <v>45181.02</v>
      </c>
      <c r="N3749" s="1">
        <v>37033.620000000003</v>
      </c>
      <c r="O3749" s="1">
        <v>38403.86</v>
      </c>
      <c r="P3749" s="1">
        <v>31478.58</v>
      </c>
      <c r="Q3749">
        <v>1.67</v>
      </c>
      <c r="R3749">
        <v>5.0569999999999999E-3</v>
      </c>
    </row>
    <row r="3750" spans="1:18" ht="13.8" outlineLevel="3" x14ac:dyDescent="0.25">
      <c r="A3750">
        <v>105636</v>
      </c>
      <c r="B3750" t="s">
        <v>4953</v>
      </c>
      <c r="C3750" t="s">
        <v>4954</v>
      </c>
      <c r="D3750" s="14" t="s">
        <v>4955</v>
      </c>
      <c r="E3750" s="12" t="s">
        <v>28</v>
      </c>
      <c r="F3750" s="18" t="s">
        <v>1467</v>
      </c>
      <c r="G3750">
        <v>1</v>
      </c>
      <c r="H3750" t="s">
        <v>30</v>
      </c>
      <c r="I3750">
        <v>1</v>
      </c>
      <c r="J3750" s="15"/>
      <c r="K3750" s="16">
        <f>3362.77 - (3362.77 * $E$1)</f>
        <v>3362.77</v>
      </c>
      <c r="L3750" s="16">
        <f>2756.37 - (2756.37 * $E$1)</f>
        <v>2756.37</v>
      </c>
      <c r="M3750" s="1">
        <v>3362.77</v>
      </c>
      <c r="N3750" s="1">
        <v>2756.37</v>
      </c>
      <c r="O3750" s="1">
        <v>2858.36</v>
      </c>
      <c r="P3750" s="1">
        <v>2342.91</v>
      </c>
      <c r="Q3750">
        <v>0.72</v>
      </c>
      <c r="R3750">
        <v>2.542E-3</v>
      </c>
    </row>
    <row r="3751" spans="1:18" ht="13.8" outlineLevel="3" x14ac:dyDescent="0.25">
      <c r="A3751">
        <v>105669</v>
      </c>
      <c r="B3751" t="s">
        <v>4956</v>
      </c>
      <c r="C3751" t="s">
        <v>4957</v>
      </c>
      <c r="D3751" s="14" t="s">
        <v>4958</v>
      </c>
      <c r="E3751" s="12" t="s">
        <v>28</v>
      </c>
      <c r="F3751" s="13" t="s">
        <v>29</v>
      </c>
      <c r="G3751">
        <v>1</v>
      </c>
      <c r="H3751" t="s">
        <v>30</v>
      </c>
      <c r="I3751">
        <v>1</v>
      </c>
      <c r="J3751" s="15"/>
      <c r="K3751" s="16">
        <f>6079.52 - (6079.52 * $E$1)</f>
        <v>6079.52</v>
      </c>
      <c r="L3751" s="16">
        <f>4983.21 - (4983.21 * $E$1)</f>
        <v>4983.21</v>
      </c>
      <c r="M3751" s="1">
        <v>6079.52</v>
      </c>
      <c r="N3751" s="1">
        <v>4983.21</v>
      </c>
      <c r="O3751" s="1">
        <v>5167.59</v>
      </c>
      <c r="P3751" s="1">
        <v>4235.7299999999996</v>
      </c>
      <c r="Q3751">
        <v>1.0149999999999999</v>
      </c>
      <c r="R3751">
        <v>1.688E-3</v>
      </c>
    </row>
    <row r="3752" spans="1:18" ht="13.8" outlineLevel="3" x14ac:dyDescent="0.25">
      <c r="A3752">
        <v>105670</v>
      </c>
      <c r="B3752" t="s">
        <v>4956</v>
      </c>
      <c r="C3752" t="s">
        <v>4959</v>
      </c>
      <c r="D3752" s="14" t="s">
        <v>4960</v>
      </c>
      <c r="E3752" s="12" t="s">
        <v>28</v>
      </c>
      <c r="F3752" s="13" t="s">
        <v>29</v>
      </c>
      <c r="G3752">
        <v>1</v>
      </c>
      <c r="H3752" t="s">
        <v>30</v>
      </c>
      <c r="I3752">
        <v>1</v>
      </c>
      <c r="J3752" s="15"/>
      <c r="K3752" s="16">
        <f>11305.03 - (11305.03 * $E$1)</f>
        <v>11305.03</v>
      </c>
      <c r="L3752" s="16">
        <f>9266.42 - (9266.42 * $E$1)</f>
        <v>9266.42</v>
      </c>
      <c r="M3752" s="1">
        <v>11305.03</v>
      </c>
      <c r="N3752" s="1">
        <v>9266.42</v>
      </c>
      <c r="O3752" s="1">
        <v>9609.2800000000007</v>
      </c>
      <c r="P3752" s="1">
        <v>7876.46</v>
      </c>
      <c r="Q3752">
        <v>1.75</v>
      </c>
      <c r="R3752">
        <v>3.2000000000000002E-3</v>
      </c>
    </row>
    <row r="3753" spans="1:18" ht="13.8" outlineLevel="3" x14ac:dyDescent="0.25">
      <c r="A3753">
        <v>105735</v>
      </c>
      <c r="B3753" t="s">
        <v>4956</v>
      </c>
      <c r="C3753" t="s">
        <v>4961</v>
      </c>
      <c r="D3753" s="14" t="s">
        <v>4962</v>
      </c>
      <c r="E3753" s="12" t="s">
        <v>28</v>
      </c>
      <c r="F3753" s="13" t="s">
        <v>29</v>
      </c>
      <c r="G3753">
        <v>1</v>
      </c>
      <c r="H3753" t="s">
        <v>30</v>
      </c>
      <c r="I3753">
        <v>1</v>
      </c>
      <c r="J3753" s="15"/>
      <c r="K3753" s="16">
        <f>16553.28 - (16553.28 * $E$1)</f>
        <v>16553.28</v>
      </c>
      <c r="L3753" s="16">
        <f>13568.26 - (13568.26 * $E$1)</f>
        <v>13568.26</v>
      </c>
      <c r="M3753" s="1">
        <v>16553.28</v>
      </c>
      <c r="N3753" s="1">
        <v>13568.26</v>
      </c>
      <c r="O3753" s="1">
        <v>14070.29</v>
      </c>
      <c r="P3753" s="1">
        <v>11533.02</v>
      </c>
      <c r="Q3753">
        <v>1.63</v>
      </c>
      <c r="R3753">
        <v>3.2000000000000002E-3</v>
      </c>
    </row>
    <row r="3754" spans="1:18" ht="13.8" outlineLevel="3" x14ac:dyDescent="0.25">
      <c r="A3754">
        <v>74706</v>
      </c>
      <c r="B3754" t="s">
        <v>4963</v>
      </c>
      <c r="C3754" t="s">
        <v>4964</v>
      </c>
      <c r="D3754" s="14" t="s">
        <v>4965</v>
      </c>
      <c r="E3754" s="12" t="s">
        <v>28</v>
      </c>
      <c r="F3754" s="17" t="s">
        <v>549</v>
      </c>
      <c r="G3754">
        <v>1</v>
      </c>
      <c r="H3754" t="s">
        <v>30</v>
      </c>
      <c r="I3754">
        <v>1</v>
      </c>
      <c r="J3754" s="15"/>
      <c r="K3754" s="16">
        <f>5923.25 - (5923.25 * $E$1)</f>
        <v>5923.25</v>
      </c>
      <c r="L3754" s="16">
        <f>4855.12 - (4855.12 * $E$1)</f>
        <v>4855.12</v>
      </c>
      <c r="M3754" s="1">
        <v>5923.25</v>
      </c>
      <c r="N3754" s="1">
        <v>4855.12</v>
      </c>
      <c r="O3754" s="1">
        <v>5034.76</v>
      </c>
      <c r="P3754" s="1">
        <v>4126.8500000000004</v>
      </c>
      <c r="Q3754">
        <v>0.55000000000000004</v>
      </c>
      <c r="R3754">
        <v>1.2869999999999999E-3</v>
      </c>
    </row>
    <row r="3755" spans="1:18" ht="13.8" outlineLevel="3" x14ac:dyDescent="0.25">
      <c r="A3755">
        <v>74707</v>
      </c>
      <c r="B3755" t="s">
        <v>4963</v>
      </c>
      <c r="C3755" t="s">
        <v>4966</v>
      </c>
      <c r="D3755" s="14" t="s">
        <v>4967</v>
      </c>
      <c r="E3755" s="12" t="s">
        <v>28</v>
      </c>
      <c r="F3755" s="17" t="s">
        <v>549</v>
      </c>
      <c r="G3755">
        <v>1</v>
      </c>
      <c r="H3755" t="s">
        <v>30</v>
      </c>
      <c r="I3755">
        <v>1</v>
      </c>
      <c r="J3755" s="15"/>
      <c r="K3755" s="16">
        <f>11385.96 - (11385.96 * $E$1)</f>
        <v>11385.96</v>
      </c>
      <c r="L3755" s="16">
        <f>9332.75 - (9332.75 * $E$1)</f>
        <v>9332.75</v>
      </c>
      <c r="M3755" s="1">
        <v>11385.96</v>
      </c>
      <c r="N3755" s="1">
        <v>9332.75</v>
      </c>
      <c r="O3755" s="1">
        <v>9678.06</v>
      </c>
      <c r="P3755" s="1">
        <v>7932.84</v>
      </c>
      <c r="Q3755">
        <v>0.85</v>
      </c>
      <c r="R3755">
        <v>1.4300000000000001E-3</v>
      </c>
    </row>
    <row r="3756" spans="1:18" ht="13.8" outlineLevel="3" x14ac:dyDescent="0.25">
      <c r="A3756">
        <v>89750</v>
      </c>
      <c r="B3756" t="s">
        <v>4956</v>
      </c>
      <c r="C3756" t="s">
        <v>4968</v>
      </c>
      <c r="D3756" s="14" t="s">
        <v>4969</v>
      </c>
      <c r="E3756" s="12" t="s">
        <v>28</v>
      </c>
      <c r="F3756" s="17" t="s">
        <v>549</v>
      </c>
      <c r="G3756">
        <v>1</v>
      </c>
      <c r="H3756" t="s">
        <v>30</v>
      </c>
      <c r="I3756">
        <v>1</v>
      </c>
      <c r="J3756" s="15"/>
      <c r="K3756" s="16">
        <f>9792.04 - (9792.04 * $E$1)</f>
        <v>9792.0400000000009</v>
      </c>
      <c r="L3756" s="16">
        <f>8026.26 - (8026.26 * $E$1)</f>
        <v>8026.26</v>
      </c>
      <c r="M3756" s="1">
        <v>9792.0400000000009</v>
      </c>
      <c r="N3756" s="1">
        <v>8026.26</v>
      </c>
      <c r="O3756" s="1">
        <v>8323.23</v>
      </c>
      <c r="P3756" s="1">
        <v>6822.32</v>
      </c>
      <c r="Q3756">
        <v>0.84</v>
      </c>
      <c r="R3756">
        <v>1.421E-3</v>
      </c>
    </row>
    <row r="3757" spans="1:18" ht="13.8" outlineLevel="3" x14ac:dyDescent="0.25">
      <c r="A3757">
        <v>105671</v>
      </c>
      <c r="B3757" t="s">
        <v>4970</v>
      </c>
      <c r="C3757" t="s">
        <v>4971</v>
      </c>
      <c r="D3757" s="14" t="s">
        <v>4972</v>
      </c>
      <c r="E3757" s="12" t="s">
        <v>28</v>
      </c>
      <c r="F3757" s="13" t="s">
        <v>29</v>
      </c>
      <c r="G3757">
        <v>1</v>
      </c>
      <c r="H3757" t="s">
        <v>30</v>
      </c>
      <c r="I3757">
        <v>1</v>
      </c>
      <c r="J3757" s="15"/>
      <c r="K3757" s="16">
        <f>7189.58 - (7189.58 * $E$1)</f>
        <v>7189.58</v>
      </c>
      <c r="L3757" s="16">
        <f>5893.1 - (5893.1 * $E$1)</f>
        <v>5893.1</v>
      </c>
      <c r="M3757" s="1">
        <v>7189.58</v>
      </c>
      <c r="N3757" s="1">
        <v>5893.1</v>
      </c>
      <c r="O3757" s="1">
        <v>6111.14</v>
      </c>
      <c r="P3757" s="1">
        <v>5009.1400000000003</v>
      </c>
      <c r="Q3757">
        <v>0.6</v>
      </c>
      <c r="R3757">
        <v>1.0989999999999999E-3</v>
      </c>
    </row>
    <row r="3758" spans="1:18" ht="13.8" outlineLevel="3" x14ac:dyDescent="0.25">
      <c r="A3758">
        <v>105672</v>
      </c>
      <c r="B3758" t="s">
        <v>4970</v>
      </c>
      <c r="C3758" t="s">
        <v>4973</v>
      </c>
      <c r="D3758" s="14" t="s">
        <v>4974</v>
      </c>
      <c r="E3758" s="12" t="s">
        <v>28</v>
      </c>
      <c r="F3758" s="13" t="s">
        <v>29</v>
      </c>
      <c r="G3758">
        <v>1</v>
      </c>
      <c r="H3758" t="s">
        <v>30</v>
      </c>
      <c r="I3758">
        <v>1</v>
      </c>
      <c r="J3758" s="15"/>
      <c r="K3758" s="16">
        <f>13862.73 - (13862.73 * $E$1)</f>
        <v>13862.73</v>
      </c>
      <c r="L3758" s="16">
        <f>11362.89 - (11362.89 * $E$1)</f>
        <v>11362.89</v>
      </c>
      <c r="M3758" s="1">
        <v>13862.73</v>
      </c>
      <c r="N3758" s="1">
        <v>11362.89</v>
      </c>
      <c r="O3758" s="1">
        <v>11783.32</v>
      </c>
      <c r="P3758" s="1">
        <v>9658.4599999999991</v>
      </c>
      <c r="Q3758">
        <v>0.9</v>
      </c>
      <c r="R3758">
        <v>1.3940000000000001E-3</v>
      </c>
    </row>
    <row r="3759" spans="1:18" ht="13.8" outlineLevel="3" x14ac:dyDescent="0.25">
      <c r="A3759">
        <v>89427</v>
      </c>
      <c r="B3759" t="s">
        <v>4970</v>
      </c>
      <c r="C3759" t="s">
        <v>4975</v>
      </c>
      <c r="D3759" s="14" t="s">
        <v>4976</v>
      </c>
      <c r="E3759" s="12" t="s">
        <v>28</v>
      </c>
      <c r="F3759" s="13" t="s">
        <v>29</v>
      </c>
      <c r="G3759">
        <v>1</v>
      </c>
      <c r="H3759" t="s">
        <v>30</v>
      </c>
      <c r="I3759">
        <v>1</v>
      </c>
      <c r="J3759" s="15"/>
      <c r="K3759" s="16">
        <f>11814.53 - (11814.53 * $E$1)</f>
        <v>11814.53</v>
      </c>
      <c r="L3759" s="16">
        <f>9684.04 - (9684.04 * $E$1)</f>
        <v>9684.0400000000009</v>
      </c>
      <c r="M3759" s="1">
        <v>11814.53</v>
      </c>
      <c r="N3759" s="1">
        <v>9684.0400000000009</v>
      </c>
      <c r="O3759" s="1">
        <v>10042.35</v>
      </c>
      <c r="P3759" s="1">
        <v>8231.43</v>
      </c>
      <c r="Q3759">
        <v>1.37</v>
      </c>
      <c r="R3759">
        <v>2.0479999999999999E-3</v>
      </c>
    </row>
    <row r="3760" spans="1:18" ht="13.8" outlineLevel="3" x14ac:dyDescent="0.25">
      <c r="A3760">
        <v>89751</v>
      </c>
      <c r="B3760" t="s">
        <v>4970</v>
      </c>
      <c r="C3760" t="s">
        <v>4977</v>
      </c>
      <c r="D3760" s="14" t="s">
        <v>4978</v>
      </c>
      <c r="E3760" s="12" t="s">
        <v>28</v>
      </c>
      <c r="F3760" s="13" t="s">
        <v>29</v>
      </c>
      <c r="G3760">
        <v>1</v>
      </c>
      <c r="H3760" t="s">
        <v>30</v>
      </c>
      <c r="I3760">
        <v>1</v>
      </c>
      <c r="J3760" s="15"/>
      <c r="K3760" s="16">
        <f>11488.92 - (11488.92 * $E$1)</f>
        <v>11488.92</v>
      </c>
      <c r="L3760" s="16">
        <f>9417.15 - (9417.15 * $E$1)</f>
        <v>9417.15</v>
      </c>
      <c r="M3760" s="1">
        <v>11488.92</v>
      </c>
      <c r="N3760" s="1">
        <v>9417.15</v>
      </c>
      <c r="O3760" s="1">
        <v>9765.58</v>
      </c>
      <c r="P3760" s="1">
        <v>8004.58</v>
      </c>
      <c r="Q3760">
        <v>1.268</v>
      </c>
      <c r="R3760">
        <v>2.3999999999999998E-3</v>
      </c>
    </row>
    <row r="3761" spans="1:18" ht="13.8" outlineLevel="3" x14ac:dyDescent="0.25">
      <c r="A3761">
        <v>92330</v>
      </c>
      <c r="B3761" t="s">
        <v>4970</v>
      </c>
      <c r="C3761" t="s">
        <v>4979</v>
      </c>
      <c r="D3761" s="14" t="s">
        <v>4980</v>
      </c>
      <c r="E3761" s="12" t="s">
        <v>28</v>
      </c>
      <c r="F3761" s="17" t="s">
        <v>549</v>
      </c>
      <c r="G3761">
        <v>1</v>
      </c>
      <c r="H3761" t="s">
        <v>30</v>
      </c>
      <c r="I3761">
        <v>1</v>
      </c>
      <c r="J3761" s="15"/>
      <c r="K3761" s="16">
        <f>7355.82 - (7355.82 * $E$1)</f>
        <v>7355.82</v>
      </c>
      <c r="L3761" s="16">
        <f>6029.36 - (6029.36 * $E$1)</f>
        <v>6029.36</v>
      </c>
      <c r="M3761" s="1">
        <v>7355.82</v>
      </c>
      <c r="N3761" s="1">
        <v>6029.36</v>
      </c>
      <c r="O3761" s="1">
        <v>6252.45</v>
      </c>
      <c r="P3761" s="1">
        <v>5124.96</v>
      </c>
      <c r="Q3761">
        <v>0.78</v>
      </c>
      <c r="R3761">
        <v>1.2600000000000001E-3</v>
      </c>
    </row>
    <row r="3762" spans="1:18" ht="13.8" outlineLevel="3" x14ac:dyDescent="0.25">
      <c r="A3762">
        <v>92331</v>
      </c>
      <c r="B3762" t="s">
        <v>4981</v>
      </c>
      <c r="C3762" t="s">
        <v>4982</v>
      </c>
      <c r="D3762" s="14" t="s">
        <v>4983</v>
      </c>
      <c r="E3762" s="12" t="s">
        <v>28</v>
      </c>
      <c r="F3762" s="13" t="s">
        <v>29</v>
      </c>
      <c r="G3762">
        <v>1</v>
      </c>
      <c r="H3762" t="s">
        <v>30</v>
      </c>
      <c r="I3762">
        <v>1</v>
      </c>
      <c r="J3762" s="15"/>
      <c r="K3762" s="16">
        <f>11724.74 - (11724.74 * $E$1)</f>
        <v>11724.74</v>
      </c>
      <c r="L3762" s="16">
        <f>9610.44 - (9610.44 * $E$1)</f>
        <v>9610.44</v>
      </c>
      <c r="M3762" s="1">
        <v>11724.74</v>
      </c>
      <c r="N3762" s="1">
        <v>9610.44</v>
      </c>
      <c r="O3762" s="1">
        <v>9966.0300000000007</v>
      </c>
      <c r="P3762" s="1">
        <v>8168.87</v>
      </c>
      <c r="Q3762">
        <v>0.78</v>
      </c>
      <c r="R3762">
        <v>1.176E-3</v>
      </c>
    </row>
    <row r="3763" spans="1:18" ht="13.8" outlineLevel="3" x14ac:dyDescent="0.25">
      <c r="A3763">
        <v>89755</v>
      </c>
      <c r="C3763" t="s">
        <v>4984</v>
      </c>
      <c r="D3763" s="14" t="s">
        <v>4984</v>
      </c>
      <c r="E3763" s="12" t="s">
        <v>28</v>
      </c>
      <c r="F3763" s="13" t="s">
        <v>29</v>
      </c>
      <c r="G3763">
        <v>1</v>
      </c>
      <c r="H3763" t="s">
        <v>30</v>
      </c>
      <c r="I3763">
        <v>1</v>
      </c>
      <c r="J3763" s="15"/>
      <c r="K3763" s="16">
        <f>886.03 - (886.03 * $E$1)</f>
        <v>886.03</v>
      </c>
      <c r="L3763" s="16">
        <f>726.25 - (726.25 * $E$1)</f>
        <v>726.25</v>
      </c>
      <c r="M3763" s="1">
        <v>886.03</v>
      </c>
      <c r="N3763" s="1">
        <v>726.25</v>
      </c>
      <c r="O3763" s="1">
        <v>753.12</v>
      </c>
      <c r="P3763" s="1">
        <v>617.30999999999995</v>
      </c>
      <c r="Q3763">
        <v>0.375</v>
      </c>
      <c r="R3763">
        <v>7.8399999999999997E-4</v>
      </c>
    </row>
    <row r="3764" spans="1:18" ht="13.8" outlineLevel="3" x14ac:dyDescent="0.25">
      <c r="A3764">
        <v>60476</v>
      </c>
      <c r="C3764" t="s">
        <v>4985</v>
      </c>
      <c r="D3764" s="14" t="s">
        <v>4986</v>
      </c>
      <c r="E3764" s="12" t="s">
        <v>28</v>
      </c>
      <c r="F3764" s="13" t="s">
        <v>29</v>
      </c>
      <c r="G3764">
        <v>1</v>
      </c>
      <c r="H3764" t="s">
        <v>30</v>
      </c>
      <c r="I3764">
        <v>1</v>
      </c>
      <c r="J3764" s="15"/>
      <c r="K3764" s="16">
        <f>1134.8 - (1134.8 * $E$1)</f>
        <v>1134.8</v>
      </c>
      <c r="L3764" s="16">
        <f>930.16 - (930.16 * $E$1)</f>
        <v>930.16</v>
      </c>
      <c r="M3764" s="1">
        <v>1134.8</v>
      </c>
      <c r="N3764" s="1">
        <v>930.16</v>
      </c>
      <c r="O3764" s="1">
        <v>964.58</v>
      </c>
      <c r="P3764" s="1">
        <v>790.64</v>
      </c>
      <c r="Q3764">
        <v>0.54</v>
      </c>
      <c r="R3764">
        <v>5.8799999999999998E-4</v>
      </c>
    </row>
    <row r="3765" spans="1:18" ht="33.75" customHeight="1" x14ac:dyDescent="0.35">
      <c r="A3765" s="9"/>
      <c r="B3765" s="10" t="s">
        <v>4987</v>
      </c>
      <c r="C3765" s="10"/>
      <c r="D3765" s="10"/>
      <c r="E3765" s="10"/>
      <c r="F3765" s="10"/>
      <c r="G3765" s="10"/>
      <c r="H3765" s="10"/>
      <c r="I3765" s="10"/>
      <c r="J3765" s="10"/>
      <c r="K3765" s="10"/>
      <c r="L3765" s="10"/>
      <c r="M3765" s="10"/>
      <c r="N3765" s="10"/>
      <c r="O3765" s="10"/>
      <c r="P3765" s="10"/>
      <c r="Q3765" s="10"/>
      <c r="R3765" s="11"/>
    </row>
    <row r="3766" spans="1:18" ht="16.5" customHeight="1" outlineLevel="1" x14ac:dyDescent="0.35">
      <c r="A3766" s="9"/>
      <c r="B3766" s="10" t="s">
        <v>4988</v>
      </c>
      <c r="C3766" s="10"/>
      <c r="D3766" s="10"/>
      <c r="E3766" s="10"/>
      <c r="F3766" s="10"/>
      <c r="G3766" s="10"/>
      <c r="H3766" s="10"/>
      <c r="I3766" s="10"/>
      <c r="J3766" s="10"/>
      <c r="K3766" s="10"/>
      <c r="L3766" s="10"/>
      <c r="M3766" s="10"/>
      <c r="N3766" s="10"/>
      <c r="O3766" s="10"/>
      <c r="P3766" s="10"/>
      <c r="Q3766" s="10"/>
      <c r="R3766" s="11"/>
    </row>
    <row r="3767" spans="1:18" ht="13.8" outlineLevel="2" x14ac:dyDescent="0.25">
      <c r="A3767">
        <v>105417</v>
      </c>
      <c r="B3767" t="s">
        <v>4989</v>
      </c>
      <c r="C3767" t="s">
        <v>4990</v>
      </c>
      <c r="D3767" s="14" t="s">
        <v>4991</v>
      </c>
      <c r="E3767" s="12" t="s">
        <v>28</v>
      </c>
      <c r="F3767" s="18" t="s">
        <v>1467</v>
      </c>
      <c r="G3767">
        <v>1</v>
      </c>
      <c r="H3767" t="s">
        <v>30</v>
      </c>
      <c r="I3767">
        <v>1</v>
      </c>
      <c r="J3767" s="15"/>
      <c r="K3767" s="16">
        <f>IF($E$1&gt;=$Q$1%,4454.51-(4454.51*$Q$1%),4454.51-(4454.51*$E$1))</f>
        <v>4454.51</v>
      </c>
      <c r="L3767" s="16">
        <f>IF($E$1&gt;=$Q$1%,3651.24-(3651.24*$Q$1%),3651.24-(3651.24*$E$1))</f>
        <v>3651.24</v>
      </c>
      <c r="M3767" s="1">
        <v>4454.51</v>
      </c>
      <c r="N3767" s="1">
        <v>3651.24</v>
      </c>
      <c r="O3767" s="1">
        <v>4454.51</v>
      </c>
      <c r="P3767" s="1">
        <v>3651.24</v>
      </c>
      <c r="Q3767">
        <v>0.68</v>
      </c>
      <c r="R3767">
        <v>1.65E-3</v>
      </c>
    </row>
    <row r="3768" spans="1:18" ht="13.8" outlineLevel="2" x14ac:dyDescent="0.25">
      <c r="A3768">
        <v>106678</v>
      </c>
      <c r="B3768" t="s">
        <v>4992</v>
      </c>
      <c r="C3768" t="s">
        <v>4993</v>
      </c>
      <c r="D3768" s="14" t="s">
        <v>4994</v>
      </c>
      <c r="E3768" s="12" t="s">
        <v>28</v>
      </c>
      <c r="F3768" s="18" t="s">
        <v>1467</v>
      </c>
      <c r="G3768">
        <v>1</v>
      </c>
      <c r="H3768" t="s">
        <v>30</v>
      </c>
      <c r="I3768">
        <v>1</v>
      </c>
      <c r="J3768" s="15"/>
      <c r="K3768" s="16">
        <f>IF($E$1&gt;=$Q$1%,11152.98-(11152.98*$Q$1%),11152.98-(11152.98*$E$1))</f>
        <v>11152.98</v>
      </c>
      <c r="L3768" s="16">
        <f>IF($E$1&gt;=$Q$1%,9141.79-(9141.79*$Q$1%),9141.79-(9141.79*$E$1))</f>
        <v>9141.7900000000009</v>
      </c>
      <c r="M3768" s="1">
        <v>11152.98</v>
      </c>
      <c r="N3768" s="1">
        <v>9141.7900000000009</v>
      </c>
      <c r="O3768" s="1">
        <v>11152.98</v>
      </c>
      <c r="P3768" s="1">
        <v>9141.7900000000009</v>
      </c>
      <c r="Q3768">
        <v>2.3570000000000002</v>
      </c>
      <c r="R3768">
        <v>9.2399999999999999E-3</v>
      </c>
    </row>
    <row r="3769" spans="1:18" ht="13.8" outlineLevel="2" x14ac:dyDescent="0.25">
      <c r="A3769">
        <v>106679</v>
      </c>
      <c r="B3769" t="s">
        <v>4992</v>
      </c>
      <c r="C3769" t="s">
        <v>4995</v>
      </c>
      <c r="D3769" s="14" t="s">
        <v>4996</v>
      </c>
      <c r="E3769" s="12" t="s">
        <v>28</v>
      </c>
      <c r="F3769" s="18" t="s">
        <v>1467</v>
      </c>
      <c r="G3769">
        <v>1</v>
      </c>
      <c r="H3769" t="s">
        <v>30</v>
      </c>
      <c r="I3769">
        <v>1</v>
      </c>
      <c r="J3769" s="15"/>
      <c r="K3769" s="16">
        <f>IF($E$1&gt;=$Q$1%,14215.9-(14215.9*$Q$1%),14215.9-(14215.9*$E$1))</f>
        <v>14215.9</v>
      </c>
      <c r="L3769" s="16">
        <f>IF($E$1&gt;=$Q$1%,11652.38-(11652.38*$Q$1%),11652.38-(11652.38*$E$1))</f>
        <v>11652.38</v>
      </c>
      <c r="M3769" s="1">
        <v>14215.9</v>
      </c>
      <c r="N3769" s="1">
        <v>11652.38</v>
      </c>
      <c r="O3769" s="1">
        <v>14215.9</v>
      </c>
      <c r="P3769" s="1">
        <v>11652.38</v>
      </c>
      <c r="Q3769">
        <v>2.98</v>
      </c>
      <c r="R3769">
        <v>9.2399999999999999E-3</v>
      </c>
    </row>
    <row r="3770" spans="1:18" ht="13.8" outlineLevel="2" x14ac:dyDescent="0.25">
      <c r="A3770">
        <v>102587</v>
      </c>
      <c r="B3770" t="s">
        <v>4992</v>
      </c>
      <c r="C3770" t="s">
        <v>4997</v>
      </c>
      <c r="D3770" s="14" t="s">
        <v>4998</v>
      </c>
      <c r="E3770" s="12" t="s">
        <v>28</v>
      </c>
      <c r="F3770" s="13" t="s">
        <v>29</v>
      </c>
      <c r="G3770">
        <v>1</v>
      </c>
      <c r="H3770" t="s">
        <v>30</v>
      </c>
      <c r="I3770">
        <v>1</v>
      </c>
      <c r="J3770" s="15"/>
      <c r="K3770" s="16">
        <f>IF($E$1&gt;=$Q$1%,9811.33-(9811.33*$Q$1%),9811.33-(9811.33*$E$1))</f>
        <v>9811.33</v>
      </c>
      <c r="L3770" s="16">
        <f>IF($E$1&gt;=$Q$1%,8042.07-(8042.07*$Q$1%),8042.07-(8042.07*$E$1))</f>
        <v>8042.07</v>
      </c>
      <c r="M3770" s="1">
        <v>9811.33</v>
      </c>
      <c r="N3770" s="1">
        <v>8042.07</v>
      </c>
      <c r="O3770" s="1">
        <v>9811.33</v>
      </c>
      <c r="P3770" s="1">
        <v>8042.07</v>
      </c>
      <c r="Q3770">
        <v>2.09</v>
      </c>
      <c r="R3770">
        <v>8.2799999999999992E-3</v>
      </c>
    </row>
    <row r="3771" spans="1:18" ht="13.8" outlineLevel="2" x14ac:dyDescent="0.25">
      <c r="A3771">
        <v>102588</v>
      </c>
      <c r="B3771" t="s">
        <v>4992</v>
      </c>
      <c r="C3771" t="s">
        <v>4999</v>
      </c>
      <c r="D3771" s="14" t="s">
        <v>5000</v>
      </c>
      <c r="E3771" s="12" t="s">
        <v>28</v>
      </c>
      <c r="F3771" s="13" t="s">
        <v>29</v>
      </c>
      <c r="G3771">
        <v>1</v>
      </c>
      <c r="H3771" t="s">
        <v>30</v>
      </c>
      <c r="I3771">
        <v>1</v>
      </c>
      <c r="J3771" s="15"/>
      <c r="K3771" s="16">
        <f>IF($E$1&gt;=$Q$1%,13074.83-(13074.83*$Q$1%),13074.83-(13074.83*$E$1))</f>
        <v>13074.83</v>
      </c>
      <c r="L3771" s="16">
        <f>IF($E$1&gt;=$Q$1%,10717.07-(10717.07*$Q$1%),10717.07-(10717.07*$E$1))</f>
        <v>10717.07</v>
      </c>
      <c r="M3771" s="1">
        <v>13074.83</v>
      </c>
      <c r="N3771" s="1">
        <v>10717.07</v>
      </c>
      <c r="O3771" s="1">
        <v>13074.83</v>
      </c>
      <c r="P3771" s="1">
        <v>10717.07</v>
      </c>
      <c r="Q3771">
        <v>2.76</v>
      </c>
      <c r="R3771">
        <v>8.2799999999999992E-3</v>
      </c>
    </row>
    <row r="3772" spans="1:18" ht="13.8" outlineLevel="2" x14ac:dyDescent="0.25">
      <c r="A3772">
        <v>104534</v>
      </c>
      <c r="B3772" t="s">
        <v>4992</v>
      </c>
      <c r="C3772" t="s">
        <v>5001</v>
      </c>
      <c r="D3772" s="14" t="s">
        <v>5002</v>
      </c>
      <c r="E3772" s="12" t="s">
        <v>28</v>
      </c>
      <c r="F3772" s="13" t="s">
        <v>29</v>
      </c>
      <c r="G3772">
        <v>1</v>
      </c>
      <c r="H3772" t="s">
        <v>30</v>
      </c>
      <c r="I3772">
        <v>1</v>
      </c>
      <c r="J3772" s="15"/>
      <c r="K3772" s="16">
        <f>IF($E$1&gt;=$Q$1%,6143.2-(6143.2*$Q$1%),6143.2-(6143.2*$E$1))</f>
        <v>6143.2</v>
      </c>
      <c r="L3772" s="16">
        <f>IF($E$1&gt;=$Q$1%,5035.41-(5035.41*$Q$1%),5035.41-(5035.41*$E$1))</f>
        <v>5035.41</v>
      </c>
      <c r="M3772" s="1">
        <v>6143.2</v>
      </c>
      <c r="N3772" s="1">
        <v>5035.41</v>
      </c>
      <c r="O3772" s="1">
        <v>6143.2</v>
      </c>
      <c r="P3772" s="1">
        <v>5035.41</v>
      </c>
      <c r="Q3772">
        <v>1.05</v>
      </c>
      <c r="R3772">
        <v>2.8379999999999998E-3</v>
      </c>
    </row>
    <row r="3773" spans="1:18" ht="13.8" outlineLevel="2" x14ac:dyDescent="0.25">
      <c r="A3773">
        <v>104531</v>
      </c>
      <c r="B3773" t="s">
        <v>5003</v>
      </c>
      <c r="C3773" t="s">
        <v>5004</v>
      </c>
      <c r="D3773" s="14" t="s">
        <v>5005</v>
      </c>
      <c r="E3773" s="12" t="s">
        <v>28</v>
      </c>
      <c r="F3773" s="13" t="s">
        <v>29</v>
      </c>
      <c r="G3773">
        <v>1</v>
      </c>
      <c r="H3773" t="s">
        <v>30</v>
      </c>
      <c r="I3773">
        <v>1</v>
      </c>
      <c r="J3773" s="15"/>
      <c r="K3773" s="16">
        <f>IF($E$1&gt;=$Q$1%,24475.81-(24475.81*$Q$1%),24475.81-(24475.81*$E$1))</f>
        <v>24475.81</v>
      </c>
      <c r="L3773" s="16">
        <f>IF($E$1&gt;=$Q$1%,20062.14-(20062.14*$Q$1%),20062.14-(20062.14*$E$1))</f>
        <v>20062.14</v>
      </c>
      <c r="M3773" s="1">
        <v>24475.81</v>
      </c>
      <c r="N3773" s="1">
        <v>20062.14</v>
      </c>
      <c r="O3773" s="1">
        <v>24475.81</v>
      </c>
      <c r="P3773" s="1">
        <v>20062.14</v>
      </c>
      <c r="Q3773">
        <v>4.97</v>
      </c>
    </row>
    <row r="3774" spans="1:18" ht="13.8" outlineLevel="2" x14ac:dyDescent="0.25">
      <c r="A3774">
        <v>104539</v>
      </c>
      <c r="B3774" t="s">
        <v>4992</v>
      </c>
      <c r="C3774" t="s">
        <v>5006</v>
      </c>
      <c r="D3774" s="14" t="s">
        <v>5007</v>
      </c>
      <c r="E3774" s="12" t="s">
        <v>28</v>
      </c>
      <c r="F3774" s="13" t="s">
        <v>29</v>
      </c>
      <c r="G3774">
        <v>1</v>
      </c>
      <c r="H3774" t="s">
        <v>30</v>
      </c>
      <c r="I3774">
        <v>1</v>
      </c>
      <c r="J3774" s="15"/>
      <c r="K3774" s="16">
        <f>IF($E$1&gt;=$Q$1%,13596.02-(13596.02*$Q$1%),13596.02-(13596.02*$E$1))</f>
        <v>13596.02</v>
      </c>
      <c r="L3774" s="16">
        <f>IF($E$1&gt;=$Q$1%,11144.28-(11144.28*$Q$1%),11144.28-(11144.28*$E$1))</f>
        <v>11144.28</v>
      </c>
      <c r="M3774" s="1">
        <v>13596.02</v>
      </c>
      <c r="N3774" s="1">
        <v>11144.28</v>
      </c>
      <c r="O3774" s="1">
        <v>13596.02</v>
      </c>
      <c r="P3774" s="1">
        <v>11144.28</v>
      </c>
      <c r="Q3774">
        <v>2.16</v>
      </c>
      <c r="R3774">
        <v>6.6629999999999997E-3</v>
      </c>
    </row>
    <row r="3775" spans="1:18" ht="16.5" customHeight="1" outlineLevel="1" x14ac:dyDescent="0.35">
      <c r="A3775" s="9"/>
      <c r="B3775" s="10" t="s">
        <v>5008</v>
      </c>
      <c r="C3775" s="10"/>
      <c r="D3775" s="10"/>
      <c r="E3775" s="10"/>
      <c r="F3775" s="10"/>
      <c r="G3775" s="10"/>
      <c r="H3775" s="10"/>
      <c r="I3775" s="10"/>
      <c r="J3775" s="10"/>
      <c r="K3775" s="10"/>
      <c r="L3775" s="10"/>
      <c r="M3775" s="10"/>
      <c r="N3775" s="10"/>
      <c r="O3775" s="10"/>
      <c r="P3775" s="10"/>
      <c r="Q3775" s="10"/>
      <c r="R3775" s="11"/>
    </row>
    <row r="3776" spans="1:18" ht="13.8" outlineLevel="2" x14ac:dyDescent="0.25">
      <c r="A3776">
        <v>106680</v>
      </c>
      <c r="B3776" t="s">
        <v>5009</v>
      </c>
      <c r="C3776" t="s">
        <v>5010</v>
      </c>
      <c r="D3776" s="14" t="s">
        <v>5011</v>
      </c>
      <c r="E3776" s="12" t="s">
        <v>28</v>
      </c>
      <c r="F3776" s="18" t="s">
        <v>1467</v>
      </c>
      <c r="G3776">
        <v>1</v>
      </c>
      <c r="H3776" t="s">
        <v>30</v>
      </c>
      <c r="I3776">
        <v>1</v>
      </c>
      <c r="J3776" s="15"/>
      <c r="K3776" s="16">
        <f>IF($E$1&gt;=$Q$1%,29732.85-(29732.85*$Q$1%),29732.85-(29732.85*$E$1))</f>
        <v>29732.85</v>
      </c>
      <c r="L3776" s="16">
        <f>IF($E$1&gt;=$Q$1%,24371.19-(24371.19*$Q$1%),24371.19-(24371.19*$E$1))</f>
        <v>24371.19</v>
      </c>
      <c r="M3776" s="1">
        <v>29732.85</v>
      </c>
      <c r="N3776" s="1">
        <v>24371.19</v>
      </c>
      <c r="O3776" s="1">
        <v>29732.85</v>
      </c>
      <c r="P3776" s="1">
        <v>24371.19</v>
      </c>
      <c r="Q3776">
        <v>6.79</v>
      </c>
      <c r="R3776">
        <v>1.8113000000000001E-2</v>
      </c>
    </row>
    <row r="3777" spans="1:18" ht="13.8" outlineLevel="2" x14ac:dyDescent="0.25">
      <c r="A3777">
        <v>102589</v>
      </c>
      <c r="B3777" t="s">
        <v>5009</v>
      </c>
      <c r="C3777" t="s">
        <v>5012</v>
      </c>
      <c r="D3777" s="14" t="s">
        <v>5013</v>
      </c>
      <c r="E3777" s="12" t="s">
        <v>28</v>
      </c>
      <c r="F3777" s="13" t="s">
        <v>29</v>
      </c>
      <c r="G3777">
        <v>1</v>
      </c>
      <c r="H3777" t="s">
        <v>30</v>
      </c>
      <c r="I3777">
        <v>1</v>
      </c>
      <c r="J3777" s="15"/>
      <c r="K3777" s="16">
        <f>IF($E$1&gt;=$Q$1%,23966.72-(23966.72*$Q$1%),23966.72-(23966.72*$E$1))</f>
        <v>23966.720000000001</v>
      </c>
      <c r="L3777" s="16">
        <f>IF($E$1&gt;=$Q$1%,19644.85-(19644.85*$Q$1%),19644.85-(19644.85*$E$1))</f>
        <v>19644.849999999999</v>
      </c>
      <c r="M3777" s="1">
        <v>23966.720000000001</v>
      </c>
      <c r="N3777" s="1">
        <v>19644.849999999999</v>
      </c>
      <c r="O3777" s="1">
        <v>23966.720000000001</v>
      </c>
      <c r="P3777" s="1">
        <v>19644.849999999999</v>
      </c>
      <c r="Q3777">
        <v>4.95</v>
      </c>
    </row>
    <row r="3778" spans="1:18" ht="13.8" outlineLevel="2" x14ac:dyDescent="0.25">
      <c r="A3778">
        <v>104537</v>
      </c>
      <c r="B3778" t="s">
        <v>5009</v>
      </c>
      <c r="C3778" t="s">
        <v>5014</v>
      </c>
      <c r="D3778" s="14" t="s">
        <v>5015</v>
      </c>
      <c r="E3778" s="12" t="s">
        <v>28</v>
      </c>
      <c r="F3778" s="13" t="s">
        <v>29</v>
      </c>
      <c r="G3778">
        <v>1</v>
      </c>
      <c r="H3778" t="s">
        <v>30</v>
      </c>
      <c r="I3778">
        <v>1</v>
      </c>
      <c r="J3778" s="15"/>
      <c r="K3778" s="16">
        <f>IF($E$1&gt;=$Q$1%,12924.81-(12924.81*$Q$1%),12924.81-(12924.81*$E$1))</f>
        <v>12924.81</v>
      </c>
      <c r="L3778" s="16">
        <f>IF($E$1&gt;=$Q$1%,10594.11-(10594.11*$Q$1%),10594.11-(10594.11*$E$1))</f>
        <v>10594.11</v>
      </c>
      <c r="M3778" s="1">
        <v>12924.81</v>
      </c>
      <c r="N3778" s="1">
        <v>10594.11</v>
      </c>
      <c r="O3778" s="1">
        <v>12924.81</v>
      </c>
      <c r="P3778" s="1">
        <v>10594.11</v>
      </c>
      <c r="Q3778">
        <v>2.2999999999999998</v>
      </c>
      <c r="R3778">
        <v>6.025E-3</v>
      </c>
    </row>
    <row r="3779" spans="1:18" ht="13.8" outlineLevel="2" x14ac:dyDescent="0.25">
      <c r="A3779">
        <v>106055</v>
      </c>
      <c r="B3779" t="s">
        <v>5009</v>
      </c>
      <c r="C3779" t="s">
        <v>5016</v>
      </c>
      <c r="D3779" s="14" t="s">
        <v>5017</v>
      </c>
      <c r="E3779" s="12" t="s">
        <v>28</v>
      </c>
      <c r="F3779" s="18" t="s">
        <v>1467</v>
      </c>
      <c r="G3779">
        <v>1</v>
      </c>
      <c r="H3779" t="s">
        <v>30</v>
      </c>
      <c r="I3779">
        <v>1</v>
      </c>
      <c r="J3779" s="15"/>
      <c r="K3779" s="16">
        <f>IF($E$1&gt;=$Q$1%,28890.91-(28890.91*$Q$1%),28890.91-(28890.91*$E$1))</f>
        <v>28890.91</v>
      </c>
      <c r="L3779" s="16">
        <f>IF($E$1&gt;=$Q$1%,23681.07-(23681.07*$Q$1%),23681.07-(23681.07*$E$1))</f>
        <v>23681.07</v>
      </c>
      <c r="M3779" s="1">
        <v>28890.91</v>
      </c>
      <c r="N3779" s="1">
        <v>23681.07</v>
      </c>
      <c r="O3779" s="1">
        <v>28890.91</v>
      </c>
      <c r="P3779" s="1">
        <v>23681.07</v>
      </c>
      <c r="Q3779">
        <v>6.55</v>
      </c>
      <c r="R3779">
        <v>1.4926999999999999E-2</v>
      </c>
    </row>
    <row r="3780" spans="1:18" ht="13.8" outlineLevel="2" x14ac:dyDescent="0.25">
      <c r="A3780">
        <v>106056</v>
      </c>
      <c r="B3780" t="s">
        <v>5009</v>
      </c>
      <c r="C3780" t="s">
        <v>5018</v>
      </c>
      <c r="D3780" s="14" t="s">
        <v>5019</v>
      </c>
      <c r="E3780" s="12" t="s">
        <v>28</v>
      </c>
      <c r="F3780" s="18" t="s">
        <v>1467</v>
      </c>
      <c r="G3780">
        <v>1</v>
      </c>
      <c r="H3780" t="s">
        <v>30</v>
      </c>
      <c r="I3780">
        <v>1</v>
      </c>
      <c r="J3780" s="15"/>
      <c r="K3780" s="16">
        <f>IF($E$1&gt;=$Q$1%,16347.99-(16347.99*$Q$1%),16347.99-(16347.99*$E$1))</f>
        <v>16347.99</v>
      </c>
      <c r="L3780" s="16">
        <f>IF($E$1&gt;=$Q$1%,13399.99-(13399.99*$Q$1%),13399.99-(13399.99*$E$1))</f>
        <v>13399.99</v>
      </c>
      <c r="M3780" s="1">
        <v>16347.99</v>
      </c>
      <c r="N3780" s="1">
        <v>13399.99</v>
      </c>
      <c r="O3780" s="1">
        <v>16347.99</v>
      </c>
      <c r="P3780" s="1">
        <v>13399.99</v>
      </c>
      <c r="Q3780">
        <v>3.84</v>
      </c>
      <c r="R3780">
        <v>9.7750000000000007E-3</v>
      </c>
    </row>
    <row r="3781" spans="1:18" ht="16.5" customHeight="1" outlineLevel="1" x14ac:dyDescent="0.35">
      <c r="A3781" s="9"/>
      <c r="B3781" s="10" t="s">
        <v>5020</v>
      </c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1"/>
    </row>
    <row r="3782" spans="1:18" ht="13.8" outlineLevel="2" x14ac:dyDescent="0.25">
      <c r="A3782">
        <v>106682</v>
      </c>
      <c r="B3782" t="s">
        <v>5021</v>
      </c>
      <c r="C3782" t="s">
        <v>5022</v>
      </c>
      <c r="D3782" s="14" t="s">
        <v>5023</v>
      </c>
      <c r="E3782" s="12" t="s">
        <v>28</v>
      </c>
      <c r="F3782" s="18" t="s">
        <v>1467</v>
      </c>
      <c r="G3782">
        <v>1</v>
      </c>
      <c r="H3782" t="s">
        <v>30</v>
      </c>
      <c r="I3782">
        <v>1</v>
      </c>
      <c r="J3782" s="15"/>
      <c r="K3782" s="16">
        <f>IF($E$1&gt;=$Q$1%,20490.16-(20490.16*$Q$1%),20490.16-(20490.16*$E$1))</f>
        <v>20490.16</v>
      </c>
      <c r="L3782" s="16">
        <f>IF($E$1&gt;=$Q$1%,16795.21-(16795.21*$Q$1%),16795.21-(16795.21*$E$1))</f>
        <v>16795.21</v>
      </c>
      <c r="M3782" s="1">
        <v>20490.16</v>
      </c>
      <c r="N3782" s="1">
        <v>16795.21</v>
      </c>
      <c r="O3782" s="1">
        <v>20490.16</v>
      </c>
      <c r="P3782" s="1">
        <v>16795.21</v>
      </c>
      <c r="Q3782">
        <v>4.97</v>
      </c>
      <c r="R3782">
        <v>1.8837E-2</v>
      </c>
    </row>
    <row r="3783" spans="1:18" ht="13.8" outlineLevel="2" x14ac:dyDescent="0.25">
      <c r="A3783">
        <v>102595</v>
      </c>
      <c r="B3783" t="s">
        <v>5021</v>
      </c>
      <c r="C3783" t="s">
        <v>5024</v>
      </c>
      <c r="D3783" s="14" t="s">
        <v>5025</v>
      </c>
      <c r="E3783" s="12" t="s">
        <v>28</v>
      </c>
      <c r="F3783" s="13" t="s">
        <v>29</v>
      </c>
      <c r="G3783">
        <v>1</v>
      </c>
      <c r="H3783" t="s">
        <v>30</v>
      </c>
      <c r="I3783">
        <v>1</v>
      </c>
      <c r="J3783" s="15"/>
      <c r="K3783" s="16">
        <f>IF($E$1&gt;=$Q$1%,19124.38-(19124.38*$Q$1%),19124.38-(19124.38*$E$1))</f>
        <v>19124.38</v>
      </c>
      <c r="L3783" s="16">
        <f>IF($E$1&gt;=$Q$1%,15675.72-(15675.72*$Q$1%),15675.72-(15675.72*$E$1))</f>
        <v>15675.72</v>
      </c>
      <c r="M3783" s="1">
        <v>19124.38</v>
      </c>
      <c r="N3783" s="1">
        <v>15675.72</v>
      </c>
      <c r="O3783" s="1">
        <v>19124.38</v>
      </c>
      <c r="P3783" s="1">
        <v>15675.72</v>
      </c>
      <c r="Q3783">
        <v>4.43</v>
      </c>
      <c r="R3783">
        <v>1.4926999999999999E-2</v>
      </c>
    </row>
    <row r="3784" spans="1:18" ht="13.8" outlineLevel="2" x14ac:dyDescent="0.25">
      <c r="A3784">
        <v>104538</v>
      </c>
      <c r="B3784" t="s">
        <v>5021</v>
      </c>
      <c r="C3784" t="s">
        <v>5026</v>
      </c>
      <c r="D3784" s="14" t="s">
        <v>5027</v>
      </c>
      <c r="E3784" s="12" t="s">
        <v>28</v>
      </c>
      <c r="F3784" s="13" t="s">
        <v>29</v>
      </c>
      <c r="G3784">
        <v>1</v>
      </c>
      <c r="H3784" t="s">
        <v>30</v>
      </c>
      <c r="I3784">
        <v>1</v>
      </c>
      <c r="J3784" s="15"/>
      <c r="K3784" s="16">
        <f>IF($E$1&gt;=$Q$1%,8077.05-(8077.05*$Q$1%),8077.05-(8077.05*$E$1))</f>
        <v>8077.05</v>
      </c>
      <c r="L3784" s="16">
        <f>IF($E$1&gt;=$Q$1%,6620.53-(6620.53*$Q$1%),6620.53-(6620.53*$E$1))</f>
        <v>6620.53</v>
      </c>
      <c r="M3784" s="1">
        <v>8077.05</v>
      </c>
      <c r="N3784" s="1">
        <v>6620.53</v>
      </c>
      <c r="O3784" s="1">
        <v>8077.05</v>
      </c>
      <c r="P3784" s="1">
        <v>6620.53</v>
      </c>
      <c r="Q3784">
        <v>1.77</v>
      </c>
      <c r="R3784">
        <v>4.2319999999999997E-3</v>
      </c>
    </row>
    <row r="3785" spans="1:18" ht="13.8" outlineLevel="2" x14ac:dyDescent="0.25">
      <c r="A3785">
        <v>104533</v>
      </c>
      <c r="B3785" t="s">
        <v>5021</v>
      </c>
      <c r="C3785" t="s">
        <v>5028</v>
      </c>
      <c r="D3785" s="14" t="s">
        <v>5029</v>
      </c>
      <c r="E3785" s="12" t="s">
        <v>28</v>
      </c>
      <c r="F3785" s="13" t="s">
        <v>29</v>
      </c>
      <c r="G3785">
        <v>1</v>
      </c>
      <c r="H3785" t="s">
        <v>30</v>
      </c>
      <c r="I3785">
        <v>1</v>
      </c>
      <c r="J3785" s="15"/>
      <c r="K3785" s="16">
        <f>IF($E$1&gt;=$Q$1%,21546.47-(21546.47*$Q$1%),21546.47-(21546.47*$E$1))</f>
        <v>21546.47</v>
      </c>
      <c r="L3785" s="16">
        <f>IF($E$1&gt;=$Q$1%,17661.04-(17661.04*$Q$1%),17661.04-(17661.04*$E$1))</f>
        <v>17661.04</v>
      </c>
      <c r="M3785" s="1">
        <v>21546.47</v>
      </c>
      <c r="N3785" s="1">
        <v>17661.04</v>
      </c>
      <c r="O3785" s="1">
        <v>21546.47</v>
      </c>
      <c r="P3785" s="1">
        <v>17661.04</v>
      </c>
      <c r="Q3785">
        <v>4.7300000000000004</v>
      </c>
    </row>
    <row r="3786" spans="1:18" ht="13.8" outlineLevel="2" x14ac:dyDescent="0.25">
      <c r="A3786">
        <v>104541</v>
      </c>
      <c r="B3786" t="s">
        <v>5021</v>
      </c>
      <c r="C3786" t="s">
        <v>5030</v>
      </c>
      <c r="D3786" s="14" t="s">
        <v>5031</v>
      </c>
      <c r="E3786" s="12" t="s">
        <v>28</v>
      </c>
      <c r="F3786" s="13" t="s">
        <v>29</v>
      </c>
      <c r="G3786">
        <v>1</v>
      </c>
      <c r="H3786" t="s">
        <v>30</v>
      </c>
      <c r="I3786">
        <v>1</v>
      </c>
      <c r="J3786" s="15"/>
      <c r="K3786" s="16">
        <f>IF($E$1&gt;=$Q$1%,8593.61-(8593.61*$Q$1%),8593.61-(8593.61*$E$1))</f>
        <v>8593.61</v>
      </c>
      <c r="L3786" s="16">
        <f>IF($E$1&gt;=$Q$1%,7043.94-(7043.94*$Q$1%),7043.94-(7043.94*$E$1))</f>
        <v>7043.94</v>
      </c>
      <c r="M3786" s="1">
        <v>8593.61</v>
      </c>
      <c r="N3786" s="1">
        <v>7043.94</v>
      </c>
      <c r="O3786" s="1">
        <v>8593.61</v>
      </c>
      <c r="P3786" s="1">
        <v>7043.94</v>
      </c>
      <c r="Q3786">
        <v>1.88</v>
      </c>
      <c r="R3786">
        <v>4.1679999999999998E-3</v>
      </c>
    </row>
    <row r="3787" spans="1:18" ht="16.5" customHeight="1" outlineLevel="1" x14ac:dyDescent="0.35">
      <c r="A3787" s="9"/>
      <c r="B3787" s="10" t="s">
        <v>5032</v>
      </c>
      <c r="C3787" s="10"/>
      <c r="D3787" s="10"/>
      <c r="E3787" s="10"/>
      <c r="F3787" s="10"/>
      <c r="G3787" s="10"/>
      <c r="H3787" s="10"/>
      <c r="I3787" s="10"/>
      <c r="J3787" s="10"/>
      <c r="K3787" s="10"/>
      <c r="L3787" s="10"/>
      <c r="M3787" s="10"/>
      <c r="N3787" s="10"/>
      <c r="O3787" s="10"/>
      <c r="P3787" s="10"/>
      <c r="Q3787" s="10"/>
      <c r="R3787" s="11"/>
    </row>
    <row r="3788" spans="1:18" ht="13.8" outlineLevel="2" x14ac:dyDescent="0.25">
      <c r="A3788">
        <v>107406</v>
      </c>
      <c r="B3788" t="s">
        <v>5033</v>
      </c>
      <c r="C3788" t="s">
        <v>5034</v>
      </c>
      <c r="D3788" s="14" t="s">
        <v>5035</v>
      </c>
      <c r="E3788" s="12" t="s">
        <v>28</v>
      </c>
      <c r="F3788" s="18" t="s">
        <v>1467</v>
      </c>
      <c r="G3788">
        <v>1</v>
      </c>
      <c r="H3788" t="s">
        <v>30</v>
      </c>
      <c r="I3788">
        <v>1</v>
      </c>
      <c r="J3788" s="15"/>
      <c r="K3788" s="16">
        <f>IF($E$1&gt;=$Q$1%,14964.47-(14964.47*$Q$1%),14964.47-(14964.47*$E$1))</f>
        <v>14964.47</v>
      </c>
      <c r="L3788" s="16">
        <f>IF($E$1&gt;=$Q$1%,12265.96-(12265.96*$Q$1%),12265.96-(12265.96*$E$1))</f>
        <v>12265.96</v>
      </c>
      <c r="M3788" s="1">
        <v>14964.47</v>
      </c>
      <c r="N3788" s="1">
        <v>12265.96</v>
      </c>
      <c r="O3788" s="1">
        <v>14964.47</v>
      </c>
      <c r="P3788" s="1">
        <v>12265.96</v>
      </c>
      <c r="Q3788">
        <v>3.12</v>
      </c>
      <c r="R3788">
        <v>9.2399999999999999E-3</v>
      </c>
    </row>
    <row r="3789" spans="1:18" ht="13.8" outlineLevel="2" x14ac:dyDescent="0.25">
      <c r="A3789">
        <v>104530</v>
      </c>
      <c r="B3789" t="s">
        <v>5033</v>
      </c>
      <c r="C3789" t="s">
        <v>5036</v>
      </c>
      <c r="D3789" s="14" t="s">
        <v>5037</v>
      </c>
      <c r="E3789" s="12" t="s">
        <v>28</v>
      </c>
      <c r="F3789" s="13" t="s">
        <v>29</v>
      </c>
      <c r="G3789">
        <v>1</v>
      </c>
      <c r="H3789" t="s">
        <v>30</v>
      </c>
      <c r="I3789">
        <v>1</v>
      </c>
      <c r="J3789" s="15"/>
      <c r="K3789" s="16">
        <f>IF($E$1&gt;=$Q$1%,11542.19-(11542.19*$Q$1%),11542.19-(11542.19*$E$1))</f>
        <v>11542.19</v>
      </c>
      <c r="L3789" s="16">
        <f>IF($E$1&gt;=$Q$1%,9460.81-(9460.81*$Q$1%),9460.81-(9460.81*$E$1))</f>
        <v>9460.81</v>
      </c>
      <c r="M3789" s="1">
        <v>11542.19</v>
      </c>
      <c r="N3789" s="1">
        <v>9460.81</v>
      </c>
      <c r="O3789" s="1">
        <v>11542.19</v>
      </c>
      <c r="P3789" s="1">
        <v>9460.81</v>
      </c>
      <c r="Q3789">
        <v>2.33</v>
      </c>
    </row>
    <row r="3790" spans="1:18" ht="13.8" outlineLevel="2" x14ac:dyDescent="0.25">
      <c r="A3790">
        <v>102590</v>
      </c>
      <c r="B3790" t="s">
        <v>5033</v>
      </c>
      <c r="C3790" t="s">
        <v>5038</v>
      </c>
      <c r="D3790" s="14" t="s">
        <v>5039</v>
      </c>
      <c r="E3790" s="12" t="s">
        <v>28</v>
      </c>
      <c r="F3790" s="13" t="s">
        <v>29</v>
      </c>
      <c r="G3790">
        <v>1</v>
      </c>
      <c r="H3790" t="s">
        <v>30</v>
      </c>
      <c r="I3790">
        <v>1</v>
      </c>
      <c r="J3790" s="15"/>
      <c r="K3790" s="16">
        <f>IF($E$1&gt;=$Q$1%,14161.85-(14161.85*$Q$1%),14161.85-(14161.85*$E$1))</f>
        <v>14161.85</v>
      </c>
      <c r="L3790" s="16">
        <f>IF($E$1&gt;=$Q$1%,11608.07-(11608.07*$Q$1%),11608.07-(11608.07*$E$1))</f>
        <v>11608.07</v>
      </c>
      <c r="M3790" s="1">
        <v>14161.85</v>
      </c>
      <c r="N3790" s="1">
        <v>11608.07</v>
      </c>
      <c r="O3790" s="1">
        <v>14161.85</v>
      </c>
      <c r="P3790" s="1">
        <v>11608.07</v>
      </c>
      <c r="Q3790">
        <v>2.81</v>
      </c>
      <c r="R3790">
        <v>8.2799999999999992E-3</v>
      </c>
    </row>
    <row r="3791" spans="1:18" ht="13.8" outlineLevel="2" x14ac:dyDescent="0.25">
      <c r="A3791">
        <v>104535</v>
      </c>
      <c r="B3791" t="s">
        <v>5033</v>
      </c>
      <c r="C3791" t="s">
        <v>5040</v>
      </c>
      <c r="D3791" s="14" t="s">
        <v>5041</v>
      </c>
      <c r="E3791" s="12" t="s">
        <v>28</v>
      </c>
      <c r="F3791" s="13" t="s">
        <v>29</v>
      </c>
      <c r="G3791">
        <v>1</v>
      </c>
      <c r="H3791" t="s">
        <v>30</v>
      </c>
      <c r="I3791">
        <v>1</v>
      </c>
      <c r="J3791" s="15"/>
      <c r="K3791" s="16">
        <f>IF($E$1&gt;=$Q$1%,6497.16-(6497.16*$Q$1%),6497.16-(6497.16*$E$1))</f>
        <v>6497.16</v>
      </c>
      <c r="L3791" s="16">
        <f>IF($E$1&gt;=$Q$1%,5325.54-(5325.54*$Q$1%),5325.54-(5325.54*$E$1))</f>
        <v>5325.54</v>
      </c>
      <c r="M3791" s="1">
        <v>6497.16</v>
      </c>
      <c r="N3791" s="1">
        <v>5325.54</v>
      </c>
      <c r="O3791" s="1">
        <v>6497.16</v>
      </c>
      <c r="P3791" s="1">
        <v>5325.54</v>
      </c>
      <c r="Q3791">
        <v>1.0900000000000001</v>
      </c>
      <c r="R3791">
        <v>2.8379999999999998E-3</v>
      </c>
    </row>
    <row r="3792" spans="1:18" ht="13.8" outlineLevel="2" x14ac:dyDescent="0.25">
      <c r="A3792">
        <v>106681</v>
      </c>
      <c r="B3792" t="s">
        <v>5042</v>
      </c>
      <c r="C3792" t="s">
        <v>5043</v>
      </c>
      <c r="D3792" s="14" t="s">
        <v>5044</v>
      </c>
      <c r="E3792" s="12" t="s">
        <v>28</v>
      </c>
      <c r="F3792" s="18" t="s">
        <v>1467</v>
      </c>
      <c r="G3792">
        <v>1</v>
      </c>
      <c r="H3792" t="s">
        <v>30</v>
      </c>
      <c r="I3792">
        <v>1</v>
      </c>
      <c r="J3792" s="15"/>
      <c r="K3792" s="16">
        <f>IF($E$1&gt;=$Q$1%,20902.55-(20902.55*$Q$1%),20902.55-(20902.55*$E$1))</f>
        <v>20902.55</v>
      </c>
      <c r="L3792" s="16">
        <f>IF($E$1&gt;=$Q$1%,17133.24-(17133.24*$Q$1%),17133.24-(17133.24*$E$1))</f>
        <v>17133.240000000002</v>
      </c>
      <c r="M3792" s="1">
        <v>20902.55</v>
      </c>
      <c r="N3792" s="1">
        <v>17133.240000000002</v>
      </c>
      <c r="O3792" s="1">
        <v>20902.55</v>
      </c>
      <c r="P3792" s="1">
        <v>17133.240000000002</v>
      </c>
      <c r="Q3792">
        <v>4.1100000000000003</v>
      </c>
      <c r="R3792">
        <v>1.2012E-2</v>
      </c>
    </row>
    <row r="3793" spans="1:18" ht="13.8" outlineLevel="2" x14ac:dyDescent="0.25">
      <c r="A3793">
        <v>106050</v>
      </c>
      <c r="B3793" t="s">
        <v>5042</v>
      </c>
      <c r="C3793" t="s">
        <v>5045</v>
      </c>
      <c r="D3793" s="14" t="s">
        <v>5046</v>
      </c>
      <c r="E3793" s="12" t="s">
        <v>28</v>
      </c>
      <c r="F3793" s="18" t="s">
        <v>1467</v>
      </c>
      <c r="G3793">
        <v>1</v>
      </c>
      <c r="H3793" t="s">
        <v>30</v>
      </c>
      <c r="I3793">
        <v>1</v>
      </c>
      <c r="J3793" s="15"/>
      <c r="K3793" s="16">
        <f>IF($E$1&gt;=$Q$1%,11091.53-(11091.53*$Q$1%),11091.53-(11091.53*$E$1))</f>
        <v>11091.53</v>
      </c>
      <c r="L3793" s="16">
        <f>IF($E$1&gt;=$Q$1%,9091.42-(9091.42*$Q$1%),9091.42-(9091.42*$E$1))</f>
        <v>9091.42</v>
      </c>
      <c r="M3793" s="1">
        <v>11091.53</v>
      </c>
      <c r="N3793" s="1">
        <v>9091.42</v>
      </c>
      <c r="O3793" s="1">
        <v>11091.53</v>
      </c>
      <c r="P3793" s="1">
        <v>9091.42</v>
      </c>
      <c r="Q3793">
        <v>2.36</v>
      </c>
      <c r="R3793">
        <v>8.0999999999999996E-3</v>
      </c>
    </row>
    <row r="3794" spans="1:18" ht="13.8" outlineLevel="2" x14ac:dyDescent="0.25">
      <c r="A3794">
        <v>104571</v>
      </c>
      <c r="B3794" t="s">
        <v>5042</v>
      </c>
      <c r="C3794" t="s">
        <v>5047</v>
      </c>
      <c r="D3794" s="14" t="s">
        <v>5048</v>
      </c>
      <c r="E3794" s="12" t="s">
        <v>28</v>
      </c>
      <c r="F3794" s="13" t="s">
        <v>29</v>
      </c>
      <c r="G3794">
        <v>1</v>
      </c>
      <c r="H3794" t="s">
        <v>30</v>
      </c>
      <c r="I3794">
        <v>1</v>
      </c>
      <c r="J3794" s="15"/>
      <c r="K3794" s="16">
        <f>IF($E$1&gt;=$Q$1%,14394.88-(14394.88*$Q$1%),14394.88-(14394.88*$E$1))</f>
        <v>14394.88</v>
      </c>
      <c r="L3794" s="16">
        <f>IF($E$1&gt;=$Q$1%,11799.08-(11799.08*$Q$1%),11799.08-(11799.08*$E$1))</f>
        <v>11799.08</v>
      </c>
      <c r="M3794" s="1">
        <v>14394.88</v>
      </c>
      <c r="N3794" s="1">
        <v>11799.08</v>
      </c>
      <c r="O3794" s="1">
        <v>14394.88</v>
      </c>
      <c r="P3794" s="1">
        <v>11799.08</v>
      </c>
      <c r="Q3794">
        <v>3.07</v>
      </c>
    </row>
    <row r="3795" spans="1:18" ht="13.8" outlineLevel="2" x14ac:dyDescent="0.25">
      <c r="A3795">
        <v>104572</v>
      </c>
      <c r="B3795" t="s">
        <v>5042</v>
      </c>
      <c r="C3795" t="s">
        <v>5049</v>
      </c>
      <c r="D3795" s="14" t="s">
        <v>5050</v>
      </c>
      <c r="E3795" s="12" t="s">
        <v>28</v>
      </c>
      <c r="F3795" s="13" t="s">
        <v>29</v>
      </c>
      <c r="G3795">
        <v>1</v>
      </c>
      <c r="H3795" t="s">
        <v>30</v>
      </c>
      <c r="I3795">
        <v>1</v>
      </c>
      <c r="J3795" s="15"/>
      <c r="K3795" s="16">
        <f>IF($E$1&gt;=$Q$1%,6628.65-(6628.65*$Q$1%),6628.65-(6628.65*$E$1))</f>
        <v>6628.65</v>
      </c>
      <c r="L3795" s="16">
        <f>IF($E$1&gt;=$Q$1%,5433.32-(5433.32*$Q$1%),5433.32-(5433.32*$E$1))</f>
        <v>5433.32</v>
      </c>
      <c r="M3795" s="1">
        <v>6628.65</v>
      </c>
      <c r="N3795" s="1">
        <v>5433.32</v>
      </c>
      <c r="O3795" s="1">
        <v>6628.65</v>
      </c>
      <c r="P3795" s="1">
        <v>5433.32</v>
      </c>
      <c r="Q3795">
        <v>1.0900000000000001</v>
      </c>
      <c r="R3795">
        <v>2.8379999999999998E-3</v>
      </c>
    </row>
    <row r="3796" spans="1:18" ht="13.8" outlineLevel="2" x14ac:dyDescent="0.25">
      <c r="A3796">
        <v>102594</v>
      </c>
      <c r="B3796" t="s">
        <v>5042</v>
      </c>
      <c r="C3796" t="s">
        <v>5051</v>
      </c>
      <c r="D3796" s="14" t="s">
        <v>5052</v>
      </c>
      <c r="E3796" s="12" t="s">
        <v>28</v>
      </c>
      <c r="F3796" s="13" t="s">
        <v>29</v>
      </c>
      <c r="G3796">
        <v>1</v>
      </c>
      <c r="H3796" t="s">
        <v>30</v>
      </c>
      <c r="I3796">
        <v>1</v>
      </c>
      <c r="J3796" s="15"/>
      <c r="K3796" s="16">
        <f>IF($E$1&gt;=$Q$1%,19660.43-(19660.43*$Q$1%),19660.43-(19660.43*$E$1))</f>
        <v>19660.43</v>
      </c>
      <c r="L3796" s="16">
        <f>IF($E$1&gt;=$Q$1%,16115.11-(16115.11*$Q$1%),16115.11-(16115.11*$E$1))</f>
        <v>16115.11</v>
      </c>
      <c r="M3796" s="1">
        <v>19660.43</v>
      </c>
      <c r="N3796" s="1">
        <v>16115.11</v>
      </c>
      <c r="O3796" s="1">
        <v>19660.43</v>
      </c>
      <c r="P3796" s="1">
        <v>16115.11</v>
      </c>
      <c r="Q3796">
        <v>3.74</v>
      </c>
      <c r="R3796">
        <v>8.2799999999999992E-3</v>
      </c>
    </row>
    <row r="3797" spans="1:18" ht="13.8" outlineLevel="2" x14ac:dyDescent="0.25">
      <c r="A3797">
        <v>104536</v>
      </c>
      <c r="B3797" t="s">
        <v>5042</v>
      </c>
      <c r="C3797" t="s">
        <v>5053</v>
      </c>
      <c r="D3797" s="14" t="s">
        <v>5054</v>
      </c>
      <c r="E3797" s="12" t="s">
        <v>28</v>
      </c>
      <c r="F3797" s="13" t="s">
        <v>29</v>
      </c>
      <c r="G3797">
        <v>1</v>
      </c>
      <c r="H3797" t="s">
        <v>30</v>
      </c>
      <c r="I3797">
        <v>1</v>
      </c>
      <c r="J3797" s="15"/>
      <c r="K3797" s="16">
        <f>IF($E$1&gt;=$Q$1%,8605.39-(8605.39*$Q$1%),8605.39-(8605.39*$E$1))</f>
        <v>8605.39</v>
      </c>
      <c r="L3797" s="16">
        <f>IF($E$1&gt;=$Q$1%,7053.6-(7053.6*$Q$1%),7053.6-(7053.6*$E$1))</f>
        <v>7053.6</v>
      </c>
      <c r="M3797" s="1">
        <v>8605.39</v>
      </c>
      <c r="N3797" s="1">
        <v>7053.6</v>
      </c>
      <c r="O3797" s="1">
        <v>8605.39</v>
      </c>
      <c r="P3797" s="1">
        <v>7053.6</v>
      </c>
      <c r="Q3797">
        <v>1.28</v>
      </c>
      <c r="R3797">
        <v>2.8379999999999998E-3</v>
      </c>
    </row>
    <row r="3798" spans="1:18" ht="13.8" outlineLevel="2" x14ac:dyDescent="0.25">
      <c r="A3798">
        <v>106051</v>
      </c>
      <c r="B3798" t="s">
        <v>5042</v>
      </c>
      <c r="C3798" t="s">
        <v>5055</v>
      </c>
      <c r="D3798" s="14" t="s">
        <v>5056</v>
      </c>
      <c r="E3798" s="12" t="s">
        <v>28</v>
      </c>
      <c r="F3798" s="18" t="s">
        <v>1467</v>
      </c>
      <c r="G3798">
        <v>1</v>
      </c>
      <c r="H3798" t="s">
        <v>30</v>
      </c>
      <c r="I3798">
        <v>1</v>
      </c>
      <c r="J3798" s="15"/>
      <c r="K3798" s="16">
        <f>IF($E$1&gt;=$Q$1%,25932.49-(25932.49*$Q$1%),25932.49-(25932.49*$E$1))</f>
        <v>25932.49</v>
      </c>
      <c r="L3798" s="16">
        <f>IF($E$1&gt;=$Q$1%,21256.14-(21256.14*$Q$1%),21256.14-(21256.14*$E$1))</f>
        <v>21256.14</v>
      </c>
      <c r="M3798" s="1">
        <v>25932.49</v>
      </c>
      <c r="N3798" s="1">
        <v>21256.14</v>
      </c>
      <c r="O3798" s="1">
        <v>25932.49</v>
      </c>
      <c r="P3798" s="1">
        <v>21256.14</v>
      </c>
      <c r="Q3798">
        <v>5.3</v>
      </c>
      <c r="R3798">
        <v>1.4926999999999999E-2</v>
      </c>
    </row>
    <row r="3799" spans="1:18" ht="13.8" outlineLevel="2" x14ac:dyDescent="0.25">
      <c r="A3799">
        <v>106052</v>
      </c>
      <c r="B3799" t="s">
        <v>5042</v>
      </c>
      <c r="C3799" t="s">
        <v>5057</v>
      </c>
      <c r="D3799" s="14" t="s">
        <v>5058</v>
      </c>
      <c r="E3799" s="12" t="s">
        <v>28</v>
      </c>
      <c r="F3799" s="18" t="s">
        <v>1467</v>
      </c>
      <c r="G3799">
        <v>1</v>
      </c>
      <c r="H3799" t="s">
        <v>30</v>
      </c>
      <c r="I3799">
        <v>1</v>
      </c>
      <c r="J3799" s="15"/>
      <c r="K3799" s="16">
        <f>IF($E$1&gt;=$Q$1%,14746.23-(14746.23*$Q$1%),14746.23-(14746.23*$E$1))</f>
        <v>14746.23</v>
      </c>
      <c r="L3799" s="16">
        <f>IF($E$1&gt;=$Q$1%,12087.07-(12087.07*$Q$1%),12087.07-(12087.07*$E$1))</f>
        <v>12087.07</v>
      </c>
      <c r="M3799" s="1">
        <v>14746.23</v>
      </c>
      <c r="N3799" s="1">
        <v>12087.07</v>
      </c>
      <c r="O3799" s="1">
        <v>14746.23</v>
      </c>
      <c r="P3799" s="1">
        <v>12087.07</v>
      </c>
      <c r="Q3799">
        <v>2.5499999999999998</v>
      </c>
      <c r="R3799">
        <v>6.0520000000000001E-3</v>
      </c>
    </row>
    <row r="3800" spans="1:18" ht="13.8" outlineLevel="2" x14ac:dyDescent="0.25">
      <c r="A3800">
        <v>106053</v>
      </c>
      <c r="B3800" t="s">
        <v>5042</v>
      </c>
      <c r="C3800" t="s">
        <v>5059</v>
      </c>
      <c r="D3800" s="14" t="s">
        <v>5060</v>
      </c>
      <c r="E3800" s="12" t="s">
        <v>28</v>
      </c>
      <c r="F3800" s="18" t="s">
        <v>1467</v>
      </c>
      <c r="G3800">
        <v>1</v>
      </c>
      <c r="H3800" t="s">
        <v>30</v>
      </c>
      <c r="I3800">
        <v>1</v>
      </c>
      <c r="J3800" s="15"/>
      <c r="K3800" s="16">
        <f>IF($E$1&gt;=$Q$1%,43548.47-(43548.47*$Q$1%),43548.47-(43548.47*$E$1))</f>
        <v>43548.47</v>
      </c>
      <c r="L3800" s="16">
        <f>IF($E$1&gt;=$Q$1%,35695.47-(35695.47*$Q$1%),35695.47-(35695.47*$E$1))</f>
        <v>35695.47</v>
      </c>
      <c r="M3800" s="1">
        <v>43548.47</v>
      </c>
      <c r="N3800" s="1">
        <v>35695.47</v>
      </c>
      <c r="O3800" s="1">
        <v>43548.47</v>
      </c>
      <c r="P3800" s="1">
        <v>35695.47</v>
      </c>
      <c r="Q3800">
        <v>6.79</v>
      </c>
      <c r="R3800">
        <v>1.4926999999999999E-2</v>
      </c>
    </row>
    <row r="3801" spans="1:18" ht="13.8" outlineLevel="2" x14ac:dyDescent="0.25">
      <c r="A3801">
        <v>106054</v>
      </c>
      <c r="B3801" t="s">
        <v>5042</v>
      </c>
      <c r="C3801" t="s">
        <v>5061</v>
      </c>
      <c r="D3801" s="14" t="s">
        <v>5062</v>
      </c>
      <c r="E3801" s="12" t="s">
        <v>28</v>
      </c>
      <c r="F3801" s="18" t="s">
        <v>1467</v>
      </c>
      <c r="G3801">
        <v>1</v>
      </c>
      <c r="H3801" t="s">
        <v>30</v>
      </c>
      <c r="I3801">
        <v>1</v>
      </c>
      <c r="J3801" s="15"/>
      <c r="K3801" s="16">
        <f>IF($E$1&gt;=$Q$1%,28733.12-(28733.12*$Q$1%),28733.12-(28733.12*$E$1))</f>
        <v>28733.119999999999</v>
      </c>
      <c r="L3801" s="16">
        <f>IF($E$1&gt;=$Q$1%,23551.74-(23551.74*$Q$1%),23551.74-(23551.74*$E$1))</f>
        <v>23551.74</v>
      </c>
      <c r="M3801" s="1">
        <v>28733.119999999999</v>
      </c>
      <c r="N3801" s="1">
        <v>23551.74</v>
      </c>
      <c r="O3801" s="1">
        <v>28733.119999999999</v>
      </c>
      <c r="P3801" s="1">
        <v>23551.74</v>
      </c>
      <c r="Q3801">
        <v>3.49</v>
      </c>
      <c r="R3801">
        <v>6.0520000000000001E-3</v>
      </c>
    </row>
    <row r="3802" spans="1:18" ht="16.5" customHeight="1" outlineLevel="1" x14ac:dyDescent="0.35">
      <c r="A3802" s="9"/>
      <c r="B3802" s="10" t="s">
        <v>5063</v>
      </c>
      <c r="C3802" s="10"/>
      <c r="D3802" s="10"/>
      <c r="E3802" s="10"/>
      <c r="F3802" s="10"/>
      <c r="G3802" s="10"/>
      <c r="H3802" s="10"/>
      <c r="I3802" s="10"/>
      <c r="J3802" s="10"/>
      <c r="K3802" s="10"/>
      <c r="L3802" s="10"/>
      <c r="M3802" s="10"/>
      <c r="N3802" s="10"/>
      <c r="O3802" s="10"/>
      <c r="P3802" s="10"/>
      <c r="Q3802" s="10"/>
      <c r="R3802" s="11"/>
    </row>
    <row r="3803" spans="1:18" ht="13.8" outlineLevel="2" x14ac:dyDescent="0.25">
      <c r="A3803">
        <v>104532</v>
      </c>
      <c r="B3803" t="s">
        <v>5064</v>
      </c>
      <c r="C3803" t="s">
        <v>5065</v>
      </c>
      <c r="D3803" s="14" t="s">
        <v>5066</v>
      </c>
      <c r="E3803" s="12" t="s">
        <v>28</v>
      </c>
      <c r="F3803" s="13" t="s">
        <v>29</v>
      </c>
      <c r="G3803">
        <v>1</v>
      </c>
      <c r="H3803" t="s">
        <v>30</v>
      </c>
      <c r="I3803">
        <v>1</v>
      </c>
      <c r="J3803" s="15"/>
      <c r="K3803" s="16">
        <f>IF($E$1&gt;=$Q$1%,20827.41-(20827.41*$Q$1%),20827.41-(20827.41*$E$1))</f>
        <v>20827.41</v>
      </c>
      <c r="L3803" s="16">
        <f>IF($E$1&gt;=$Q$1%,17071.65-(17071.65*$Q$1%),17071.65-(17071.65*$E$1))</f>
        <v>17071.650000000001</v>
      </c>
      <c r="M3803" s="1">
        <v>20827.41</v>
      </c>
      <c r="N3803" s="1">
        <v>17071.650000000001</v>
      </c>
      <c r="O3803" s="1">
        <v>20827.41</v>
      </c>
      <c r="P3803" s="1">
        <v>17071.650000000001</v>
      </c>
      <c r="Q3803">
        <v>4.6900000000000004</v>
      </c>
      <c r="R3803">
        <v>1.9352000000000001E-2</v>
      </c>
    </row>
    <row r="3804" spans="1:18" ht="13.8" outlineLevel="2" x14ac:dyDescent="0.25">
      <c r="A3804">
        <v>104540</v>
      </c>
      <c r="B3804" t="s">
        <v>5064</v>
      </c>
      <c r="C3804" t="s">
        <v>5067</v>
      </c>
      <c r="D3804" s="14" t="s">
        <v>5068</v>
      </c>
      <c r="E3804" s="12" t="s">
        <v>28</v>
      </c>
      <c r="F3804" s="13" t="s">
        <v>29</v>
      </c>
      <c r="G3804">
        <v>1</v>
      </c>
      <c r="H3804" t="s">
        <v>30</v>
      </c>
      <c r="I3804">
        <v>1</v>
      </c>
      <c r="J3804" s="15"/>
      <c r="K3804" s="16">
        <f>IF($E$1&gt;=$Q$1%,8993.11-(8993.11*$Q$1%),8993.11-(8993.11*$E$1))</f>
        <v>8993.11</v>
      </c>
      <c r="L3804" s="16">
        <f>IF($E$1&gt;=$Q$1%,7371.4-(7371.4*$Q$1%),7371.4-(7371.4*$E$1))</f>
        <v>7371.4</v>
      </c>
      <c r="M3804" s="1">
        <v>8993.11</v>
      </c>
      <c r="N3804" s="1">
        <v>7371.4</v>
      </c>
      <c r="O3804" s="1">
        <v>8993.11</v>
      </c>
      <c r="P3804" s="1">
        <v>7371.4</v>
      </c>
      <c r="Q3804">
        <v>2.12</v>
      </c>
      <c r="R3804">
        <v>7.8300000000000002E-3</v>
      </c>
    </row>
    <row r="3805" spans="1:18" ht="13.8" outlineLevel="2" x14ac:dyDescent="0.25">
      <c r="A3805">
        <v>104868</v>
      </c>
      <c r="B3805" t="s">
        <v>5069</v>
      </c>
      <c r="C3805" t="s">
        <v>5070</v>
      </c>
      <c r="D3805" s="14" t="s">
        <v>5071</v>
      </c>
      <c r="E3805" s="12" t="s">
        <v>28</v>
      </c>
      <c r="F3805" s="18" t="s">
        <v>1467</v>
      </c>
      <c r="G3805">
        <v>1</v>
      </c>
      <c r="H3805" t="s">
        <v>30</v>
      </c>
      <c r="I3805">
        <v>1</v>
      </c>
      <c r="J3805" s="15"/>
      <c r="K3805" s="16">
        <f>IF($E$1&gt;=$Q$1%,21495.24-(21495.24*$Q$1%),21495.24-(21495.24*$E$1))</f>
        <v>21495.24</v>
      </c>
      <c r="L3805" s="16">
        <f>IF($E$1&gt;=$Q$1%,17619.05-(17619.05*$Q$1%),17619.05-(17619.05*$E$1))</f>
        <v>17619.05</v>
      </c>
      <c r="M3805" s="1">
        <v>21495.24</v>
      </c>
      <c r="N3805" s="1">
        <v>17619.05</v>
      </c>
      <c r="O3805" s="1">
        <v>21495.24</v>
      </c>
      <c r="P3805" s="1">
        <v>17619.05</v>
      </c>
      <c r="Q3805">
        <v>9.2799999999999994</v>
      </c>
      <c r="R3805">
        <v>6.6758999999999999E-2</v>
      </c>
    </row>
    <row r="3806" spans="1:18" ht="13.8" outlineLevel="2" x14ac:dyDescent="0.25">
      <c r="A3806">
        <v>104870</v>
      </c>
      <c r="B3806" t="s">
        <v>5069</v>
      </c>
      <c r="C3806" t="s">
        <v>5072</v>
      </c>
      <c r="D3806" s="14" t="s">
        <v>5073</v>
      </c>
      <c r="E3806" s="12" t="s">
        <v>28</v>
      </c>
      <c r="F3806" s="18" t="s">
        <v>1467</v>
      </c>
      <c r="G3806">
        <v>1</v>
      </c>
      <c r="H3806" t="s">
        <v>30</v>
      </c>
      <c r="I3806">
        <v>1</v>
      </c>
      <c r="J3806" s="15"/>
      <c r="K3806" s="16">
        <f>IF($E$1&gt;=$Q$1%,23898.26-(23898.26*$Q$1%),23898.26-(23898.26*$E$1))</f>
        <v>23898.26</v>
      </c>
      <c r="L3806" s="16">
        <f>IF($E$1&gt;=$Q$1%,19588.74-(19588.74*$Q$1%),19588.74-(19588.74*$E$1))</f>
        <v>19588.740000000002</v>
      </c>
      <c r="M3806" s="1">
        <v>23898.26</v>
      </c>
      <c r="N3806" s="1">
        <v>19588.740000000002</v>
      </c>
      <c r="O3806" s="1">
        <v>23898.26</v>
      </c>
      <c r="P3806" s="1">
        <v>19588.740000000002</v>
      </c>
      <c r="Q3806">
        <v>9.32</v>
      </c>
      <c r="R3806">
        <v>6.6758999999999999E-2</v>
      </c>
    </row>
    <row r="3807" spans="1:18" ht="13.8" outlineLevel="2" x14ac:dyDescent="0.25">
      <c r="A3807">
        <v>104869</v>
      </c>
      <c r="B3807" t="s">
        <v>5069</v>
      </c>
      <c r="C3807" t="s">
        <v>5074</v>
      </c>
      <c r="D3807" s="14" t="s">
        <v>5075</v>
      </c>
      <c r="E3807" s="12" t="s">
        <v>28</v>
      </c>
      <c r="F3807" s="18" t="s">
        <v>1467</v>
      </c>
      <c r="G3807">
        <v>1</v>
      </c>
      <c r="H3807" t="s">
        <v>30</v>
      </c>
      <c r="I3807">
        <v>1</v>
      </c>
      <c r="J3807" s="15"/>
      <c r="K3807" s="16">
        <f>IF($E$1&gt;=$Q$1%,15013.28-(15013.28*$Q$1%),15013.28-(15013.28*$E$1))</f>
        <v>15013.28</v>
      </c>
      <c r="L3807" s="16">
        <f>IF($E$1&gt;=$Q$1%,12305.97-(12305.97*$Q$1%),12305.97-(12305.97*$E$1))</f>
        <v>12305.97</v>
      </c>
      <c r="M3807" s="1">
        <v>15013.28</v>
      </c>
      <c r="N3807" s="1">
        <v>12305.97</v>
      </c>
      <c r="O3807" s="1">
        <v>15013.28</v>
      </c>
      <c r="P3807" s="1">
        <v>12305.97</v>
      </c>
      <c r="Q3807">
        <v>6.24</v>
      </c>
      <c r="R3807">
        <v>2.7300000000000001E-2</v>
      </c>
    </row>
    <row r="3808" spans="1:18" ht="13.8" outlineLevel="2" x14ac:dyDescent="0.25">
      <c r="A3808">
        <v>104871</v>
      </c>
      <c r="B3808" t="s">
        <v>5069</v>
      </c>
      <c r="C3808" t="s">
        <v>5076</v>
      </c>
      <c r="D3808" s="14" t="s">
        <v>5077</v>
      </c>
      <c r="E3808" s="12" t="s">
        <v>28</v>
      </c>
      <c r="F3808" s="18" t="s">
        <v>1467</v>
      </c>
      <c r="G3808">
        <v>1</v>
      </c>
      <c r="H3808" t="s">
        <v>30</v>
      </c>
      <c r="I3808">
        <v>1</v>
      </c>
      <c r="J3808" s="15"/>
      <c r="K3808" s="16">
        <f>IF($E$1&gt;=$Q$1%,16980.67-(16980.67*$Q$1%),16980.67-(16980.67*$E$1))</f>
        <v>16980.669999999998</v>
      </c>
      <c r="L3808" s="16">
        <f>IF($E$1&gt;=$Q$1%,13918.58-(13918.58*$Q$1%),13918.58-(13918.58*$E$1))</f>
        <v>13918.58</v>
      </c>
      <c r="M3808" s="1">
        <v>16980.669999999998</v>
      </c>
      <c r="N3808" s="1">
        <v>13918.58</v>
      </c>
      <c r="O3808" s="1">
        <v>16980.669999999998</v>
      </c>
      <c r="P3808" s="1">
        <v>13918.58</v>
      </c>
      <c r="Q3808">
        <v>6.24</v>
      </c>
      <c r="R3808">
        <v>2.6845000000000001E-2</v>
      </c>
    </row>
    <row r="3809" spans="1:18" ht="13.8" outlineLevel="2" x14ac:dyDescent="0.25">
      <c r="A3809">
        <v>106937</v>
      </c>
      <c r="B3809" t="s">
        <v>5078</v>
      </c>
      <c r="C3809" t="s">
        <v>5079</v>
      </c>
      <c r="D3809" s="14" t="s">
        <v>5080</v>
      </c>
      <c r="E3809" s="12" t="s">
        <v>28</v>
      </c>
      <c r="F3809" s="18" t="s">
        <v>1467</v>
      </c>
      <c r="G3809">
        <v>1</v>
      </c>
      <c r="H3809" t="s">
        <v>30</v>
      </c>
      <c r="I3809">
        <v>1</v>
      </c>
      <c r="J3809" s="15"/>
      <c r="K3809" s="16">
        <f>IF($E$1&gt;=$Q$1%,5867.96-(5867.96*$Q$1%),5867.96-(5867.96*$E$1))</f>
        <v>5867.96</v>
      </c>
      <c r="L3809" s="16">
        <f>IF($E$1&gt;=$Q$1%,4809.8-(4809.8*$Q$1%),4809.8-(4809.8*$E$1))</f>
        <v>4809.8</v>
      </c>
      <c r="M3809" s="1">
        <v>5867.96</v>
      </c>
      <c r="N3809" s="1">
        <v>4809.8</v>
      </c>
      <c r="O3809" s="1">
        <v>5867.96</v>
      </c>
      <c r="P3809" s="1">
        <v>4809.8</v>
      </c>
      <c r="Q3809">
        <v>2.58</v>
      </c>
      <c r="R3809">
        <v>8.2431000000000004E-2</v>
      </c>
    </row>
    <row r="3810" spans="1:18" ht="13.8" outlineLevel="2" x14ac:dyDescent="0.25">
      <c r="A3810">
        <v>106938</v>
      </c>
      <c r="B3810" t="s">
        <v>5081</v>
      </c>
      <c r="C3810" t="s">
        <v>5082</v>
      </c>
      <c r="D3810" s="14" t="s">
        <v>5083</v>
      </c>
      <c r="E3810" s="12" t="s">
        <v>28</v>
      </c>
      <c r="F3810" s="18" t="s">
        <v>1467</v>
      </c>
      <c r="G3810">
        <v>1</v>
      </c>
      <c r="H3810" t="s">
        <v>30</v>
      </c>
      <c r="I3810">
        <v>1</v>
      </c>
      <c r="J3810" s="15"/>
      <c r="K3810" s="16">
        <f>IF($E$1&gt;=$Q$1%,848.72-(848.72*$Q$1%),848.72-(848.72*$E$1))</f>
        <v>848.72</v>
      </c>
      <c r="L3810" s="16">
        <f>IF($E$1&gt;=$Q$1%,695.67-(695.67*$Q$1%),695.67-(695.67*$E$1))</f>
        <v>695.67</v>
      </c>
      <c r="M3810" s="1">
        <v>848.72</v>
      </c>
      <c r="N3810" s="1">
        <v>695.67</v>
      </c>
      <c r="O3810" s="1">
        <v>848.72</v>
      </c>
      <c r="P3810" s="1">
        <v>695.67</v>
      </c>
      <c r="Q3810">
        <v>0.38</v>
      </c>
      <c r="R3810">
        <v>4.1300000000000001E-4</v>
      </c>
    </row>
    <row r="3811" spans="1:18" ht="13.8" outlineLevel="2" x14ac:dyDescent="0.25">
      <c r="A3811">
        <v>109481</v>
      </c>
      <c r="B3811" t="s">
        <v>5084</v>
      </c>
      <c r="C3811" t="s">
        <v>5085</v>
      </c>
      <c r="D3811" s="14" t="s">
        <v>5086</v>
      </c>
      <c r="E3811" s="12" t="s">
        <v>28</v>
      </c>
      <c r="F3811" s="18" t="s">
        <v>1467</v>
      </c>
      <c r="G3811">
        <v>1</v>
      </c>
      <c r="H3811" t="s">
        <v>30</v>
      </c>
      <c r="I3811">
        <v>1</v>
      </c>
      <c r="J3811" s="15"/>
      <c r="K3811" s="16">
        <f>IF($E$1&gt;=$Q$1%,25361.08-(25361.08*$Q$1%),25361.08-(25361.08*$E$1))</f>
        <v>25361.08</v>
      </c>
      <c r="L3811" s="16">
        <f>IF($E$1&gt;=$Q$1%,20787.77-(20787.77*$Q$1%),20787.77-(20787.77*$E$1))</f>
        <v>20787.77</v>
      </c>
      <c r="M3811" s="1">
        <v>25361.08</v>
      </c>
      <c r="N3811" s="1">
        <v>20787.77</v>
      </c>
      <c r="O3811" s="1">
        <v>25361.08</v>
      </c>
      <c r="P3811" s="1">
        <v>20787.77</v>
      </c>
      <c r="Q3811">
        <v>17.5</v>
      </c>
      <c r="R3811">
        <v>0.116366</v>
      </c>
    </row>
    <row r="3812" spans="1:18" ht="13.8" outlineLevel="2" x14ac:dyDescent="0.25">
      <c r="A3812">
        <v>109480</v>
      </c>
      <c r="B3812" t="s">
        <v>5084</v>
      </c>
      <c r="C3812" t="s">
        <v>5087</v>
      </c>
      <c r="D3812" s="14" t="s">
        <v>5088</v>
      </c>
      <c r="E3812" s="12" t="s">
        <v>28</v>
      </c>
      <c r="F3812" s="18" t="s">
        <v>1467</v>
      </c>
      <c r="G3812">
        <v>1</v>
      </c>
      <c r="H3812" t="s">
        <v>30</v>
      </c>
      <c r="I3812">
        <v>1</v>
      </c>
      <c r="J3812" s="15"/>
      <c r="K3812" s="16">
        <f>IF($E$1&gt;=$Q$1%,32128.08-(32128.08*$Q$1%),32128.08-(32128.08*$E$1))</f>
        <v>32128.080000000002</v>
      </c>
      <c r="L3812" s="16">
        <f>IF($E$1&gt;=$Q$1%,26334.49-(26334.49*$Q$1%),26334.49-(26334.49*$E$1))</f>
        <v>26334.49</v>
      </c>
      <c r="M3812" s="1">
        <v>32128.080000000002</v>
      </c>
      <c r="N3812" s="1">
        <v>26334.49</v>
      </c>
      <c r="O3812" s="1">
        <v>32128.080000000002</v>
      </c>
      <c r="P3812" s="1">
        <v>26334.49</v>
      </c>
      <c r="Q3812">
        <v>20.14</v>
      </c>
      <c r="R3812">
        <v>0.147146</v>
      </c>
    </row>
    <row r="3813" spans="1:18" ht="13.8" outlineLevel="2" x14ac:dyDescent="0.25">
      <c r="A3813">
        <v>109482</v>
      </c>
      <c r="B3813" t="s">
        <v>5089</v>
      </c>
      <c r="C3813" t="s">
        <v>5090</v>
      </c>
      <c r="D3813" s="14" t="s">
        <v>5091</v>
      </c>
      <c r="E3813" s="12" t="s">
        <v>28</v>
      </c>
      <c r="F3813" s="18" t="s">
        <v>1467</v>
      </c>
      <c r="G3813">
        <v>1</v>
      </c>
      <c r="H3813" t="s">
        <v>30</v>
      </c>
      <c r="I3813">
        <v>1</v>
      </c>
      <c r="J3813" s="15"/>
      <c r="K3813" s="21" t="s">
        <v>5092</v>
      </c>
      <c r="L3813" s="21" t="s">
        <v>5093</v>
      </c>
      <c r="M3813" s="1">
        <v>13571.94</v>
      </c>
      <c r="N3813" s="1">
        <v>11124.54</v>
      </c>
      <c r="O3813" s="1">
        <v>11536.15</v>
      </c>
      <c r="P3813" s="1">
        <v>9455.86</v>
      </c>
      <c r="Q3813">
        <v>5.96</v>
      </c>
      <c r="R3813">
        <v>1.406E-2</v>
      </c>
    </row>
    <row r="3814" spans="1:18" ht="13.8" outlineLevel="2" x14ac:dyDescent="0.25">
      <c r="A3814">
        <v>103814</v>
      </c>
      <c r="B3814" t="s">
        <v>5089</v>
      </c>
      <c r="C3814" t="s">
        <v>5094</v>
      </c>
      <c r="D3814" s="14" t="s">
        <v>5095</v>
      </c>
      <c r="E3814" s="12" t="s">
        <v>28</v>
      </c>
      <c r="F3814" s="13" t="s">
        <v>29</v>
      </c>
      <c r="G3814">
        <v>1</v>
      </c>
      <c r="H3814" t="s">
        <v>30</v>
      </c>
      <c r="I3814">
        <v>1</v>
      </c>
      <c r="J3814" s="15"/>
      <c r="K3814" s="16">
        <f>IF($E$1&gt;=$Q$1%,13164.19-(13164.19*$Q$1%),13164.19-(13164.19*$E$1))</f>
        <v>13164.19</v>
      </c>
      <c r="L3814" s="16">
        <f>IF($E$1&gt;=$Q$1%,10790.32-(10790.32*$Q$1%),10790.32-(10790.32*$E$1))</f>
        <v>10790.32</v>
      </c>
      <c r="M3814" s="1">
        <v>13164.19</v>
      </c>
      <c r="N3814" s="1">
        <v>10790.32</v>
      </c>
      <c r="O3814" s="1">
        <v>13164.19</v>
      </c>
      <c r="P3814" s="1">
        <v>10790.32</v>
      </c>
      <c r="Q3814">
        <v>5.96</v>
      </c>
      <c r="R3814">
        <v>2.5295999999999999E-2</v>
      </c>
    </row>
    <row r="3815" spans="1:18" ht="13.8" outlineLevel="2" x14ac:dyDescent="0.25">
      <c r="A3815">
        <v>106046</v>
      </c>
      <c r="B3815" t="s">
        <v>5096</v>
      </c>
      <c r="C3815" t="s">
        <v>5097</v>
      </c>
      <c r="D3815" s="14" t="s">
        <v>5098</v>
      </c>
      <c r="E3815" s="12" t="s">
        <v>28</v>
      </c>
      <c r="F3815" s="18" t="s">
        <v>1467</v>
      </c>
      <c r="G3815">
        <v>1</v>
      </c>
      <c r="H3815" t="s">
        <v>30</v>
      </c>
      <c r="I3815">
        <v>1</v>
      </c>
      <c r="J3815" s="15"/>
      <c r="K3815" s="16">
        <f>IF($E$1&gt;=$Q$1%,10162.31-(10162.31*$Q$1%),10162.31-(10162.31*$E$1))</f>
        <v>10162.31</v>
      </c>
      <c r="L3815" s="16">
        <f>IF($E$1&gt;=$Q$1%,8329.76-(8329.76*$Q$1%),8329.76-(8329.76*$E$1))</f>
        <v>8329.76</v>
      </c>
      <c r="M3815" s="1">
        <v>10162.31</v>
      </c>
      <c r="N3815" s="1">
        <v>8329.76</v>
      </c>
      <c r="O3815" s="1">
        <v>10162.31</v>
      </c>
      <c r="P3815" s="1">
        <v>8329.76</v>
      </c>
      <c r="Q3815">
        <v>2.66</v>
      </c>
      <c r="R3815">
        <v>1.3601E-2</v>
      </c>
    </row>
    <row r="3816" spans="1:18" ht="13.8" outlineLevel="2" x14ac:dyDescent="0.25">
      <c r="A3816">
        <v>106047</v>
      </c>
      <c r="B3816" t="s">
        <v>5096</v>
      </c>
      <c r="C3816" t="s">
        <v>5099</v>
      </c>
      <c r="D3816" s="14" t="s">
        <v>5100</v>
      </c>
      <c r="E3816" s="12" t="s">
        <v>28</v>
      </c>
      <c r="F3816" s="18" t="s">
        <v>1467</v>
      </c>
      <c r="G3816">
        <v>1</v>
      </c>
      <c r="H3816" t="s">
        <v>30</v>
      </c>
      <c r="I3816">
        <v>1</v>
      </c>
      <c r="J3816" s="15"/>
      <c r="K3816" s="16">
        <f>IF($E$1&gt;=$Q$1%,5288.52-(5288.52*$Q$1%),5288.52-(5288.52*$E$1))</f>
        <v>5288.52</v>
      </c>
      <c r="L3816" s="16">
        <f>IF($E$1&gt;=$Q$1%,4334.85-(4334.85*$Q$1%),4334.85-(4334.85*$E$1))</f>
        <v>4334.8500000000004</v>
      </c>
      <c r="M3816" s="1">
        <v>5288.52</v>
      </c>
      <c r="N3816" s="1">
        <v>4334.8500000000004</v>
      </c>
      <c r="O3816" s="1">
        <v>5288.52</v>
      </c>
      <c r="P3816" s="1">
        <v>4334.8500000000004</v>
      </c>
      <c r="Q3816">
        <v>1.19</v>
      </c>
      <c r="R3816">
        <v>5.8799999999999998E-3</v>
      </c>
    </row>
    <row r="3817" spans="1:18" ht="13.8" outlineLevel="2" x14ac:dyDescent="0.25">
      <c r="A3817">
        <v>106048</v>
      </c>
      <c r="B3817" t="s">
        <v>5096</v>
      </c>
      <c r="C3817" t="s">
        <v>5101</v>
      </c>
      <c r="D3817" s="14" t="s">
        <v>5102</v>
      </c>
      <c r="E3817" s="12" t="s">
        <v>28</v>
      </c>
      <c r="F3817" s="18" t="s">
        <v>1467</v>
      </c>
      <c r="G3817">
        <v>1</v>
      </c>
      <c r="H3817" t="s">
        <v>30</v>
      </c>
      <c r="I3817">
        <v>1</v>
      </c>
      <c r="J3817" s="15"/>
      <c r="K3817" s="16">
        <f>IF($E$1&gt;=$Q$1%,11137.18-(11137.18*$Q$1%),11137.18-(11137.18*$E$1))</f>
        <v>11137.18</v>
      </c>
      <c r="L3817" s="16">
        <f>IF($E$1&gt;=$Q$1%,9128.84-(9128.84*$Q$1%),9128.84-(9128.84*$E$1))</f>
        <v>9128.84</v>
      </c>
      <c r="M3817" s="1">
        <v>11137.18</v>
      </c>
      <c r="N3817" s="1">
        <v>9128.84</v>
      </c>
      <c r="O3817" s="1">
        <v>11137.18</v>
      </c>
      <c r="P3817" s="1">
        <v>9128.84</v>
      </c>
      <c r="Q3817">
        <v>2.72</v>
      </c>
      <c r="R3817">
        <v>1.3601E-2</v>
      </c>
    </row>
    <row r="3818" spans="1:18" ht="13.8" outlineLevel="2" x14ac:dyDescent="0.25">
      <c r="A3818">
        <v>106049</v>
      </c>
      <c r="B3818" t="s">
        <v>5096</v>
      </c>
      <c r="C3818" t="s">
        <v>5103</v>
      </c>
      <c r="D3818" s="14" t="s">
        <v>5104</v>
      </c>
      <c r="E3818" s="12" t="s">
        <v>28</v>
      </c>
      <c r="F3818" s="18" t="s">
        <v>1467</v>
      </c>
      <c r="G3818">
        <v>1</v>
      </c>
      <c r="H3818" t="s">
        <v>30</v>
      </c>
      <c r="I3818">
        <v>1</v>
      </c>
      <c r="J3818" s="15"/>
      <c r="K3818" s="16">
        <f>IF($E$1&gt;=$Q$1%,5668.05-(5668.05*$Q$1%),5668.05-(5668.05*$E$1))</f>
        <v>5668.05</v>
      </c>
      <c r="L3818" s="16">
        <f>IF($E$1&gt;=$Q$1%,4645.94-(4645.94*$Q$1%),4645.94-(4645.94*$E$1))</f>
        <v>4645.9399999999996</v>
      </c>
      <c r="M3818" s="1">
        <v>5668.05</v>
      </c>
      <c r="N3818" s="1">
        <v>4645.9399999999996</v>
      </c>
      <c r="O3818" s="1">
        <v>5668.05</v>
      </c>
      <c r="P3818" s="1">
        <v>4645.9399999999996</v>
      </c>
      <c r="Q3818">
        <v>1.25</v>
      </c>
      <c r="R3818">
        <v>5.8799999999999998E-3</v>
      </c>
    </row>
    <row r="3819" spans="1:18" ht="13.8" outlineLevel="2" x14ac:dyDescent="0.25">
      <c r="A3819">
        <v>109557</v>
      </c>
      <c r="B3819" t="s">
        <v>5096</v>
      </c>
      <c r="C3819" t="s">
        <v>5105</v>
      </c>
      <c r="D3819" s="14" t="s">
        <v>5106</v>
      </c>
      <c r="E3819" s="12" t="s">
        <v>28</v>
      </c>
      <c r="F3819" s="18" t="s">
        <v>1467</v>
      </c>
      <c r="G3819">
        <v>1</v>
      </c>
      <c r="H3819" t="s">
        <v>30</v>
      </c>
      <c r="I3819">
        <v>1</v>
      </c>
      <c r="J3819" s="15"/>
      <c r="K3819" s="16">
        <f>IF($E$1&gt;=$Q$1%,14816.84-(14816.84*$Q$1%),14816.84-(14816.84*$E$1))</f>
        <v>14816.84</v>
      </c>
      <c r="L3819" s="16">
        <f>IF($E$1&gt;=$Q$1%,12144.95-(12144.95*$Q$1%),12144.95-(12144.95*$E$1))</f>
        <v>12144.95</v>
      </c>
      <c r="M3819" s="1">
        <v>14816.84</v>
      </c>
      <c r="N3819" s="1">
        <v>12144.95</v>
      </c>
      <c r="O3819" s="1">
        <v>14816.84</v>
      </c>
      <c r="P3819" s="1">
        <v>12144.95</v>
      </c>
      <c r="Q3819">
        <v>3.92</v>
      </c>
      <c r="R3819">
        <v>1.6379999999999999E-2</v>
      </c>
    </row>
    <row r="3820" spans="1:18" ht="16.5" customHeight="1" outlineLevel="1" x14ac:dyDescent="0.35">
      <c r="A3820" s="9"/>
      <c r="B3820" s="10" t="s">
        <v>5107</v>
      </c>
      <c r="C3820" s="10"/>
      <c r="D3820" s="10"/>
      <c r="E3820" s="10"/>
      <c r="F3820" s="10"/>
      <c r="G3820" s="10"/>
      <c r="H3820" s="10"/>
      <c r="I3820" s="10"/>
      <c r="J3820" s="10"/>
      <c r="K3820" s="10"/>
      <c r="L3820" s="10"/>
      <c r="M3820" s="10"/>
      <c r="N3820" s="10"/>
      <c r="O3820" s="10"/>
      <c r="P3820" s="10"/>
      <c r="Q3820" s="10"/>
      <c r="R3820" s="11"/>
    </row>
    <row r="3821" spans="1:18" ht="13.8" outlineLevel="2" x14ac:dyDescent="0.25">
      <c r="A3821">
        <v>104545</v>
      </c>
      <c r="B3821" t="s">
        <v>5108</v>
      </c>
      <c r="C3821" t="s">
        <v>5109</v>
      </c>
      <c r="D3821" s="14" t="s">
        <v>5110</v>
      </c>
      <c r="E3821" s="12" t="s">
        <v>28</v>
      </c>
      <c r="F3821" s="18" t="s">
        <v>1467</v>
      </c>
      <c r="G3821">
        <v>1</v>
      </c>
      <c r="H3821" t="s">
        <v>30</v>
      </c>
      <c r="I3821">
        <v>1</v>
      </c>
      <c r="J3821" s="15"/>
      <c r="K3821" s="16">
        <f>IF($E$1&gt;=$Q$1%,1757.7-(1757.7*$Q$1%),1757.7-(1757.7*$E$1))</f>
        <v>1757.7</v>
      </c>
      <c r="L3821" s="16">
        <f>IF($E$1&gt;=$Q$1%,1440.74-(1440.74*$Q$1%),1440.74-(1440.74*$E$1))</f>
        <v>1440.74</v>
      </c>
      <c r="M3821" s="1">
        <v>1757.7</v>
      </c>
      <c r="N3821" s="1">
        <v>1440.74</v>
      </c>
      <c r="O3821" s="1">
        <v>1757.7</v>
      </c>
      <c r="P3821" s="1">
        <v>1440.74</v>
      </c>
      <c r="Q3821">
        <v>0.26</v>
      </c>
      <c r="R3821">
        <v>3.4200000000000002E-4</v>
      </c>
    </row>
    <row r="3822" spans="1:18" ht="13.8" outlineLevel="2" x14ac:dyDescent="0.25">
      <c r="A3822">
        <v>104542</v>
      </c>
      <c r="B3822" t="s">
        <v>5108</v>
      </c>
      <c r="C3822" t="s">
        <v>5111</v>
      </c>
      <c r="D3822" s="14" t="s">
        <v>5112</v>
      </c>
      <c r="E3822" s="12" t="s">
        <v>28</v>
      </c>
      <c r="F3822" s="13" t="s">
        <v>29</v>
      </c>
      <c r="G3822">
        <v>1</v>
      </c>
      <c r="H3822" t="s">
        <v>30</v>
      </c>
      <c r="I3822">
        <v>1</v>
      </c>
      <c r="J3822" s="15"/>
      <c r="K3822" s="16">
        <f>IF($E$1&gt;=$Q$1%,2837.77-(2837.77*$Q$1%),2837.77-(2837.77*$E$1))</f>
        <v>2837.77</v>
      </c>
      <c r="L3822" s="16">
        <f>IF($E$1&gt;=$Q$1%,2326.04-(2326.04*$Q$1%),2326.04-(2326.04*$E$1))</f>
        <v>2326.04</v>
      </c>
      <c r="M3822" s="1">
        <v>2837.77</v>
      </c>
      <c r="N3822" s="1">
        <v>2326.04</v>
      </c>
      <c r="O3822" s="1">
        <v>2837.77</v>
      </c>
      <c r="P3822" s="1">
        <v>2326.04</v>
      </c>
      <c r="Q3822">
        <v>0.46500000000000002</v>
      </c>
      <c r="R3822">
        <v>6.4800000000000003E-4</v>
      </c>
    </row>
    <row r="3823" spans="1:18" ht="13.8" outlineLevel="2" x14ac:dyDescent="0.25">
      <c r="A3823">
        <v>104543</v>
      </c>
      <c r="B3823" t="s">
        <v>5108</v>
      </c>
      <c r="C3823" t="s">
        <v>5113</v>
      </c>
      <c r="D3823" s="14" t="s">
        <v>5114</v>
      </c>
      <c r="E3823" s="12" t="s">
        <v>28</v>
      </c>
      <c r="F3823" s="13" t="s">
        <v>29</v>
      </c>
      <c r="G3823">
        <v>1</v>
      </c>
      <c r="H3823" t="s">
        <v>30</v>
      </c>
      <c r="I3823">
        <v>1</v>
      </c>
      <c r="J3823" s="15"/>
      <c r="K3823" s="16">
        <f>IF($E$1&gt;=$Q$1%,4665.04-(4665.04*$Q$1%),4665.04-(4665.04*$E$1))</f>
        <v>4665.04</v>
      </c>
      <c r="L3823" s="16">
        <f>IF($E$1&gt;=$Q$1%,3823.8-(3823.8*$Q$1%),3823.8-(3823.8*$E$1))</f>
        <v>3823.8</v>
      </c>
      <c r="M3823" s="1">
        <v>4665.04</v>
      </c>
      <c r="N3823" s="1">
        <v>3823.8</v>
      </c>
      <c r="O3823" s="1">
        <v>4665.04</v>
      </c>
      <c r="P3823" s="1">
        <v>3823.8</v>
      </c>
      <c r="Q3823">
        <v>0.745</v>
      </c>
      <c r="R3823">
        <v>8.6399999999999997E-4</v>
      </c>
    </row>
    <row r="3824" spans="1:18" ht="13.8" outlineLevel="2" x14ac:dyDescent="0.25">
      <c r="A3824">
        <v>106057</v>
      </c>
      <c r="B3824" t="s">
        <v>5108</v>
      </c>
      <c r="C3824" t="s">
        <v>5115</v>
      </c>
      <c r="D3824" s="14" t="s">
        <v>5116</v>
      </c>
      <c r="E3824" s="12" t="s">
        <v>28</v>
      </c>
      <c r="F3824" s="18" t="s">
        <v>1467</v>
      </c>
      <c r="G3824">
        <v>1</v>
      </c>
      <c r="H3824" t="s">
        <v>30</v>
      </c>
      <c r="I3824">
        <v>1</v>
      </c>
      <c r="J3824" s="15"/>
      <c r="K3824" s="16">
        <f>IF($E$1&gt;=$Q$1%,6095.95-(6095.95*$Q$1%),6095.95-(6095.95*$E$1))</f>
        <v>6095.95</v>
      </c>
      <c r="L3824" s="16">
        <f>IF($E$1&gt;=$Q$1%,4996.68-(4996.68*$Q$1%),4996.68-(4996.68*$E$1))</f>
        <v>4996.68</v>
      </c>
      <c r="M3824" s="1">
        <v>6095.95</v>
      </c>
      <c r="N3824" s="1">
        <v>4996.68</v>
      </c>
      <c r="O3824" s="1">
        <v>6095.95</v>
      </c>
      <c r="P3824" s="1">
        <v>4996.68</v>
      </c>
      <c r="Q3824">
        <v>1.04</v>
      </c>
      <c r="R3824">
        <v>1.0200000000000001E-3</v>
      </c>
    </row>
    <row r="3825" spans="1:18" ht="13.8" outlineLevel="2" x14ac:dyDescent="0.25">
      <c r="A3825">
        <v>104546</v>
      </c>
      <c r="B3825" t="s">
        <v>5117</v>
      </c>
      <c r="C3825" t="s">
        <v>5118</v>
      </c>
      <c r="D3825" s="14" t="s">
        <v>5119</v>
      </c>
      <c r="E3825" s="12" t="s">
        <v>28</v>
      </c>
      <c r="F3825" s="18" t="s">
        <v>1467</v>
      </c>
      <c r="G3825">
        <v>1</v>
      </c>
      <c r="H3825" t="s">
        <v>30</v>
      </c>
      <c r="I3825">
        <v>1</v>
      </c>
      <c r="J3825" s="15"/>
      <c r="K3825" s="16">
        <f>IF($E$1&gt;=$Q$1%,987.98-(987.98*$Q$1%),987.98-(987.98*$E$1))</f>
        <v>987.98</v>
      </c>
      <c r="L3825" s="16">
        <f>IF($E$1&gt;=$Q$1%,809.82-(809.82*$Q$1%),809.82-(809.82*$E$1))</f>
        <v>809.82</v>
      </c>
      <c r="M3825" s="1">
        <v>987.98</v>
      </c>
      <c r="N3825" s="1">
        <v>809.82</v>
      </c>
      <c r="O3825" s="1">
        <v>987.98</v>
      </c>
      <c r="P3825" s="1">
        <v>809.82</v>
      </c>
      <c r="Q3825">
        <v>0.22</v>
      </c>
      <c r="R3825">
        <v>8.7000000000000001E-4</v>
      </c>
    </row>
    <row r="3826" spans="1:18" ht="13.8" outlineLevel="2" x14ac:dyDescent="0.25">
      <c r="A3826">
        <v>104544</v>
      </c>
      <c r="B3826" t="s">
        <v>5117</v>
      </c>
      <c r="C3826" t="s">
        <v>5120</v>
      </c>
      <c r="D3826" s="14" t="s">
        <v>5121</v>
      </c>
      <c r="E3826" s="12" t="s">
        <v>28</v>
      </c>
      <c r="F3826" s="13" t="s">
        <v>29</v>
      </c>
      <c r="G3826">
        <v>1</v>
      </c>
      <c r="H3826" t="s">
        <v>30</v>
      </c>
      <c r="I3826">
        <v>1</v>
      </c>
      <c r="J3826" s="15"/>
      <c r="K3826" s="16">
        <f>IF($E$1&gt;=$Q$1%,1371.22-(1371.22*$Q$1%),1371.22-(1371.22*$E$1))</f>
        <v>1371.22</v>
      </c>
      <c r="L3826" s="16">
        <f>IF($E$1&gt;=$Q$1%,1123.95-(1123.95*$Q$1%),1123.95-(1123.95*$E$1))</f>
        <v>1123.95</v>
      </c>
      <c r="M3826" s="1">
        <v>1371.22</v>
      </c>
      <c r="N3826" s="1">
        <v>1123.95</v>
      </c>
      <c r="O3826" s="1">
        <v>1371.22</v>
      </c>
      <c r="P3826" s="1">
        <v>1123.95</v>
      </c>
      <c r="Q3826">
        <v>0.36599999999999999</v>
      </c>
      <c r="R3826">
        <v>1.0529999999999999E-3</v>
      </c>
    </row>
    <row r="3827" spans="1:18" ht="16.5" customHeight="1" outlineLevel="1" x14ac:dyDescent="0.35">
      <c r="A3827" s="9"/>
      <c r="B3827" s="10" t="s">
        <v>5122</v>
      </c>
      <c r="C3827" s="10"/>
      <c r="D3827" s="10"/>
      <c r="E3827" s="10"/>
      <c r="F3827" s="10"/>
      <c r="G3827" s="10"/>
      <c r="H3827" s="10"/>
      <c r="I3827" s="10"/>
      <c r="J3827" s="10"/>
      <c r="K3827" s="10"/>
      <c r="L3827" s="10"/>
      <c r="M3827" s="10"/>
      <c r="N3827" s="10"/>
      <c r="O3827" s="10"/>
      <c r="P3827" s="10"/>
      <c r="Q3827" s="10"/>
      <c r="R3827" s="11"/>
    </row>
    <row r="3828" spans="1:18" ht="16.5" customHeight="1" outlineLevel="2" x14ac:dyDescent="0.35">
      <c r="A3828" s="9"/>
      <c r="B3828" s="10" t="s">
        <v>5123</v>
      </c>
      <c r="C3828" s="10"/>
      <c r="D3828" s="10"/>
      <c r="E3828" s="10"/>
      <c r="F3828" s="10"/>
      <c r="G3828" s="10"/>
      <c r="H3828" s="10"/>
      <c r="I3828" s="10"/>
      <c r="J3828" s="10"/>
      <c r="K3828" s="10"/>
      <c r="L3828" s="10"/>
      <c r="M3828" s="10"/>
      <c r="N3828" s="10"/>
      <c r="O3828" s="10"/>
      <c r="P3828" s="10"/>
      <c r="Q3828" s="10"/>
      <c r="R3828" s="11"/>
    </row>
    <row r="3829" spans="1:18" ht="13.8" outlineLevel="3" x14ac:dyDescent="0.25">
      <c r="A3829">
        <v>102554</v>
      </c>
      <c r="B3829" t="s">
        <v>5124</v>
      </c>
      <c r="C3829" t="s">
        <v>5125</v>
      </c>
      <c r="D3829" s="14" t="s">
        <v>5126</v>
      </c>
      <c r="E3829" s="12" t="s">
        <v>28</v>
      </c>
      <c r="F3829" s="13" t="s">
        <v>29</v>
      </c>
      <c r="G3829">
        <v>1</v>
      </c>
      <c r="H3829" t="s">
        <v>30</v>
      </c>
      <c r="I3829">
        <v>1</v>
      </c>
      <c r="J3829" s="15"/>
      <c r="K3829" s="16">
        <f>IF($E$1&gt;=$Q$1%,2739.91-(2739.91*$Q$1%),2739.91-(2739.91*$E$1))</f>
        <v>2739.91</v>
      </c>
      <c r="L3829" s="16">
        <f>IF($E$1&gt;=$Q$1%,2245.83-(2245.83*$Q$1%),2245.83-(2245.83*$E$1))</f>
        <v>2245.83</v>
      </c>
      <c r="M3829" s="1">
        <v>2739.91</v>
      </c>
      <c r="N3829" s="1">
        <v>2245.83</v>
      </c>
      <c r="O3829" s="1">
        <v>2739.91</v>
      </c>
      <c r="P3829" s="1">
        <v>2245.83</v>
      </c>
      <c r="Q3829">
        <v>0.49</v>
      </c>
      <c r="R3829">
        <v>1.5299999999999999E-3</v>
      </c>
    </row>
    <row r="3830" spans="1:18" ht="13.8" outlineLevel="3" x14ac:dyDescent="0.25">
      <c r="A3830">
        <v>102555</v>
      </c>
      <c r="B3830" t="s">
        <v>5124</v>
      </c>
      <c r="C3830" t="s">
        <v>5127</v>
      </c>
      <c r="D3830" s="14" t="s">
        <v>5126</v>
      </c>
      <c r="E3830" s="12" t="s">
        <v>28</v>
      </c>
      <c r="F3830" s="13" t="s">
        <v>29</v>
      </c>
      <c r="G3830">
        <v>1</v>
      </c>
      <c r="H3830" t="s">
        <v>30</v>
      </c>
      <c r="I3830">
        <v>1</v>
      </c>
      <c r="J3830" s="15"/>
      <c r="K3830" s="16">
        <f>IF($E$1&gt;=$Q$1%,2831.24-(2831.24*$Q$1%),2831.24-(2831.24*$E$1))</f>
        <v>2831.24</v>
      </c>
      <c r="L3830" s="16">
        <f>IF($E$1&gt;=$Q$1%,2320.69-(2320.69*$Q$1%),2320.69-(2320.69*$E$1))</f>
        <v>2320.69</v>
      </c>
      <c r="M3830" s="1">
        <v>2831.24</v>
      </c>
      <c r="N3830" s="1">
        <v>2320.69</v>
      </c>
      <c r="O3830" s="1">
        <v>2831.24</v>
      </c>
      <c r="P3830" s="1">
        <v>2320.69</v>
      </c>
      <c r="Q3830">
        <v>0.55000000000000004</v>
      </c>
      <c r="R3830">
        <v>1.5299999999999999E-3</v>
      </c>
    </row>
    <row r="3831" spans="1:18" ht="13.8" outlineLevel="3" x14ac:dyDescent="0.25">
      <c r="A3831">
        <v>102556</v>
      </c>
      <c r="B3831" t="s">
        <v>5124</v>
      </c>
      <c r="C3831" t="s">
        <v>5128</v>
      </c>
      <c r="D3831" s="14" t="s">
        <v>5129</v>
      </c>
      <c r="E3831" s="12" t="s">
        <v>28</v>
      </c>
      <c r="F3831" s="13" t="s">
        <v>29</v>
      </c>
      <c r="G3831">
        <v>1</v>
      </c>
      <c r="H3831" t="s">
        <v>30</v>
      </c>
      <c r="I3831">
        <v>1</v>
      </c>
      <c r="J3831" s="15"/>
      <c r="K3831" s="16">
        <f>IF($E$1&gt;=$Q$1%,2876.91-(2876.91*$Q$1%),2876.91-(2876.91*$E$1))</f>
        <v>2876.91</v>
      </c>
      <c r="L3831" s="16">
        <f>IF($E$1&gt;=$Q$1%,2358.12-(2358.12*$Q$1%),2358.12-(2358.12*$E$1))</f>
        <v>2358.12</v>
      </c>
      <c r="M3831" s="1">
        <v>2876.91</v>
      </c>
      <c r="N3831" s="1">
        <v>2358.12</v>
      </c>
      <c r="O3831" s="1">
        <v>2876.91</v>
      </c>
      <c r="P3831" s="1">
        <v>2358.12</v>
      </c>
      <c r="Q3831">
        <v>0.45</v>
      </c>
      <c r="R3831">
        <v>1.5299999999999999E-3</v>
      </c>
    </row>
    <row r="3832" spans="1:18" ht="13.8" outlineLevel="3" x14ac:dyDescent="0.25">
      <c r="A3832">
        <v>102557</v>
      </c>
      <c r="B3832" t="s">
        <v>5124</v>
      </c>
      <c r="C3832" t="s">
        <v>5130</v>
      </c>
      <c r="D3832" s="14" t="s">
        <v>5129</v>
      </c>
      <c r="E3832" s="12" t="s">
        <v>28</v>
      </c>
      <c r="F3832" s="13" t="s">
        <v>29</v>
      </c>
      <c r="G3832">
        <v>1</v>
      </c>
      <c r="H3832" t="s">
        <v>30</v>
      </c>
      <c r="I3832">
        <v>1</v>
      </c>
      <c r="J3832" s="15"/>
      <c r="K3832" s="16">
        <f>IF($E$1&gt;=$Q$1%,2968.22-(2968.22*$Q$1%),2968.22-(2968.22*$E$1))</f>
        <v>2968.22</v>
      </c>
      <c r="L3832" s="16">
        <f>IF($E$1&gt;=$Q$1%,2432.97-(2432.97*$Q$1%),2432.97-(2432.97*$E$1))</f>
        <v>2432.9699999999998</v>
      </c>
      <c r="M3832" s="1">
        <v>2968.22</v>
      </c>
      <c r="N3832" s="1">
        <v>2432.9699999999998</v>
      </c>
      <c r="O3832" s="1">
        <v>2968.22</v>
      </c>
      <c r="P3832" s="1">
        <v>2432.9699999999998</v>
      </c>
      <c r="Q3832">
        <v>0.49</v>
      </c>
      <c r="R3832">
        <v>1.5299999999999999E-3</v>
      </c>
    </row>
    <row r="3833" spans="1:18" ht="13.8" outlineLevel="3" x14ac:dyDescent="0.25">
      <c r="A3833">
        <v>102560</v>
      </c>
      <c r="B3833" t="s">
        <v>5124</v>
      </c>
      <c r="C3833" t="s">
        <v>5131</v>
      </c>
      <c r="D3833" s="14" t="s">
        <v>5132</v>
      </c>
      <c r="E3833" s="12" t="s">
        <v>28</v>
      </c>
      <c r="F3833" s="13" t="s">
        <v>29</v>
      </c>
      <c r="G3833">
        <v>1</v>
      </c>
      <c r="H3833" t="s">
        <v>30</v>
      </c>
      <c r="I3833">
        <v>1</v>
      </c>
      <c r="J3833" s="15"/>
      <c r="K3833" s="16">
        <f>IF($E$1&gt;=$Q$1%,3424.87-(3424.87*$Q$1%),3424.87-(3424.87*$E$1))</f>
        <v>3424.87</v>
      </c>
      <c r="L3833" s="16">
        <f>IF($E$1&gt;=$Q$1%,2807.27-(2807.27*$Q$1%),2807.27-(2807.27*$E$1))</f>
        <v>2807.27</v>
      </c>
      <c r="M3833" s="1">
        <v>3424.87</v>
      </c>
      <c r="N3833" s="1">
        <v>2807.27</v>
      </c>
      <c r="O3833" s="1">
        <v>3424.87</v>
      </c>
      <c r="P3833" s="1">
        <v>2807.27</v>
      </c>
      <c r="Q3833">
        <v>0.73</v>
      </c>
      <c r="R3833">
        <v>1.5299999999999999E-3</v>
      </c>
    </row>
    <row r="3834" spans="1:18" ht="13.8" outlineLevel="3" x14ac:dyDescent="0.25">
      <c r="A3834">
        <v>102561</v>
      </c>
      <c r="B3834" t="s">
        <v>5124</v>
      </c>
      <c r="C3834" t="s">
        <v>5133</v>
      </c>
      <c r="D3834" s="14" t="s">
        <v>5132</v>
      </c>
      <c r="E3834" s="12" t="s">
        <v>28</v>
      </c>
      <c r="F3834" s="13" t="s">
        <v>29</v>
      </c>
      <c r="G3834">
        <v>1</v>
      </c>
      <c r="H3834" t="s">
        <v>30</v>
      </c>
      <c r="I3834">
        <v>1</v>
      </c>
      <c r="J3834" s="15"/>
      <c r="K3834" s="16">
        <f>IF($E$1&gt;=$Q$1%,3516.2-(3516.2*$Q$1%),3516.2-(3516.2*$E$1))</f>
        <v>3516.2</v>
      </c>
      <c r="L3834" s="16">
        <f>IF($E$1&gt;=$Q$1%,2882.13-(2882.13*$Q$1%),2882.13-(2882.13*$E$1))</f>
        <v>2882.13</v>
      </c>
      <c r="M3834" s="1">
        <v>3516.2</v>
      </c>
      <c r="N3834" s="1">
        <v>2882.13</v>
      </c>
      <c r="O3834" s="1">
        <v>3516.2</v>
      </c>
      <c r="P3834" s="1">
        <v>2882.13</v>
      </c>
      <c r="Q3834">
        <v>0.76</v>
      </c>
      <c r="R3834">
        <v>1.5299999999999999E-3</v>
      </c>
    </row>
    <row r="3835" spans="1:18" ht="13.8" outlineLevel="3" x14ac:dyDescent="0.25">
      <c r="A3835">
        <v>102558</v>
      </c>
      <c r="B3835" t="s">
        <v>5124</v>
      </c>
      <c r="C3835" t="s">
        <v>5134</v>
      </c>
      <c r="D3835" s="14" t="s">
        <v>5135</v>
      </c>
      <c r="E3835" s="12" t="s">
        <v>28</v>
      </c>
      <c r="F3835" s="13" t="s">
        <v>29</v>
      </c>
      <c r="G3835">
        <v>1</v>
      </c>
      <c r="H3835" t="s">
        <v>30</v>
      </c>
      <c r="I3835">
        <v>1</v>
      </c>
      <c r="J3835" s="15"/>
      <c r="K3835" s="16">
        <f>IF($E$1&gt;=$Q$1%,3013.89-(3013.89*$Q$1%),3013.89-(3013.89*$E$1))</f>
        <v>3013.89</v>
      </c>
      <c r="L3835" s="16">
        <f>IF($E$1&gt;=$Q$1%,2470.4-(2470.4*$Q$1%),2470.4-(2470.4*$E$1))</f>
        <v>2470.4</v>
      </c>
      <c r="M3835" s="1">
        <v>3013.89</v>
      </c>
      <c r="N3835" s="1">
        <v>2470.4</v>
      </c>
      <c r="O3835" s="1">
        <v>3013.89</v>
      </c>
      <c r="P3835" s="1">
        <v>2470.4</v>
      </c>
      <c r="Q3835">
        <v>0.47</v>
      </c>
      <c r="R3835">
        <v>1.5299999999999999E-3</v>
      </c>
    </row>
    <row r="3836" spans="1:18" ht="13.8" outlineLevel="3" x14ac:dyDescent="0.25">
      <c r="A3836">
        <v>102559</v>
      </c>
      <c r="B3836" t="s">
        <v>5124</v>
      </c>
      <c r="C3836" t="s">
        <v>5136</v>
      </c>
      <c r="D3836" s="14" t="s">
        <v>5135</v>
      </c>
      <c r="E3836" s="12" t="s">
        <v>28</v>
      </c>
      <c r="F3836" s="13" t="s">
        <v>29</v>
      </c>
      <c r="G3836">
        <v>1</v>
      </c>
      <c r="H3836" t="s">
        <v>30</v>
      </c>
      <c r="I3836">
        <v>1</v>
      </c>
      <c r="J3836" s="15"/>
      <c r="K3836" s="16">
        <f>IF($E$1&gt;=$Q$1%,3196.55-(3196.55*$Q$1%),3196.55-(3196.55*$E$1))</f>
        <v>3196.55</v>
      </c>
      <c r="L3836" s="16">
        <f>IF($E$1&gt;=$Q$1%,2620.12-(2620.12*$Q$1%),2620.12-(2620.12*$E$1))</f>
        <v>2620.12</v>
      </c>
      <c r="M3836" s="1">
        <v>3196.55</v>
      </c>
      <c r="N3836" s="1">
        <v>2620.12</v>
      </c>
      <c r="O3836" s="1">
        <v>3196.55</v>
      </c>
      <c r="P3836" s="1">
        <v>2620.12</v>
      </c>
      <c r="Q3836">
        <v>0.5</v>
      </c>
      <c r="R3836">
        <v>1.5299999999999999E-3</v>
      </c>
    </row>
    <row r="3837" spans="1:18" ht="13.8" outlineLevel="3" x14ac:dyDescent="0.25">
      <c r="A3837">
        <v>85565</v>
      </c>
      <c r="B3837" t="s">
        <v>5137</v>
      </c>
      <c r="C3837" t="s">
        <v>5138</v>
      </c>
      <c r="D3837" s="14" t="s">
        <v>5139</v>
      </c>
      <c r="E3837" s="12" t="s">
        <v>28</v>
      </c>
      <c r="F3837" s="13" t="s">
        <v>29</v>
      </c>
      <c r="G3837">
        <v>1</v>
      </c>
      <c r="H3837" t="s">
        <v>30</v>
      </c>
      <c r="I3837">
        <v>1</v>
      </c>
      <c r="J3837" s="15"/>
      <c r="K3837" s="16">
        <f>IF($E$1&gt;=$Q$1%,3897.92-(3897.92*$Q$1%),3897.92-(3897.92*$E$1))</f>
        <v>3897.92</v>
      </c>
      <c r="L3837" s="16">
        <f>IF($E$1&gt;=$Q$1%,3195.02-(3195.02*$Q$1%),3195.02-(3195.02*$E$1))</f>
        <v>3195.02</v>
      </c>
      <c r="M3837" s="1">
        <v>3897.92</v>
      </c>
      <c r="N3837" s="1">
        <v>3195.02</v>
      </c>
      <c r="O3837" s="1">
        <v>3897.92</v>
      </c>
      <c r="P3837" s="1">
        <v>3195.02</v>
      </c>
      <c r="Q3837">
        <v>0.59</v>
      </c>
      <c r="R3837">
        <v>8.8000000000000003E-4</v>
      </c>
    </row>
    <row r="3838" spans="1:18" ht="13.8" outlineLevel="3" x14ac:dyDescent="0.25">
      <c r="A3838">
        <v>102562</v>
      </c>
      <c r="B3838" t="s">
        <v>5140</v>
      </c>
      <c r="C3838" t="s">
        <v>5141</v>
      </c>
      <c r="D3838" s="14" t="s">
        <v>5142</v>
      </c>
      <c r="E3838" s="12" t="s">
        <v>28</v>
      </c>
      <c r="F3838" s="13" t="s">
        <v>29</v>
      </c>
      <c r="G3838">
        <v>1</v>
      </c>
      <c r="H3838" t="s">
        <v>30</v>
      </c>
      <c r="I3838">
        <v>1</v>
      </c>
      <c r="J3838" s="15"/>
      <c r="K3838" s="21" t="s">
        <v>5143</v>
      </c>
      <c r="L3838" s="21" t="s">
        <v>5144</v>
      </c>
      <c r="M3838" s="1">
        <v>377.75</v>
      </c>
      <c r="N3838" s="1">
        <v>309.63</v>
      </c>
      <c r="O3838" s="1">
        <v>321.08999999999997</v>
      </c>
      <c r="P3838" s="1">
        <v>263.19</v>
      </c>
      <c r="Q3838">
        <v>0.17</v>
      </c>
      <c r="R3838">
        <v>1.92E-4</v>
      </c>
    </row>
    <row r="3839" spans="1:18" ht="13.8" outlineLevel="3" x14ac:dyDescent="0.25">
      <c r="A3839">
        <v>84490</v>
      </c>
      <c r="B3839" t="s">
        <v>5140</v>
      </c>
      <c r="C3839" t="s">
        <v>5145</v>
      </c>
      <c r="D3839" s="14" t="s">
        <v>5145</v>
      </c>
      <c r="E3839" s="12" t="s">
        <v>28</v>
      </c>
      <c r="F3839" s="13" t="s">
        <v>29</v>
      </c>
      <c r="G3839">
        <v>1</v>
      </c>
      <c r="H3839" t="s">
        <v>30</v>
      </c>
      <c r="I3839">
        <v>1</v>
      </c>
      <c r="J3839" s="15"/>
      <c r="K3839" s="16">
        <f>IF($E$1&gt;=$Q$1%,815.89-(815.89*$Q$1%),815.89-(815.89*$E$1))</f>
        <v>815.89</v>
      </c>
      <c r="L3839" s="16">
        <f>IF($E$1&gt;=$Q$1%,668.76-(668.76*$Q$1%),668.76-(668.76*$E$1))</f>
        <v>668.76</v>
      </c>
      <c r="M3839" s="1">
        <v>815.89</v>
      </c>
      <c r="N3839" s="1">
        <v>668.76</v>
      </c>
      <c r="O3839" s="1">
        <v>815.89</v>
      </c>
      <c r="P3839" s="1">
        <v>668.76</v>
      </c>
      <c r="Q3839">
        <v>0.18</v>
      </c>
      <c r="R3839">
        <v>7.2000000000000002E-5</v>
      </c>
    </row>
    <row r="3840" spans="1:18" ht="13.8" outlineLevel="3" x14ac:dyDescent="0.25">
      <c r="A3840">
        <v>102563</v>
      </c>
      <c r="C3840" t="s">
        <v>5146</v>
      </c>
      <c r="D3840" s="14" t="s">
        <v>5147</v>
      </c>
      <c r="E3840" s="12" t="s">
        <v>28</v>
      </c>
      <c r="F3840" s="13" t="s">
        <v>29</v>
      </c>
      <c r="G3840">
        <v>1</v>
      </c>
      <c r="H3840" t="s">
        <v>30</v>
      </c>
      <c r="I3840">
        <v>1</v>
      </c>
      <c r="J3840" s="15"/>
      <c r="K3840" s="21" t="s">
        <v>5148</v>
      </c>
      <c r="L3840" s="21" t="s">
        <v>5149</v>
      </c>
      <c r="M3840" s="1">
        <v>126.48</v>
      </c>
      <c r="N3840" s="1">
        <v>103.67</v>
      </c>
      <c r="O3840" s="1">
        <v>107.51</v>
      </c>
      <c r="P3840" s="1">
        <v>88.12</v>
      </c>
      <c r="Q3840">
        <v>0.06</v>
      </c>
      <c r="R3840">
        <v>3.0000000000000001E-5</v>
      </c>
    </row>
    <row r="3841" spans="1:18" ht="13.8" outlineLevel="3" x14ac:dyDescent="0.25">
      <c r="A3841">
        <v>102564</v>
      </c>
      <c r="B3841" t="s">
        <v>5150</v>
      </c>
      <c r="C3841" t="s">
        <v>5151</v>
      </c>
      <c r="D3841" s="14" t="s">
        <v>5152</v>
      </c>
      <c r="E3841" s="12" t="s">
        <v>28</v>
      </c>
      <c r="F3841" s="13" t="s">
        <v>29</v>
      </c>
      <c r="G3841">
        <v>1</v>
      </c>
      <c r="H3841" t="s">
        <v>30</v>
      </c>
      <c r="I3841">
        <v>1</v>
      </c>
      <c r="J3841" s="15"/>
      <c r="K3841" s="16">
        <f>IF($E$1&gt;=$Q$1%,3501.96-(3501.96*$Q$1%),3501.96-(3501.96*$E$1))</f>
        <v>3501.96</v>
      </c>
      <c r="L3841" s="16">
        <f>IF($E$1&gt;=$Q$1%,2870.46-(2870.46*$Q$1%),2870.46-(2870.46*$E$1))</f>
        <v>2870.46</v>
      </c>
      <c r="M3841" s="1">
        <v>3501.96</v>
      </c>
      <c r="N3841" s="1">
        <v>2870.46</v>
      </c>
      <c r="O3841" s="1">
        <v>3501.96</v>
      </c>
      <c r="P3841" s="1">
        <v>2870.46</v>
      </c>
      <c r="Q3841">
        <v>0.48</v>
      </c>
      <c r="R3841">
        <v>1.1310000000000001E-3</v>
      </c>
    </row>
    <row r="3842" spans="1:18" ht="13.8" outlineLevel="3" x14ac:dyDescent="0.25">
      <c r="A3842">
        <v>102565</v>
      </c>
      <c r="B3842" t="s">
        <v>5150</v>
      </c>
      <c r="C3842" t="s">
        <v>5153</v>
      </c>
      <c r="D3842" s="14" t="s">
        <v>5152</v>
      </c>
      <c r="E3842" s="12" t="s">
        <v>28</v>
      </c>
      <c r="F3842" s="13" t="s">
        <v>29</v>
      </c>
      <c r="G3842">
        <v>1</v>
      </c>
      <c r="H3842" t="s">
        <v>30</v>
      </c>
      <c r="I3842">
        <v>1</v>
      </c>
      <c r="J3842" s="15"/>
      <c r="K3842" s="16">
        <f>IF($E$1&gt;=$Q$1%,3501.96-(3501.96*$Q$1%),3501.96-(3501.96*$E$1))</f>
        <v>3501.96</v>
      </c>
      <c r="L3842" s="16">
        <f>IF($E$1&gt;=$Q$1%,2870.46-(2870.46*$Q$1%),2870.46-(2870.46*$E$1))</f>
        <v>2870.46</v>
      </c>
      <c r="M3842" s="1">
        <v>3501.96</v>
      </c>
      <c r="N3842" s="1">
        <v>2870.46</v>
      </c>
      <c r="O3842" s="1">
        <v>3501.96</v>
      </c>
      <c r="P3842" s="1">
        <v>2870.46</v>
      </c>
      <c r="Q3842">
        <v>0.47</v>
      </c>
      <c r="R3842">
        <v>1.1310000000000001E-3</v>
      </c>
    </row>
    <row r="3843" spans="1:18" ht="13.8" outlineLevel="3" x14ac:dyDescent="0.25">
      <c r="A3843">
        <v>102566</v>
      </c>
      <c r="B3843" t="s">
        <v>5150</v>
      </c>
      <c r="C3843" t="s">
        <v>5154</v>
      </c>
      <c r="D3843" s="14" t="s">
        <v>5152</v>
      </c>
      <c r="E3843" s="12" t="s">
        <v>28</v>
      </c>
      <c r="F3843" s="13" t="s">
        <v>29</v>
      </c>
      <c r="G3843">
        <v>1</v>
      </c>
      <c r="H3843" t="s">
        <v>30</v>
      </c>
      <c r="I3843">
        <v>1</v>
      </c>
      <c r="J3843" s="15"/>
      <c r="K3843" s="16">
        <f>IF($E$1&gt;=$Q$1%,3501.96-(3501.96*$Q$1%),3501.96-(3501.96*$E$1))</f>
        <v>3501.96</v>
      </c>
      <c r="L3843" s="16">
        <f>IF($E$1&gt;=$Q$1%,2870.46-(2870.46*$Q$1%),2870.46-(2870.46*$E$1))</f>
        <v>2870.46</v>
      </c>
      <c r="M3843" s="1">
        <v>3501.96</v>
      </c>
      <c r="N3843" s="1">
        <v>2870.46</v>
      </c>
      <c r="O3843" s="1">
        <v>3501.96</v>
      </c>
      <c r="P3843" s="1">
        <v>2870.46</v>
      </c>
      <c r="Q3843">
        <v>0.44</v>
      </c>
      <c r="R3843">
        <v>1.1310000000000001E-3</v>
      </c>
    </row>
    <row r="3844" spans="1:18" ht="16.5" customHeight="1" outlineLevel="2" x14ac:dyDescent="0.35">
      <c r="A3844" s="9"/>
      <c r="B3844" s="10" t="s">
        <v>5155</v>
      </c>
      <c r="C3844" s="10"/>
      <c r="D3844" s="10"/>
      <c r="E3844" s="10"/>
      <c r="F3844" s="10"/>
      <c r="G3844" s="10"/>
      <c r="H3844" s="10"/>
      <c r="I3844" s="10"/>
      <c r="J3844" s="10"/>
      <c r="K3844" s="10"/>
      <c r="L3844" s="10"/>
      <c r="M3844" s="10"/>
      <c r="N3844" s="10"/>
      <c r="O3844" s="10"/>
      <c r="P3844" s="10"/>
      <c r="Q3844" s="10"/>
      <c r="R3844" s="11"/>
    </row>
    <row r="3845" spans="1:18" ht="13.8" outlineLevel="3" x14ac:dyDescent="0.25">
      <c r="A3845">
        <v>106205</v>
      </c>
      <c r="B3845" t="s">
        <v>5156</v>
      </c>
      <c r="C3845" t="s">
        <v>5157</v>
      </c>
      <c r="D3845" s="14" t="s">
        <v>5158</v>
      </c>
      <c r="E3845" s="12" t="s">
        <v>28</v>
      </c>
      <c r="F3845" s="13" t="s">
        <v>29</v>
      </c>
      <c r="G3845">
        <v>1</v>
      </c>
      <c r="H3845" t="s">
        <v>1129</v>
      </c>
      <c r="I3845">
        <v>1</v>
      </c>
      <c r="J3845" s="15"/>
      <c r="K3845" s="16">
        <f>IF($E$1&gt;=$Q$1%,4930.98-(4930.98*$Q$1%),4930.98-(4930.98*$E$1))</f>
        <v>4930.9799999999996</v>
      </c>
      <c r="L3845" s="16">
        <f>IF($E$1&gt;=$Q$1%,4041.79-(4041.79*$Q$1%),4041.79-(4041.79*$E$1))</f>
        <v>4041.79</v>
      </c>
      <c r="M3845" s="1">
        <v>4930.9799999999996</v>
      </c>
      <c r="N3845" s="1">
        <v>4041.79</v>
      </c>
      <c r="O3845" s="1">
        <v>4930.9799999999996</v>
      </c>
      <c r="P3845" s="1">
        <v>4041.79</v>
      </c>
      <c r="Q3845">
        <v>0.64500000000000002</v>
      </c>
      <c r="R3845">
        <v>6.6299999999999996E-4</v>
      </c>
    </row>
    <row r="3846" spans="1:18" ht="13.8" outlineLevel="3" x14ac:dyDescent="0.25">
      <c r="A3846">
        <v>106206</v>
      </c>
      <c r="B3846" t="s">
        <v>5156</v>
      </c>
      <c r="C3846" t="s">
        <v>5159</v>
      </c>
      <c r="D3846" s="14" t="s">
        <v>5160</v>
      </c>
      <c r="E3846" s="12" t="s">
        <v>28</v>
      </c>
      <c r="F3846" s="13" t="s">
        <v>29</v>
      </c>
      <c r="G3846">
        <v>1</v>
      </c>
      <c r="H3846" t="s">
        <v>1129</v>
      </c>
      <c r="I3846">
        <v>1</v>
      </c>
      <c r="J3846" s="15"/>
      <c r="K3846" s="16">
        <f>IF($E$1&gt;=$Q$1%,11476.49-(11476.49*$Q$1%),11476.49-(11476.49*$E$1))</f>
        <v>11476.49</v>
      </c>
      <c r="L3846" s="16">
        <f>IF($E$1&gt;=$Q$1%,9406.96-(9406.96*$Q$1%),9406.96-(9406.96*$E$1))</f>
        <v>9406.9599999999991</v>
      </c>
      <c r="M3846" s="1">
        <v>11476.49</v>
      </c>
      <c r="N3846" s="1">
        <v>9406.9599999999991</v>
      </c>
      <c r="O3846" s="1">
        <v>11476.49</v>
      </c>
      <c r="P3846" s="1">
        <v>9406.9599999999991</v>
      </c>
      <c r="Q3846">
        <v>1.345</v>
      </c>
      <c r="R3846">
        <v>1.245E-3</v>
      </c>
    </row>
    <row r="3847" spans="1:18" ht="16.5" customHeight="1" outlineLevel="2" x14ac:dyDescent="0.35">
      <c r="A3847" s="9"/>
      <c r="B3847" s="10" t="s">
        <v>5161</v>
      </c>
      <c r="C3847" s="10"/>
      <c r="D3847" s="10"/>
      <c r="E3847" s="10"/>
      <c r="F3847" s="10"/>
      <c r="G3847" s="10"/>
      <c r="H3847" s="10"/>
      <c r="I3847" s="10"/>
      <c r="J3847" s="10"/>
      <c r="K3847" s="10"/>
      <c r="L3847" s="10"/>
      <c r="M3847" s="10"/>
      <c r="N3847" s="10"/>
      <c r="O3847" s="10"/>
      <c r="P3847" s="10"/>
      <c r="Q3847" s="10"/>
      <c r="R3847" s="11"/>
    </row>
    <row r="3848" spans="1:18" ht="13.8" outlineLevel="3" x14ac:dyDescent="0.25">
      <c r="A3848">
        <v>106196</v>
      </c>
      <c r="B3848" t="s">
        <v>5162</v>
      </c>
      <c r="C3848" t="s">
        <v>5163</v>
      </c>
      <c r="D3848" s="14" t="s">
        <v>5164</v>
      </c>
      <c r="E3848" s="12" t="s">
        <v>28</v>
      </c>
      <c r="F3848" s="13" t="s">
        <v>29</v>
      </c>
      <c r="G3848">
        <v>1</v>
      </c>
      <c r="H3848" t="s">
        <v>420</v>
      </c>
      <c r="I3848">
        <v>1</v>
      </c>
      <c r="J3848" s="15"/>
      <c r="K3848" s="16">
        <f>IF($E$1&gt;=$Q$1%,1233.81-(1233.81*$Q$1%),1233.81-(1233.81*$E$1))</f>
        <v>1233.81</v>
      </c>
      <c r="L3848" s="16">
        <f>IF($E$1&gt;=$Q$1%,1011.32-(1011.32*$Q$1%),1011.32-(1011.32*$E$1))</f>
        <v>1011.32</v>
      </c>
      <c r="M3848" s="1">
        <v>1233.81</v>
      </c>
      <c r="N3848" s="1">
        <v>1011.32</v>
      </c>
      <c r="O3848" s="1">
        <v>1233.81</v>
      </c>
      <c r="P3848" s="1">
        <v>1011.32</v>
      </c>
      <c r="Q3848">
        <v>1.17</v>
      </c>
      <c r="R3848">
        <v>1.4630000000000001E-3</v>
      </c>
    </row>
    <row r="3849" spans="1:18" ht="13.8" outlineLevel="3" x14ac:dyDescent="0.25">
      <c r="A3849">
        <v>106197</v>
      </c>
      <c r="B3849" t="s">
        <v>5162</v>
      </c>
      <c r="C3849" t="s">
        <v>5165</v>
      </c>
      <c r="D3849" s="14" t="s">
        <v>5164</v>
      </c>
      <c r="E3849" s="12" t="s">
        <v>28</v>
      </c>
      <c r="F3849" s="13" t="s">
        <v>29</v>
      </c>
      <c r="G3849">
        <v>1</v>
      </c>
      <c r="H3849" t="s">
        <v>420</v>
      </c>
      <c r="I3849">
        <v>1</v>
      </c>
      <c r="J3849" s="15"/>
      <c r="K3849" s="16">
        <f>IF($E$1&gt;=$Q$1%,1299.29-(1299.29*$Q$1%),1299.29-(1299.29*$E$1))</f>
        <v>1299.29</v>
      </c>
      <c r="L3849" s="16">
        <f>IF($E$1&gt;=$Q$1%,1064.99-(1064.99*$Q$1%),1064.99-(1064.99*$E$1))</f>
        <v>1064.99</v>
      </c>
      <c r="M3849" s="1">
        <v>1299.29</v>
      </c>
      <c r="N3849" s="1">
        <v>1064.99</v>
      </c>
      <c r="O3849" s="1">
        <v>1299.29</v>
      </c>
      <c r="P3849" s="1">
        <v>1064.99</v>
      </c>
      <c r="Q3849">
        <v>1.25</v>
      </c>
      <c r="R3849">
        <v>1.4630000000000001E-3</v>
      </c>
    </row>
    <row r="3850" spans="1:18" ht="13.8" outlineLevel="3" x14ac:dyDescent="0.25">
      <c r="A3850">
        <v>106198</v>
      </c>
      <c r="B3850" t="s">
        <v>5162</v>
      </c>
      <c r="C3850" t="s">
        <v>5166</v>
      </c>
      <c r="D3850" s="14" t="s">
        <v>5164</v>
      </c>
      <c r="E3850" s="12" t="s">
        <v>28</v>
      </c>
      <c r="F3850" s="13" t="s">
        <v>29</v>
      </c>
      <c r="G3850">
        <v>1</v>
      </c>
      <c r="H3850" t="s">
        <v>420</v>
      </c>
      <c r="I3850">
        <v>1</v>
      </c>
      <c r="J3850" s="15"/>
      <c r="K3850" s="16">
        <f>IF($E$1&gt;=$Q$1%,1337.36-(1337.36*$Q$1%),1337.36-(1337.36*$E$1))</f>
        <v>1337.36</v>
      </c>
      <c r="L3850" s="16">
        <f>IF($E$1&gt;=$Q$1%,1096.2-(1096.2*$Q$1%),1096.2-(1096.2*$E$1))</f>
        <v>1096.2</v>
      </c>
      <c r="M3850" s="1">
        <v>1337.36</v>
      </c>
      <c r="N3850" s="1">
        <v>1096.2</v>
      </c>
      <c r="O3850" s="1">
        <v>1337.36</v>
      </c>
      <c r="P3850" s="1">
        <v>1096.2</v>
      </c>
      <c r="Q3850">
        <v>1.365</v>
      </c>
      <c r="R3850">
        <v>1.4630000000000001E-3</v>
      </c>
    </row>
    <row r="3851" spans="1:18" ht="13.8" outlineLevel="3" x14ac:dyDescent="0.25">
      <c r="A3851">
        <v>106199</v>
      </c>
      <c r="B3851" t="s">
        <v>5162</v>
      </c>
      <c r="C3851" t="s">
        <v>5167</v>
      </c>
      <c r="D3851" s="14" t="s">
        <v>5164</v>
      </c>
      <c r="E3851" s="12" t="s">
        <v>28</v>
      </c>
      <c r="F3851" s="13" t="s">
        <v>29</v>
      </c>
      <c r="G3851">
        <v>1</v>
      </c>
      <c r="H3851" t="s">
        <v>420</v>
      </c>
      <c r="I3851">
        <v>1</v>
      </c>
      <c r="J3851" s="15"/>
      <c r="K3851" s="16">
        <f>IF($E$1&gt;=$Q$1%,1429.93-(1429.93*$Q$1%),1429.93-(1429.93*$E$1))</f>
        <v>1429.93</v>
      </c>
      <c r="L3851" s="16">
        <f>IF($E$1&gt;=$Q$1%,1172.07-(1172.07*$Q$1%),1172.07-(1172.07*$E$1))</f>
        <v>1172.07</v>
      </c>
      <c r="M3851" s="1">
        <v>1429.93</v>
      </c>
      <c r="N3851" s="1">
        <v>1172.07</v>
      </c>
      <c r="O3851" s="1">
        <v>1429.93</v>
      </c>
      <c r="P3851" s="1">
        <v>1172.07</v>
      </c>
      <c r="Q3851">
        <v>1.4950000000000001</v>
      </c>
      <c r="R3851">
        <v>1.4630000000000001E-3</v>
      </c>
    </row>
    <row r="3852" spans="1:18" ht="13.8" outlineLevel="3" x14ac:dyDescent="0.25">
      <c r="A3852">
        <v>110468</v>
      </c>
      <c r="B3852" t="s">
        <v>5168</v>
      </c>
      <c r="C3852" t="s">
        <v>5169</v>
      </c>
      <c r="D3852" s="14" t="s">
        <v>5164</v>
      </c>
      <c r="E3852" s="12" t="s">
        <v>28</v>
      </c>
      <c r="F3852" s="18" t="s">
        <v>1467</v>
      </c>
      <c r="G3852">
        <v>1</v>
      </c>
      <c r="H3852" t="s">
        <v>30</v>
      </c>
      <c r="I3852">
        <v>1</v>
      </c>
      <c r="J3852" s="15"/>
      <c r="K3852" s="16">
        <f>IF($E$1&gt;=$Q$1%,1649.5-(1649.5*$Q$1%),1649.5-(1649.5*$E$1))</f>
        <v>1649.5</v>
      </c>
      <c r="L3852" s="16">
        <f>IF($E$1&gt;=$Q$1%,1352.05-(1352.05*$Q$1%),1352.05-(1352.05*$E$1))</f>
        <v>1352.05</v>
      </c>
      <c r="M3852" s="1">
        <v>1649.5</v>
      </c>
      <c r="N3852" s="1">
        <v>1352.05</v>
      </c>
      <c r="O3852" s="1">
        <v>1649.5</v>
      </c>
      <c r="P3852" s="1">
        <v>1352.05</v>
      </c>
      <c r="Q3852">
        <v>1.94</v>
      </c>
      <c r="R3852">
        <v>1.4630000000000001E-3</v>
      </c>
    </row>
    <row r="3853" spans="1:18" ht="13.8" outlineLevel="3" x14ac:dyDescent="0.25">
      <c r="A3853">
        <v>110469</v>
      </c>
      <c r="B3853" t="s">
        <v>5170</v>
      </c>
      <c r="C3853" t="s">
        <v>5171</v>
      </c>
      <c r="D3853" s="14" t="s">
        <v>5172</v>
      </c>
      <c r="E3853" s="12" t="s">
        <v>28</v>
      </c>
      <c r="F3853" s="18" t="s">
        <v>1467</v>
      </c>
      <c r="G3853">
        <v>1</v>
      </c>
      <c r="H3853" t="s">
        <v>30</v>
      </c>
      <c r="I3853">
        <v>1</v>
      </c>
      <c r="J3853" s="15"/>
      <c r="K3853" s="16">
        <f>IF($E$1&gt;=$Q$1%,953.14-(953.14*$Q$1%),953.14-(953.14*$E$1))</f>
        <v>953.14</v>
      </c>
      <c r="L3853" s="16">
        <f>IF($E$1&gt;=$Q$1%,781.26-(781.26*$Q$1%),781.26-(781.26*$E$1))</f>
        <v>781.26</v>
      </c>
      <c r="M3853" s="1">
        <v>953.14</v>
      </c>
      <c r="N3853" s="1">
        <v>781.26</v>
      </c>
      <c r="O3853" s="1">
        <v>953.14</v>
      </c>
      <c r="P3853" s="1">
        <v>781.26</v>
      </c>
      <c r="Q3853">
        <v>1.08</v>
      </c>
      <c r="R3853">
        <v>1.4630000000000001E-3</v>
      </c>
    </row>
    <row r="3854" spans="1:18" ht="13.8" outlineLevel="3" x14ac:dyDescent="0.25">
      <c r="A3854">
        <v>110470</v>
      </c>
      <c r="B3854" t="s">
        <v>5170</v>
      </c>
      <c r="C3854" t="s">
        <v>5173</v>
      </c>
      <c r="D3854" s="14" t="s">
        <v>5172</v>
      </c>
      <c r="E3854" s="12" t="s">
        <v>28</v>
      </c>
      <c r="F3854" s="18" t="s">
        <v>1467</v>
      </c>
      <c r="G3854">
        <v>1</v>
      </c>
      <c r="H3854" t="s">
        <v>30</v>
      </c>
      <c r="I3854">
        <v>1</v>
      </c>
      <c r="J3854" s="15"/>
      <c r="K3854" s="16">
        <f>IF($E$1&gt;=$Q$1%,1009.03-(1009.03*$Q$1%),1009.03-(1009.03*$E$1))</f>
        <v>1009.03</v>
      </c>
      <c r="L3854" s="16">
        <f>IF($E$1&gt;=$Q$1%,827.07-(827.07*$Q$1%),827.07-(827.07*$E$1))</f>
        <v>827.07</v>
      </c>
      <c r="M3854" s="1">
        <v>1009.03</v>
      </c>
      <c r="N3854" s="1">
        <v>827.07</v>
      </c>
      <c r="O3854" s="1">
        <v>1009.03</v>
      </c>
      <c r="P3854" s="1">
        <v>827.07</v>
      </c>
      <c r="Q3854">
        <v>1.17</v>
      </c>
      <c r="R3854">
        <v>1.4630000000000001E-3</v>
      </c>
    </row>
    <row r="3855" spans="1:18" ht="13.8" outlineLevel="3" x14ac:dyDescent="0.25">
      <c r="A3855">
        <v>110471</v>
      </c>
      <c r="B3855" t="s">
        <v>5170</v>
      </c>
      <c r="C3855" t="s">
        <v>5174</v>
      </c>
      <c r="D3855" s="14" t="s">
        <v>5172</v>
      </c>
      <c r="E3855" s="12" t="s">
        <v>28</v>
      </c>
      <c r="F3855" s="18" t="s">
        <v>1467</v>
      </c>
      <c r="G3855">
        <v>1</v>
      </c>
      <c r="H3855" t="s">
        <v>30</v>
      </c>
      <c r="I3855">
        <v>1</v>
      </c>
      <c r="J3855" s="15"/>
      <c r="K3855" s="16">
        <f>IF($E$1&gt;=$Q$1%,1042.08-(1042.08*$Q$1%),1042.08-(1042.08*$E$1))</f>
        <v>1042.08</v>
      </c>
      <c r="L3855" s="16">
        <f>IF($E$1&gt;=$Q$1%,854.16-(854.16*$Q$1%),854.16-(854.16*$E$1))</f>
        <v>854.16</v>
      </c>
      <c r="M3855" s="1">
        <v>1042.08</v>
      </c>
      <c r="N3855" s="1">
        <v>854.16</v>
      </c>
      <c r="O3855" s="1">
        <v>1042.08</v>
      </c>
      <c r="P3855" s="1">
        <v>854.16</v>
      </c>
      <c r="Q3855">
        <v>1.31</v>
      </c>
      <c r="R3855">
        <v>1.4630000000000001E-3</v>
      </c>
    </row>
    <row r="3856" spans="1:18" ht="13.8" outlineLevel="3" x14ac:dyDescent="0.25">
      <c r="A3856">
        <v>110472</v>
      </c>
      <c r="B3856" t="s">
        <v>5170</v>
      </c>
      <c r="C3856" t="s">
        <v>5175</v>
      </c>
      <c r="D3856" s="14" t="s">
        <v>5172</v>
      </c>
      <c r="E3856" s="12" t="s">
        <v>28</v>
      </c>
      <c r="F3856" s="18" t="s">
        <v>1467</v>
      </c>
      <c r="G3856">
        <v>1</v>
      </c>
      <c r="H3856" t="s">
        <v>30</v>
      </c>
      <c r="I3856">
        <v>1</v>
      </c>
      <c r="J3856" s="15"/>
      <c r="K3856" s="16">
        <f>IF($E$1&gt;=$Q$1%,1109.87-(1109.87*$Q$1%),1109.87-(1109.87*$E$1))</f>
        <v>1109.8699999999999</v>
      </c>
      <c r="L3856" s="16">
        <f>IF($E$1&gt;=$Q$1%,909.73-(909.73*$Q$1%),909.73-(909.73*$E$1))</f>
        <v>909.73</v>
      </c>
      <c r="M3856" s="1">
        <v>1109.8699999999999</v>
      </c>
      <c r="N3856" s="1">
        <v>909.73</v>
      </c>
      <c r="O3856" s="1">
        <v>1109.8699999999999</v>
      </c>
      <c r="P3856" s="1">
        <v>909.73</v>
      </c>
      <c r="Q3856">
        <v>1.47</v>
      </c>
      <c r="R3856">
        <v>1.4630000000000001E-3</v>
      </c>
    </row>
    <row r="3857" spans="1:18" ht="13.8" outlineLevel="3" x14ac:dyDescent="0.25">
      <c r="A3857">
        <v>110473</v>
      </c>
      <c r="B3857" t="s">
        <v>5170</v>
      </c>
      <c r="C3857" t="s">
        <v>5176</v>
      </c>
      <c r="D3857" s="14" t="s">
        <v>5172</v>
      </c>
      <c r="E3857" s="12" t="s">
        <v>28</v>
      </c>
      <c r="F3857" s="18" t="s">
        <v>1467</v>
      </c>
      <c r="G3857">
        <v>1</v>
      </c>
      <c r="H3857" t="s">
        <v>30</v>
      </c>
      <c r="I3857">
        <v>1</v>
      </c>
      <c r="J3857" s="15"/>
      <c r="K3857" s="16">
        <f>IF($E$1&gt;=$Q$1%,1312-(1312*$Q$1%),1312-(1312*$E$1))</f>
        <v>1312</v>
      </c>
      <c r="L3857" s="16">
        <f>IF($E$1&gt;=$Q$1%,1075.41-(1075.41*$Q$1%),1075.41-(1075.41*$E$1))</f>
        <v>1075.4100000000001</v>
      </c>
      <c r="M3857" s="1">
        <v>1312</v>
      </c>
      <c r="N3857" s="1">
        <v>1075.4100000000001</v>
      </c>
      <c r="O3857" s="1">
        <v>1312</v>
      </c>
      <c r="P3857" s="1">
        <v>1075.4100000000001</v>
      </c>
      <c r="Q3857">
        <v>1.84</v>
      </c>
      <c r="R3857">
        <v>1.4630000000000001E-3</v>
      </c>
    </row>
    <row r="3858" spans="1:18" ht="16.5" customHeight="1" outlineLevel="2" x14ac:dyDescent="0.35">
      <c r="A3858" s="9"/>
      <c r="B3858" s="10" t="s">
        <v>5177</v>
      </c>
      <c r="C3858" s="10"/>
      <c r="D3858" s="10"/>
      <c r="E3858" s="10"/>
      <c r="F3858" s="10"/>
      <c r="G3858" s="10"/>
      <c r="H3858" s="10"/>
      <c r="I3858" s="10"/>
      <c r="J3858" s="10"/>
      <c r="K3858" s="10"/>
      <c r="L3858" s="10"/>
      <c r="M3858" s="10"/>
      <c r="N3858" s="10"/>
      <c r="O3858" s="10"/>
      <c r="P3858" s="10"/>
      <c r="Q3858" s="10"/>
      <c r="R3858" s="11"/>
    </row>
    <row r="3859" spans="1:18" ht="13.8" outlineLevel="3" x14ac:dyDescent="0.25">
      <c r="A3859">
        <v>109514</v>
      </c>
      <c r="B3859" t="s">
        <v>5178</v>
      </c>
      <c r="C3859" t="s">
        <v>5179</v>
      </c>
      <c r="D3859" s="14" t="s">
        <v>5180</v>
      </c>
      <c r="E3859" s="12" t="s">
        <v>28</v>
      </c>
      <c r="F3859" s="18" t="s">
        <v>1467</v>
      </c>
      <c r="G3859">
        <v>1</v>
      </c>
      <c r="H3859" t="s">
        <v>30</v>
      </c>
      <c r="I3859">
        <v>1</v>
      </c>
      <c r="J3859" s="15"/>
      <c r="K3859" s="16">
        <f>IF($E$1&gt;=$Q$1%,1299.08-(1299.08*$Q$1%),1299.08-(1299.08*$E$1))</f>
        <v>1299.08</v>
      </c>
      <c r="L3859" s="16">
        <f>IF($E$1&gt;=$Q$1%,1064.82-(1064.82*$Q$1%),1064.82-(1064.82*$E$1))</f>
        <v>1064.82</v>
      </c>
      <c r="M3859" s="1">
        <v>1299.08</v>
      </c>
      <c r="N3859" s="1">
        <v>1064.82</v>
      </c>
      <c r="O3859" s="1">
        <v>1299.08</v>
      </c>
      <c r="P3859" s="1">
        <v>1064.82</v>
      </c>
      <c r="Q3859">
        <v>0.28000000000000003</v>
      </c>
      <c r="R3859">
        <v>1.6200000000000001E-4</v>
      </c>
    </row>
    <row r="3860" spans="1:18" ht="33.75" customHeight="1" x14ac:dyDescent="0.35">
      <c r="A3860" s="9"/>
      <c r="B3860" s="10" t="s">
        <v>5181</v>
      </c>
      <c r="C3860" s="10"/>
      <c r="D3860" s="10"/>
      <c r="E3860" s="10"/>
      <c r="F3860" s="10"/>
      <c r="G3860" s="10"/>
      <c r="H3860" s="10"/>
      <c r="I3860" s="10"/>
      <c r="J3860" s="10"/>
      <c r="K3860" s="10"/>
      <c r="L3860" s="10"/>
      <c r="M3860" s="10"/>
      <c r="N3860" s="10"/>
      <c r="O3860" s="10"/>
      <c r="P3860" s="10"/>
      <c r="Q3860" s="10"/>
      <c r="R3860" s="11"/>
    </row>
    <row r="3861" spans="1:18" ht="16.5" customHeight="1" outlineLevel="1" x14ac:dyDescent="0.35">
      <c r="A3861" s="9"/>
      <c r="B3861" s="10" t="s">
        <v>5182</v>
      </c>
      <c r="C3861" s="10"/>
      <c r="D3861" s="10"/>
      <c r="E3861" s="10"/>
      <c r="F3861" s="10"/>
      <c r="G3861" s="10"/>
      <c r="H3861" s="10"/>
      <c r="I3861" s="10"/>
      <c r="J3861" s="10"/>
      <c r="K3861" s="10"/>
      <c r="L3861" s="10"/>
      <c r="M3861" s="10"/>
      <c r="N3861" s="10"/>
      <c r="O3861" s="10"/>
      <c r="P3861" s="10"/>
      <c r="Q3861" s="10"/>
      <c r="R3861" s="11"/>
    </row>
    <row r="3862" spans="1:18" ht="13.8" outlineLevel="2" x14ac:dyDescent="0.25">
      <c r="A3862">
        <v>110030</v>
      </c>
      <c r="B3862" t="s">
        <v>5183</v>
      </c>
      <c r="C3862" t="s">
        <v>5184</v>
      </c>
      <c r="D3862" s="14" t="s">
        <v>5185</v>
      </c>
      <c r="E3862" s="12" t="s">
        <v>28</v>
      </c>
      <c r="F3862" s="18" t="s">
        <v>1467</v>
      </c>
      <c r="H3862" t="s">
        <v>30</v>
      </c>
      <c r="I3862">
        <v>1</v>
      </c>
      <c r="J3862" s="15"/>
      <c r="K3862" s="16">
        <f>IF($E$1&gt;=$Q$1%,31190.39-(31190.39*$Q$1%),31190.39-(31190.39*$E$1))</f>
        <v>31190.39</v>
      </c>
      <c r="L3862" s="16">
        <f>IF($E$1&gt;=$Q$1%,25565.89-(25565.89*$Q$1%),25565.89-(25565.89*$E$1))</f>
        <v>25565.89</v>
      </c>
      <c r="M3862" s="1">
        <v>31190.39</v>
      </c>
      <c r="N3862" s="1">
        <v>25565.89</v>
      </c>
      <c r="O3862" s="1">
        <v>31190.39</v>
      </c>
      <c r="P3862" s="1">
        <v>25565.89</v>
      </c>
    </row>
    <row r="3863" spans="1:18" ht="13.8" outlineLevel="2" x14ac:dyDescent="0.25">
      <c r="A3863">
        <v>110031</v>
      </c>
      <c r="B3863" t="s">
        <v>5186</v>
      </c>
      <c r="C3863" t="s">
        <v>5187</v>
      </c>
      <c r="D3863" s="14" t="s">
        <v>5188</v>
      </c>
      <c r="E3863" s="12" t="s">
        <v>28</v>
      </c>
      <c r="F3863" s="18" t="s">
        <v>1467</v>
      </c>
      <c r="H3863" t="s">
        <v>30</v>
      </c>
      <c r="I3863">
        <v>1</v>
      </c>
      <c r="J3863" s="15"/>
      <c r="K3863" s="16">
        <f>IF($E$1&gt;=$Q$1%,40513.59-(40513.59*$Q$1%),40513.59-(40513.59*$E$1))</f>
        <v>40513.589999999997</v>
      </c>
      <c r="L3863" s="16">
        <f>IF($E$1&gt;=$Q$1%,33207.86-(33207.86*$Q$1%),33207.86-(33207.86*$E$1))</f>
        <v>33207.86</v>
      </c>
      <c r="M3863" s="1">
        <v>40513.589999999997</v>
      </c>
      <c r="N3863" s="1">
        <v>33207.86</v>
      </c>
      <c r="O3863" s="1">
        <v>40513.589999999997</v>
      </c>
      <c r="P3863" s="1">
        <v>33207.86</v>
      </c>
    </row>
    <row r="3864" spans="1:18" ht="13.8" outlineLevel="2" x14ac:dyDescent="0.25">
      <c r="A3864">
        <v>110032</v>
      </c>
      <c r="B3864" t="s">
        <v>5189</v>
      </c>
      <c r="C3864" t="s">
        <v>5190</v>
      </c>
      <c r="D3864" s="14" t="s">
        <v>5191</v>
      </c>
      <c r="E3864" s="12" t="s">
        <v>28</v>
      </c>
      <c r="F3864" s="18" t="s">
        <v>1467</v>
      </c>
      <c r="H3864" t="s">
        <v>30</v>
      </c>
      <c r="I3864">
        <v>1</v>
      </c>
      <c r="J3864" s="15"/>
      <c r="K3864" s="16">
        <f>IF($E$1&gt;=$Q$1%,42259.13-(42259.13*$Q$1%),42259.13-(42259.13*$E$1))</f>
        <v>42259.13</v>
      </c>
      <c r="L3864" s="16">
        <f>IF($E$1&gt;=$Q$1%,34638.63-(34638.63*$Q$1%),34638.63-(34638.63*$E$1))</f>
        <v>34638.629999999997</v>
      </c>
      <c r="M3864" s="1">
        <v>42259.13</v>
      </c>
      <c r="N3864" s="1">
        <v>34638.629999999997</v>
      </c>
      <c r="O3864" s="1">
        <v>42259.13</v>
      </c>
      <c r="P3864" s="1">
        <v>34638.629999999997</v>
      </c>
    </row>
    <row r="3865" spans="1:18" ht="13.8" outlineLevel="2" x14ac:dyDescent="0.25">
      <c r="A3865">
        <v>110033</v>
      </c>
      <c r="B3865" t="s">
        <v>5192</v>
      </c>
      <c r="C3865" t="s">
        <v>5193</v>
      </c>
      <c r="D3865" s="14" t="s">
        <v>5194</v>
      </c>
      <c r="E3865" s="12" t="s">
        <v>28</v>
      </c>
      <c r="F3865" s="18" t="s">
        <v>1467</v>
      </c>
      <c r="H3865" t="s">
        <v>30</v>
      </c>
      <c r="I3865">
        <v>1</v>
      </c>
      <c r="J3865" s="15"/>
      <c r="K3865" s="16">
        <f>IF($E$1&gt;=$Q$1%,51838.18-(51838.18*$Q$1%),51838.18-(51838.18*$E$1))</f>
        <v>51838.18</v>
      </c>
      <c r="L3865" s="16">
        <f>IF($E$1&gt;=$Q$1%,42490.31-(42490.31*$Q$1%),42490.31-(42490.31*$E$1))</f>
        <v>42490.31</v>
      </c>
      <c r="M3865" s="1">
        <v>51838.18</v>
      </c>
      <c r="N3865" s="1">
        <v>42490.31</v>
      </c>
      <c r="O3865" s="1">
        <v>51838.18</v>
      </c>
      <c r="P3865" s="1">
        <v>42490.31</v>
      </c>
    </row>
    <row r="3866" spans="1:18" ht="13.8" outlineLevel="2" x14ac:dyDescent="0.25">
      <c r="A3866">
        <v>110034</v>
      </c>
      <c r="B3866" t="s">
        <v>5195</v>
      </c>
      <c r="C3866" t="s">
        <v>5196</v>
      </c>
      <c r="D3866" s="14" t="s">
        <v>5197</v>
      </c>
      <c r="E3866" s="12" t="s">
        <v>28</v>
      </c>
      <c r="F3866" s="18" t="s">
        <v>1467</v>
      </c>
      <c r="H3866" t="s">
        <v>30</v>
      </c>
      <c r="I3866">
        <v>1</v>
      </c>
      <c r="J3866" s="15"/>
      <c r="K3866" s="16">
        <f>IF($E$1&gt;=$Q$1%,42589.33-(42589.33*$Q$1%),42589.33-(42589.33*$E$1))</f>
        <v>42589.33</v>
      </c>
      <c r="L3866" s="16">
        <f>IF($E$1&gt;=$Q$1%,34909.29-(34909.29*$Q$1%),34909.29-(34909.29*$E$1))</f>
        <v>34909.29</v>
      </c>
      <c r="M3866" s="1">
        <v>42589.33</v>
      </c>
      <c r="N3866" s="1">
        <v>34909.29</v>
      </c>
      <c r="O3866" s="1">
        <v>42589.33</v>
      </c>
      <c r="P3866" s="1">
        <v>34909.29</v>
      </c>
    </row>
    <row r="3867" spans="1:18" ht="13.8" outlineLevel="2" x14ac:dyDescent="0.25">
      <c r="A3867">
        <v>110035</v>
      </c>
      <c r="B3867" t="s">
        <v>5198</v>
      </c>
      <c r="C3867" t="s">
        <v>5199</v>
      </c>
      <c r="D3867" s="14" t="s">
        <v>5200</v>
      </c>
      <c r="E3867" s="12" t="s">
        <v>28</v>
      </c>
      <c r="F3867" s="18" t="s">
        <v>1467</v>
      </c>
      <c r="H3867" t="s">
        <v>30</v>
      </c>
      <c r="I3867">
        <v>1</v>
      </c>
      <c r="J3867" s="15"/>
      <c r="K3867" s="16">
        <f>IF($E$1&gt;=$Q$1%,60080.23-(60080.23*$Q$1%),60080.23-(60080.23*$E$1))</f>
        <v>60080.23</v>
      </c>
      <c r="L3867" s="16">
        <f>IF($E$1&gt;=$Q$1%,49246.09-(49246.09*$Q$1%),49246.09-(49246.09*$E$1))</f>
        <v>49246.09</v>
      </c>
      <c r="M3867" s="1">
        <v>60080.23</v>
      </c>
      <c r="N3867" s="1">
        <v>49246.09</v>
      </c>
      <c r="O3867" s="1">
        <v>60080.23</v>
      </c>
      <c r="P3867" s="1">
        <v>49246.09</v>
      </c>
    </row>
    <row r="3868" spans="1:18" ht="13.8" outlineLevel="2" x14ac:dyDescent="0.25">
      <c r="A3868">
        <v>110036</v>
      </c>
      <c r="B3868" t="s">
        <v>5201</v>
      </c>
      <c r="C3868" t="s">
        <v>5202</v>
      </c>
      <c r="D3868" s="14" t="s">
        <v>5203</v>
      </c>
      <c r="E3868" s="12" t="s">
        <v>28</v>
      </c>
      <c r="F3868" s="18" t="s">
        <v>1467</v>
      </c>
      <c r="H3868" t="s">
        <v>30</v>
      </c>
      <c r="I3868">
        <v>1</v>
      </c>
      <c r="J3868" s="15"/>
      <c r="K3868" s="16">
        <f>IF($E$1&gt;=$Q$1%,105818.12-(105818.12*$Q$1%),105818.12-(105818.12*$E$1))</f>
        <v>105818.12</v>
      </c>
      <c r="L3868" s="16">
        <f>IF($E$1&gt;=$Q$1%,86736.16-(86736.16*$Q$1%),86736.16-(86736.16*$E$1))</f>
        <v>86736.16</v>
      </c>
      <c r="M3868" s="1">
        <v>105818.12</v>
      </c>
      <c r="N3868" s="1">
        <v>86736.16</v>
      </c>
      <c r="O3868" s="1">
        <v>105818.12</v>
      </c>
      <c r="P3868" s="1">
        <v>86736.16</v>
      </c>
    </row>
    <row r="3869" spans="1:18" ht="33.75" customHeight="1" x14ac:dyDescent="0.35">
      <c r="A3869" s="9"/>
      <c r="B3869" s="10" t="s">
        <v>5204</v>
      </c>
      <c r="C3869" s="10"/>
      <c r="D3869" s="10"/>
      <c r="E3869" s="10"/>
      <c r="F3869" s="10"/>
      <c r="G3869" s="10"/>
      <c r="H3869" s="10"/>
      <c r="I3869" s="10"/>
      <c r="J3869" s="10"/>
      <c r="K3869" s="10"/>
      <c r="L3869" s="10"/>
      <c r="M3869" s="10"/>
      <c r="N3869" s="10"/>
      <c r="O3869" s="10"/>
      <c r="P3869" s="10"/>
      <c r="Q3869" s="10"/>
      <c r="R3869" s="11"/>
    </row>
    <row r="3870" spans="1:18" ht="16.5" customHeight="1" outlineLevel="1" x14ac:dyDescent="0.35">
      <c r="A3870" s="9"/>
      <c r="B3870" s="10" t="s">
        <v>5205</v>
      </c>
      <c r="C3870" s="10"/>
      <c r="D3870" s="10"/>
      <c r="E3870" s="10"/>
      <c r="F3870" s="10"/>
      <c r="G3870" s="10"/>
      <c r="H3870" s="10"/>
      <c r="I3870" s="10"/>
      <c r="J3870" s="10"/>
      <c r="K3870" s="10"/>
      <c r="L3870" s="10"/>
      <c r="M3870" s="10"/>
      <c r="N3870" s="10"/>
      <c r="O3870" s="10"/>
      <c r="P3870" s="10"/>
      <c r="Q3870" s="10"/>
      <c r="R3870" s="11"/>
    </row>
    <row r="3871" spans="1:18" ht="13.8" outlineLevel="2" x14ac:dyDescent="0.25">
      <c r="A3871">
        <v>77419</v>
      </c>
      <c r="C3871" t="s">
        <v>5206</v>
      </c>
      <c r="D3871" s="14" t="s">
        <v>5207</v>
      </c>
      <c r="E3871" s="12" t="s">
        <v>28</v>
      </c>
      <c r="F3871" s="13" t="s">
        <v>29</v>
      </c>
      <c r="G3871">
        <v>1</v>
      </c>
      <c r="H3871" t="s">
        <v>30</v>
      </c>
      <c r="I3871">
        <v>1</v>
      </c>
      <c r="J3871" s="15"/>
      <c r="K3871" s="16">
        <f>IF($E$1&gt;=$Q$1%,576.43-(576.43*$Q$1%),576.43-(576.43*$E$1))</f>
        <v>576.42999999999995</v>
      </c>
      <c r="L3871" s="16">
        <f>IF($E$1&gt;=$Q$1%,472.48-(472.48*$Q$1%),472.48-(472.48*$E$1))</f>
        <v>472.48</v>
      </c>
      <c r="M3871" s="1">
        <v>576.42999999999995</v>
      </c>
      <c r="N3871" s="1">
        <v>472.48</v>
      </c>
      <c r="O3871" s="1">
        <v>576.42999999999995</v>
      </c>
      <c r="P3871" s="1">
        <v>472.48</v>
      </c>
      <c r="Q3871">
        <v>0.22</v>
      </c>
      <c r="R3871">
        <v>3.8499999999999998E-4</v>
      </c>
    </row>
    <row r="3872" spans="1:18" ht="13.8" outlineLevel="2" x14ac:dyDescent="0.25">
      <c r="A3872">
        <v>77420</v>
      </c>
      <c r="C3872" t="s">
        <v>5208</v>
      </c>
      <c r="D3872" s="14" t="s">
        <v>5209</v>
      </c>
      <c r="E3872" s="12" t="s">
        <v>28</v>
      </c>
      <c r="F3872" s="13" t="s">
        <v>29</v>
      </c>
      <c r="G3872">
        <v>1</v>
      </c>
      <c r="H3872" t="s">
        <v>30</v>
      </c>
      <c r="I3872">
        <v>1</v>
      </c>
      <c r="J3872" s="15"/>
      <c r="K3872" s="16">
        <f>IF($E$1&gt;=$Q$1%,611.24-(611.24*$Q$1%),611.24-(611.24*$E$1))</f>
        <v>611.24</v>
      </c>
      <c r="L3872" s="16">
        <f>IF($E$1&gt;=$Q$1%,501.02-(501.02*$Q$1%),501.02-(501.02*$E$1))</f>
        <v>501.02</v>
      </c>
      <c r="M3872" s="1">
        <v>611.24</v>
      </c>
      <c r="N3872" s="1">
        <v>501.02</v>
      </c>
      <c r="O3872" s="1">
        <v>611.24</v>
      </c>
      <c r="P3872" s="1">
        <v>501.02</v>
      </c>
      <c r="Q3872">
        <v>0.28999999999999998</v>
      </c>
      <c r="R3872">
        <v>3.8200000000000002E-4</v>
      </c>
    </row>
    <row r="3873" spans="1:18" ht="13.8" outlineLevel="2" x14ac:dyDescent="0.25">
      <c r="A3873">
        <v>77421</v>
      </c>
      <c r="C3873" t="s">
        <v>5210</v>
      </c>
      <c r="D3873" s="14" t="s">
        <v>5211</v>
      </c>
      <c r="E3873" s="12" t="s">
        <v>28</v>
      </c>
      <c r="F3873" s="13" t="s">
        <v>29</v>
      </c>
      <c r="G3873">
        <v>1</v>
      </c>
      <c r="H3873" t="s">
        <v>30</v>
      </c>
      <c r="I3873">
        <v>1</v>
      </c>
      <c r="J3873" s="15"/>
      <c r="K3873" s="16">
        <f>IF($E$1&gt;=$Q$1%,656.54-(656.54*$Q$1%),656.54-(656.54*$E$1))</f>
        <v>656.54</v>
      </c>
      <c r="L3873" s="16">
        <f>IF($E$1&gt;=$Q$1%,538.15-(538.15*$Q$1%),538.15-(538.15*$E$1))</f>
        <v>538.15</v>
      </c>
      <c r="M3873" s="1">
        <v>656.54</v>
      </c>
      <c r="N3873" s="1">
        <v>538.15</v>
      </c>
      <c r="O3873" s="1">
        <v>656.54</v>
      </c>
      <c r="P3873" s="1">
        <v>538.15</v>
      </c>
      <c r="Q3873">
        <v>0.34</v>
      </c>
      <c r="R3873">
        <v>3.8999999999999999E-4</v>
      </c>
    </row>
    <row r="3874" spans="1:18" ht="13.8" outlineLevel="2" x14ac:dyDescent="0.25">
      <c r="A3874">
        <v>77422</v>
      </c>
      <c r="C3874" t="s">
        <v>5212</v>
      </c>
      <c r="D3874" s="14" t="s">
        <v>5213</v>
      </c>
      <c r="E3874" s="12" t="s">
        <v>28</v>
      </c>
      <c r="F3874" s="13" t="s">
        <v>29</v>
      </c>
      <c r="G3874">
        <v>1</v>
      </c>
      <c r="H3874" t="s">
        <v>30</v>
      </c>
      <c r="I3874">
        <v>1</v>
      </c>
      <c r="J3874" s="15"/>
      <c r="K3874" s="16">
        <f>IF($E$1&gt;=$Q$1%,537.75-(537.75*$Q$1%),537.75-(537.75*$E$1))</f>
        <v>537.75</v>
      </c>
      <c r="L3874" s="16">
        <f>IF($E$1&gt;=$Q$1%,440.78-(440.78*$Q$1%),440.78-(440.78*$E$1))</f>
        <v>440.78</v>
      </c>
      <c r="M3874" s="1">
        <v>537.75</v>
      </c>
      <c r="N3874" s="1">
        <v>440.78</v>
      </c>
      <c r="O3874" s="1">
        <v>537.75</v>
      </c>
      <c r="P3874" s="1">
        <v>440.78</v>
      </c>
      <c r="Q3874">
        <v>0.17</v>
      </c>
      <c r="R3874">
        <v>3.59E-4</v>
      </c>
    </row>
    <row r="3875" spans="1:18" ht="13.8" outlineLevel="2" x14ac:dyDescent="0.25">
      <c r="A3875">
        <v>77423</v>
      </c>
      <c r="C3875" t="s">
        <v>5214</v>
      </c>
      <c r="D3875" s="14" t="s">
        <v>5215</v>
      </c>
      <c r="E3875" s="12" t="s">
        <v>28</v>
      </c>
      <c r="F3875" s="13" t="s">
        <v>29</v>
      </c>
      <c r="G3875">
        <v>1</v>
      </c>
      <c r="H3875" t="s">
        <v>30</v>
      </c>
      <c r="I3875">
        <v>1</v>
      </c>
      <c r="J3875" s="15"/>
      <c r="K3875" s="16">
        <f>IF($E$1&gt;=$Q$1%,626.82-(626.82*$Q$1%),626.82-(626.82*$E$1))</f>
        <v>626.82000000000005</v>
      </c>
      <c r="L3875" s="16">
        <f>IF($E$1&gt;=$Q$1%,513.79-(513.79*$Q$1%),513.79-(513.79*$E$1))</f>
        <v>513.79</v>
      </c>
      <c r="M3875" s="1">
        <v>626.82000000000005</v>
      </c>
      <c r="N3875" s="1">
        <v>513.79</v>
      </c>
      <c r="O3875" s="1">
        <v>626.82000000000005</v>
      </c>
      <c r="P3875" s="1">
        <v>513.79</v>
      </c>
      <c r="Q3875">
        <v>0.23</v>
      </c>
      <c r="R3875">
        <v>4.73E-4</v>
      </c>
    </row>
    <row r="3876" spans="1:18" ht="13.8" outlineLevel="2" x14ac:dyDescent="0.25">
      <c r="A3876">
        <v>77424</v>
      </c>
      <c r="C3876" t="s">
        <v>5216</v>
      </c>
      <c r="D3876" s="14" t="s">
        <v>5217</v>
      </c>
      <c r="E3876" s="12" t="s">
        <v>28</v>
      </c>
      <c r="F3876" s="13" t="s">
        <v>29</v>
      </c>
      <c r="G3876">
        <v>1</v>
      </c>
      <c r="H3876" t="s">
        <v>30</v>
      </c>
      <c r="I3876">
        <v>1</v>
      </c>
      <c r="J3876" s="15"/>
      <c r="K3876" s="16">
        <f>IF($E$1&gt;=$Q$1%,542.74-(542.74*$Q$1%),542.74-(542.74*$E$1))</f>
        <v>542.74</v>
      </c>
      <c r="L3876" s="16">
        <f>IF($E$1&gt;=$Q$1%,444.87-(444.87*$Q$1%),444.87-(444.87*$E$1))</f>
        <v>444.87</v>
      </c>
      <c r="M3876" s="1">
        <v>542.74</v>
      </c>
      <c r="N3876" s="1">
        <v>444.87</v>
      </c>
      <c r="O3876" s="1">
        <v>542.74</v>
      </c>
      <c r="P3876" s="1">
        <v>444.87</v>
      </c>
      <c r="Q3876">
        <v>0.17</v>
      </c>
      <c r="R3876">
        <v>4.6200000000000001E-4</v>
      </c>
    </row>
    <row r="3877" spans="1:18" ht="13.8" outlineLevel="2" x14ac:dyDescent="0.25">
      <c r="A3877">
        <v>77425</v>
      </c>
      <c r="C3877" t="s">
        <v>5218</v>
      </c>
      <c r="D3877" s="14" t="s">
        <v>5219</v>
      </c>
      <c r="E3877" s="12" t="s">
        <v>28</v>
      </c>
      <c r="F3877" s="13" t="s">
        <v>29</v>
      </c>
      <c r="G3877">
        <v>1</v>
      </c>
      <c r="H3877" t="s">
        <v>30</v>
      </c>
      <c r="I3877">
        <v>1</v>
      </c>
      <c r="J3877" s="15"/>
      <c r="K3877" s="16">
        <f>IF($E$1&gt;=$Q$1%,616.84-(616.84*$Q$1%),616.84-(616.84*$E$1))</f>
        <v>616.84</v>
      </c>
      <c r="L3877" s="16">
        <f>IF($E$1&gt;=$Q$1%,505.61-(505.61*$Q$1%),505.61-(505.61*$E$1))</f>
        <v>505.61</v>
      </c>
      <c r="M3877" s="1">
        <v>616.84</v>
      </c>
      <c r="N3877" s="1">
        <v>505.61</v>
      </c>
      <c r="O3877" s="1">
        <v>616.84</v>
      </c>
      <c r="P3877" s="1">
        <v>505.61</v>
      </c>
      <c r="Q3877">
        <v>0.23</v>
      </c>
      <c r="R3877">
        <v>5.7799999999999995E-4</v>
      </c>
    </row>
    <row r="3878" spans="1:18" ht="13.8" outlineLevel="2" x14ac:dyDescent="0.25">
      <c r="A3878">
        <v>77426</v>
      </c>
      <c r="C3878" t="s">
        <v>5220</v>
      </c>
      <c r="D3878" s="14" t="s">
        <v>5221</v>
      </c>
      <c r="E3878" s="12" t="s">
        <v>28</v>
      </c>
      <c r="F3878" s="13" t="s">
        <v>29</v>
      </c>
      <c r="G3878">
        <v>1</v>
      </c>
      <c r="H3878" t="s">
        <v>30</v>
      </c>
      <c r="I3878">
        <v>1</v>
      </c>
      <c r="J3878" s="15"/>
      <c r="K3878" s="16">
        <f>IF($E$1&gt;=$Q$1%,420.5-(420.5*$Q$1%),420.5-(420.5*$E$1))</f>
        <v>420.5</v>
      </c>
      <c r="L3878" s="16">
        <f>IF($E$1&gt;=$Q$1%,344.67-(344.67*$Q$1%),344.67-(344.67*$E$1))</f>
        <v>344.67</v>
      </c>
      <c r="M3878" s="1">
        <v>420.5</v>
      </c>
      <c r="N3878" s="1">
        <v>344.67</v>
      </c>
      <c r="O3878" s="1">
        <v>420.5</v>
      </c>
      <c r="P3878" s="1">
        <v>344.67</v>
      </c>
      <c r="Q3878">
        <v>0.153</v>
      </c>
      <c r="R3878">
        <v>3.7399999999999998E-4</v>
      </c>
    </row>
    <row r="3879" spans="1:18" ht="13.8" outlineLevel="2" x14ac:dyDescent="0.25">
      <c r="A3879">
        <v>77427</v>
      </c>
      <c r="C3879" t="s">
        <v>5222</v>
      </c>
      <c r="D3879" s="14" t="s">
        <v>5223</v>
      </c>
      <c r="E3879" s="12" t="s">
        <v>28</v>
      </c>
      <c r="F3879" s="13" t="s">
        <v>29</v>
      </c>
      <c r="G3879">
        <v>1</v>
      </c>
      <c r="H3879" t="s">
        <v>30</v>
      </c>
      <c r="I3879">
        <v>1</v>
      </c>
      <c r="J3879" s="15"/>
      <c r="K3879" s="16">
        <f>IF($E$1&gt;=$Q$1%,586.41-(586.41*$Q$1%),586.41-(586.41*$E$1))</f>
        <v>586.41</v>
      </c>
      <c r="L3879" s="16">
        <f>IF($E$1&gt;=$Q$1%,480.66-(480.66*$Q$1%),480.66-(480.66*$E$1))</f>
        <v>480.66</v>
      </c>
      <c r="M3879" s="1">
        <v>586.41</v>
      </c>
      <c r="N3879" s="1">
        <v>480.66</v>
      </c>
      <c r="O3879" s="1">
        <v>586.41</v>
      </c>
      <c r="P3879" s="1">
        <v>480.66</v>
      </c>
      <c r="Q3879">
        <v>0.22</v>
      </c>
      <c r="R3879">
        <v>4.2000000000000002E-4</v>
      </c>
    </row>
    <row r="3880" spans="1:18" ht="13.8" outlineLevel="2" x14ac:dyDescent="0.25">
      <c r="A3880">
        <v>77428</v>
      </c>
      <c r="C3880" t="s">
        <v>5224</v>
      </c>
      <c r="D3880" s="14" t="s">
        <v>5225</v>
      </c>
      <c r="E3880" s="12" t="s">
        <v>28</v>
      </c>
      <c r="F3880" s="13" t="s">
        <v>29</v>
      </c>
      <c r="G3880">
        <v>1</v>
      </c>
      <c r="H3880" t="s">
        <v>30</v>
      </c>
      <c r="I3880">
        <v>1</v>
      </c>
      <c r="J3880" s="15"/>
      <c r="K3880" s="16">
        <f>IF($E$1&gt;=$Q$1%,609.95-(609.95*$Q$1%),609.95-(609.95*$E$1))</f>
        <v>609.95000000000005</v>
      </c>
      <c r="L3880" s="16">
        <f>IF($E$1&gt;=$Q$1%,499.96-(499.96*$Q$1%),499.96-(499.96*$E$1))</f>
        <v>499.96</v>
      </c>
      <c r="M3880" s="1">
        <v>609.95000000000005</v>
      </c>
      <c r="N3880" s="1">
        <v>499.96</v>
      </c>
      <c r="O3880" s="1">
        <v>609.95000000000005</v>
      </c>
      <c r="P3880" s="1">
        <v>499.96</v>
      </c>
      <c r="Q3880">
        <v>0.26</v>
      </c>
      <c r="R3880">
        <v>4.2000000000000002E-4</v>
      </c>
    </row>
    <row r="3881" spans="1:18" ht="13.8" outlineLevel="2" x14ac:dyDescent="0.25">
      <c r="A3881">
        <v>67365</v>
      </c>
      <c r="C3881" t="s">
        <v>5226</v>
      </c>
      <c r="D3881" s="14" t="s">
        <v>5227</v>
      </c>
      <c r="E3881" s="12" t="s">
        <v>28</v>
      </c>
      <c r="F3881" s="17" t="s">
        <v>549</v>
      </c>
      <c r="G3881">
        <v>1</v>
      </c>
      <c r="H3881" t="s">
        <v>30</v>
      </c>
      <c r="I3881">
        <v>1</v>
      </c>
      <c r="J3881" s="15"/>
      <c r="K3881" s="16">
        <f>IF($E$1&gt;=$Q$1%,637.29-(637.29*$Q$1%),637.29-(637.29*$E$1))</f>
        <v>637.29</v>
      </c>
      <c r="L3881" s="16">
        <f>IF($E$1&gt;=$Q$1%,522.37-(522.37*$Q$1%),522.37-(522.37*$E$1))</f>
        <v>522.37</v>
      </c>
      <c r="M3881" s="1">
        <v>637.29</v>
      </c>
      <c r="N3881" s="1">
        <v>522.37</v>
      </c>
      <c r="O3881" s="1">
        <v>637.29</v>
      </c>
      <c r="P3881" s="1">
        <v>522.37</v>
      </c>
      <c r="Q3881">
        <v>0.5</v>
      </c>
      <c r="R3881">
        <v>6.0400000000000004E-4</v>
      </c>
    </row>
    <row r="3882" spans="1:18" ht="13.8" outlineLevel="2" x14ac:dyDescent="0.25">
      <c r="A3882">
        <v>78463</v>
      </c>
      <c r="C3882" t="s">
        <v>5228</v>
      </c>
      <c r="D3882" s="14" t="s">
        <v>5229</v>
      </c>
      <c r="E3882" s="12" t="s">
        <v>28</v>
      </c>
      <c r="F3882" s="17" t="s">
        <v>549</v>
      </c>
      <c r="G3882">
        <v>1</v>
      </c>
      <c r="H3882" t="s">
        <v>30</v>
      </c>
      <c r="I3882">
        <v>1</v>
      </c>
      <c r="J3882" s="15"/>
      <c r="K3882" s="16">
        <f>IF($E$1&gt;=$Q$1%,1530.9-(1530.9*$Q$1%),1530.9-(1530.9*$E$1))</f>
        <v>1530.9</v>
      </c>
      <c r="L3882" s="16">
        <f>IF($E$1&gt;=$Q$1%,1254.84-(1254.84*$Q$1%),1254.84-(1254.84*$E$1))</f>
        <v>1254.8399999999999</v>
      </c>
      <c r="M3882" s="1">
        <v>1530.9</v>
      </c>
      <c r="N3882" s="1">
        <v>1254.8399999999999</v>
      </c>
      <c r="O3882" s="1">
        <v>1530.9</v>
      </c>
      <c r="P3882" s="1">
        <v>1254.8399999999999</v>
      </c>
      <c r="Q3882">
        <v>0.32</v>
      </c>
      <c r="R3882">
        <v>2.3900000000000001E-4</v>
      </c>
    </row>
    <row r="3883" spans="1:18" ht="13.8" outlineLevel="2" x14ac:dyDescent="0.25">
      <c r="A3883">
        <v>78240</v>
      </c>
      <c r="C3883" t="s">
        <v>5230</v>
      </c>
      <c r="D3883" s="14" t="s">
        <v>5231</v>
      </c>
      <c r="E3883" s="12" t="s">
        <v>28</v>
      </c>
      <c r="F3883" s="13" t="s">
        <v>29</v>
      </c>
      <c r="G3883">
        <v>1</v>
      </c>
      <c r="H3883" t="s">
        <v>30</v>
      </c>
      <c r="I3883">
        <v>1</v>
      </c>
      <c r="J3883" s="15"/>
      <c r="K3883" s="16">
        <f>IF($E$1&gt;=$Q$1%,314.21-(314.21*$Q$1%),314.21-(314.21*$E$1))</f>
        <v>314.20999999999998</v>
      </c>
      <c r="L3883" s="16">
        <f>IF($E$1&gt;=$Q$1%,257.55-(257.55*$Q$1%),257.55-(257.55*$E$1))</f>
        <v>257.55</v>
      </c>
      <c r="M3883" s="1">
        <v>314.20999999999998</v>
      </c>
      <c r="N3883" s="1">
        <v>257.55</v>
      </c>
      <c r="O3883" s="1">
        <v>314.20999999999998</v>
      </c>
      <c r="P3883" s="1">
        <v>257.55</v>
      </c>
      <c r="Q3883">
        <v>9.5000000000000001E-2</v>
      </c>
      <c r="R3883">
        <v>3.1500000000000001E-4</v>
      </c>
    </row>
    <row r="3884" spans="1:18" ht="13.8" outlineLevel="2" x14ac:dyDescent="0.25">
      <c r="A3884">
        <v>78242</v>
      </c>
      <c r="C3884" t="s">
        <v>5232</v>
      </c>
      <c r="D3884" s="14" t="s">
        <v>5233</v>
      </c>
      <c r="E3884" s="12" t="s">
        <v>28</v>
      </c>
      <c r="F3884" s="13" t="s">
        <v>29</v>
      </c>
      <c r="G3884">
        <v>1</v>
      </c>
      <c r="H3884" t="s">
        <v>30</v>
      </c>
      <c r="I3884">
        <v>1</v>
      </c>
      <c r="J3884" s="15"/>
      <c r="K3884" s="16">
        <f>IF($E$1&gt;=$Q$1%,314.21-(314.21*$Q$1%),314.21-(314.21*$E$1))</f>
        <v>314.20999999999998</v>
      </c>
      <c r="L3884" s="16">
        <f>IF($E$1&gt;=$Q$1%,257.55-(257.55*$Q$1%),257.55-(257.55*$E$1))</f>
        <v>257.55</v>
      </c>
      <c r="M3884" s="1">
        <v>314.20999999999998</v>
      </c>
      <c r="N3884" s="1">
        <v>257.55</v>
      </c>
      <c r="O3884" s="1">
        <v>314.20999999999998</v>
      </c>
      <c r="P3884" s="1">
        <v>257.55</v>
      </c>
      <c r="Q3884">
        <v>8.2000000000000003E-2</v>
      </c>
      <c r="R3884">
        <v>2.7999999999999998E-4</v>
      </c>
    </row>
    <row r="3885" spans="1:18" ht="13.8" outlineLevel="2" x14ac:dyDescent="0.25">
      <c r="A3885">
        <v>78243</v>
      </c>
      <c r="C3885" t="s">
        <v>5234</v>
      </c>
      <c r="D3885" s="14" t="s">
        <v>5235</v>
      </c>
      <c r="E3885" s="12" t="s">
        <v>28</v>
      </c>
      <c r="F3885" s="13" t="s">
        <v>29</v>
      </c>
      <c r="G3885">
        <v>1</v>
      </c>
      <c r="H3885" t="s">
        <v>30</v>
      </c>
      <c r="I3885">
        <v>1</v>
      </c>
      <c r="J3885" s="15"/>
      <c r="K3885" s="16">
        <f>IF($E$1&gt;=$Q$1%,314.21-(314.21*$Q$1%),314.21-(314.21*$E$1))</f>
        <v>314.20999999999998</v>
      </c>
      <c r="L3885" s="16">
        <f>IF($E$1&gt;=$Q$1%,257.55-(257.55*$Q$1%),257.55-(257.55*$E$1))</f>
        <v>257.55</v>
      </c>
      <c r="M3885" s="1">
        <v>314.20999999999998</v>
      </c>
      <c r="N3885" s="1">
        <v>257.55</v>
      </c>
      <c r="O3885" s="1">
        <v>314.20999999999998</v>
      </c>
      <c r="P3885" s="1">
        <v>257.55</v>
      </c>
      <c r="Q3885">
        <v>0.09</v>
      </c>
      <c r="R3885">
        <v>2.72E-4</v>
      </c>
    </row>
    <row r="3886" spans="1:18" ht="13.8" outlineLevel="2" x14ac:dyDescent="0.25">
      <c r="A3886">
        <v>78241</v>
      </c>
      <c r="C3886" t="s">
        <v>5236</v>
      </c>
      <c r="D3886" s="14" t="s">
        <v>5237</v>
      </c>
      <c r="E3886" s="12" t="s">
        <v>28</v>
      </c>
      <c r="F3886" s="13" t="s">
        <v>29</v>
      </c>
      <c r="G3886">
        <v>1</v>
      </c>
      <c r="H3886" t="s">
        <v>30</v>
      </c>
      <c r="I3886">
        <v>1</v>
      </c>
      <c r="J3886" s="15"/>
      <c r="K3886" s="16">
        <f>IF($E$1&gt;=$Q$1%,314.21-(314.21*$Q$1%),314.21-(314.21*$E$1))</f>
        <v>314.20999999999998</v>
      </c>
      <c r="L3886" s="16">
        <f>IF($E$1&gt;=$Q$1%,257.55-(257.55*$Q$1%),257.55-(257.55*$E$1))</f>
        <v>257.55</v>
      </c>
      <c r="M3886" s="1">
        <v>314.20999999999998</v>
      </c>
      <c r="N3886" s="1">
        <v>257.55</v>
      </c>
      <c r="O3886" s="1">
        <v>314.20999999999998</v>
      </c>
      <c r="P3886" s="1">
        <v>257.55</v>
      </c>
      <c r="Q3886">
        <v>0.09</v>
      </c>
      <c r="R3886">
        <v>2.72E-4</v>
      </c>
    </row>
    <row r="3887" spans="1:18" ht="13.8" outlineLevel="2" x14ac:dyDescent="0.25">
      <c r="A3887">
        <v>78245</v>
      </c>
      <c r="C3887" t="s">
        <v>5238</v>
      </c>
      <c r="D3887" s="14" t="s">
        <v>5239</v>
      </c>
      <c r="E3887" s="12" t="s">
        <v>28</v>
      </c>
      <c r="F3887" s="13" t="s">
        <v>29</v>
      </c>
      <c r="G3887">
        <v>1</v>
      </c>
      <c r="H3887" t="s">
        <v>30</v>
      </c>
      <c r="I3887">
        <v>1</v>
      </c>
      <c r="J3887" s="15"/>
      <c r="K3887" s="16">
        <f>IF($E$1&gt;=$Q$1%,319.09-(319.09*$Q$1%),319.09-(319.09*$E$1))</f>
        <v>319.08999999999997</v>
      </c>
      <c r="L3887" s="16">
        <f>IF($E$1&gt;=$Q$1%,261.55-(261.55*$Q$1%),261.55-(261.55*$E$1))</f>
        <v>261.55</v>
      </c>
      <c r="M3887" s="1">
        <v>319.08999999999997</v>
      </c>
      <c r="N3887" s="1">
        <v>261.55</v>
      </c>
      <c r="O3887" s="1">
        <v>319.08999999999997</v>
      </c>
      <c r="P3887" s="1">
        <v>261.55</v>
      </c>
      <c r="Q3887">
        <v>0.09</v>
      </c>
      <c r="R3887">
        <v>4.2000000000000002E-4</v>
      </c>
    </row>
    <row r="3888" spans="1:18" ht="13.8" outlineLevel="2" x14ac:dyDescent="0.25">
      <c r="A3888">
        <v>78244</v>
      </c>
      <c r="C3888" t="s">
        <v>5240</v>
      </c>
      <c r="D3888" s="14" t="s">
        <v>5241</v>
      </c>
      <c r="E3888" s="12" t="s">
        <v>28</v>
      </c>
      <c r="F3888" s="13" t="s">
        <v>29</v>
      </c>
      <c r="G3888">
        <v>1</v>
      </c>
      <c r="H3888" t="s">
        <v>30</v>
      </c>
      <c r="I3888">
        <v>1</v>
      </c>
      <c r="J3888" s="15"/>
      <c r="K3888" s="16">
        <f>IF($E$1&gt;=$Q$1%,309.72-(309.72*$Q$1%),309.72-(309.72*$E$1))</f>
        <v>309.72000000000003</v>
      </c>
      <c r="L3888" s="16">
        <f>IF($E$1&gt;=$Q$1%,253.87-(253.87*$Q$1%),253.87-(253.87*$E$1))</f>
        <v>253.87</v>
      </c>
      <c r="M3888" s="1">
        <v>309.72000000000003</v>
      </c>
      <c r="N3888" s="1">
        <v>253.87</v>
      </c>
      <c r="O3888" s="1">
        <v>309.72000000000003</v>
      </c>
      <c r="P3888" s="1">
        <v>253.87</v>
      </c>
      <c r="Q3888">
        <v>8.5999999999999993E-2</v>
      </c>
      <c r="R3888">
        <v>2.7999999999999998E-4</v>
      </c>
    </row>
    <row r="3889" spans="1:18" ht="13.8" outlineLevel="2" x14ac:dyDescent="0.25">
      <c r="A3889">
        <v>92059</v>
      </c>
      <c r="C3889" t="s">
        <v>5242</v>
      </c>
      <c r="D3889" s="14" t="s">
        <v>5243</v>
      </c>
      <c r="E3889" s="12" t="s">
        <v>28</v>
      </c>
      <c r="F3889" s="17" t="s">
        <v>549</v>
      </c>
      <c r="G3889">
        <v>1</v>
      </c>
      <c r="H3889" t="s">
        <v>30</v>
      </c>
      <c r="I3889">
        <v>1</v>
      </c>
      <c r="J3889" s="15"/>
      <c r="K3889" s="16">
        <f>IF($E$1&gt;=$Q$1%,276.67-(276.67*$Q$1%),276.67-(276.67*$E$1))</f>
        <v>276.67</v>
      </c>
      <c r="L3889" s="16">
        <f>IF($E$1&gt;=$Q$1%,226.78-(226.78*$Q$1%),226.78-(226.78*$E$1))</f>
        <v>226.78</v>
      </c>
      <c r="M3889" s="1">
        <v>276.67</v>
      </c>
      <c r="N3889" s="1">
        <v>226.78</v>
      </c>
      <c r="O3889" s="1">
        <v>276.67</v>
      </c>
      <c r="P3889" s="1">
        <v>226.78</v>
      </c>
      <c r="Q3889">
        <v>0.06</v>
      </c>
      <c r="R3889">
        <v>2.8499999999999999E-4</v>
      </c>
    </row>
    <row r="3890" spans="1:18" ht="13.8" outlineLevel="2" x14ac:dyDescent="0.25">
      <c r="A3890">
        <v>92056</v>
      </c>
      <c r="C3890" t="s">
        <v>5244</v>
      </c>
      <c r="D3890" s="14" t="s">
        <v>5245</v>
      </c>
      <c r="E3890" s="12" t="s">
        <v>28</v>
      </c>
      <c r="F3890" s="13" t="s">
        <v>29</v>
      </c>
      <c r="G3890">
        <v>1</v>
      </c>
      <c r="H3890" t="s">
        <v>30</v>
      </c>
      <c r="I3890">
        <v>1</v>
      </c>
      <c r="J3890" s="15"/>
      <c r="K3890" s="16">
        <f>IF($E$1&gt;=$Q$1%,276.67-(276.67*$Q$1%),276.67-(276.67*$E$1))</f>
        <v>276.67</v>
      </c>
      <c r="L3890" s="16">
        <f>IF($E$1&gt;=$Q$1%,226.78-(226.78*$Q$1%),226.78-(226.78*$E$1))</f>
        <v>226.78</v>
      </c>
      <c r="M3890" s="1">
        <v>276.67</v>
      </c>
      <c r="N3890" s="1">
        <v>226.78</v>
      </c>
      <c r="O3890" s="1">
        <v>276.67</v>
      </c>
      <c r="P3890" s="1">
        <v>226.78</v>
      </c>
      <c r="Q3890">
        <v>0.06</v>
      </c>
      <c r="R3890">
        <v>2.8499999999999999E-4</v>
      </c>
    </row>
    <row r="3891" spans="1:18" ht="13.8" outlineLevel="2" x14ac:dyDescent="0.25">
      <c r="A3891">
        <v>92057</v>
      </c>
      <c r="C3891" t="s">
        <v>5246</v>
      </c>
      <c r="D3891" s="14" t="s">
        <v>5247</v>
      </c>
      <c r="E3891" s="12" t="s">
        <v>28</v>
      </c>
      <c r="F3891" s="13" t="s">
        <v>29</v>
      </c>
      <c r="G3891">
        <v>1</v>
      </c>
      <c r="H3891" t="s">
        <v>30</v>
      </c>
      <c r="I3891">
        <v>1</v>
      </c>
      <c r="J3891" s="15"/>
      <c r="K3891" s="16">
        <f>IF($E$1&gt;=$Q$1%,305.49-(305.49*$Q$1%),305.49-(305.49*$E$1))</f>
        <v>305.49</v>
      </c>
      <c r="L3891" s="16">
        <f>IF($E$1&gt;=$Q$1%,250.4-(250.4*$Q$1%),250.4-(250.4*$E$1))</f>
        <v>250.4</v>
      </c>
      <c r="M3891" s="1">
        <v>305.49</v>
      </c>
      <c r="N3891" s="1">
        <v>250.4</v>
      </c>
      <c r="O3891" s="1">
        <v>305.49</v>
      </c>
      <c r="P3891" s="1">
        <v>250.4</v>
      </c>
      <c r="Q3891">
        <v>0.06</v>
      </c>
      <c r="R3891">
        <v>2.8499999999999999E-4</v>
      </c>
    </row>
    <row r="3892" spans="1:18" ht="13.8" outlineLevel="2" x14ac:dyDescent="0.25">
      <c r="A3892">
        <v>92058</v>
      </c>
      <c r="C3892" t="s">
        <v>5248</v>
      </c>
      <c r="D3892" s="14" t="s">
        <v>5249</v>
      </c>
      <c r="E3892" s="12" t="s">
        <v>28</v>
      </c>
      <c r="F3892" s="13" t="s">
        <v>29</v>
      </c>
      <c r="G3892">
        <v>1</v>
      </c>
      <c r="H3892" t="s">
        <v>30</v>
      </c>
      <c r="I3892">
        <v>1</v>
      </c>
      <c r="J3892" s="15"/>
      <c r="K3892" s="16">
        <f>IF($E$1&gt;=$Q$1%,260.2-(260.2*$Q$1%),260.2-(260.2*$E$1))</f>
        <v>260.2</v>
      </c>
      <c r="L3892" s="16">
        <f>IF($E$1&gt;=$Q$1%,213.28-(213.28*$Q$1%),213.28-(213.28*$E$1))</f>
        <v>213.28</v>
      </c>
      <c r="M3892" s="1">
        <v>260.2</v>
      </c>
      <c r="N3892" s="1">
        <v>213.28</v>
      </c>
      <c r="O3892" s="1">
        <v>260.2</v>
      </c>
      <c r="P3892" s="1">
        <v>213.28</v>
      </c>
      <c r="Q3892">
        <v>5.8000000000000003E-2</v>
      </c>
      <c r="R3892">
        <v>2.8499999999999999E-4</v>
      </c>
    </row>
    <row r="3893" spans="1:18" ht="16.5" customHeight="1" outlineLevel="1" x14ac:dyDescent="0.35">
      <c r="A3893" s="9"/>
      <c r="B3893" s="10" t="s">
        <v>5250</v>
      </c>
      <c r="C3893" s="10"/>
      <c r="D3893" s="10"/>
      <c r="E3893" s="10"/>
      <c r="F3893" s="10"/>
      <c r="G3893" s="10"/>
      <c r="H3893" s="10"/>
      <c r="I3893" s="10"/>
      <c r="J3893" s="10"/>
      <c r="K3893" s="10"/>
      <c r="L3893" s="10"/>
      <c r="M3893" s="10"/>
      <c r="N3893" s="10"/>
      <c r="O3893" s="10"/>
      <c r="P3893" s="10"/>
      <c r="Q3893" s="10"/>
      <c r="R3893" s="11"/>
    </row>
    <row r="3894" spans="1:18" ht="13.8" outlineLevel="2" x14ac:dyDescent="0.25">
      <c r="A3894">
        <v>92066</v>
      </c>
      <c r="B3894" t="s">
        <v>5251</v>
      </c>
      <c r="C3894" t="s">
        <v>5252</v>
      </c>
      <c r="D3894" s="14" t="s">
        <v>5253</v>
      </c>
      <c r="E3894" s="12" t="s">
        <v>28</v>
      </c>
      <c r="F3894" s="13" t="s">
        <v>29</v>
      </c>
      <c r="G3894">
        <v>1</v>
      </c>
      <c r="H3894" t="s">
        <v>30</v>
      </c>
      <c r="I3894">
        <v>1</v>
      </c>
      <c r="J3894" s="15"/>
      <c r="K3894" s="21" t="s">
        <v>5254</v>
      </c>
      <c r="L3894" s="21" t="s">
        <v>5255</v>
      </c>
      <c r="M3894" s="1">
        <v>1752.86</v>
      </c>
      <c r="N3894" s="1">
        <v>1436.77</v>
      </c>
      <c r="O3894" s="1">
        <v>1489.93</v>
      </c>
      <c r="P3894" s="1">
        <v>1221.25</v>
      </c>
      <c r="Q3894">
        <v>0.96</v>
      </c>
      <c r="R3894">
        <v>2.5500000000000002E-3</v>
      </c>
    </row>
    <row r="3895" spans="1:18" ht="13.8" outlineLevel="2" x14ac:dyDescent="0.25">
      <c r="A3895">
        <v>92067</v>
      </c>
      <c r="B3895" t="s">
        <v>5251</v>
      </c>
      <c r="C3895" t="s">
        <v>5256</v>
      </c>
      <c r="D3895" s="14" t="s">
        <v>5257</v>
      </c>
      <c r="E3895" s="12" t="s">
        <v>28</v>
      </c>
      <c r="F3895" s="13" t="s">
        <v>29</v>
      </c>
      <c r="G3895">
        <v>1</v>
      </c>
      <c r="H3895" t="s">
        <v>30</v>
      </c>
      <c r="I3895">
        <v>1</v>
      </c>
      <c r="J3895" s="15"/>
      <c r="K3895" s="21" t="s">
        <v>5258</v>
      </c>
      <c r="L3895" s="21" t="s">
        <v>5259</v>
      </c>
      <c r="M3895" s="1">
        <v>1707.37</v>
      </c>
      <c r="N3895" s="1">
        <v>1399.48</v>
      </c>
      <c r="O3895" s="1">
        <v>1451.26</v>
      </c>
      <c r="P3895" s="1">
        <v>1189.56</v>
      </c>
      <c r="Q3895">
        <v>0.88</v>
      </c>
      <c r="R3895">
        <v>2.1419999999999998E-3</v>
      </c>
    </row>
    <row r="3896" spans="1:18" ht="13.8" outlineLevel="2" x14ac:dyDescent="0.25">
      <c r="A3896">
        <v>92068</v>
      </c>
      <c r="B3896" t="s">
        <v>5251</v>
      </c>
      <c r="C3896" t="s">
        <v>5260</v>
      </c>
      <c r="D3896" s="14" t="s">
        <v>5261</v>
      </c>
      <c r="E3896" s="12" t="s">
        <v>28</v>
      </c>
      <c r="F3896" s="13" t="s">
        <v>29</v>
      </c>
      <c r="G3896">
        <v>1</v>
      </c>
      <c r="H3896" t="s">
        <v>30</v>
      </c>
      <c r="I3896">
        <v>1</v>
      </c>
      <c r="J3896" s="15"/>
      <c r="K3896" s="21" t="s">
        <v>5262</v>
      </c>
      <c r="L3896" s="21" t="s">
        <v>5263</v>
      </c>
      <c r="M3896" s="1">
        <v>3532.23</v>
      </c>
      <c r="N3896" s="1">
        <v>2895.27</v>
      </c>
      <c r="O3896" s="1">
        <v>3002.39</v>
      </c>
      <c r="P3896" s="1">
        <v>2460.98</v>
      </c>
      <c r="Q3896">
        <v>1.52</v>
      </c>
      <c r="R3896">
        <v>3.9150000000000001E-3</v>
      </c>
    </row>
    <row r="3897" spans="1:18" ht="13.8" outlineLevel="2" x14ac:dyDescent="0.25">
      <c r="A3897">
        <v>92061</v>
      </c>
      <c r="B3897" t="s">
        <v>5264</v>
      </c>
      <c r="C3897" t="s">
        <v>5265</v>
      </c>
      <c r="D3897" s="14" t="s">
        <v>5266</v>
      </c>
      <c r="E3897" s="12" t="s">
        <v>28</v>
      </c>
      <c r="F3897" s="13" t="s">
        <v>29</v>
      </c>
      <c r="G3897">
        <v>1</v>
      </c>
      <c r="H3897" t="s">
        <v>30</v>
      </c>
      <c r="I3897">
        <v>1</v>
      </c>
      <c r="J3897" s="15"/>
      <c r="K3897" s="16">
        <f>IF($E$1&gt;=$Q$1%,1763.19-(1763.19*$Q$1%),1763.19-(1763.19*$E$1))</f>
        <v>1763.19</v>
      </c>
      <c r="L3897" s="16">
        <f>IF($E$1&gt;=$Q$1%,1445.24-(1445.24*$Q$1%),1445.24-(1445.24*$E$1))</f>
        <v>1445.24</v>
      </c>
      <c r="M3897" s="1">
        <v>1763.19</v>
      </c>
      <c r="N3897" s="1">
        <v>1445.24</v>
      </c>
      <c r="O3897" s="1">
        <v>1763.19</v>
      </c>
      <c r="P3897" s="1">
        <v>1445.24</v>
      </c>
      <c r="Q3897">
        <v>0.48399999999999999</v>
      </c>
      <c r="R3897">
        <v>1.279E-3</v>
      </c>
    </row>
    <row r="3898" spans="1:18" ht="13.8" outlineLevel="2" x14ac:dyDescent="0.25">
      <c r="A3898">
        <v>89259</v>
      </c>
      <c r="B3898" t="s">
        <v>5264</v>
      </c>
      <c r="C3898" t="s">
        <v>5267</v>
      </c>
      <c r="D3898" s="14" t="s">
        <v>5268</v>
      </c>
      <c r="E3898" s="12" t="s">
        <v>28</v>
      </c>
      <c r="F3898" s="13" t="s">
        <v>29</v>
      </c>
      <c r="G3898">
        <v>1</v>
      </c>
      <c r="H3898" t="s">
        <v>30</v>
      </c>
      <c r="I3898">
        <v>1</v>
      </c>
      <c r="J3898" s="15"/>
      <c r="K3898" s="16">
        <f>IF($E$1&gt;=$Q$1%,2081.73-(2081.73*$Q$1%),2081.73-(2081.73*$E$1))</f>
        <v>2081.73</v>
      </c>
      <c r="L3898" s="16">
        <f>IF($E$1&gt;=$Q$1%,1706.34-(1706.34*$Q$1%),1706.34-(1706.34*$E$1))</f>
        <v>1706.34</v>
      </c>
      <c r="M3898" s="1">
        <v>2081.73</v>
      </c>
      <c r="N3898" s="1">
        <v>1706.34</v>
      </c>
      <c r="O3898" s="1">
        <v>2081.73</v>
      </c>
      <c r="P3898" s="1">
        <v>1706.34</v>
      </c>
      <c r="Q3898">
        <v>0.63</v>
      </c>
      <c r="R3898">
        <v>1.4189999999999999E-3</v>
      </c>
    </row>
    <row r="3899" spans="1:18" ht="13.8" outlineLevel="2" x14ac:dyDescent="0.25">
      <c r="A3899">
        <v>77396</v>
      </c>
      <c r="B3899" t="s">
        <v>5269</v>
      </c>
      <c r="C3899" t="s">
        <v>5270</v>
      </c>
      <c r="D3899" s="14" t="s">
        <v>5271</v>
      </c>
      <c r="E3899" s="12" t="s">
        <v>28</v>
      </c>
      <c r="F3899" s="13" t="s">
        <v>29</v>
      </c>
      <c r="G3899">
        <v>1</v>
      </c>
      <c r="H3899" t="s">
        <v>30</v>
      </c>
      <c r="I3899">
        <v>1</v>
      </c>
      <c r="J3899" s="15"/>
      <c r="K3899" s="16">
        <f>IF($E$1&gt;=$Q$1%,83.96-(83.96*$Q$1%),83.96-(83.96*$E$1))</f>
        <v>83.96</v>
      </c>
      <c r="L3899" s="16">
        <f>IF($E$1&gt;=$Q$1%,68.82-(68.82*$Q$1%),68.82-(68.82*$E$1))</f>
        <v>68.819999999999993</v>
      </c>
      <c r="M3899" s="1">
        <v>83.96</v>
      </c>
      <c r="N3899" s="1">
        <v>68.819999999999993</v>
      </c>
      <c r="O3899" s="1">
        <v>83.96</v>
      </c>
      <c r="P3899" s="1">
        <v>68.819999999999993</v>
      </c>
      <c r="Q3899">
        <v>0.04</v>
      </c>
      <c r="R3899">
        <v>3.5199999999999999E-4</v>
      </c>
    </row>
    <row r="3900" spans="1:18" ht="13.8" outlineLevel="2" x14ac:dyDescent="0.25">
      <c r="A3900">
        <v>77397</v>
      </c>
      <c r="B3900" t="s">
        <v>5269</v>
      </c>
      <c r="C3900" t="s">
        <v>5272</v>
      </c>
      <c r="D3900" s="14" t="s">
        <v>5271</v>
      </c>
      <c r="E3900" s="12" t="s">
        <v>28</v>
      </c>
      <c r="F3900" s="13" t="s">
        <v>29</v>
      </c>
      <c r="G3900">
        <v>1</v>
      </c>
      <c r="H3900" t="s">
        <v>30</v>
      </c>
      <c r="I3900">
        <v>1</v>
      </c>
      <c r="J3900" s="15"/>
      <c r="K3900" s="16">
        <f>IF($E$1&gt;=$Q$1%,94.76-(94.76*$Q$1%),94.76-(94.76*$E$1))</f>
        <v>94.76</v>
      </c>
      <c r="L3900" s="16">
        <f>IF($E$1&gt;=$Q$1%,77.67-(77.67*$Q$1%),77.67-(77.67*$E$1))</f>
        <v>77.67</v>
      </c>
      <c r="M3900" s="1">
        <v>94.76</v>
      </c>
      <c r="N3900" s="1">
        <v>77.67</v>
      </c>
      <c r="O3900" s="1">
        <v>94.76</v>
      </c>
      <c r="P3900" s="1">
        <v>77.67</v>
      </c>
      <c r="Q3900">
        <v>0.04</v>
      </c>
      <c r="R3900">
        <v>3.3599999999999998E-4</v>
      </c>
    </row>
    <row r="3901" spans="1:18" ht="13.8" outlineLevel="2" x14ac:dyDescent="0.25">
      <c r="A3901">
        <v>77398</v>
      </c>
      <c r="B3901" t="s">
        <v>5269</v>
      </c>
      <c r="C3901" t="s">
        <v>5273</v>
      </c>
      <c r="D3901" s="14" t="s">
        <v>5271</v>
      </c>
      <c r="E3901" s="12" t="s">
        <v>28</v>
      </c>
      <c r="F3901" s="13" t="s">
        <v>29</v>
      </c>
      <c r="G3901">
        <v>1</v>
      </c>
      <c r="H3901" t="s">
        <v>30</v>
      </c>
      <c r="I3901">
        <v>1</v>
      </c>
      <c r="J3901" s="15"/>
      <c r="K3901" s="16">
        <f>IF($E$1&gt;=$Q$1%,124.27-(124.27*$Q$1%),124.27-(124.27*$E$1))</f>
        <v>124.27</v>
      </c>
      <c r="L3901" s="16">
        <f>IF($E$1&gt;=$Q$1%,101.86-(101.86*$Q$1%),101.86-(101.86*$E$1))</f>
        <v>101.86</v>
      </c>
      <c r="M3901" s="1">
        <v>124.27</v>
      </c>
      <c r="N3901" s="1">
        <v>101.86</v>
      </c>
      <c r="O3901" s="1">
        <v>124.27</v>
      </c>
      <c r="P3901" s="1">
        <v>101.86</v>
      </c>
      <c r="Q3901">
        <v>0.06</v>
      </c>
      <c r="R3901">
        <v>4.3199999999999998E-4</v>
      </c>
    </row>
    <row r="3902" spans="1:18" ht="13.8" outlineLevel="2" x14ac:dyDescent="0.25">
      <c r="A3902">
        <v>77399</v>
      </c>
      <c r="B3902" t="s">
        <v>5269</v>
      </c>
      <c r="C3902" t="s">
        <v>5274</v>
      </c>
      <c r="D3902" s="14" t="s">
        <v>5271</v>
      </c>
      <c r="E3902" s="12" t="s">
        <v>28</v>
      </c>
      <c r="F3902" s="13" t="s">
        <v>29</v>
      </c>
      <c r="G3902">
        <v>1</v>
      </c>
      <c r="H3902" t="s">
        <v>30</v>
      </c>
      <c r="I3902">
        <v>1</v>
      </c>
      <c r="J3902" s="15"/>
      <c r="K3902" s="16">
        <f>IF($E$1&gt;=$Q$1%,151.85-(151.85*$Q$1%),151.85-(151.85*$E$1))</f>
        <v>151.85</v>
      </c>
      <c r="L3902" s="16">
        <f>IF($E$1&gt;=$Q$1%,124.47-(124.47*$Q$1%),124.47-(124.47*$E$1))</f>
        <v>124.47</v>
      </c>
      <c r="M3902" s="1">
        <v>151.85</v>
      </c>
      <c r="N3902" s="1">
        <v>124.47</v>
      </c>
      <c r="O3902" s="1">
        <v>151.85</v>
      </c>
      <c r="P3902" s="1">
        <v>124.47</v>
      </c>
      <c r="Q3902">
        <v>0.09</v>
      </c>
      <c r="R3902">
        <v>4.64E-4</v>
      </c>
    </row>
    <row r="3903" spans="1:18" ht="13.8" outlineLevel="2" x14ac:dyDescent="0.25">
      <c r="A3903">
        <v>77400</v>
      </c>
      <c r="B3903" t="s">
        <v>5269</v>
      </c>
      <c r="C3903" t="s">
        <v>5275</v>
      </c>
      <c r="D3903" s="14" t="s">
        <v>5271</v>
      </c>
      <c r="E3903" s="12" t="s">
        <v>28</v>
      </c>
      <c r="F3903" s="13" t="s">
        <v>29</v>
      </c>
      <c r="G3903">
        <v>1</v>
      </c>
      <c r="H3903" t="s">
        <v>30</v>
      </c>
      <c r="I3903">
        <v>1</v>
      </c>
      <c r="J3903" s="15"/>
      <c r="K3903" s="16">
        <f>IF($E$1&gt;=$Q$1%,83.96-(83.96*$Q$1%),83.96-(83.96*$E$1))</f>
        <v>83.96</v>
      </c>
      <c r="L3903" s="16">
        <f>IF($E$1&gt;=$Q$1%,68.82-(68.82*$Q$1%),68.82-(68.82*$E$1))</f>
        <v>68.819999999999993</v>
      </c>
      <c r="M3903" s="1">
        <v>83.96</v>
      </c>
      <c r="N3903" s="1">
        <v>68.819999999999993</v>
      </c>
      <c r="O3903" s="1">
        <v>83.96</v>
      </c>
      <c r="P3903" s="1">
        <v>68.819999999999993</v>
      </c>
      <c r="Q3903">
        <v>0.04</v>
      </c>
      <c r="R3903">
        <v>3.2000000000000003E-4</v>
      </c>
    </row>
    <row r="3904" spans="1:18" ht="13.8" outlineLevel="2" x14ac:dyDescent="0.25">
      <c r="A3904">
        <v>77401</v>
      </c>
      <c r="B3904" t="s">
        <v>5269</v>
      </c>
      <c r="C3904" t="s">
        <v>5276</v>
      </c>
      <c r="D3904" s="14" t="s">
        <v>5271</v>
      </c>
      <c r="E3904" s="12" t="s">
        <v>28</v>
      </c>
      <c r="F3904" s="13" t="s">
        <v>29</v>
      </c>
      <c r="G3904">
        <v>1</v>
      </c>
      <c r="H3904" t="s">
        <v>30</v>
      </c>
      <c r="I3904">
        <v>1</v>
      </c>
      <c r="J3904" s="15"/>
      <c r="K3904" s="16">
        <f>IF($E$1&gt;=$Q$1%,94.76-(94.76*$Q$1%),94.76-(94.76*$E$1))</f>
        <v>94.76</v>
      </c>
      <c r="L3904" s="16">
        <f>IF($E$1&gt;=$Q$1%,77.67-(77.67*$Q$1%),77.67-(77.67*$E$1))</f>
        <v>77.67</v>
      </c>
      <c r="M3904" s="1">
        <v>94.76</v>
      </c>
      <c r="N3904" s="1">
        <v>77.67</v>
      </c>
      <c r="O3904" s="1">
        <v>94.76</v>
      </c>
      <c r="P3904" s="1">
        <v>77.67</v>
      </c>
      <c r="Q3904">
        <v>0.06</v>
      </c>
      <c r="R3904">
        <v>3.68E-4</v>
      </c>
    </row>
    <row r="3905" spans="1:18" ht="13.8" outlineLevel="2" x14ac:dyDescent="0.25">
      <c r="A3905">
        <v>77402</v>
      </c>
      <c r="B3905" t="s">
        <v>5269</v>
      </c>
      <c r="C3905" t="s">
        <v>5277</v>
      </c>
      <c r="D3905" s="14" t="s">
        <v>5271</v>
      </c>
      <c r="E3905" s="12" t="s">
        <v>28</v>
      </c>
      <c r="F3905" s="13" t="s">
        <v>29</v>
      </c>
      <c r="G3905">
        <v>1</v>
      </c>
      <c r="H3905" t="s">
        <v>30</v>
      </c>
      <c r="I3905">
        <v>1</v>
      </c>
      <c r="J3905" s="15"/>
      <c r="K3905" s="16">
        <f>IF($E$1&gt;=$Q$1%,147.74-(147.74*$Q$1%),147.74-(147.74*$E$1))</f>
        <v>147.74</v>
      </c>
      <c r="L3905" s="16">
        <f>IF($E$1&gt;=$Q$1%,121.1-(121.1*$Q$1%),121.1-(121.1*$E$1))</f>
        <v>121.1</v>
      </c>
      <c r="M3905" s="1">
        <v>147.74</v>
      </c>
      <c r="N3905" s="1">
        <v>121.1</v>
      </c>
      <c r="O3905" s="1">
        <v>147.74</v>
      </c>
      <c r="P3905" s="1">
        <v>121.1</v>
      </c>
      <c r="Q3905">
        <v>0.08</v>
      </c>
      <c r="R3905">
        <v>4.1599999999999997E-4</v>
      </c>
    </row>
    <row r="3906" spans="1:18" ht="13.8" outlineLevel="2" x14ac:dyDescent="0.25">
      <c r="A3906">
        <v>77403</v>
      </c>
      <c r="B3906" t="s">
        <v>5269</v>
      </c>
      <c r="C3906" t="s">
        <v>5278</v>
      </c>
      <c r="D3906" s="14" t="s">
        <v>5271</v>
      </c>
      <c r="E3906" s="12" t="s">
        <v>28</v>
      </c>
      <c r="F3906" s="13" t="s">
        <v>29</v>
      </c>
      <c r="G3906">
        <v>1</v>
      </c>
      <c r="H3906" t="s">
        <v>30</v>
      </c>
      <c r="I3906">
        <v>1</v>
      </c>
      <c r="J3906" s="15"/>
      <c r="K3906" s="16">
        <f>IF($E$1&gt;=$Q$1%,119.49-(119.49*$Q$1%),119.49-(119.49*$E$1))</f>
        <v>119.49</v>
      </c>
      <c r="L3906" s="16">
        <f>IF($E$1&gt;=$Q$1%,97.94-(97.94*$Q$1%),97.94-(97.94*$E$1))</f>
        <v>97.94</v>
      </c>
      <c r="M3906" s="1">
        <v>119.49</v>
      </c>
      <c r="N3906" s="1">
        <v>97.94</v>
      </c>
      <c r="O3906" s="1">
        <v>119.49</v>
      </c>
      <c r="P3906" s="1">
        <v>97.94</v>
      </c>
      <c r="Q3906">
        <v>7.0000000000000007E-2</v>
      </c>
      <c r="R3906">
        <v>4.1599999999999997E-4</v>
      </c>
    </row>
    <row r="3907" spans="1:18" ht="13.8" outlineLevel="2" x14ac:dyDescent="0.25">
      <c r="A3907">
        <v>77404</v>
      </c>
      <c r="B3907" t="s">
        <v>5269</v>
      </c>
      <c r="C3907" t="s">
        <v>5279</v>
      </c>
      <c r="D3907" s="14" t="s">
        <v>5271</v>
      </c>
      <c r="E3907" s="12" t="s">
        <v>28</v>
      </c>
      <c r="F3907" s="13" t="s">
        <v>29</v>
      </c>
      <c r="G3907">
        <v>1</v>
      </c>
      <c r="H3907" t="s">
        <v>30</v>
      </c>
      <c r="I3907">
        <v>1</v>
      </c>
      <c r="J3907" s="15"/>
      <c r="K3907" s="16">
        <f>IF($E$1&gt;=$Q$1%,148.97-(148.97*$Q$1%),148.97-(148.97*$E$1))</f>
        <v>148.97</v>
      </c>
      <c r="L3907" s="16">
        <f>IF($E$1&gt;=$Q$1%,122.11-(122.11*$Q$1%),122.11-(122.11*$E$1))</f>
        <v>122.11</v>
      </c>
      <c r="M3907" s="1">
        <v>148.97</v>
      </c>
      <c r="N3907" s="1">
        <v>122.11</v>
      </c>
      <c r="O3907" s="1">
        <v>148.97</v>
      </c>
      <c r="P3907" s="1">
        <v>122.11</v>
      </c>
      <c r="Q3907">
        <v>0.1</v>
      </c>
      <c r="R3907">
        <v>4.3199999999999998E-4</v>
      </c>
    </row>
    <row r="3908" spans="1:18" ht="13.8" outlineLevel="2" x14ac:dyDescent="0.25">
      <c r="A3908">
        <v>77406</v>
      </c>
      <c r="B3908" t="s">
        <v>5280</v>
      </c>
      <c r="C3908" t="s">
        <v>5281</v>
      </c>
      <c r="D3908" s="14" t="s">
        <v>5282</v>
      </c>
      <c r="E3908" s="12" t="s">
        <v>28</v>
      </c>
      <c r="F3908" s="13" t="s">
        <v>29</v>
      </c>
      <c r="G3908">
        <v>1</v>
      </c>
      <c r="H3908" t="s">
        <v>30</v>
      </c>
      <c r="I3908">
        <v>1</v>
      </c>
      <c r="J3908" s="15"/>
      <c r="K3908" s="16">
        <f>IF($E$1&gt;=$Q$1%,842.28-(842.28*$Q$1%),842.28-(842.28*$E$1))</f>
        <v>842.28</v>
      </c>
      <c r="L3908" s="16">
        <f>IF($E$1&gt;=$Q$1%,690.39-(690.39*$Q$1%),690.39-(690.39*$E$1))</f>
        <v>690.39</v>
      </c>
      <c r="M3908" s="1">
        <v>842.28</v>
      </c>
      <c r="N3908" s="1">
        <v>690.39</v>
      </c>
      <c r="O3908" s="1">
        <v>842.28</v>
      </c>
      <c r="P3908" s="1">
        <v>690.39</v>
      </c>
      <c r="Q3908">
        <v>0.40400000000000003</v>
      </c>
      <c r="R3908">
        <v>1.2999999999999999E-3</v>
      </c>
    </row>
    <row r="3909" spans="1:18" ht="13.8" outlineLevel="2" x14ac:dyDescent="0.25">
      <c r="A3909">
        <v>77407</v>
      </c>
      <c r="B3909" t="s">
        <v>5280</v>
      </c>
      <c r="C3909" t="s">
        <v>5283</v>
      </c>
      <c r="D3909" s="14" t="s">
        <v>5284</v>
      </c>
      <c r="E3909" s="12" t="s">
        <v>28</v>
      </c>
      <c r="F3909" s="13" t="s">
        <v>29</v>
      </c>
      <c r="G3909">
        <v>1</v>
      </c>
      <c r="H3909" t="s">
        <v>30</v>
      </c>
      <c r="I3909">
        <v>1</v>
      </c>
      <c r="J3909" s="15"/>
      <c r="K3909" s="16">
        <f>IF($E$1&gt;=$Q$1%,1191.05-(1191.05*$Q$1%),1191.05-(1191.05*$E$1))</f>
        <v>1191.05</v>
      </c>
      <c r="L3909" s="16">
        <f>IF($E$1&gt;=$Q$1%,976.27-(976.27*$Q$1%),976.27-(976.27*$E$1))</f>
        <v>976.27</v>
      </c>
      <c r="M3909" s="1">
        <v>1191.05</v>
      </c>
      <c r="N3909" s="1">
        <v>976.27</v>
      </c>
      <c r="O3909" s="1">
        <v>1191.05</v>
      </c>
      <c r="P3909" s="1">
        <v>976.27</v>
      </c>
      <c r="Q3909">
        <v>0.64</v>
      </c>
      <c r="R3909">
        <v>2.545E-3</v>
      </c>
    </row>
    <row r="3910" spans="1:18" ht="13.8" outlineLevel="2" x14ac:dyDescent="0.25">
      <c r="A3910">
        <v>87106</v>
      </c>
      <c r="B3910" t="s">
        <v>5285</v>
      </c>
      <c r="C3910" t="s">
        <v>5286</v>
      </c>
      <c r="D3910" s="14" t="s">
        <v>5287</v>
      </c>
      <c r="E3910" s="12" t="s">
        <v>28</v>
      </c>
      <c r="F3910" s="13" t="s">
        <v>29</v>
      </c>
      <c r="G3910">
        <v>1</v>
      </c>
      <c r="H3910" t="s">
        <v>30</v>
      </c>
      <c r="I3910">
        <v>1</v>
      </c>
      <c r="J3910" s="15"/>
      <c r="K3910" s="16">
        <f>IF($E$1&gt;=$Q$1%,1240.45-(1240.45*$Q$1%),1240.45-(1240.45*$E$1))</f>
        <v>1240.45</v>
      </c>
      <c r="L3910" s="16">
        <f>IF($E$1&gt;=$Q$1%,1016.76-(1016.76*$Q$1%),1016.76-(1016.76*$E$1))</f>
        <v>1016.76</v>
      </c>
      <c r="M3910" s="1">
        <v>1240.45</v>
      </c>
      <c r="N3910" s="1">
        <v>1016.76</v>
      </c>
      <c r="O3910" s="1">
        <v>1240.45</v>
      </c>
      <c r="P3910" s="1">
        <v>1016.76</v>
      </c>
      <c r="Q3910">
        <v>0.65200000000000002</v>
      </c>
      <c r="R3910">
        <v>1.7669999999999999E-3</v>
      </c>
    </row>
    <row r="3911" spans="1:18" ht="13.8" outlineLevel="2" x14ac:dyDescent="0.25">
      <c r="A3911">
        <v>92359</v>
      </c>
      <c r="B3911" t="s">
        <v>5288</v>
      </c>
      <c r="C3911" t="s">
        <v>5289</v>
      </c>
      <c r="D3911" s="14" t="s">
        <v>5290</v>
      </c>
      <c r="E3911" s="12" t="s">
        <v>28</v>
      </c>
      <c r="F3911" s="13" t="s">
        <v>29</v>
      </c>
      <c r="G3911">
        <v>1</v>
      </c>
      <c r="H3911" t="s">
        <v>30</v>
      </c>
      <c r="I3911">
        <v>1</v>
      </c>
      <c r="J3911" s="15"/>
      <c r="K3911" s="16">
        <f>IF($E$1&gt;=$Q$1%,254.03-(254.03*$Q$1%),254.03-(254.03*$E$1))</f>
        <v>254.03</v>
      </c>
      <c r="L3911" s="16">
        <f>IF($E$1&gt;=$Q$1%,208.22-(208.22*$Q$1%),208.22-(208.22*$E$1))</f>
        <v>208.22</v>
      </c>
      <c r="M3911" s="1">
        <v>254.03</v>
      </c>
      <c r="N3911" s="1">
        <v>208.22</v>
      </c>
      <c r="O3911" s="1">
        <v>254.03</v>
      </c>
      <c r="P3911" s="1">
        <v>208.22</v>
      </c>
      <c r="Q3911">
        <v>0.11</v>
      </c>
      <c r="R3911">
        <v>9.4499999999999998E-4</v>
      </c>
    </row>
    <row r="3912" spans="1:18" ht="13.8" outlineLevel="2" x14ac:dyDescent="0.25">
      <c r="A3912">
        <v>92360</v>
      </c>
      <c r="B3912" t="s">
        <v>5288</v>
      </c>
      <c r="C3912" t="s">
        <v>5291</v>
      </c>
      <c r="D3912" s="14" t="s">
        <v>5292</v>
      </c>
      <c r="E3912" s="12" t="s">
        <v>28</v>
      </c>
      <c r="F3912" s="13" t="s">
        <v>29</v>
      </c>
      <c r="G3912">
        <v>1</v>
      </c>
      <c r="H3912" t="s">
        <v>30</v>
      </c>
      <c r="I3912">
        <v>1</v>
      </c>
      <c r="J3912" s="15"/>
      <c r="K3912" s="16">
        <f>IF($E$1&gt;=$Q$1%,808.77-(808.77*$Q$1%),808.77-(808.77*$E$1))</f>
        <v>808.77</v>
      </c>
      <c r="L3912" s="16">
        <f>IF($E$1&gt;=$Q$1%,662.93-(662.93*$Q$1%),662.93-(662.93*$E$1))</f>
        <v>662.93</v>
      </c>
      <c r="M3912" s="1">
        <v>808.77</v>
      </c>
      <c r="N3912" s="1">
        <v>662.93</v>
      </c>
      <c r="O3912" s="1">
        <v>808.77</v>
      </c>
      <c r="P3912" s="1">
        <v>662.93</v>
      </c>
      <c r="Q3912">
        <v>0.48</v>
      </c>
      <c r="R3912">
        <v>2.7729999999999999E-3</v>
      </c>
    </row>
    <row r="3913" spans="1:18" ht="13.8" outlineLevel="2" x14ac:dyDescent="0.25">
      <c r="A3913">
        <v>87105</v>
      </c>
      <c r="B3913" t="s">
        <v>5285</v>
      </c>
      <c r="C3913" t="s">
        <v>5293</v>
      </c>
      <c r="D3913" s="14" t="s">
        <v>5294</v>
      </c>
      <c r="E3913" s="12" t="s">
        <v>28</v>
      </c>
      <c r="F3913" s="13" t="s">
        <v>29</v>
      </c>
      <c r="G3913">
        <v>1</v>
      </c>
      <c r="H3913" t="s">
        <v>30</v>
      </c>
      <c r="I3913">
        <v>1</v>
      </c>
      <c r="J3913" s="15"/>
      <c r="K3913" s="16">
        <f>IF($E$1&gt;=$Q$1%,418.59-(418.59*$Q$1%),418.59-(418.59*$E$1))</f>
        <v>418.59</v>
      </c>
      <c r="L3913" s="16">
        <f>IF($E$1&gt;=$Q$1%,343.11-(343.11*$Q$1%),343.11-(343.11*$E$1))</f>
        <v>343.11</v>
      </c>
      <c r="M3913" s="1">
        <v>418.59</v>
      </c>
      <c r="N3913" s="1">
        <v>343.11</v>
      </c>
      <c r="O3913" s="1">
        <v>418.59</v>
      </c>
      <c r="P3913" s="1">
        <v>343.11</v>
      </c>
      <c r="Q3913">
        <v>0.33600000000000002</v>
      </c>
      <c r="R3913">
        <v>2.0400000000000001E-3</v>
      </c>
    </row>
    <row r="3914" spans="1:18" ht="13.8" outlineLevel="2" x14ac:dyDescent="0.25">
      <c r="A3914">
        <v>78622</v>
      </c>
      <c r="B3914" t="s">
        <v>5285</v>
      </c>
      <c r="C3914" t="s">
        <v>5295</v>
      </c>
      <c r="D3914" s="14" t="s">
        <v>5296</v>
      </c>
      <c r="E3914" s="12" t="s">
        <v>28</v>
      </c>
      <c r="F3914" s="13" t="s">
        <v>29</v>
      </c>
      <c r="G3914">
        <v>1</v>
      </c>
      <c r="H3914" t="s">
        <v>30</v>
      </c>
      <c r="I3914">
        <v>1</v>
      </c>
      <c r="J3914" s="15"/>
      <c r="K3914" s="16">
        <f>IF($E$1&gt;=$Q$1%,949.87-(949.87*$Q$1%),949.87-(949.87*$E$1))</f>
        <v>949.87</v>
      </c>
      <c r="L3914" s="16">
        <f>IF($E$1&gt;=$Q$1%,778.58-(778.58*$Q$1%),778.58-(778.58*$E$1))</f>
        <v>778.58</v>
      </c>
      <c r="M3914" s="1">
        <v>949.87</v>
      </c>
      <c r="N3914" s="1">
        <v>778.58</v>
      </c>
      <c r="O3914" s="1">
        <v>949.87</v>
      </c>
      <c r="P3914" s="1">
        <v>778.58</v>
      </c>
      <c r="Q3914">
        <v>0.53</v>
      </c>
      <c r="R3914">
        <v>2.64E-3</v>
      </c>
    </row>
    <row r="3915" spans="1:18" ht="13.8" outlineLevel="2" x14ac:dyDescent="0.25">
      <c r="A3915">
        <v>78623</v>
      </c>
      <c r="B3915" t="s">
        <v>5280</v>
      </c>
      <c r="C3915" t="s">
        <v>5297</v>
      </c>
      <c r="D3915" s="14" t="s">
        <v>5298</v>
      </c>
      <c r="E3915" s="12" t="s">
        <v>28</v>
      </c>
      <c r="F3915" s="13" t="s">
        <v>29</v>
      </c>
      <c r="G3915">
        <v>1</v>
      </c>
      <c r="H3915" t="s">
        <v>30</v>
      </c>
      <c r="I3915">
        <v>1</v>
      </c>
      <c r="J3915" s="15"/>
      <c r="K3915" s="16">
        <f>IF($E$1&gt;=$Q$1%,794.46-(794.46*$Q$1%),794.46-(794.46*$E$1))</f>
        <v>794.46</v>
      </c>
      <c r="L3915" s="16">
        <f>IF($E$1&gt;=$Q$1%,651.2-(651.2*$Q$1%),651.2-(651.2*$E$1))</f>
        <v>651.20000000000005</v>
      </c>
      <c r="M3915" s="1">
        <v>794.46</v>
      </c>
      <c r="N3915" s="1">
        <v>651.20000000000005</v>
      </c>
      <c r="O3915" s="1">
        <v>794.46</v>
      </c>
      <c r="P3915" s="1">
        <v>651.20000000000005</v>
      </c>
      <c r="Q3915">
        <v>0.28999999999999998</v>
      </c>
      <c r="R3915">
        <v>1.7700000000000001E-3</v>
      </c>
    </row>
    <row r="3916" spans="1:18" ht="13.8" outlineLevel="2" x14ac:dyDescent="0.25">
      <c r="A3916">
        <v>78708</v>
      </c>
      <c r="B3916" t="s">
        <v>5299</v>
      </c>
      <c r="C3916" t="s">
        <v>5300</v>
      </c>
      <c r="D3916" s="14" t="s">
        <v>5301</v>
      </c>
      <c r="E3916" s="12" t="s">
        <v>28</v>
      </c>
      <c r="F3916" s="13" t="s">
        <v>29</v>
      </c>
      <c r="G3916">
        <v>1</v>
      </c>
      <c r="H3916" t="s">
        <v>30</v>
      </c>
      <c r="I3916">
        <v>1</v>
      </c>
      <c r="J3916" s="15"/>
      <c r="K3916" s="16">
        <f>IF($E$1&gt;=$Q$1%,512.89-(512.89*$Q$1%),512.89-(512.89*$E$1))</f>
        <v>512.89</v>
      </c>
      <c r="L3916" s="16">
        <f>IF($E$1&gt;=$Q$1%,420.4-(420.4*$Q$1%),420.4-(420.4*$E$1))</f>
        <v>420.4</v>
      </c>
      <c r="M3916" s="1">
        <v>512.89</v>
      </c>
      <c r="N3916" s="1">
        <v>420.4</v>
      </c>
      <c r="O3916" s="1">
        <v>512.89</v>
      </c>
      <c r="P3916" s="1">
        <v>420.4</v>
      </c>
      <c r="Q3916">
        <v>0.28999999999999998</v>
      </c>
      <c r="R3916">
        <v>6.3000000000000003E-4</v>
      </c>
    </row>
    <row r="3917" spans="1:18" ht="13.8" outlineLevel="2" x14ac:dyDescent="0.25">
      <c r="A3917">
        <v>103023</v>
      </c>
      <c r="B3917" t="s">
        <v>5288</v>
      </c>
      <c r="C3917" t="s">
        <v>5302</v>
      </c>
      <c r="D3917" s="14" t="s">
        <v>5303</v>
      </c>
      <c r="E3917" s="12" t="s">
        <v>28</v>
      </c>
      <c r="F3917" s="13" t="s">
        <v>29</v>
      </c>
      <c r="G3917">
        <v>1</v>
      </c>
      <c r="H3917" t="s">
        <v>30</v>
      </c>
      <c r="I3917">
        <v>1</v>
      </c>
      <c r="J3917" s="15"/>
      <c r="K3917" s="16">
        <f>IF($E$1&gt;=$Q$1%,2415.91-(2415.91*$Q$1%),2415.91-(2415.91*$E$1))</f>
        <v>2415.91</v>
      </c>
      <c r="L3917" s="16">
        <f>IF($E$1&gt;=$Q$1%,1980.25-(1980.25*$Q$1%),1980.25-(1980.25*$E$1))</f>
        <v>1980.25</v>
      </c>
      <c r="M3917" s="1">
        <v>2415.91</v>
      </c>
      <c r="N3917" s="1">
        <v>1980.25</v>
      </c>
      <c r="O3917" s="1">
        <v>2415.91</v>
      </c>
      <c r="P3917" s="1">
        <v>1980.25</v>
      </c>
      <c r="Q3917">
        <v>1.21</v>
      </c>
      <c r="R3917">
        <v>5.3660000000000001E-3</v>
      </c>
    </row>
    <row r="3918" spans="1:18" ht="13.8" outlineLevel="2" x14ac:dyDescent="0.25">
      <c r="A3918">
        <v>78697</v>
      </c>
      <c r="B3918" t="s">
        <v>5304</v>
      </c>
      <c r="C3918" t="s">
        <v>5305</v>
      </c>
      <c r="D3918" s="14" t="s">
        <v>5306</v>
      </c>
      <c r="E3918" s="12" t="s">
        <v>28</v>
      </c>
      <c r="F3918" s="13" t="s">
        <v>29</v>
      </c>
      <c r="G3918">
        <v>1</v>
      </c>
      <c r="H3918" t="s">
        <v>30</v>
      </c>
      <c r="I3918">
        <v>1</v>
      </c>
      <c r="J3918" s="15"/>
      <c r="K3918" s="16">
        <f>IF($E$1&gt;=$Q$1%,126.55-(126.55*$Q$1%),126.55-(126.55*$E$1))</f>
        <v>126.55</v>
      </c>
      <c r="L3918" s="16">
        <f>IF($E$1&gt;=$Q$1%,103.73-(103.73*$Q$1%),103.73-(103.73*$E$1))</f>
        <v>103.73</v>
      </c>
      <c r="M3918" s="1">
        <v>126.55</v>
      </c>
      <c r="N3918" s="1">
        <v>103.73</v>
      </c>
      <c r="O3918" s="1">
        <v>126.55</v>
      </c>
      <c r="P3918" s="1">
        <v>103.73</v>
      </c>
      <c r="Q3918">
        <v>3.7999999999999999E-2</v>
      </c>
      <c r="R3918">
        <v>2.8899999999999998E-4</v>
      </c>
    </row>
    <row r="3919" spans="1:18" ht="13.8" outlineLevel="2" x14ac:dyDescent="0.25">
      <c r="A3919">
        <v>78698</v>
      </c>
      <c r="B3919" t="s">
        <v>5304</v>
      </c>
      <c r="C3919" t="s">
        <v>5307</v>
      </c>
      <c r="D3919" s="14" t="s">
        <v>5308</v>
      </c>
      <c r="E3919" s="12" t="s">
        <v>28</v>
      </c>
      <c r="F3919" s="13" t="s">
        <v>29</v>
      </c>
      <c r="G3919">
        <v>1</v>
      </c>
      <c r="H3919" t="s">
        <v>30</v>
      </c>
      <c r="I3919">
        <v>1</v>
      </c>
      <c r="J3919" s="15"/>
      <c r="K3919" s="16">
        <f>IF($E$1&gt;=$Q$1%,443.99-(443.99*$Q$1%),443.99-(443.99*$E$1))</f>
        <v>443.99</v>
      </c>
      <c r="L3919" s="16">
        <f>IF($E$1&gt;=$Q$1%,363.93-(363.93*$Q$1%),363.93-(363.93*$E$1))</f>
        <v>363.93</v>
      </c>
      <c r="M3919" s="1">
        <v>443.99</v>
      </c>
      <c r="N3919" s="1">
        <v>363.93</v>
      </c>
      <c r="O3919" s="1">
        <v>443.99</v>
      </c>
      <c r="P3919" s="1">
        <v>363.93</v>
      </c>
      <c r="Q3919">
        <v>0.12</v>
      </c>
      <c r="R3919">
        <v>8.5999999999999998E-4</v>
      </c>
    </row>
    <row r="3920" spans="1:18" ht="13.8" outlineLevel="2" x14ac:dyDescent="0.25">
      <c r="A3920">
        <v>78699</v>
      </c>
      <c r="B3920" t="s">
        <v>5304</v>
      </c>
      <c r="C3920" t="s">
        <v>5309</v>
      </c>
      <c r="D3920" s="14" t="s">
        <v>5310</v>
      </c>
      <c r="E3920" s="12" t="s">
        <v>28</v>
      </c>
      <c r="F3920" s="13" t="s">
        <v>29</v>
      </c>
      <c r="G3920">
        <v>1</v>
      </c>
      <c r="H3920" t="s">
        <v>30</v>
      </c>
      <c r="I3920">
        <v>1</v>
      </c>
      <c r="J3920" s="15"/>
      <c r="K3920" s="16">
        <f>IF($E$1&gt;=$Q$1%,977.5-(977.5*$Q$1%),977.5-(977.5*$E$1))</f>
        <v>977.5</v>
      </c>
      <c r="L3920" s="16">
        <f>IF($E$1&gt;=$Q$1%,801.23-(801.23*$Q$1%),801.23-(801.23*$E$1))</f>
        <v>801.23</v>
      </c>
      <c r="M3920" s="1">
        <v>977.5</v>
      </c>
      <c r="N3920" s="1">
        <v>801.23</v>
      </c>
      <c r="O3920" s="1">
        <v>977.5</v>
      </c>
      <c r="P3920" s="1">
        <v>801.23</v>
      </c>
      <c r="Q3920">
        <v>0.46</v>
      </c>
      <c r="R3920">
        <v>5.7799999999999995E-4</v>
      </c>
    </row>
    <row r="3921" spans="1:18" ht="13.8" outlineLevel="2" x14ac:dyDescent="0.25">
      <c r="A3921">
        <v>79772</v>
      </c>
      <c r="B3921" t="s">
        <v>5304</v>
      </c>
      <c r="C3921" t="s">
        <v>5311</v>
      </c>
      <c r="D3921" s="14" t="s">
        <v>5312</v>
      </c>
      <c r="E3921" s="12" t="s">
        <v>28</v>
      </c>
      <c r="F3921" s="13" t="s">
        <v>29</v>
      </c>
      <c r="G3921">
        <v>1</v>
      </c>
      <c r="H3921" t="s">
        <v>30</v>
      </c>
      <c r="I3921">
        <v>1</v>
      </c>
      <c r="J3921" s="15"/>
      <c r="K3921" s="16">
        <f>IF($E$1&gt;=$Q$1%,731.55-(731.55*$Q$1%),731.55-(731.55*$E$1))</f>
        <v>731.55</v>
      </c>
      <c r="L3921" s="16">
        <f>IF($E$1&gt;=$Q$1%,599.63-(599.63*$Q$1%),599.63-(599.63*$E$1))</f>
        <v>599.63</v>
      </c>
      <c r="M3921" s="1">
        <v>731.55</v>
      </c>
      <c r="N3921" s="1">
        <v>599.63</v>
      </c>
      <c r="O3921" s="1">
        <v>731.55</v>
      </c>
      <c r="P3921" s="1">
        <v>599.63</v>
      </c>
      <c r="Q3921">
        <v>0.5</v>
      </c>
      <c r="R3921">
        <v>1.4519999999999999E-3</v>
      </c>
    </row>
    <row r="3922" spans="1:18" ht="13.8" outlineLevel="2" x14ac:dyDescent="0.25">
      <c r="A3922">
        <v>78709</v>
      </c>
      <c r="B3922" t="s">
        <v>5304</v>
      </c>
      <c r="C3922" t="s">
        <v>5313</v>
      </c>
      <c r="D3922" s="14" t="s">
        <v>5314</v>
      </c>
      <c r="E3922" s="12" t="s">
        <v>28</v>
      </c>
      <c r="F3922" s="13" t="s">
        <v>29</v>
      </c>
      <c r="G3922">
        <v>1</v>
      </c>
      <c r="H3922" t="s">
        <v>30</v>
      </c>
      <c r="I3922">
        <v>1</v>
      </c>
      <c r="J3922" s="15"/>
      <c r="K3922" s="16">
        <f>IF($E$1&gt;=$Q$1%,975.57-(975.57*$Q$1%),975.57-(975.57*$E$1))</f>
        <v>975.57</v>
      </c>
      <c r="L3922" s="16">
        <f>IF($E$1&gt;=$Q$1%,799.65-(799.65*$Q$1%),799.65-(799.65*$E$1))</f>
        <v>799.65</v>
      </c>
      <c r="M3922" s="1">
        <v>975.57</v>
      </c>
      <c r="N3922" s="1">
        <v>799.65</v>
      </c>
      <c r="O3922" s="1">
        <v>975.57</v>
      </c>
      <c r="P3922" s="1">
        <v>799.65</v>
      </c>
      <c r="Q3922">
        <v>0.53</v>
      </c>
      <c r="R3922">
        <v>7.0399999999999998E-4</v>
      </c>
    </row>
    <row r="3923" spans="1:18" ht="13.8" outlineLevel="2" x14ac:dyDescent="0.25">
      <c r="A3923">
        <v>79774</v>
      </c>
      <c r="B3923" t="s">
        <v>5315</v>
      </c>
      <c r="C3923" t="s">
        <v>5316</v>
      </c>
      <c r="D3923" s="14" t="s">
        <v>5317</v>
      </c>
      <c r="E3923" s="12" t="s">
        <v>28</v>
      </c>
      <c r="F3923" s="13" t="s">
        <v>29</v>
      </c>
      <c r="G3923">
        <v>1</v>
      </c>
      <c r="H3923" t="s">
        <v>30</v>
      </c>
      <c r="I3923">
        <v>1</v>
      </c>
      <c r="J3923" s="15"/>
      <c r="K3923" s="16">
        <f>IF($E$1&gt;=$Q$1%,2734.5-(2734.5*$Q$1%),2734.5-(2734.5*$E$1))</f>
        <v>2734.5</v>
      </c>
      <c r="L3923" s="16">
        <f>IF($E$1&gt;=$Q$1%,2241.39-(2241.39*$Q$1%),2241.39-(2241.39*$E$1))</f>
        <v>2241.39</v>
      </c>
      <c r="M3923" s="1">
        <v>2734.5</v>
      </c>
      <c r="N3923" s="1">
        <v>2241.39</v>
      </c>
      <c r="O3923" s="1">
        <v>2734.5</v>
      </c>
      <c r="P3923" s="1">
        <v>2241.39</v>
      </c>
      <c r="Q3923">
        <v>1.6</v>
      </c>
      <c r="R3923">
        <v>3.9199999999999999E-3</v>
      </c>
    </row>
    <row r="3924" spans="1:18" ht="13.8" outlineLevel="2" x14ac:dyDescent="0.25">
      <c r="A3924">
        <v>79775</v>
      </c>
      <c r="B3924" t="s">
        <v>5315</v>
      </c>
      <c r="C3924" t="s">
        <v>5318</v>
      </c>
      <c r="D3924" s="14" t="s">
        <v>5319</v>
      </c>
      <c r="E3924" s="12" t="s">
        <v>28</v>
      </c>
      <c r="F3924" s="13" t="s">
        <v>29</v>
      </c>
      <c r="G3924">
        <v>1</v>
      </c>
      <c r="H3924" t="s">
        <v>30</v>
      </c>
      <c r="I3924">
        <v>1</v>
      </c>
      <c r="J3924" s="15"/>
      <c r="K3924" s="16">
        <f>IF($E$1&gt;=$Q$1%,2264.82-(2264.82*$Q$1%),2264.82-(2264.82*$E$1))</f>
        <v>2264.8200000000002</v>
      </c>
      <c r="L3924" s="16">
        <f>IF($E$1&gt;=$Q$1%,1856.41-(1856.41*$Q$1%),1856.41-(1856.41*$E$1))</f>
        <v>1856.41</v>
      </c>
      <c r="M3924" s="1">
        <v>2264.8200000000002</v>
      </c>
      <c r="N3924" s="1">
        <v>1856.41</v>
      </c>
      <c r="O3924" s="1">
        <v>2264.8200000000002</v>
      </c>
      <c r="P3924" s="1">
        <v>1856.41</v>
      </c>
      <c r="Q3924">
        <v>1</v>
      </c>
      <c r="R3924">
        <v>1.56E-3</v>
      </c>
    </row>
    <row r="3925" spans="1:18" ht="16.5" customHeight="1" outlineLevel="1" x14ac:dyDescent="0.35">
      <c r="A3925" s="9"/>
      <c r="B3925" s="10" t="s">
        <v>5320</v>
      </c>
      <c r="C3925" s="10"/>
      <c r="D3925" s="10"/>
      <c r="E3925" s="10"/>
      <c r="F3925" s="10"/>
      <c r="G3925" s="10"/>
      <c r="H3925" s="10"/>
      <c r="I3925" s="10"/>
      <c r="J3925" s="10"/>
      <c r="K3925" s="10"/>
      <c r="L3925" s="10"/>
      <c r="M3925" s="10"/>
      <c r="N3925" s="10"/>
      <c r="O3925" s="10"/>
      <c r="P3925" s="10"/>
      <c r="Q3925" s="10"/>
      <c r="R3925" s="11"/>
    </row>
    <row r="3926" spans="1:18" ht="13.8" outlineLevel="2" x14ac:dyDescent="0.25">
      <c r="A3926">
        <v>110476</v>
      </c>
      <c r="C3926" t="s">
        <v>5321</v>
      </c>
      <c r="D3926" s="14" t="s">
        <v>5322</v>
      </c>
      <c r="E3926" s="12" t="s">
        <v>28</v>
      </c>
      <c r="F3926" s="18" t="s">
        <v>1467</v>
      </c>
      <c r="G3926">
        <v>1</v>
      </c>
      <c r="H3926" t="s">
        <v>30</v>
      </c>
      <c r="I3926">
        <v>1</v>
      </c>
      <c r="J3926" s="15"/>
      <c r="K3926" s="16">
        <f>IF($E$1&gt;=$Q$1%,770.04-(770.04*$Q$1%),770.04-(770.04*$E$1))</f>
        <v>770.04</v>
      </c>
      <c r="L3926" s="16">
        <f>IF($E$1&gt;=$Q$1%,631.18-(631.18*$Q$1%),631.18-(631.18*$E$1))</f>
        <v>631.17999999999995</v>
      </c>
      <c r="M3926" s="1">
        <v>770.04</v>
      </c>
      <c r="N3926" s="1">
        <v>631.17999999999995</v>
      </c>
      <c r="O3926" s="1">
        <v>770.04</v>
      </c>
      <c r="P3926" s="1">
        <v>631.17999999999995</v>
      </c>
      <c r="Q3926">
        <v>0.12</v>
      </c>
      <c r="R3926">
        <v>3.3300000000000002E-4</v>
      </c>
    </row>
    <row r="3927" spans="1:18" ht="13.8" outlineLevel="2" x14ac:dyDescent="0.25">
      <c r="A3927">
        <v>110477</v>
      </c>
      <c r="C3927" t="s">
        <v>5323</v>
      </c>
      <c r="D3927" s="14" t="s">
        <v>5324</v>
      </c>
      <c r="E3927" s="12" t="s">
        <v>28</v>
      </c>
      <c r="F3927" s="18" t="s">
        <v>1467</v>
      </c>
      <c r="G3927">
        <v>1</v>
      </c>
      <c r="H3927" t="s">
        <v>30</v>
      </c>
      <c r="I3927">
        <v>1</v>
      </c>
      <c r="J3927" s="15"/>
      <c r="K3927" s="16">
        <f>IF($E$1&gt;=$Q$1%,826.18-(826.18*$Q$1%),826.18-(826.18*$E$1))</f>
        <v>826.18</v>
      </c>
      <c r="L3927" s="16">
        <f>IF($E$1&gt;=$Q$1%,677.2-(677.2*$Q$1%),677.2-(677.2*$E$1))</f>
        <v>677.2</v>
      </c>
      <c r="M3927" s="1">
        <v>826.18</v>
      </c>
      <c r="N3927" s="1">
        <v>677.2</v>
      </c>
      <c r="O3927" s="1">
        <v>826.18</v>
      </c>
      <c r="P3927" s="1">
        <v>677.2</v>
      </c>
      <c r="Q3927">
        <v>0.16</v>
      </c>
      <c r="R3927">
        <v>3.59E-4</v>
      </c>
    </row>
    <row r="3928" spans="1:18" ht="13.8" outlineLevel="2" x14ac:dyDescent="0.25">
      <c r="A3928">
        <v>81767</v>
      </c>
      <c r="C3928" t="s">
        <v>5325</v>
      </c>
      <c r="D3928" s="14" t="s">
        <v>5326</v>
      </c>
      <c r="E3928" s="12" t="s">
        <v>28</v>
      </c>
      <c r="F3928" s="13" t="s">
        <v>29</v>
      </c>
      <c r="G3928">
        <v>1</v>
      </c>
      <c r="H3928" t="s">
        <v>30</v>
      </c>
      <c r="I3928">
        <v>1</v>
      </c>
      <c r="J3928" s="15"/>
      <c r="K3928" s="16">
        <f>IF($E$1&gt;=$Q$1%,909.35-(909.35*$Q$1%),909.35-(909.35*$E$1))</f>
        <v>909.35</v>
      </c>
      <c r="L3928" s="16">
        <f>IF($E$1&gt;=$Q$1%,745.37-(745.37*$Q$1%),745.37-(745.37*$E$1))</f>
        <v>745.37</v>
      </c>
      <c r="M3928" s="1">
        <v>909.35</v>
      </c>
      <c r="N3928" s="1">
        <v>745.37</v>
      </c>
      <c r="O3928" s="1">
        <v>909.35</v>
      </c>
      <c r="P3928" s="1">
        <v>745.37</v>
      </c>
      <c r="Q3928">
        <v>0.23</v>
      </c>
      <c r="R3928">
        <v>3.2200000000000002E-4</v>
      </c>
    </row>
    <row r="3929" spans="1:18" ht="13.8" outlineLevel="2" x14ac:dyDescent="0.25">
      <c r="A3929">
        <v>81768</v>
      </c>
      <c r="C3929" t="s">
        <v>5327</v>
      </c>
      <c r="D3929" s="14" t="s">
        <v>5328</v>
      </c>
      <c r="E3929" s="12" t="s">
        <v>28</v>
      </c>
      <c r="F3929" s="13" t="s">
        <v>29</v>
      </c>
      <c r="G3929">
        <v>1</v>
      </c>
      <c r="H3929" t="s">
        <v>30</v>
      </c>
      <c r="I3929">
        <v>1</v>
      </c>
      <c r="J3929" s="15"/>
      <c r="K3929" s="16">
        <f>IF($E$1&gt;=$Q$1%,1055-(1055*$Q$1%),1055-(1055*$E$1))</f>
        <v>1055</v>
      </c>
      <c r="L3929" s="16">
        <f>IF($E$1&gt;=$Q$1%,864.75-(864.75*$Q$1%),864.75-(864.75*$E$1))</f>
        <v>864.75</v>
      </c>
      <c r="M3929" s="1">
        <v>1055</v>
      </c>
      <c r="N3929" s="1">
        <v>864.75</v>
      </c>
      <c r="O3929" s="1">
        <v>1055</v>
      </c>
      <c r="P3929" s="1">
        <v>864.75</v>
      </c>
      <c r="Q3929">
        <v>0.4</v>
      </c>
      <c r="R3929">
        <v>5.3399999999999997E-4</v>
      </c>
    </row>
    <row r="3930" spans="1:18" ht="13.8" outlineLevel="2" x14ac:dyDescent="0.25">
      <c r="A3930">
        <v>81769</v>
      </c>
      <c r="C3930" t="s">
        <v>5329</v>
      </c>
      <c r="D3930" s="14" t="s">
        <v>5330</v>
      </c>
      <c r="E3930" s="12" t="s">
        <v>28</v>
      </c>
      <c r="F3930" s="13" t="s">
        <v>29</v>
      </c>
      <c r="G3930">
        <v>1</v>
      </c>
      <c r="H3930" t="s">
        <v>30</v>
      </c>
      <c r="I3930">
        <v>1</v>
      </c>
      <c r="J3930" s="15"/>
      <c r="K3930" s="16">
        <f>IF($E$1&gt;=$Q$1%,1440.78-(1440.78*$Q$1%),1440.78-(1440.78*$E$1))</f>
        <v>1440.78</v>
      </c>
      <c r="L3930" s="16">
        <f>IF($E$1&gt;=$Q$1%,1180.97-(1180.97*$Q$1%),1180.97-(1180.97*$E$1))</f>
        <v>1180.97</v>
      </c>
      <c r="M3930" s="1">
        <v>1440.78</v>
      </c>
      <c r="N3930" s="1">
        <v>1180.97</v>
      </c>
      <c r="O3930" s="1">
        <v>1440.78</v>
      </c>
      <c r="P3930" s="1">
        <v>1180.97</v>
      </c>
      <c r="Q3930">
        <v>0.69</v>
      </c>
      <c r="R3930">
        <v>5.7799999999999995E-4</v>
      </c>
    </row>
    <row r="3931" spans="1:18" ht="13.8" outlineLevel="2" x14ac:dyDescent="0.25">
      <c r="A3931">
        <v>85282</v>
      </c>
      <c r="C3931" t="s">
        <v>5331</v>
      </c>
      <c r="D3931" s="14" t="s">
        <v>5332</v>
      </c>
      <c r="E3931" s="12" t="s">
        <v>28</v>
      </c>
      <c r="F3931" s="13" t="s">
        <v>29</v>
      </c>
      <c r="G3931">
        <v>1</v>
      </c>
      <c r="H3931" t="s">
        <v>30</v>
      </c>
      <c r="I3931">
        <v>1</v>
      </c>
      <c r="J3931" s="15"/>
      <c r="K3931" s="16">
        <f>IF($E$1&gt;=$Q$1%,669.57-(669.57*$Q$1%),669.57-(669.57*$E$1))</f>
        <v>669.57</v>
      </c>
      <c r="L3931" s="16">
        <f>IF($E$1&gt;=$Q$1%,548.83-(548.83*$Q$1%),548.83-(548.83*$E$1))</f>
        <v>548.83000000000004</v>
      </c>
      <c r="M3931" s="1">
        <v>669.57</v>
      </c>
      <c r="N3931" s="1">
        <v>548.83000000000004</v>
      </c>
      <c r="O3931" s="1">
        <v>669.57</v>
      </c>
      <c r="P3931" s="1">
        <v>548.83000000000004</v>
      </c>
      <c r="Q3931">
        <v>0.214</v>
      </c>
      <c r="R3931">
        <v>3.1500000000000001E-4</v>
      </c>
    </row>
    <row r="3932" spans="1:18" ht="13.8" outlineLevel="2" x14ac:dyDescent="0.25">
      <c r="A3932">
        <v>85283</v>
      </c>
      <c r="C3932" t="s">
        <v>5333</v>
      </c>
      <c r="D3932" s="14" t="s">
        <v>5334</v>
      </c>
      <c r="E3932" s="12" t="s">
        <v>28</v>
      </c>
      <c r="F3932" s="13" t="s">
        <v>29</v>
      </c>
      <c r="G3932">
        <v>1</v>
      </c>
      <c r="H3932" t="s">
        <v>30</v>
      </c>
      <c r="I3932">
        <v>1</v>
      </c>
      <c r="J3932" s="15"/>
      <c r="K3932" s="16">
        <f>IF($E$1&gt;=$Q$1%,814.64-(814.64*$Q$1%),814.64-(814.64*$E$1))</f>
        <v>814.64</v>
      </c>
      <c r="L3932" s="16">
        <f>IF($E$1&gt;=$Q$1%,667.74-(667.74*$Q$1%),667.74-(667.74*$E$1))</f>
        <v>667.74</v>
      </c>
      <c r="M3932" s="1">
        <v>814.64</v>
      </c>
      <c r="N3932" s="1">
        <v>667.74</v>
      </c>
      <c r="O3932" s="1">
        <v>814.64</v>
      </c>
      <c r="P3932" s="1">
        <v>667.74</v>
      </c>
      <c r="Q3932">
        <v>0.374</v>
      </c>
      <c r="R3932">
        <v>3.9199999999999999E-4</v>
      </c>
    </row>
    <row r="3933" spans="1:18" ht="13.8" outlineLevel="2" x14ac:dyDescent="0.25">
      <c r="A3933">
        <v>85284</v>
      </c>
      <c r="C3933" t="s">
        <v>5335</v>
      </c>
      <c r="D3933" s="14" t="s">
        <v>5336</v>
      </c>
      <c r="E3933" s="12" t="s">
        <v>28</v>
      </c>
      <c r="F3933" s="13" t="s">
        <v>29</v>
      </c>
      <c r="G3933">
        <v>1</v>
      </c>
      <c r="H3933" t="s">
        <v>30</v>
      </c>
      <c r="I3933">
        <v>1</v>
      </c>
      <c r="J3933" s="15"/>
      <c r="K3933" s="16">
        <f>IF($E$1&gt;=$Q$1%,1145.48-(1145.48*$Q$1%),1145.48-(1145.48*$E$1))</f>
        <v>1145.48</v>
      </c>
      <c r="L3933" s="16">
        <f>IF($E$1&gt;=$Q$1%,938.92-(938.92*$Q$1%),938.92-(938.92*$E$1))</f>
        <v>938.92</v>
      </c>
      <c r="M3933" s="1">
        <v>1145.48</v>
      </c>
      <c r="N3933" s="1">
        <v>938.92</v>
      </c>
      <c r="O3933" s="1">
        <v>1145.48</v>
      </c>
      <c r="P3933" s="1">
        <v>938.92</v>
      </c>
      <c r="Q3933">
        <v>0.61</v>
      </c>
      <c r="R3933">
        <v>4.8799999999999999E-4</v>
      </c>
    </row>
    <row r="3934" spans="1:18" ht="13.8" outlineLevel="2" x14ac:dyDescent="0.25">
      <c r="A3934">
        <v>92052</v>
      </c>
      <c r="C3934" t="s">
        <v>5337</v>
      </c>
      <c r="D3934" s="14" t="s">
        <v>5338</v>
      </c>
      <c r="E3934" s="12" t="s">
        <v>28</v>
      </c>
      <c r="F3934" s="13" t="s">
        <v>29</v>
      </c>
      <c r="G3934">
        <v>1</v>
      </c>
      <c r="H3934" t="s">
        <v>30</v>
      </c>
      <c r="I3934">
        <v>1</v>
      </c>
      <c r="J3934" s="15"/>
      <c r="K3934" s="16">
        <f>IF($E$1&gt;=$Q$1%,2552.55-(2552.55*$Q$1%),2552.55-(2552.55*$E$1))</f>
        <v>2552.5500000000002</v>
      </c>
      <c r="L3934" s="16">
        <f>IF($E$1&gt;=$Q$1%,2092.25-(2092.25*$Q$1%),2092.25-(2092.25*$E$1))</f>
        <v>2092.25</v>
      </c>
      <c r="M3934" s="1">
        <v>2552.5500000000002</v>
      </c>
      <c r="N3934" s="1">
        <v>2092.25</v>
      </c>
      <c r="O3934" s="1">
        <v>2552.5500000000002</v>
      </c>
      <c r="P3934" s="1">
        <v>2092.25</v>
      </c>
      <c r="Q3934">
        <v>1.22</v>
      </c>
      <c r="R3934">
        <v>6.96E-4</v>
      </c>
    </row>
    <row r="3935" spans="1:18" ht="13.8" outlineLevel="2" x14ac:dyDescent="0.25">
      <c r="A3935">
        <v>92053</v>
      </c>
      <c r="B3935" t="s">
        <v>5339</v>
      </c>
      <c r="C3935" t="s">
        <v>5340</v>
      </c>
      <c r="D3935" s="14" t="s">
        <v>5341</v>
      </c>
      <c r="E3935" s="12" t="s">
        <v>28</v>
      </c>
      <c r="F3935" s="13" t="s">
        <v>29</v>
      </c>
      <c r="G3935">
        <v>1</v>
      </c>
      <c r="H3935" t="s">
        <v>30</v>
      </c>
      <c r="I3935">
        <v>1</v>
      </c>
      <c r="J3935" s="15"/>
      <c r="K3935" s="16">
        <f>IF($E$1&gt;=$Q$1%,1624.27-(1624.27*$Q$1%),1624.27-(1624.27*$E$1))</f>
        <v>1624.27</v>
      </c>
      <c r="L3935" s="16">
        <f>IF($E$1&gt;=$Q$1%,1331.37-(1331.37*$Q$1%),1331.37-(1331.37*$E$1))</f>
        <v>1331.37</v>
      </c>
      <c r="M3935" s="1">
        <v>1624.27</v>
      </c>
      <c r="N3935" s="1">
        <v>1331.37</v>
      </c>
      <c r="O3935" s="1">
        <v>1624.27</v>
      </c>
      <c r="P3935" s="1">
        <v>1331.37</v>
      </c>
      <c r="Q3935">
        <v>0.61399999999999999</v>
      </c>
      <c r="R3935">
        <v>5.4000000000000001E-4</v>
      </c>
    </row>
    <row r="3936" spans="1:18" ht="13.8" outlineLevel="2" x14ac:dyDescent="0.25">
      <c r="A3936">
        <v>85285</v>
      </c>
      <c r="B3936" t="s">
        <v>5339</v>
      </c>
      <c r="C3936" t="s">
        <v>5342</v>
      </c>
      <c r="D3936" s="14" t="s">
        <v>5343</v>
      </c>
      <c r="E3936" s="12" t="s">
        <v>28</v>
      </c>
      <c r="F3936" s="13" t="s">
        <v>29</v>
      </c>
      <c r="G3936">
        <v>1</v>
      </c>
      <c r="H3936" t="s">
        <v>30</v>
      </c>
      <c r="I3936">
        <v>1</v>
      </c>
      <c r="J3936" s="15"/>
      <c r="K3936" s="16">
        <f>IF($E$1&gt;=$Q$1%,2805.93-(2805.93*$Q$1%),2805.93-(2805.93*$E$1))</f>
        <v>2805.93</v>
      </c>
      <c r="L3936" s="16">
        <f>IF($E$1&gt;=$Q$1%,2299.94-(2299.94*$Q$1%),2299.94-(2299.94*$E$1))</f>
        <v>2299.94</v>
      </c>
      <c r="M3936" s="1">
        <v>2805.93</v>
      </c>
      <c r="N3936" s="1">
        <v>2299.94</v>
      </c>
      <c r="O3936" s="1">
        <v>2805.93</v>
      </c>
      <c r="P3936" s="1">
        <v>2299.94</v>
      </c>
      <c r="Q3936">
        <v>1.242</v>
      </c>
      <c r="R3936">
        <v>1.5009999999999999E-3</v>
      </c>
    </row>
    <row r="3937" spans="1:18" ht="13.8" outlineLevel="2" x14ac:dyDescent="0.25">
      <c r="A3937">
        <v>105978</v>
      </c>
      <c r="B3937" t="s">
        <v>5339</v>
      </c>
      <c r="C3937" t="s">
        <v>5344</v>
      </c>
      <c r="D3937" s="14" t="s">
        <v>5345</v>
      </c>
      <c r="E3937" s="12" t="s">
        <v>28</v>
      </c>
      <c r="F3937" s="13" t="s">
        <v>29</v>
      </c>
      <c r="G3937">
        <v>1</v>
      </c>
      <c r="H3937" t="s">
        <v>30</v>
      </c>
      <c r="I3937">
        <v>1</v>
      </c>
      <c r="J3937" s="15"/>
      <c r="K3937" s="16">
        <f>IF($E$1&gt;=$Q$1%,3134.22-(3134.22*$Q$1%),3134.22-(3134.22*$E$1))</f>
        <v>3134.22</v>
      </c>
      <c r="L3937" s="16">
        <f>IF($E$1&gt;=$Q$1%,2569.03-(2569.03*$Q$1%),2569.03-(2569.03*$E$1))</f>
        <v>2569.0300000000002</v>
      </c>
      <c r="M3937" s="1">
        <v>3134.22</v>
      </c>
      <c r="N3937" s="1">
        <v>2569.0300000000002</v>
      </c>
      <c r="O3937" s="1">
        <v>3134.22</v>
      </c>
      <c r="P3937" s="1">
        <v>2569.0300000000002</v>
      </c>
      <c r="Q3937">
        <v>0.71</v>
      </c>
      <c r="R3937">
        <v>1.6999999999999999E-3</v>
      </c>
    </row>
    <row r="3938" spans="1:18" ht="13.8" outlineLevel="2" x14ac:dyDescent="0.25">
      <c r="A3938">
        <v>101543</v>
      </c>
      <c r="B3938" t="s">
        <v>5339</v>
      </c>
      <c r="C3938" t="s">
        <v>5346</v>
      </c>
      <c r="D3938" s="14" t="s">
        <v>5347</v>
      </c>
      <c r="E3938" s="12" t="s">
        <v>28</v>
      </c>
      <c r="F3938" s="13" t="s">
        <v>29</v>
      </c>
      <c r="G3938">
        <v>1</v>
      </c>
      <c r="H3938" t="s">
        <v>30</v>
      </c>
      <c r="I3938">
        <v>1</v>
      </c>
      <c r="J3938" s="15"/>
      <c r="K3938" s="16">
        <f>IF($E$1&gt;=$Q$1%,2106.42-(2106.42*$Q$1%),2106.42-(2106.42*$E$1))</f>
        <v>2106.42</v>
      </c>
      <c r="L3938" s="16">
        <f>IF($E$1&gt;=$Q$1%,1726.57-(1726.57*$Q$1%),1726.57-(1726.57*$E$1))</f>
        <v>1726.57</v>
      </c>
      <c r="M3938" s="1">
        <v>2106.42</v>
      </c>
      <c r="N3938" s="1">
        <v>1726.57</v>
      </c>
      <c r="O3938" s="1">
        <v>2106.42</v>
      </c>
      <c r="P3938" s="1">
        <v>1726.57</v>
      </c>
      <c r="Q3938">
        <v>0.67</v>
      </c>
      <c r="R3938">
        <v>1.08E-3</v>
      </c>
    </row>
    <row r="3939" spans="1:18" ht="13.8" outlineLevel="2" x14ac:dyDescent="0.25">
      <c r="A3939">
        <v>101544</v>
      </c>
      <c r="B3939" t="s">
        <v>5339</v>
      </c>
      <c r="C3939" t="s">
        <v>5348</v>
      </c>
      <c r="D3939" s="14" t="s">
        <v>5349</v>
      </c>
      <c r="E3939" s="12" t="s">
        <v>28</v>
      </c>
      <c r="F3939" s="13" t="s">
        <v>29</v>
      </c>
      <c r="G3939">
        <v>1</v>
      </c>
      <c r="H3939" t="s">
        <v>30</v>
      </c>
      <c r="I3939">
        <v>1</v>
      </c>
      <c r="J3939" s="15"/>
      <c r="K3939" s="16">
        <f>IF($E$1&gt;=$Q$1%,3561.64-(3561.64*$Q$1%),3561.64-(3561.64*$E$1))</f>
        <v>3561.64</v>
      </c>
      <c r="L3939" s="16">
        <f>IF($E$1&gt;=$Q$1%,2919.38-(2919.38*$Q$1%),2919.38-(2919.38*$E$1))</f>
        <v>2919.38</v>
      </c>
      <c r="M3939" s="1">
        <v>3561.64</v>
      </c>
      <c r="N3939" s="1">
        <v>2919.38</v>
      </c>
      <c r="O3939" s="1">
        <v>3561.64</v>
      </c>
      <c r="P3939" s="1">
        <v>2919.38</v>
      </c>
      <c r="Q3939">
        <v>1.37</v>
      </c>
      <c r="R3939">
        <v>1.2800000000000001E-3</v>
      </c>
    </row>
    <row r="3940" spans="1:18" ht="13.8" outlineLevel="2" x14ac:dyDescent="0.25">
      <c r="A3940">
        <v>92361</v>
      </c>
      <c r="C3940" t="s">
        <v>5350</v>
      </c>
      <c r="D3940" s="14" t="s">
        <v>5351</v>
      </c>
      <c r="E3940" s="12" t="s">
        <v>28</v>
      </c>
      <c r="F3940" s="13" t="s">
        <v>29</v>
      </c>
      <c r="G3940">
        <v>1</v>
      </c>
      <c r="H3940" t="s">
        <v>30</v>
      </c>
      <c r="I3940">
        <v>1</v>
      </c>
      <c r="J3940" s="15"/>
      <c r="K3940" s="16">
        <f>IF($E$1&gt;=$Q$1%,742.77-(742.77*$Q$1%),742.77-(742.77*$E$1))</f>
        <v>742.77</v>
      </c>
      <c r="L3940" s="16">
        <f>IF($E$1&gt;=$Q$1%,608.83-(608.83*$Q$1%),608.83-(608.83*$E$1))</f>
        <v>608.83000000000004</v>
      </c>
      <c r="M3940" s="1">
        <v>742.77</v>
      </c>
      <c r="N3940" s="1">
        <v>608.83000000000004</v>
      </c>
      <c r="O3940" s="1">
        <v>742.77</v>
      </c>
      <c r="P3940" s="1">
        <v>608.83000000000004</v>
      </c>
      <c r="Q3940">
        <v>0.21</v>
      </c>
      <c r="R3940">
        <v>3.0800000000000001E-4</v>
      </c>
    </row>
    <row r="3941" spans="1:18" ht="13.8" outlineLevel="2" x14ac:dyDescent="0.25">
      <c r="A3941">
        <v>92362</v>
      </c>
      <c r="C3941" t="s">
        <v>5352</v>
      </c>
      <c r="D3941" s="14" t="s">
        <v>5353</v>
      </c>
      <c r="E3941" s="12" t="s">
        <v>28</v>
      </c>
      <c r="F3941" s="13" t="s">
        <v>29</v>
      </c>
      <c r="G3941">
        <v>1</v>
      </c>
      <c r="H3941" t="s">
        <v>30</v>
      </c>
      <c r="I3941">
        <v>1</v>
      </c>
      <c r="J3941" s="15"/>
      <c r="K3941" s="16">
        <f>IF($E$1&gt;=$Q$1%,958.4-(958.4*$Q$1%),958.4-(958.4*$E$1))</f>
        <v>958.4</v>
      </c>
      <c r="L3941" s="16">
        <f>IF($E$1&gt;=$Q$1%,785.57-(785.57*$Q$1%),785.57-(785.57*$E$1))</f>
        <v>785.57</v>
      </c>
      <c r="M3941" s="1">
        <v>958.4</v>
      </c>
      <c r="N3941" s="1">
        <v>785.57</v>
      </c>
      <c r="O3941" s="1">
        <v>958.4</v>
      </c>
      <c r="P3941" s="1">
        <v>785.57</v>
      </c>
      <c r="Q3941">
        <v>0.39</v>
      </c>
      <c r="R3941">
        <v>5.2499999999999997E-4</v>
      </c>
    </row>
    <row r="3942" spans="1:18" ht="13.8" outlineLevel="2" x14ac:dyDescent="0.25">
      <c r="A3942">
        <v>92363</v>
      </c>
      <c r="C3942" t="s">
        <v>5354</v>
      </c>
      <c r="D3942" s="14" t="s">
        <v>5355</v>
      </c>
      <c r="E3942" s="12" t="s">
        <v>28</v>
      </c>
      <c r="F3942" s="13" t="s">
        <v>29</v>
      </c>
      <c r="G3942">
        <v>1</v>
      </c>
      <c r="H3942" t="s">
        <v>30</v>
      </c>
      <c r="I3942">
        <v>1</v>
      </c>
      <c r="J3942" s="15"/>
      <c r="K3942" s="16">
        <f>IF($E$1&gt;=$Q$1%,1278.71-(1278.71*$Q$1%),1278.71-(1278.71*$E$1))</f>
        <v>1278.71</v>
      </c>
      <c r="L3942" s="16">
        <f>IF($E$1&gt;=$Q$1%,1048.12-(1048.12*$Q$1%),1048.12-(1048.12*$E$1))</f>
        <v>1048.1199999999999</v>
      </c>
      <c r="M3942" s="1">
        <v>1278.71</v>
      </c>
      <c r="N3942" s="1">
        <v>1048.1199999999999</v>
      </c>
      <c r="O3942" s="1">
        <v>1278.71</v>
      </c>
      <c r="P3942" s="1">
        <v>1048.1199999999999</v>
      </c>
      <c r="Q3942">
        <v>0.63</v>
      </c>
      <c r="R3942">
        <v>1.663E-3</v>
      </c>
    </row>
    <row r="3943" spans="1:18" ht="13.8" outlineLevel="2" x14ac:dyDescent="0.25">
      <c r="A3943">
        <v>101545</v>
      </c>
      <c r="C3943" t="s">
        <v>5356</v>
      </c>
      <c r="D3943" s="14" t="s">
        <v>5357</v>
      </c>
      <c r="E3943" s="12" t="s">
        <v>28</v>
      </c>
      <c r="F3943" s="13" t="s">
        <v>29</v>
      </c>
      <c r="G3943">
        <v>1</v>
      </c>
      <c r="H3943" t="s">
        <v>30</v>
      </c>
      <c r="I3943">
        <v>1</v>
      </c>
      <c r="J3943" s="15"/>
      <c r="K3943" s="16">
        <f>IF($E$1&gt;=$Q$1%,848.53-(848.53*$Q$1%),848.53-(848.53*$E$1))</f>
        <v>848.53</v>
      </c>
      <c r="L3943" s="16">
        <f>IF($E$1&gt;=$Q$1%,695.52-(695.52*$Q$1%),695.52-(695.52*$E$1))</f>
        <v>695.52</v>
      </c>
      <c r="M3943" s="1">
        <v>848.53</v>
      </c>
      <c r="N3943" s="1">
        <v>695.52</v>
      </c>
      <c r="O3943" s="1">
        <v>848.53</v>
      </c>
      <c r="P3943" s="1">
        <v>695.52</v>
      </c>
      <c r="Q3943">
        <v>0.37</v>
      </c>
      <c r="R3943">
        <v>4.8099999999999998E-4</v>
      </c>
    </row>
    <row r="3944" spans="1:18" ht="13.8" outlineLevel="2" x14ac:dyDescent="0.25">
      <c r="A3944">
        <v>82148</v>
      </c>
      <c r="C3944" t="s">
        <v>5358</v>
      </c>
      <c r="D3944" s="14" t="s">
        <v>5359</v>
      </c>
      <c r="E3944" s="12" t="s">
        <v>28</v>
      </c>
      <c r="F3944" s="13" t="s">
        <v>29</v>
      </c>
      <c r="G3944">
        <v>1</v>
      </c>
      <c r="H3944" t="s">
        <v>30</v>
      </c>
      <c r="I3944">
        <v>1</v>
      </c>
      <c r="J3944" s="15"/>
      <c r="K3944" s="16">
        <f>IF($E$1&gt;=$Q$1%,1967.91-(1967.91*$Q$1%),1967.91-(1967.91*$E$1))</f>
        <v>1967.91</v>
      </c>
      <c r="L3944" s="16">
        <f>IF($E$1&gt;=$Q$1%,1613.04-(1613.04*$Q$1%),1613.04-(1613.04*$E$1))</f>
        <v>1613.04</v>
      </c>
      <c r="M3944" s="1">
        <v>1967.91</v>
      </c>
      <c r="N3944" s="1">
        <v>1613.04</v>
      </c>
      <c r="O3944" s="1">
        <v>1967.91</v>
      </c>
      <c r="P3944" s="1">
        <v>1613.04</v>
      </c>
      <c r="Q3944">
        <v>0.28000000000000003</v>
      </c>
      <c r="R3944">
        <v>3.2899999999999997E-4</v>
      </c>
    </row>
    <row r="3945" spans="1:18" ht="13.8" outlineLevel="2" x14ac:dyDescent="0.25">
      <c r="A3945">
        <v>81770</v>
      </c>
      <c r="C3945" t="s">
        <v>5360</v>
      </c>
      <c r="D3945" s="14" t="s">
        <v>5361</v>
      </c>
      <c r="E3945" s="12" t="s">
        <v>28</v>
      </c>
      <c r="F3945" s="13" t="s">
        <v>29</v>
      </c>
      <c r="G3945">
        <v>1</v>
      </c>
      <c r="H3945" t="s">
        <v>30</v>
      </c>
      <c r="I3945">
        <v>1</v>
      </c>
      <c r="J3945" s="15"/>
      <c r="K3945" s="16">
        <f>IF($E$1&gt;=$Q$1%,2197.96-(2197.96*$Q$1%),2197.96-(2197.96*$E$1))</f>
        <v>2197.96</v>
      </c>
      <c r="L3945" s="16">
        <f>IF($E$1&gt;=$Q$1%,1801.61-(1801.61*$Q$1%),1801.61-(1801.61*$E$1))</f>
        <v>1801.61</v>
      </c>
      <c r="M3945" s="1">
        <v>2197.96</v>
      </c>
      <c r="N3945" s="1">
        <v>1801.61</v>
      </c>
      <c r="O3945" s="1">
        <v>2197.96</v>
      </c>
      <c r="P3945" s="1">
        <v>1801.61</v>
      </c>
      <c r="Q3945">
        <v>0.52</v>
      </c>
      <c r="R3945">
        <v>5.3399999999999997E-4</v>
      </c>
    </row>
    <row r="3946" spans="1:18" ht="13.8" outlineLevel="2" x14ac:dyDescent="0.25">
      <c r="A3946">
        <v>80539</v>
      </c>
      <c r="B3946" t="s">
        <v>5362</v>
      </c>
      <c r="C3946" t="s">
        <v>5363</v>
      </c>
      <c r="D3946" s="14" t="s">
        <v>5364</v>
      </c>
      <c r="E3946" s="12" t="s">
        <v>28</v>
      </c>
      <c r="F3946" s="13" t="s">
        <v>29</v>
      </c>
      <c r="G3946">
        <v>1</v>
      </c>
      <c r="H3946" t="s">
        <v>30</v>
      </c>
      <c r="I3946">
        <v>1</v>
      </c>
      <c r="J3946" s="15"/>
      <c r="K3946" s="21" t="s">
        <v>5365</v>
      </c>
      <c r="L3946" s="21" t="s">
        <v>5366</v>
      </c>
      <c r="M3946" s="1">
        <v>625.77</v>
      </c>
      <c r="N3946" s="1">
        <v>512.92999999999995</v>
      </c>
      <c r="O3946" s="1">
        <v>531.91</v>
      </c>
      <c r="P3946" s="1">
        <v>435.99</v>
      </c>
      <c r="Q3946">
        <v>0.5</v>
      </c>
      <c r="R3946">
        <v>2.1699999999999999E-4</v>
      </c>
    </row>
    <row r="3947" spans="1:18" ht="13.8" outlineLevel="2" x14ac:dyDescent="0.25">
      <c r="A3947">
        <v>92063</v>
      </c>
      <c r="B3947" t="s">
        <v>5367</v>
      </c>
      <c r="C3947" t="s">
        <v>5368</v>
      </c>
      <c r="D3947" s="14" t="s">
        <v>5369</v>
      </c>
      <c r="E3947" s="12" t="s">
        <v>28</v>
      </c>
      <c r="F3947" s="17" t="s">
        <v>549</v>
      </c>
      <c r="G3947">
        <v>1</v>
      </c>
      <c r="H3947" t="s">
        <v>30</v>
      </c>
      <c r="I3947">
        <v>1</v>
      </c>
      <c r="J3947" s="15"/>
      <c r="K3947" s="16">
        <f>IF($E$1&gt;=$Q$1%,307.17-(307.17*$Q$1%),307.17-(307.17*$E$1))</f>
        <v>307.17</v>
      </c>
      <c r="L3947" s="16">
        <f>IF($E$1&gt;=$Q$1%,251.78-(251.78*$Q$1%),251.78-(251.78*$E$1))</f>
        <v>251.78</v>
      </c>
      <c r="M3947" s="1">
        <v>307.17</v>
      </c>
      <c r="N3947" s="1">
        <v>251.78</v>
      </c>
      <c r="O3947" s="1">
        <v>307.17</v>
      </c>
      <c r="P3947" s="1">
        <v>251.78</v>
      </c>
      <c r="Q3947">
        <v>0.17599999999999999</v>
      </c>
      <c r="R3947">
        <v>2.31E-4</v>
      </c>
    </row>
    <row r="3948" spans="1:18" ht="13.8" outlineLevel="2" x14ac:dyDescent="0.25">
      <c r="A3948">
        <v>92064</v>
      </c>
      <c r="B3948" t="s">
        <v>5367</v>
      </c>
      <c r="C3948" t="s">
        <v>5370</v>
      </c>
      <c r="D3948" s="14" t="s">
        <v>5371</v>
      </c>
      <c r="E3948" s="12" t="s">
        <v>28</v>
      </c>
      <c r="F3948" s="13" t="s">
        <v>29</v>
      </c>
      <c r="G3948">
        <v>1</v>
      </c>
      <c r="H3948" t="s">
        <v>30</v>
      </c>
      <c r="I3948">
        <v>1</v>
      </c>
      <c r="J3948" s="15"/>
      <c r="K3948" s="16">
        <f>IF($E$1&gt;=$Q$1%,408.07-(408.07*$Q$1%),408.07-(408.07*$E$1))</f>
        <v>408.07</v>
      </c>
      <c r="L3948" s="16">
        <f>IF($E$1&gt;=$Q$1%,334.48-(334.48*$Q$1%),334.48-(334.48*$E$1))</f>
        <v>334.48</v>
      </c>
      <c r="M3948" s="1">
        <v>408.07</v>
      </c>
      <c r="N3948" s="1">
        <v>334.48</v>
      </c>
      <c r="O3948" s="1">
        <v>408.07</v>
      </c>
      <c r="P3948" s="1">
        <v>334.48</v>
      </c>
      <c r="Q3948">
        <v>0.32</v>
      </c>
      <c r="R3948">
        <v>3.6400000000000001E-4</v>
      </c>
    </row>
    <row r="3949" spans="1:18" ht="13.8" outlineLevel="2" x14ac:dyDescent="0.25">
      <c r="A3949">
        <v>80956</v>
      </c>
      <c r="B3949" t="s">
        <v>5372</v>
      </c>
      <c r="C3949" t="s">
        <v>5373</v>
      </c>
      <c r="D3949" s="14" t="s">
        <v>5374</v>
      </c>
      <c r="E3949" s="12" t="s">
        <v>28</v>
      </c>
      <c r="F3949" s="17" t="s">
        <v>549</v>
      </c>
      <c r="G3949">
        <v>1</v>
      </c>
      <c r="H3949" t="s">
        <v>30</v>
      </c>
      <c r="I3949">
        <v>1</v>
      </c>
      <c r="J3949" s="15"/>
      <c r="K3949" s="16">
        <f>IF($E$1&gt;=$Q$1%,1813.85-(1813.85*$Q$1%),1813.85-(1813.85*$E$1))</f>
        <v>1813.85</v>
      </c>
      <c r="L3949" s="16">
        <f>IF($E$1&gt;=$Q$1%,1486.76-(1486.76*$Q$1%),1486.76-(1486.76*$E$1))</f>
        <v>1486.76</v>
      </c>
      <c r="M3949" s="1">
        <v>1813.85</v>
      </c>
      <c r="N3949" s="1">
        <v>1486.76</v>
      </c>
      <c r="O3949" s="1">
        <v>1813.85</v>
      </c>
      <c r="P3949" s="1">
        <v>1486.76</v>
      </c>
      <c r="Q3949">
        <v>0.59</v>
      </c>
      <c r="R3949">
        <v>2.3800000000000002E-3</v>
      </c>
    </row>
    <row r="3950" spans="1:18" ht="16.5" customHeight="1" outlineLevel="1" x14ac:dyDescent="0.35">
      <c r="A3950" s="9"/>
      <c r="B3950" s="10" t="s">
        <v>5375</v>
      </c>
      <c r="C3950" s="10"/>
      <c r="D3950" s="10"/>
      <c r="E3950" s="10"/>
      <c r="F3950" s="10"/>
      <c r="G3950" s="10"/>
      <c r="H3950" s="10"/>
      <c r="I3950" s="10"/>
      <c r="J3950" s="10"/>
      <c r="K3950" s="10"/>
      <c r="L3950" s="10"/>
      <c r="M3950" s="10"/>
      <c r="N3950" s="10"/>
      <c r="O3950" s="10"/>
      <c r="P3950" s="10"/>
      <c r="Q3950" s="10"/>
      <c r="R3950" s="11"/>
    </row>
    <row r="3951" spans="1:18" ht="13.8" outlineLevel="2" x14ac:dyDescent="0.25">
      <c r="A3951">
        <v>78365</v>
      </c>
      <c r="B3951" t="s">
        <v>5376</v>
      </c>
      <c r="C3951" t="s">
        <v>5377</v>
      </c>
      <c r="D3951" s="14" t="s">
        <v>5378</v>
      </c>
      <c r="E3951" s="12" t="s">
        <v>28</v>
      </c>
      <c r="F3951" s="13" t="s">
        <v>29</v>
      </c>
      <c r="G3951">
        <v>1</v>
      </c>
      <c r="H3951" t="s">
        <v>30</v>
      </c>
      <c r="I3951">
        <v>1</v>
      </c>
      <c r="J3951" s="15"/>
      <c r="K3951" s="21" t="s">
        <v>5379</v>
      </c>
      <c r="L3951" s="21" t="s">
        <v>5380</v>
      </c>
      <c r="M3951" s="1">
        <v>1562.93</v>
      </c>
      <c r="N3951" s="1">
        <v>1281.0899999999999</v>
      </c>
      <c r="O3951" s="1">
        <v>1328.49</v>
      </c>
      <c r="P3951" s="1">
        <v>1088.93</v>
      </c>
      <c r="Q3951">
        <v>1.18</v>
      </c>
      <c r="R3951">
        <v>1.56E-3</v>
      </c>
    </row>
    <row r="3952" spans="1:18" ht="13.8" outlineLevel="2" x14ac:dyDescent="0.25">
      <c r="A3952">
        <v>78366</v>
      </c>
      <c r="B3952" t="s">
        <v>5381</v>
      </c>
      <c r="C3952" t="s">
        <v>5382</v>
      </c>
      <c r="D3952" s="14" t="s">
        <v>5383</v>
      </c>
      <c r="E3952" s="12" t="s">
        <v>28</v>
      </c>
      <c r="F3952" s="13" t="s">
        <v>29</v>
      </c>
      <c r="G3952">
        <v>1</v>
      </c>
      <c r="H3952" t="s">
        <v>30</v>
      </c>
      <c r="I3952">
        <v>1</v>
      </c>
      <c r="J3952" s="15"/>
      <c r="K3952" s="16">
        <f>IF($E$1&gt;=$Q$1%,1310.41-(1310.41*$Q$1%),1310.41-(1310.41*$E$1))</f>
        <v>1310.4100000000001</v>
      </c>
      <c r="L3952" s="16">
        <f>IF($E$1&gt;=$Q$1%,1074.11-(1074.11*$Q$1%),1074.11-(1074.11*$E$1))</f>
        <v>1074.1099999999999</v>
      </c>
      <c r="M3952" s="1">
        <v>1310.4100000000001</v>
      </c>
      <c r="N3952" s="1">
        <v>1074.1099999999999</v>
      </c>
      <c r="O3952" s="1">
        <v>1310.4100000000001</v>
      </c>
      <c r="P3952" s="1">
        <v>1074.1099999999999</v>
      </c>
      <c r="Q3952">
        <v>0.73</v>
      </c>
      <c r="R3952">
        <v>1.047E-3</v>
      </c>
    </row>
    <row r="3953" spans="1:18" ht="13.8" outlineLevel="2" x14ac:dyDescent="0.25">
      <c r="A3953">
        <v>78367</v>
      </c>
      <c r="B3953" t="s">
        <v>5381</v>
      </c>
      <c r="C3953" t="s">
        <v>5384</v>
      </c>
      <c r="D3953" s="14" t="s">
        <v>5385</v>
      </c>
      <c r="E3953" s="12" t="s">
        <v>28</v>
      </c>
      <c r="F3953" s="13" t="s">
        <v>29</v>
      </c>
      <c r="G3953">
        <v>1</v>
      </c>
      <c r="H3953" t="s">
        <v>30</v>
      </c>
      <c r="I3953">
        <v>1</v>
      </c>
      <c r="J3953" s="15"/>
      <c r="K3953" s="21" t="s">
        <v>5386</v>
      </c>
      <c r="L3953" s="21" t="s">
        <v>5387</v>
      </c>
      <c r="M3953" s="1">
        <v>2167.5100000000002</v>
      </c>
      <c r="N3953" s="1">
        <v>1776.65</v>
      </c>
      <c r="O3953" s="1">
        <v>1842.39</v>
      </c>
      <c r="P3953" s="1">
        <v>1510.15</v>
      </c>
      <c r="Q3953">
        <v>1.03</v>
      </c>
      <c r="R3953">
        <v>1.7619999999999999E-3</v>
      </c>
    </row>
    <row r="3954" spans="1:18" ht="13.8" outlineLevel="2" x14ac:dyDescent="0.25">
      <c r="A3954">
        <v>91952</v>
      </c>
      <c r="B3954" t="s">
        <v>5388</v>
      </c>
      <c r="C3954" t="s">
        <v>5389</v>
      </c>
      <c r="D3954" s="14" t="s">
        <v>5390</v>
      </c>
      <c r="E3954" s="12" t="s">
        <v>28</v>
      </c>
      <c r="F3954" s="13" t="s">
        <v>29</v>
      </c>
      <c r="G3954">
        <v>1</v>
      </c>
      <c r="H3954" t="s">
        <v>30</v>
      </c>
      <c r="I3954">
        <v>1</v>
      </c>
      <c r="J3954" s="15"/>
      <c r="K3954" s="16">
        <f>IF($E$1&gt;=$Q$1%,3143.34-(3143.34*$Q$1%),3143.34-(3143.34*$E$1))</f>
        <v>3143.34</v>
      </c>
      <c r="L3954" s="16">
        <f>IF($E$1&gt;=$Q$1%,2576.51-(2576.51*$Q$1%),2576.51-(2576.51*$E$1))</f>
        <v>2576.5100000000002</v>
      </c>
      <c r="M3954" s="1">
        <v>3143.34</v>
      </c>
      <c r="N3954" s="1">
        <v>2576.5100000000002</v>
      </c>
      <c r="O3954" s="1">
        <v>3143.34</v>
      </c>
      <c r="P3954" s="1">
        <v>2576.5100000000002</v>
      </c>
      <c r="Q3954">
        <v>0.63600000000000001</v>
      </c>
      <c r="R3954">
        <v>1.0349999999999999E-3</v>
      </c>
    </row>
    <row r="3955" spans="1:18" ht="13.8" outlineLevel="2" x14ac:dyDescent="0.25">
      <c r="A3955">
        <v>91948</v>
      </c>
      <c r="B3955" t="s">
        <v>5391</v>
      </c>
      <c r="C3955" t="s">
        <v>5392</v>
      </c>
      <c r="D3955" s="14" t="s">
        <v>5393</v>
      </c>
      <c r="E3955" s="12" t="s">
        <v>28</v>
      </c>
      <c r="F3955" s="13" t="s">
        <v>29</v>
      </c>
      <c r="G3955">
        <v>1</v>
      </c>
      <c r="H3955" t="s">
        <v>30</v>
      </c>
      <c r="I3955">
        <v>1</v>
      </c>
      <c r="J3955" s="15"/>
      <c r="K3955" s="16">
        <f>IF($E$1&gt;=$Q$1%,1954.11-(1954.11*$Q$1%),1954.11-(1954.11*$E$1))</f>
        <v>1954.11</v>
      </c>
      <c r="L3955" s="16">
        <f>IF($E$1&gt;=$Q$1%,1601.73-(1601.73*$Q$1%),1601.73-(1601.73*$E$1))</f>
        <v>1601.73</v>
      </c>
      <c r="M3955" s="1">
        <v>1954.11</v>
      </c>
      <c r="N3955" s="1">
        <v>1601.73</v>
      </c>
      <c r="O3955" s="1">
        <v>1954.11</v>
      </c>
      <c r="P3955" s="1">
        <v>1601.73</v>
      </c>
      <c r="Q3955">
        <v>0.66800000000000004</v>
      </c>
      <c r="R3955">
        <v>1.1019999999999999E-3</v>
      </c>
    </row>
    <row r="3956" spans="1:18" ht="13.8" outlineLevel="2" x14ac:dyDescent="0.25">
      <c r="A3956">
        <v>91949</v>
      </c>
      <c r="B3956" t="s">
        <v>5391</v>
      </c>
      <c r="C3956" t="s">
        <v>5394</v>
      </c>
      <c r="D3956" s="14" t="s">
        <v>5395</v>
      </c>
      <c r="E3956" s="12" t="s">
        <v>28</v>
      </c>
      <c r="F3956" s="13" t="s">
        <v>29</v>
      </c>
      <c r="G3956">
        <v>1</v>
      </c>
      <c r="H3956" t="s">
        <v>30</v>
      </c>
      <c r="I3956">
        <v>1</v>
      </c>
      <c r="J3956" s="15"/>
      <c r="K3956" s="21" t="s">
        <v>5396</v>
      </c>
      <c r="L3956" s="21" t="s">
        <v>5397</v>
      </c>
      <c r="M3956" s="1">
        <v>2745.95</v>
      </c>
      <c r="N3956" s="1">
        <v>2250.7800000000002</v>
      </c>
      <c r="O3956" s="1">
        <v>2334.06</v>
      </c>
      <c r="P3956" s="1">
        <v>1913.16</v>
      </c>
      <c r="Q3956">
        <v>1.1279999999999999</v>
      </c>
      <c r="R3956">
        <v>2.1519999999999998E-3</v>
      </c>
    </row>
    <row r="3957" spans="1:18" ht="13.8" outlineLevel="2" x14ac:dyDescent="0.25">
      <c r="A3957">
        <v>91950</v>
      </c>
      <c r="B3957" t="s">
        <v>5398</v>
      </c>
      <c r="C3957" t="s">
        <v>5399</v>
      </c>
      <c r="D3957" s="14" t="s">
        <v>5400</v>
      </c>
      <c r="E3957" s="12" t="s">
        <v>28</v>
      </c>
      <c r="F3957" s="13" t="s">
        <v>29</v>
      </c>
      <c r="G3957">
        <v>1</v>
      </c>
      <c r="H3957" t="s">
        <v>30</v>
      </c>
      <c r="I3957">
        <v>1</v>
      </c>
      <c r="J3957" s="15"/>
      <c r="K3957" s="16">
        <f>IF($E$1&gt;=$Q$1%,2437.69-(2437.69*$Q$1%),2437.69-(2437.69*$E$1))</f>
        <v>2437.69</v>
      </c>
      <c r="L3957" s="16">
        <f>IF($E$1&gt;=$Q$1%,1998.11-(1998.11*$Q$1%),1998.11-(1998.11*$E$1))</f>
        <v>1998.11</v>
      </c>
      <c r="M3957" s="1">
        <v>2437.69</v>
      </c>
      <c r="N3957" s="1">
        <v>1998.11</v>
      </c>
      <c r="O3957" s="1">
        <v>2437.69</v>
      </c>
      <c r="P3957" s="1">
        <v>1998.11</v>
      </c>
      <c r="Q3957">
        <v>0.73199999999999998</v>
      </c>
      <c r="R3957">
        <v>1.1019999999999999E-3</v>
      </c>
    </row>
    <row r="3958" spans="1:18" ht="13.8" outlineLevel="2" x14ac:dyDescent="0.25">
      <c r="A3958">
        <v>91951</v>
      </c>
      <c r="B3958" t="s">
        <v>5398</v>
      </c>
      <c r="C3958" t="s">
        <v>5401</v>
      </c>
      <c r="D3958" s="14" t="s">
        <v>5402</v>
      </c>
      <c r="E3958" s="12" t="s">
        <v>28</v>
      </c>
      <c r="F3958" s="13" t="s">
        <v>29</v>
      </c>
      <c r="G3958">
        <v>1</v>
      </c>
      <c r="H3958" t="s">
        <v>30</v>
      </c>
      <c r="I3958">
        <v>1</v>
      </c>
      <c r="J3958" s="15"/>
      <c r="K3958" s="21" t="s">
        <v>5403</v>
      </c>
      <c r="L3958" s="21" t="s">
        <v>5404</v>
      </c>
      <c r="M3958" s="1">
        <v>3326.42</v>
      </c>
      <c r="N3958" s="1">
        <v>2726.57</v>
      </c>
      <c r="O3958" s="1">
        <v>2827.45</v>
      </c>
      <c r="P3958" s="1">
        <v>2317.58</v>
      </c>
      <c r="Q3958">
        <v>1.228</v>
      </c>
      <c r="R3958">
        <v>2.062E-3</v>
      </c>
    </row>
    <row r="3959" spans="1:18" ht="13.8" outlineLevel="2" x14ac:dyDescent="0.25">
      <c r="A3959">
        <v>78370</v>
      </c>
      <c r="C3959" t="s">
        <v>5405</v>
      </c>
      <c r="D3959" s="14" t="s">
        <v>5406</v>
      </c>
      <c r="E3959" s="12" t="s">
        <v>28</v>
      </c>
      <c r="F3959" s="17" t="s">
        <v>549</v>
      </c>
      <c r="G3959">
        <v>1</v>
      </c>
      <c r="H3959" t="s">
        <v>30</v>
      </c>
      <c r="I3959">
        <v>1</v>
      </c>
      <c r="J3959" s="15"/>
      <c r="K3959" s="16">
        <f>IF($E$1&gt;=$Q$1%,71.07-(71.07*$Q$1%),71.07-(71.07*$E$1))</f>
        <v>71.069999999999993</v>
      </c>
      <c r="L3959" s="16">
        <f>IF($E$1&gt;=$Q$1%,58.25-(58.25*$Q$1%),58.25-(58.25*$E$1))</f>
        <v>58.25</v>
      </c>
      <c r="M3959" s="1">
        <v>71.069999999999993</v>
      </c>
      <c r="N3959" s="1">
        <v>58.25</v>
      </c>
      <c r="O3959" s="1">
        <v>71.069999999999993</v>
      </c>
      <c r="P3959" s="1">
        <v>58.25</v>
      </c>
      <c r="Q3959">
        <v>0.03</v>
      </c>
      <c r="R3959">
        <v>5.5000000000000002E-5</v>
      </c>
    </row>
    <row r="3960" spans="1:18" ht="13.8" outlineLevel="2" x14ac:dyDescent="0.25">
      <c r="A3960">
        <v>78373</v>
      </c>
      <c r="C3960" t="s">
        <v>5407</v>
      </c>
      <c r="D3960" s="14" t="s">
        <v>5406</v>
      </c>
      <c r="E3960" s="12" t="s">
        <v>28</v>
      </c>
      <c r="F3960" s="13" t="s">
        <v>29</v>
      </c>
      <c r="G3960">
        <v>1</v>
      </c>
      <c r="H3960" t="s">
        <v>30</v>
      </c>
      <c r="I3960">
        <v>1</v>
      </c>
      <c r="J3960" s="15"/>
      <c r="K3960" s="16">
        <f>IF($E$1&gt;=$Q$1%,86.66-(86.66*$Q$1%),86.66-(86.66*$E$1))</f>
        <v>86.66</v>
      </c>
      <c r="L3960" s="16">
        <f>IF($E$1&gt;=$Q$1%,71.03-(71.03*$Q$1%),71.03-(71.03*$E$1))</f>
        <v>71.03</v>
      </c>
      <c r="M3960" s="1">
        <v>86.66</v>
      </c>
      <c r="N3960" s="1">
        <v>71.03</v>
      </c>
      <c r="O3960" s="1">
        <v>86.66</v>
      </c>
      <c r="P3960" s="1">
        <v>71.03</v>
      </c>
      <c r="Q3960">
        <v>0.04</v>
      </c>
      <c r="R3960">
        <v>6.4999999999999994E-5</v>
      </c>
    </row>
    <row r="3961" spans="1:18" ht="13.8" outlineLevel="2" x14ac:dyDescent="0.25">
      <c r="A3961">
        <v>78375</v>
      </c>
      <c r="C3961" t="s">
        <v>5408</v>
      </c>
      <c r="D3961" s="14" t="s">
        <v>5406</v>
      </c>
      <c r="E3961" s="12" t="s">
        <v>28</v>
      </c>
      <c r="F3961" s="13" t="s">
        <v>29</v>
      </c>
      <c r="G3961">
        <v>1</v>
      </c>
      <c r="H3961" t="s">
        <v>30</v>
      </c>
      <c r="I3961">
        <v>1</v>
      </c>
      <c r="J3961" s="15"/>
      <c r="K3961" s="16">
        <f>IF($E$1&gt;=$Q$1%,101.66-(101.66*$Q$1%),101.66-(101.66*$E$1))</f>
        <v>101.66</v>
      </c>
      <c r="L3961" s="16">
        <f>IF($E$1&gt;=$Q$1%,83.33-(83.33*$Q$1%),83.33-(83.33*$E$1))</f>
        <v>83.33</v>
      </c>
      <c r="M3961" s="1">
        <v>101.66</v>
      </c>
      <c r="N3961" s="1">
        <v>83.33</v>
      </c>
      <c r="O3961" s="1">
        <v>101.66</v>
      </c>
      <c r="P3961" s="1">
        <v>83.33</v>
      </c>
      <c r="Q3961">
        <v>0.05</v>
      </c>
      <c r="R3961">
        <v>6.9999999999999994E-5</v>
      </c>
    </row>
    <row r="3962" spans="1:18" ht="13.8" outlineLevel="2" x14ac:dyDescent="0.25">
      <c r="A3962">
        <v>78377</v>
      </c>
      <c r="C3962" t="s">
        <v>5409</v>
      </c>
      <c r="D3962" s="14" t="s">
        <v>5406</v>
      </c>
      <c r="E3962" s="12" t="s">
        <v>28</v>
      </c>
      <c r="F3962" s="13" t="s">
        <v>29</v>
      </c>
      <c r="G3962">
        <v>1</v>
      </c>
      <c r="H3962" t="s">
        <v>30</v>
      </c>
      <c r="I3962">
        <v>1</v>
      </c>
      <c r="J3962" s="15"/>
      <c r="K3962" s="16">
        <f>IF($E$1&gt;=$Q$1%,117.94-(117.94*$Q$1%),117.94-(117.94*$E$1))</f>
        <v>117.94</v>
      </c>
      <c r="L3962" s="16">
        <f>IF($E$1&gt;=$Q$1%,96.67-(96.67*$Q$1%),96.67-(96.67*$E$1))</f>
        <v>96.67</v>
      </c>
      <c r="M3962" s="1">
        <v>117.94</v>
      </c>
      <c r="N3962" s="1">
        <v>96.67</v>
      </c>
      <c r="O3962" s="1">
        <v>117.94</v>
      </c>
      <c r="P3962" s="1">
        <v>96.67</v>
      </c>
      <c r="Q3962">
        <v>0.08</v>
      </c>
      <c r="R3962">
        <v>1.2E-4</v>
      </c>
    </row>
    <row r="3963" spans="1:18" ht="13.8" outlineLevel="2" x14ac:dyDescent="0.25">
      <c r="A3963">
        <v>78380</v>
      </c>
      <c r="C3963" t="s">
        <v>5410</v>
      </c>
      <c r="D3963" s="14" t="s">
        <v>5406</v>
      </c>
      <c r="E3963" s="12" t="s">
        <v>28</v>
      </c>
      <c r="F3963" s="13" t="s">
        <v>29</v>
      </c>
      <c r="G3963">
        <v>1</v>
      </c>
      <c r="H3963" t="s">
        <v>30</v>
      </c>
      <c r="I3963">
        <v>1</v>
      </c>
      <c r="J3963" s="15"/>
      <c r="K3963" s="16">
        <f>IF($E$1&gt;=$Q$1%,144.81-(144.81*$Q$1%),144.81-(144.81*$E$1))</f>
        <v>144.81</v>
      </c>
      <c r="L3963" s="16">
        <f>IF($E$1&gt;=$Q$1%,118.7-(118.7*$Q$1%),118.7-(118.7*$E$1))</f>
        <v>118.7</v>
      </c>
      <c r="M3963" s="1">
        <v>144.81</v>
      </c>
      <c r="N3963" s="1">
        <v>118.7</v>
      </c>
      <c r="O3963" s="1">
        <v>144.81</v>
      </c>
      <c r="P3963" s="1">
        <v>118.7</v>
      </c>
      <c r="Q3963">
        <v>0.12</v>
      </c>
      <c r="R3963">
        <v>1.4300000000000001E-4</v>
      </c>
    </row>
    <row r="3964" spans="1:18" ht="13.8" outlineLevel="2" x14ac:dyDescent="0.25">
      <c r="A3964">
        <v>78383</v>
      </c>
      <c r="C3964" t="s">
        <v>5411</v>
      </c>
      <c r="D3964" s="14" t="s">
        <v>5406</v>
      </c>
      <c r="E3964" s="12" t="s">
        <v>28</v>
      </c>
      <c r="F3964" s="13" t="s">
        <v>29</v>
      </c>
      <c r="G3964">
        <v>1</v>
      </c>
      <c r="H3964" t="s">
        <v>30</v>
      </c>
      <c r="I3964">
        <v>1</v>
      </c>
      <c r="J3964" s="15"/>
      <c r="K3964" s="16">
        <f>IF($E$1&gt;=$Q$1%,249.36-(249.36*$Q$1%),249.36-(249.36*$E$1))</f>
        <v>249.36</v>
      </c>
      <c r="L3964" s="16">
        <f>IF($E$1&gt;=$Q$1%,204.39-(204.39*$Q$1%),204.39-(204.39*$E$1))</f>
        <v>204.39</v>
      </c>
      <c r="M3964" s="1">
        <v>249.36</v>
      </c>
      <c r="N3964" s="1">
        <v>204.39</v>
      </c>
      <c r="O3964" s="1">
        <v>249.36</v>
      </c>
      <c r="P3964" s="1">
        <v>204.39</v>
      </c>
      <c r="Q3964">
        <v>0.24</v>
      </c>
      <c r="R3964">
        <v>3.1199999999999999E-4</v>
      </c>
    </row>
    <row r="3965" spans="1:18" ht="13.8" outlineLevel="2" x14ac:dyDescent="0.25">
      <c r="A3965">
        <v>79184</v>
      </c>
      <c r="C3965" t="s">
        <v>5412</v>
      </c>
      <c r="D3965" s="14" t="s">
        <v>5413</v>
      </c>
      <c r="E3965" s="12" t="s">
        <v>28</v>
      </c>
      <c r="F3965" s="17" t="s">
        <v>549</v>
      </c>
      <c r="G3965">
        <v>1</v>
      </c>
      <c r="H3965" t="s">
        <v>30</v>
      </c>
      <c r="I3965">
        <v>1</v>
      </c>
      <c r="J3965" s="15"/>
      <c r="K3965" s="16">
        <f>IF($E$1&gt;=$Q$1%,227.33-(227.33*$Q$1%),227.33-(227.33*$E$1))</f>
        <v>227.33</v>
      </c>
      <c r="L3965" s="16">
        <f>IF($E$1&gt;=$Q$1%,186.34-(186.34*$Q$1%),186.34-(186.34*$E$1))</f>
        <v>186.34</v>
      </c>
      <c r="M3965" s="1">
        <v>227.33</v>
      </c>
      <c r="N3965" s="1">
        <v>186.34</v>
      </c>
      <c r="O3965" s="1">
        <v>227.33</v>
      </c>
      <c r="P3965" s="1">
        <v>186.34</v>
      </c>
      <c r="Q3965">
        <v>0.1</v>
      </c>
      <c r="R3965">
        <v>1.05E-4</v>
      </c>
    </row>
    <row r="3966" spans="1:18" ht="13.8" outlineLevel="2" x14ac:dyDescent="0.25">
      <c r="A3966">
        <v>79186</v>
      </c>
      <c r="C3966" t="s">
        <v>5414</v>
      </c>
      <c r="D3966" s="14" t="s">
        <v>5413</v>
      </c>
      <c r="E3966" s="12" t="s">
        <v>28</v>
      </c>
      <c r="F3966" s="13" t="s">
        <v>29</v>
      </c>
      <c r="G3966">
        <v>1</v>
      </c>
      <c r="H3966" t="s">
        <v>30</v>
      </c>
      <c r="I3966">
        <v>1</v>
      </c>
      <c r="J3966" s="15"/>
      <c r="K3966" s="16">
        <f>IF($E$1&gt;=$Q$1%,279.39-(279.39*$Q$1%),279.39-(279.39*$E$1))</f>
        <v>279.39</v>
      </c>
      <c r="L3966" s="16">
        <f>IF($E$1&gt;=$Q$1%,229.01-(229.01*$Q$1%),229.01-(229.01*$E$1))</f>
        <v>229.01</v>
      </c>
      <c r="M3966" s="1">
        <v>279.39</v>
      </c>
      <c r="N3966" s="1">
        <v>229.01</v>
      </c>
      <c r="O3966" s="1">
        <v>279.39</v>
      </c>
      <c r="P3966" s="1">
        <v>229.01</v>
      </c>
      <c r="Q3966">
        <v>0.1</v>
      </c>
      <c r="R3966">
        <v>1.35E-4</v>
      </c>
    </row>
    <row r="3967" spans="1:18" ht="13.8" outlineLevel="2" x14ac:dyDescent="0.25">
      <c r="A3967">
        <v>79188</v>
      </c>
      <c r="C3967" t="s">
        <v>5415</v>
      </c>
      <c r="D3967" s="14" t="s">
        <v>5413</v>
      </c>
      <c r="E3967" s="12" t="s">
        <v>28</v>
      </c>
      <c r="F3967" s="13" t="s">
        <v>29</v>
      </c>
      <c r="G3967">
        <v>1</v>
      </c>
      <c r="H3967" t="s">
        <v>30</v>
      </c>
      <c r="I3967">
        <v>1</v>
      </c>
      <c r="J3967" s="15"/>
      <c r="K3967" s="16">
        <f>IF($E$1&gt;=$Q$1%,305.61-(305.61*$Q$1%),305.61-(305.61*$E$1))</f>
        <v>305.61</v>
      </c>
      <c r="L3967" s="16">
        <f>IF($E$1&gt;=$Q$1%,250.5-(250.5*$Q$1%),250.5-(250.5*$E$1))</f>
        <v>250.5</v>
      </c>
      <c r="M3967" s="1">
        <v>305.61</v>
      </c>
      <c r="N3967" s="1">
        <v>250.5</v>
      </c>
      <c r="O3967" s="1">
        <v>305.61</v>
      </c>
      <c r="P3967" s="1">
        <v>250.5</v>
      </c>
      <c r="Q3967">
        <v>0.1</v>
      </c>
      <c r="R3967">
        <v>1.4999999999999999E-4</v>
      </c>
    </row>
    <row r="3968" spans="1:18" ht="13.8" outlineLevel="2" x14ac:dyDescent="0.25">
      <c r="A3968">
        <v>79189</v>
      </c>
      <c r="C3968" t="s">
        <v>5416</v>
      </c>
      <c r="D3968" s="14" t="s">
        <v>5413</v>
      </c>
      <c r="E3968" s="12" t="s">
        <v>28</v>
      </c>
      <c r="F3968" s="13" t="s">
        <v>29</v>
      </c>
      <c r="G3968">
        <v>1</v>
      </c>
      <c r="H3968" t="s">
        <v>30</v>
      </c>
      <c r="I3968">
        <v>1</v>
      </c>
      <c r="J3968" s="15"/>
      <c r="K3968" s="16">
        <f>IF($E$1&gt;=$Q$1%,330.94-(330.94*$Q$1%),330.94-(330.94*$E$1))</f>
        <v>330.94</v>
      </c>
      <c r="L3968" s="16">
        <f>IF($E$1&gt;=$Q$1%,271.26-(271.26*$Q$1%),271.26-(271.26*$E$1))</f>
        <v>271.26</v>
      </c>
      <c r="M3968" s="1">
        <v>330.94</v>
      </c>
      <c r="N3968" s="1">
        <v>271.26</v>
      </c>
      <c r="O3968" s="1">
        <v>330.94</v>
      </c>
      <c r="P3968" s="1">
        <v>271.26</v>
      </c>
      <c r="Q3968">
        <v>0.1</v>
      </c>
      <c r="R3968">
        <v>1.4999999999999999E-4</v>
      </c>
    </row>
    <row r="3969" spans="1:18" ht="13.8" outlineLevel="2" x14ac:dyDescent="0.25">
      <c r="A3969">
        <v>79191</v>
      </c>
      <c r="C3969" t="s">
        <v>5417</v>
      </c>
      <c r="D3969" s="14" t="s">
        <v>5413</v>
      </c>
      <c r="E3969" s="12" t="s">
        <v>28</v>
      </c>
      <c r="F3969" s="17" t="s">
        <v>549</v>
      </c>
      <c r="G3969">
        <v>1</v>
      </c>
      <c r="H3969" t="s">
        <v>30</v>
      </c>
      <c r="I3969">
        <v>1</v>
      </c>
      <c r="J3969" s="15"/>
      <c r="K3969" s="16">
        <f>IF($E$1&gt;=$Q$1%,436.21-(436.21*$Q$1%),436.21-(436.21*$E$1))</f>
        <v>436.21</v>
      </c>
      <c r="L3969" s="16">
        <f>IF($E$1&gt;=$Q$1%,357.55-(357.55*$Q$1%),357.55-(357.55*$E$1))</f>
        <v>357.55</v>
      </c>
      <c r="M3969" s="1">
        <v>436.21</v>
      </c>
      <c r="N3969" s="1">
        <v>357.55</v>
      </c>
      <c r="O3969" s="1">
        <v>436.21</v>
      </c>
      <c r="P3969" s="1">
        <v>357.55</v>
      </c>
      <c r="Q3969">
        <v>0.3</v>
      </c>
      <c r="R3969">
        <v>3.2499999999999999E-4</v>
      </c>
    </row>
    <row r="3970" spans="1:18" ht="13.8" outlineLevel="2" x14ac:dyDescent="0.25">
      <c r="A3970">
        <v>79192</v>
      </c>
      <c r="C3970" t="s">
        <v>5418</v>
      </c>
      <c r="D3970" s="14" t="s">
        <v>5419</v>
      </c>
      <c r="E3970" s="12" t="s">
        <v>28</v>
      </c>
      <c r="F3970" s="17" t="s">
        <v>549</v>
      </c>
      <c r="G3970">
        <v>1</v>
      </c>
      <c r="H3970" t="s">
        <v>30</v>
      </c>
      <c r="I3970">
        <v>1</v>
      </c>
      <c r="J3970" s="15"/>
      <c r="K3970" s="16">
        <f>IF($E$1&gt;=$Q$1%,308.17-(308.17*$Q$1%),308.17-(308.17*$E$1))</f>
        <v>308.17</v>
      </c>
      <c r="L3970" s="16">
        <f>IF($E$1&gt;=$Q$1%,252.6-(252.6*$Q$1%),252.6-(252.6*$E$1))</f>
        <v>252.6</v>
      </c>
      <c r="M3970" s="1">
        <v>308.17</v>
      </c>
      <c r="N3970" s="1">
        <v>252.6</v>
      </c>
      <c r="O3970" s="1">
        <v>308.17</v>
      </c>
      <c r="P3970" s="1">
        <v>252.6</v>
      </c>
      <c r="Q3970">
        <v>0.1</v>
      </c>
      <c r="R3970">
        <v>1.0499999999999999E-3</v>
      </c>
    </row>
    <row r="3971" spans="1:18" ht="13.8" outlineLevel="2" x14ac:dyDescent="0.25">
      <c r="A3971">
        <v>79194</v>
      </c>
      <c r="C3971" t="s">
        <v>5420</v>
      </c>
      <c r="D3971" s="14" t="s">
        <v>5419</v>
      </c>
      <c r="E3971" s="12" t="s">
        <v>28</v>
      </c>
      <c r="F3971" s="13" t="s">
        <v>29</v>
      </c>
      <c r="G3971">
        <v>1</v>
      </c>
      <c r="H3971" t="s">
        <v>30</v>
      </c>
      <c r="I3971">
        <v>1</v>
      </c>
      <c r="J3971" s="15"/>
      <c r="K3971" s="16">
        <f>IF($E$1&gt;=$Q$1%,347.5-(347.5*$Q$1%),347.5-(347.5*$E$1))</f>
        <v>347.5</v>
      </c>
      <c r="L3971" s="16">
        <f>IF($E$1&gt;=$Q$1%,284.84-(284.84*$Q$1%),284.84-(284.84*$E$1))</f>
        <v>284.83999999999997</v>
      </c>
      <c r="M3971" s="1">
        <v>347.5</v>
      </c>
      <c r="N3971" s="1">
        <v>284.83999999999997</v>
      </c>
      <c r="O3971" s="1">
        <v>347.5</v>
      </c>
      <c r="P3971" s="1">
        <v>284.83999999999997</v>
      </c>
      <c r="Q3971">
        <v>0.1</v>
      </c>
      <c r="R3971">
        <v>1.35E-4</v>
      </c>
    </row>
    <row r="3972" spans="1:18" ht="13.8" outlineLevel="2" x14ac:dyDescent="0.25">
      <c r="A3972">
        <v>79196</v>
      </c>
      <c r="C3972" t="s">
        <v>5421</v>
      </c>
      <c r="D3972" s="14" t="s">
        <v>5419</v>
      </c>
      <c r="E3972" s="12" t="s">
        <v>28</v>
      </c>
      <c r="F3972" s="13" t="s">
        <v>29</v>
      </c>
      <c r="G3972">
        <v>1</v>
      </c>
      <c r="H3972" t="s">
        <v>30</v>
      </c>
      <c r="I3972">
        <v>1</v>
      </c>
      <c r="J3972" s="15"/>
      <c r="K3972" s="16">
        <f>IF($E$1&gt;=$Q$1%,398.65-(398.65*$Q$1%),398.65-(398.65*$E$1))</f>
        <v>398.65</v>
      </c>
      <c r="L3972" s="16">
        <f>IF($E$1&gt;=$Q$1%,326.76-(326.76*$Q$1%),326.76-(326.76*$E$1))</f>
        <v>326.76</v>
      </c>
      <c r="M3972" s="1">
        <v>398.65</v>
      </c>
      <c r="N3972" s="1">
        <v>326.76</v>
      </c>
      <c r="O3972" s="1">
        <v>398.65</v>
      </c>
      <c r="P3972" s="1">
        <v>326.76</v>
      </c>
      <c r="Q3972">
        <v>0.1</v>
      </c>
      <c r="R3972">
        <v>1.4999999999999999E-4</v>
      </c>
    </row>
    <row r="3973" spans="1:18" ht="13.8" outlineLevel="2" x14ac:dyDescent="0.25">
      <c r="A3973">
        <v>79197</v>
      </c>
      <c r="C3973" t="s">
        <v>5422</v>
      </c>
      <c r="D3973" s="14" t="s">
        <v>5419</v>
      </c>
      <c r="E3973" s="12" t="s">
        <v>28</v>
      </c>
      <c r="F3973" s="13" t="s">
        <v>29</v>
      </c>
      <c r="G3973">
        <v>1</v>
      </c>
      <c r="H3973" t="s">
        <v>30</v>
      </c>
      <c r="I3973">
        <v>1</v>
      </c>
      <c r="J3973" s="15"/>
      <c r="K3973" s="16">
        <f>IF($E$1&gt;=$Q$1%,415.03-(415.03*$Q$1%),415.03-(415.03*$E$1))</f>
        <v>415.03</v>
      </c>
      <c r="L3973" s="16">
        <f>IF($E$1&gt;=$Q$1%,340.19-(340.19*$Q$1%),340.19-(340.19*$E$1))</f>
        <v>340.19</v>
      </c>
      <c r="M3973" s="1">
        <v>415.03</v>
      </c>
      <c r="N3973" s="1">
        <v>340.19</v>
      </c>
      <c r="O3973" s="1">
        <v>415.03</v>
      </c>
      <c r="P3973" s="1">
        <v>340.19</v>
      </c>
      <c r="Q3973">
        <v>0.1</v>
      </c>
      <c r="R3973">
        <v>1.4999999999999999E-4</v>
      </c>
    </row>
    <row r="3974" spans="1:18" ht="13.8" outlineLevel="2" x14ac:dyDescent="0.25">
      <c r="A3974">
        <v>79198</v>
      </c>
      <c r="C3974" t="s">
        <v>5423</v>
      </c>
      <c r="D3974" s="14" t="s">
        <v>5419</v>
      </c>
      <c r="E3974" s="12" t="s">
        <v>28</v>
      </c>
      <c r="F3974" s="13" t="s">
        <v>29</v>
      </c>
      <c r="G3974">
        <v>1</v>
      </c>
      <c r="H3974" t="s">
        <v>30</v>
      </c>
      <c r="I3974">
        <v>1</v>
      </c>
      <c r="J3974" s="15"/>
      <c r="K3974" s="16">
        <f>IF($E$1&gt;=$Q$1%,461.77-(461.77*$Q$1%),461.77-(461.77*$E$1))</f>
        <v>461.77</v>
      </c>
      <c r="L3974" s="16">
        <f>IF($E$1&gt;=$Q$1%,378.5-(378.5*$Q$1%),378.5-(378.5*$E$1))</f>
        <v>378.5</v>
      </c>
      <c r="M3974" s="1">
        <v>461.77</v>
      </c>
      <c r="N3974" s="1">
        <v>378.5</v>
      </c>
      <c r="O3974" s="1">
        <v>461.77</v>
      </c>
      <c r="P3974" s="1">
        <v>378.5</v>
      </c>
      <c r="Q3974">
        <v>0.2</v>
      </c>
      <c r="R3974">
        <v>2.99E-4</v>
      </c>
    </row>
    <row r="3975" spans="1:18" ht="13.8" outlineLevel="2" x14ac:dyDescent="0.25">
      <c r="A3975">
        <v>79199</v>
      </c>
      <c r="C3975" t="s">
        <v>5424</v>
      </c>
      <c r="D3975" s="14" t="s">
        <v>5419</v>
      </c>
      <c r="E3975" s="12" t="s">
        <v>28</v>
      </c>
      <c r="F3975" s="13" t="s">
        <v>29</v>
      </c>
      <c r="G3975">
        <v>1</v>
      </c>
      <c r="H3975" t="s">
        <v>30</v>
      </c>
      <c r="I3975">
        <v>1</v>
      </c>
      <c r="J3975" s="15"/>
      <c r="K3975" s="16">
        <f>IF($E$1&gt;=$Q$1%,516.08-(516.08*$Q$1%),516.08-(516.08*$E$1))</f>
        <v>516.08000000000004</v>
      </c>
      <c r="L3975" s="16">
        <f>IF($E$1&gt;=$Q$1%,423.02-(423.02*$Q$1%),423.02-(423.02*$E$1))</f>
        <v>423.02</v>
      </c>
      <c r="M3975" s="1">
        <v>516.08000000000004</v>
      </c>
      <c r="N3975" s="1">
        <v>423.02</v>
      </c>
      <c r="O3975" s="1">
        <v>516.08000000000004</v>
      </c>
      <c r="P3975" s="1">
        <v>423.02</v>
      </c>
      <c r="Q3975">
        <v>0.3</v>
      </c>
      <c r="R3975">
        <v>3.2499999999999999E-4</v>
      </c>
    </row>
    <row r="3976" spans="1:18" ht="13.8" outlineLevel="2" x14ac:dyDescent="0.25">
      <c r="A3976">
        <v>78368</v>
      </c>
      <c r="B3976" t="s">
        <v>5425</v>
      </c>
      <c r="C3976" t="s">
        <v>5426</v>
      </c>
      <c r="D3976" s="14" t="s">
        <v>5427</v>
      </c>
      <c r="E3976" s="12" t="s">
        <v>28</v>
      </c>
      <c r="F3976" s="13" t="s">
        <v>29</v>
      </c>
      <c r="G3976">
        <v>1</v>
      </c>
      <c r="H3976" t="s">
        <v>30</v>
      </c>
      <c r="I3976">
        <v>1</v>
      </c>
      <c r="J3976" s="15"/>
      <c r="K3976" s="16">
        <f>IF($E$1&gt;=$Q$1%,399.93-(399.93*$Q$1%),399.93-(399.93*$E$1))</f>
        <v>399.93</v>
      </c>
      <c r="L3976" s="16">
        <f>IF($E$1&gt;=$Q$1%,327.81-(327.81*$Q$1%),327.81-(327.81*$E$1))</f>
        <v>327.81</v>
      </c>
      <c r="M3976" s="1">
        <v>399.93</v>
      </c>
      <c r="N3976" s="1">
        <v>327.81</v>
      </c>
      <c r="O3976" s="1">
        <v>399.93</v>
      </c>
      <c r="P3976" s="1">
        <v>327.81</v>
      </c>
      <c r="Q3976">
        <v>0.36</v>
      </c>
      <c r="R3976">
        <v>8.4000000000000003E-4</v>
      </c>
    </row>
    <row r="3977" spans="1:18" ht="13.8" outlineLevel="2" x14ac:dyDescent="0.25">
      <c r="A3977">
        <v>82177</v>
      </c>
      <c r="B3977" t="s">
        <v>5425</v>
      </c>
      <c r="C3977" t="s">
        <v>5428</v>
      </c>
      <c r="D3977" s="14" t="s">
        <v>5429</v>
      </c>
      <c r="E3977" s="12" t="s">
        <v>28</v>
      </c>
      <c r="F3977" s="13" t="s">
        <v>29</v>
      </c>
      <c r="G3977">
        <v>1</v>
      </c>
      <c r="H3977" t="s">
        <v>30</v>
      </c>
      <c r="I3977">
        <v>1</v>
      </c>
      <c r="J3977" s="15"/>
      <c r="K3977" s="16">
        <f>IF($E$1&gt;=$Q$1%,494.01-(494.01*$Q$1%),494.01-(494.01*$E$1))</f>
        <v>494.01</v>
      </c>
      <c r="L3977" s="16">
        <f>IF($E$1&gt;=$Q$1%,404.93-(404.93*$Q$1%),404.93-(404.93*$E$1))</f>
        <v>404.93</v>
      </c>
      <c r="M3977" s="1">
        <v>494.01</v>
      </c>
      <c r="N3977" s="1">
        <v>404.93</v>
      </c>
      <c r="O3977" s="1">
        <v>494.01</v>
      </c>
      <c r="P3977" s="1">
        <v>404.93</v>
      </c>
      <c r="Q3977">
        <v>0.4</v>
      </c>
      <c r="R3977">
        <v>8.0999999999999996E-4</v>
      </c>
    </row>
    <row r="3978" spans="1:18" ht="13.8" outlineLevel="2" x14ac:dyDescent="0.25">
      <c r="A3978">
        <v>79202</v>
      </c>
      <c r="B3978" t="s">
        <v>5430</v>
      </c>
      <c r="C3978" t="s">
        <v>5431</v>
      </c>
      <c r="D3978" s="14" t="s">
        <v>5432</v>
      </c>
      <c r="E3978" s="12" t="s">
        <v>28</v>
      </c>
      <c r="F3978" s="13" t="s">
        <v>29</v>
      </c>
      <c r="G3978">
        <v>1</v>
      </c>
      <c r="H3978" t="s">
        <v>30</v>
      </c>
      <c r="I3978">
        <v>1</v>
      </c>
      <c r="J3978" s="15"/>
      <c r="K3978" s="16">
        <f>IF($E$1&gt;=$Q$1%,419.79-(419.79*$Q$1%),419.79-(419.79*$E$1))</f>
        <v>419.79</v>
      </c>
      <c r="L3978" s="16">
        <f>IF($E$1&gt;=$Q$1%,344.09-(344.09*$Q$1%),344.09-(344.09*$E$1))</f>
        <v>344.09</v>
      </c>
      <c r="M3978" s="1">
        <v>419.79</v>
      </c>
      <c r="N3978" s="1">
        <v>344.09</v>
      </c>
      <c r="O3978" s="1">
        <v>419.79</v>
      </c>
      <c r="P3978" s="1">
        <v>344.09</v>
      </c>
      <c r="Q3978">
        <v>0.3</v>
      </c>
      <c r="R3978">
        <v>8.7500000000000002E-4</v>
      </c>
    </row>
    <row r="3979" spans="1:18" ht="13.8" outlineLevel="2" x14ac:dyDescent="0.25">
      <c r="A3979">
        <v>82178</v>
      </c>
      <c r="B3979" t="s">
        <v>5430</v>
      </c>
      <c r="C3979" t="s">
        <v>5433</v>
      </c>
      <c r="D3979" s="14" t="s">
        <v>5434</v>
      </c>
      <c r="E3979" s="12" t="s">
        <v>28</v>
      </c>
      <c r="F3979" s="13" t="s">
        <v>29</v>
      </c>
      <c r="G3979">
        <v>1</v>
      </c>
      <c r="H3979" t="s">
        <v>30</v>
      </c>
      <c r="I3979">
        <v>1</v>
      </c>
      <c r="J3979" s="15"/>
      <c r="K3979" s="16">
        <f>IF($E$1&gt;=$Q$1%,515.22-(515.22*$Q$1%),515.22-(515.22*$E$1))</f>
        <v>515.22</v>
      </c>
      <c r="L3979" s="16">
        <f>IF($E$1&gt;=$Q$1%,422.31-(422.31*$Q$1%),422.31-(422.31*$E$1))</f>
        <v>422.31</v>
      </c>
      <c r="M3979" s="1">
        <v>515.22</v>
      </c>
      <c r="N3979" s="1">
        <v>422.31</v>
      </c>
      <c r="O3979" s="1">
        <v>515.22</v>
      </c>
      <c r="P3979" s="1">
        <v>422.31</v>
      </c>
      <c r="Q3979">
        <v>0.3</v>
      </c>
      <c r="R3979">
        <v>8.0999999999999996E-4</v>
      </c>
    </row>
    <row r="3980" spans="1:18" ht="13.8" outlineLevel="2" x14ac:dyDescent="0.25">
      <c r="A3980">
        <v>80958</v>
      </c>
      <c r="B3980" t="s">
        <v>5430</v>
      </c>
      <c r="C3980" t="s">
        <v>5435</v>
      </c>
      <c r="D3980" s="14" t="s">
        <v>5436</v>
      </c>
      <c r="E3980" s="12" t="s">
        <v>28</v>
      </c>
      <c r="F3980" s="17" t="s">
        <v>549</v>
      </c>
      <c r="G3980">
        <v>1</v>
      </c>
      <c r="H3980" t="s">
        <v>30</v>
      </c>
      <c r="I3980">
        <v>1</v>
      </c>
      <c r="J3980" s="15"/>
      <c r="K3980" s="16">
        <f>IF($E$1&gt;=$Q$1%,640.49-(640.49*$Q$1%),640.49-(640.49*$E$1))</f>
        <v>640.49</v>
      </c>
      <c r="L3980" s="16">
        <f>IF($E$1&gt;=$Q$1%,524.99-(524.99*$Q$1%),524.99-(524.99*$E$1))</f>
        <v>524.99</v>
      </c>
      <c r="M3980" s="1">
        <v>640.49</v>
      </c>
      <c r="N3980" s="1">
        <v>524.99</v>
      </c>
      <c r="O3980" s="1">
        <v>640.49</v>
      </c>
      <c r="P3980" s="1">
        <v>524.99</v>
      </c>
      <c r="Q3980">
        <v>0.1938</v>
      </c>
      <c r="R3980">
        <v>2.0799999999999999E-4</v>
      </c>
    </row>
    <row r="3981" spans="1:18" ht="16.5" customHeight="1" outlineLevel="1" x14ac:dyDescent="0.35">
      <c r="A3981" s="9"/>
      <c r="B3981" s="10" t="s">
        <v>5437</v>
      </c>
      <c r="C3981" s="10"/>
      <c r="D3981" s="10"/>
      <c r="E3981" s="10"/>
      <c r="F3981" s="10"/>
      <c r="G3981" s="10"/>
      <c r="H3981" s="10"/>
      <c r="I3981" s="10"/>
      <c r="J3981" s="10"/>
      <c r="K3981" s="10"/>
      <c r="L3981" s="10"/>
      <c r="M3981" s="10"/>
      <c r="N3981" s="10"/>
      <c r="O3981" s="10"/>
      <c r="P3981" s="10"/>
      <c r="Q3981" s="10"/>
      <c r="R3981" s="11"/>
    </row>
    <row r="3982" spans="1:18" ht="13.8" outlineLevel="2" x14ac:dyDescent="0.25">
      <c r="A3982">
        <v>76461</v>
      </c>
      <c r="B3982" t="s">
        <v>5438</v>
      </c>
      <c r="C3982" t="s">
        <v>5439</v>
      </c>
      <c r="D3982" s="14" t="s">
        <v>5440</v>
      </c>
      <c r="E3982" s="12" t="s">
        <v>28</v>
      </c>
      <c r="F3982" s="13" t="s">
        <v>29</v>
      </c>
      <c r="G3982">
        <v>1</v>
      </c>
      <c r="H3982" t="s">
        <v>30</v>
      </c>
      <c r="I3982">
        <v>1</v>
      </c>
      <c r="J3982" s="15"/>
      <c r="K3982" s="16">
        <f>IF($E$1&gt;=$Q$1%,4277.09-(4277.09*$Q$1%),4277.09-(4277.09*$E$1))</f>
        <v>4277.09</v>
      </c>
      <c r="L3982" s="16">
        <f>IF($E$1&gt;=$Q$1%,3505.81-(3505.81*$Q$1%),3505.81-(3505.81*$E$1))</f>
        <v>3505.81</v>
      </c>
      <c r="M3982" s="1">
        <v>4277.09</v>
      </c>
      <c r="N3982" s="1">
        <v>3505.81</v>
      </c>
      <c r="O3982" s="1">
        <v>4277.09</v>
      </c>
      <c r="P3982" s="1">
        <v>3505.81</v>
      </c>
      <c r="Q3982">
        <v>1.4</v>
      </c>
      <c r="R3982">
        <v>2.349E-3</v>
      </c>
    </row>
    <row r="3983" spans="1:18" ht="13.8" outlineLevel="2" x14ac:dyDescent="0.25">
      <c r="A3983">
        <v>78669</v>
      </c>
      <c r="B3983" t="s">
        <v>5441</v>
      </c>
      <c r="C3983" t="s">
        <v>5442</v>
      </c>
      <c r="D3983" s="14" t="s">
        <v>5443</v>
      </c>
      <c r="E3983" s="12" t="s">
        <v>28</v>
      </c>
      <c r="F3983" s="13" t="s">
        <v>29</v>
      </c>
      <c r="G3983">
        <v>1</v>
      </c>
      <c r="H3983" t="s">
        <v>30</v>
      </c>
      <c r="I3983">
        <v>1</v>
      </c>
      <c r="J3983" s="15"/>
      <c r="K3983" s="16">
        <f>IF($E$1&gt;=$Q$1%,2183.68-(2183.68*$Q$1%),2183.68-(2183.68*$E$1))</f>
        <v>2183.6799999999998</v>
      </c>
      <c r="L3983" s="16">
        <f>IF($E$1&gt;=$Q$1%,1789.9-(1789.9*$Q$1%),1789.9-(1789.9*$E$1))</f>
        <v>1789.9</v>
      </c>
      <c r="M3983" s="1">
        <v>2183.6799999999998</v>
      </c>
      <c r="N3983" s="1">
        <v>1789.9</v>
      </c>
      <c r="O3983" s="1">
        <v>2183.6799999999998</v>
      </c>
      <c r="P3983" s="1">
        <v>1789.9</v>
      </c>
      <c r="Q3983">
        <v>1.6</v>
      </c>
      <c r="R3983">
        <v>2.7000000000000001E-3</v>
      </c>
    </row>
    <row r="3984" spans="1:18" ht="13.8" outlineLevel="2" x14ac:dyDescent="0.25">
      <c r="A3984">
        <v>91083</v>
      </c>
      <c r="B3984" t="s">
        <v>3564</v>
      </c>
      <c r="C3984" t="s">
        <v>5444</v>
      </c>
      <c r="D3984" s="14" t="s">
        <v>5445</v>
      </c>
      <c r="E3984" s="12" t="s">
        <v>28</v>
      </c>
      <c r="F3984" s="13" t="s">
        <v>29</v>
      </c>
      <c r="G3984">
        <v>1</v>
      </c>
      <c r="H3984" t="s">
        <v>30</v>
      </c>
      <c r="I3984">
        <v>1</v>
      </c>
      <c r="J3984" s="15"/>
      <c r="K3984" s="16">
        <f>IF($E$1&gt;=$Q$1%,4154.37-(4154.37*$Q$1%),4154.37-(4154.37*$E$1))</f>
        <v>4154.37</v>
      </c>
      <c r="L3984" s="16">
        <f>IF($E$1&gt;=$Q$1%,3405.22-(3405.22*$Q$1%),3405.22-(3405.22*$E$1))</f>
        <v>3405.22</v>
      </c>
      <c r="M3984" s="1">
        <v>4154.37</v>
      </c>
      <c r="N3984" s="1">
        <v>3405.22</v>
      </c>
      <c r="O3984" s="1">
        <v>4154.37</v>
      </c>
      <c r="P3984" s="1">
        <v>3405.22</v>
      </c>
      <c r="Q3984">
        <v>3.8</v>
      </c>
      <c r="R3984">
        <v>6.9059999999999998E-3</v>
      </c>
    </row>
    <row r="3985" spans="1:18" ht="13.8" outlineLevel="2" x14ac:dyDescent="0.25">
      <c r="A3985">
        <v>82133</v>
      </c>
      <c r="B3985" t="s">
        <v>5441</v>
      </c>
      <c r="C3985" t="s">
        <v>5446</v>
      </c>
      <c r="D3985" s="14" t="s">
        <v>5447</v>
      </c>
      <c r="E3985" s="12" t="s">
        <v>28</v>
      </c>
      <c r="F3985" s="13" t="s">
        <v>29</v>
      </c>
      <c r="G3985">
        <v>1</v>
      </c>
      <c r="H3985" t="s">
        <v>30</v>
      </c>
      <c r="I3985">
        <v>1</v>
      </c>
      <c r="J3985" s="15"/>
      <c r="K3985" s="16">
        <f>IF($E$1&gt;=$Q$1%,7696.19-(7696.19*$Q$1%),7696.19-(7696.19*$E$1))</f>
        <v>7696.19</v>
      </c>
      <c r="L3985" s="16">
        <f>IF($E$1&gt;=$Q$1%,6308.35-(6308.35*$Q$1%),6308.35-(6308.35*$E$1))</f>
        <v>6308.35</v>
      </c>
      <c r="M3985" s="1">
        <v>7696.19</v>
      </c>
      <c r="N3985" s="1">
        <v>6308.35</v>
      </c>
      <c r="O3985" s="1">
        <v>7696.19</v>
      </c>
      <c r="P3985" s="1">
        <v>6308.35</v>
      </c>
      <c r="Q3985">
        <v>6.19</v>
      </c>
      <c r="R3985">
        <v>1.0800000000000001E-2</v>
      </c>
    </row>
    <row r="3986" spans="1:18" ht="13.8" outlineLevel="2" x14ac:dyDescent="0.25">
      <c r="A3986">
        <v>82134</v>
      </c>
      <c r="B3986" t="s">
        <v>5441</v>
      </c>
      <c r="C3986" t="s">
        <v>5448</v>
      </c>
      <c r="D3986" s="14" t="s">
        <v>5449</v>
      </c>
      <c r="E3986" s="12" t="s">
        <v>28</v>
      </c>
      <c r="F3986" s="13" t="s">
        <v>29</v>
      </c>
      <c r="G3986">
        <v>1</v>
      </c>
      <c r="H3986" t="s">
        <v>30</v>
      </c>
      <c r="I3986">
        <v>1</v>
      </c>
      <c r="J3986" s="15"/>
      <c r="K3986" s="16">
        <f>IF($E$1&gt;=$Q$1%,7502.84-(7502.84*$Q$1%),7502.84-(7502.84*$E$1))</f>
        <v>7502.84</v>
      </c>
      <c r="L3986" s="16">
        <f>IF($E$1&gt;=$Q$1%,6149.87-(6149.87*$Q$1%),6149.87-(6149.87*$E$1))</f>
        <v>6149.87</v>
      </c>
      <c r="M3986" s="1">
        <v>7502.84</v>
      </c>
      <c r="N3986" s="1">
        <v>6149.87</v>
      </c>
      <c r="O3986" s="1">
        <v>7502.84</v>
      </c>
      <c r="P3986" s="1">
        <v>6149.87</v>
      </c>
      <c r="Q3986">
        <v>6.34</v>
      </c>
      <c r="R3986">
        <v>1.0800000000000001E-2</v>
      </c>
    </row>
    <row r="3987" spans="1:18" ht="13.8" outlineLevel="2" x14ac:dyDescent="0.25">
      <c r="A3987">
        <v>82135</v>
      </c>
      <c r="B3987" t="s">
        <v>5441</v>
      </c>
      <c r="C3987" t="s">
        <v>5450</v>
      </c>
      <c r="D3987" s="14" t="s">
        <v>5451</v>
      </c>
      <c r="E3987" s="12" t="s">
        <v>28</v>
      </c>
      <c r="F3987" s="13" t="s">
        <v>29</v>
      </c>
      <c r="G3987">
        <v>1</v>
      </c>
      <c r="H3987" t="s">
        <v>30</v>
      </c>
      <c r="I3987">
        <v>1</v>
      </c>
      <c r="J3987" s="15"/>
      <c r="K3987" s="16">
        <f>IF($E$1&gt;=$Q$1%,8320.52-(8320.52*$Q$1%),8320.52-(8320.52*$E$1))</f>
        <v>8320.52</v>
      </c>
      <c r="L3987" s="16">
        <f>IF($E$1&gt;=$Q$1%,6820.1-(6820.1*$Q$1%),6820.1-(6820.1*$E$1))</f>
        <v>6820.1</v>
      </c>
      <c r="M3987" s="1">
        <v>8320.52</v>
      </c>
      <c r="N3987" s="1">
        <v>6820.1</v>
      </c>
      <c r="O3987" s="1">
        <v>8320.52</v>
      </c>
      <c r="P3987" s="1">
        <v>6820.1</v>
      </c>
      <c r="Q3987">
        <v>6.93</v>
      </c>
      <c r="R3987">
        <v>1.0800000000000001E-2</v>
      </c>
    </row>
    <row r="3988" spans="1:18" ht="13.8" outlineLevel="2" x14ac:dyDescent="0.25">
      <c r="A3988">
        <v>92315</v>
      </c>
      <c r="B3988" t="s">
        <v>3564</v>
      </c>
      <c r="C3988" t="s">
        <v>5452</v>
      </c>
      <c r="D3988" s="14" t="s">
        <v>5453</v>
      </c>
      <c r="E3988" s="12" t="s">
        <v>28</v>
      </c>
      <c r="F3988" s="13" t="s">
        <v>29</v>
      </c>
      <c r="G3988">
        <v>1</v>
      </c>
      <c r="H3988" t="s">
        <v>30</v>
      </c>
      <c r="I3988">
        <v>1</v>
      </c>
      <c r="J3988" s="15"/>
      <c r="K3988" s="16">
        <f>IF($E$1&gt;=$Q$1%,10817.73-(10817.73*$Q$1%),10817.73-(10817.73*$E$1))</f>
        <v>10817.73</v>
      </c>
      <c r="L3988" s="16">
        <f>IF($E$1&gt;=$Q$1%,8866.99-(8866.99*$Q$1%),8866.99-(8866.99*$E$1))</f>
        <v>8866.99</v>
      </c>
      <c r="M3988" s="1">
        <v>10817.73</v>
      </c>
      <c r="N3988" s="1">
        <v>8866.99</v>
      </c>
      <c r="O3988" s="1">
        <v>10817.73</v>
      </c>
      <c r="P3988" s="1">
        <v>8866.99</v>
      </c>
      <c r="Q3988">
        <v>9.0399999999999991</v>
      </c>
      <c r="R3988">
        <v>1.4782E-2</v>
      </c>
    </row>
    <row r="3989" spans="1:18" ht="13.8" outlineLevel="2" x14ac:dyDescent="0.25">
      <c r="A3989">
        <v>105776</v>
      </c>
      <c r="B3989" t="s">
        <v>3564</v>
      </c>
      <c r="C3989" t="s">
        <v>5454</v>
      </c>
      <c r="D3989" s="14" t="s">
        <v>5455</v>
      </c>
      <c r="E3989" s="12" t="s">
        <v>28</v>
      </c>
      <c r="F3989" s="13" t="s">
        <v>29</v>
      </c>
      <c r="G3989">
        <v>1</v>
      </c>
      <c r="H3989" t="s">
        <v>30</v>
      </c>
      <c r="I3989">
        <v>1</v>
      </c>
      <c r="J3989" s="15"/>
      <c r="K3989" s="16">
        <f>IF($E$1&gt;=$Q$1%,13774.07-(13774.07*$Q$1%),13774.07-(13774.07*$E$1))</f>
        <v>13774.07</v>
      </c>
      <c r="L3989" s="16">
        <f>IF($E$1&gt;=$Q$1%,11290.22-(11290.22*$Q$1%),11290.22-(11290.22*$E$1))</f>
        <v>11290.22</v>
      </c>
      <c r="M3989" s="1">
        <v>13774.07</v>
      </c>
      <c r="N3989" s="1">
        <v>11290.22</v>
      </c>
      <c r="O3989" s="1">
        <v>13774.07</v>
      </c>
      <c r="P3989" s="1">
        <v>11290.22</v>
      </c>
      <c r="Q3989">
        <v>10.615</v>
      </c>
      <c r="R3989">
        <v>1.5275E-2</v>
      </c>
    </row>
    <row r="3990" spans="1:18" ht="16.5" customHeight="1" outlineLevel="1" x14ac:dyDescent="0.35">
      <c r="A3990" s="9"/>
      <c r="B3990" s="10" t="s">
        <v>5456</v>
      </c>
      <c r="C3990" s="10"/>
      <c r="D3990" s="10"/>
      <c r="E3990" s="10"/>
      <c r="F3990" s="10"/>
      <c r="G3990" s="10"/>
      <c r="H3990" s="10"/>
      <c r="I3990" s="10"/>
      <c r="J3990" s="10"/>
      <c r="K3990" s="10"/>
      <c r="L3990" s="10"/>
      <c r="M3990" s="10"/>
      <c r="N3990" s="10"/>
      <c r="O3990" s="10"/>
      <c r="P3990" s="10"/>
      <c r="Q3990" s="10"/>
      <c r="R3990" s="11"/>
    </row>
    <row r="3991" spans="1:18" ht="13.8" outlineLevel="2" x14ac:dyDescent="0.25">
      <c r="A3991">
        <v>75013</v>
      </c>
      <c r="B3991" t="s">
        <v>5457</v>
      </c>
      <c r="C3991" t="s">
        <v>5458</v>
      </c>
      <c r="D3991" s="14" t="s">
        <v>5459</v>
      </c>
      <c r="E3991" s="12" t="s">
        <v>28</v>
      </c>
      <c r="F3991" s="17" t="s">
        <v>549</v>
      </c>
      <c r="G3991">
        <v>1</v>
      </c>
      <c r="H3991" t="s">
        <v>30</v>
      </c>
      <c r="I3991">
        <v>1</v>
      </c>
      <c r="J3991" s="15"/>
      <c r="K3991" s="16">
        <f>IF($E$1&gt;=$Q$1%,572.56-(572.56*$Q$1%),572.56-(572.56*$E$1))</f>
        <v>572.55999999999995</v>
      </c>
      <c r="L3991" s="16">
        <f>IF($E$1&gt;=$Q$1%,469.31-(469.31*$Q$1%),469.31-(469.31*$E$1))</f>
        <v>469.31</v>
      </c>
      <c r="M3991" s="1">
        <v>572.55999999999995</v>
      </c>
      <c r="N3991" s="1">
        <v>469.31</v>
      </c>
      <c r="O3991" s="1">
        <v>572.55999999999995</v>
      </c>
      <c r="P3991" s="1">
        <v>469.31</v>
      </c>
      <c r="Q3991">
        <v>0.5</v>
      </c>
      <c r="R3991">
        <v>6.7299999999999999E-4</v>
      </c>
    </row>
    <row r="3992" spans="1:18" ht="13.8" outlineLevel="2" x14ac:dyDescent="0.25">
      <c r="A3992">
        <v>78394</v>
      </c>
      <c r="B3992" t="s">
        <v>5460</v>
      </c>
      <c r="C3992" t="s">
        <v>5461</v>
      </c>
      <c r="D3992" s="14" t="s">
        <v>5462</v>
      </c>
      <c r="E3992" s="12" t="s">
        <v>28</v>
      </c>
      <c r="F3992" s="13" t="s">
        <v>29</v>
      </c>
      <c r="G3992">
        <v>1</v>
      </c>
      <c r="H3992" t="s">
        <v>30</v>
      </c>
      <c r="I3992">
        <v>1</v>
      </c>
      <c r="J3992" s="15"/>
      <c r="K3992" s="21" t="s">
        <v>5463</v>
      </c>
      <c r="L3992" s="21" t="s">
        <v>5464</v>
      </c>
      <c r="M3992" s="1">
        <v>1229.1400000000001</v>
      </c>
      <c r="N3992" s="1">
        <v>1007.49</v>
      </c>
      <c r="O3992" s="1">
        <v>1044.77</v>
      </c>
      <c r="P3992" s="1">
        <v>856.37</v>
      </c>
      <c r="Q3992">
        <v>0.93</v>
      </c>
      <c r="R3992">
        <v>1.121E-3</v>
      </c>
    </row>
    <row r="3993" spans="1:18" ht="13.8" outlineLevel="2" x14ac:dyDescent="0.25">
      <c r="A3993">
        <v>78384</v>
      </c>
      <c r="B3993" t="s">
        <v>5465</v>
      </c>
      <c r="C3993" t="s">
        <v>5466</v>
      </c>
      <c r="D3993" s="14" t="s">
        <v>5467</v>
      </c>
      <c r="E3993" s="12" t="s">
        <v>28</v>
      </c>
      <c r="F3993" s="17" t="s">
        <v>549</v>
      </c>
      <c r="G3993">
        <v>1</v>
      </c>
      <c r="H3993" t="s">
        <v>30</v>
      </c>
      <c r="I3993">
        <v>1</v>
      </c>
      <c r="J3993" s="15"/>
      <c r="K3993" s="21" t="s">
        <v>5468</v>
      </c>
      <c r="L3993" s="21" t="s">
        <v>5469</v>
      </c>
      <c r="M3993" s="1">
        <v>556.27</v>
      </c>
      <c r="N3993" s="1">
        <v>455.96</v>
      </c>
      <c r="O3993" s="1">
        <v>472.83</v>
      </c>
      <c r="P3993" s="1">
        <v>387.57</v>
      </c>
      <c r="Q3993">
        <v>0.5</v>
      </c>
      <c r="R3993">
        <v>8.25E-4</v>
      </c>
    </row>
    <row r="3994" spans="1:18" ht="13.8" outlineLevel="2" x14ac:dyDescent="0.25">
      <c r="A3994">
        <v>78385</v>
      </c>
      <c r="B3994" t="s">
        <v>5465</v>
      </c>
      <c r="C3994" t="s">
        <v>5470</v>
      </c>
      <c r="D3994" s="14" t="s">
        <v>5471</v>
      </c>
      <c r="E3994" s="12" t="s">
        <v>28</v>
      </c>
      <c r="F3994" s="17" t="s">
        <v>549</v>
      </c>
      <c r="G3994">
        <v>1</v>
      </c>
      <c r="H3994" t="s">
        <v>30</v>
      </c>
      <c r="I3994">
        <v>1</v>
      </c>
      <c r="J3994" s="15"/>
      <c r="K3994" s="21" t="s">
        <v>5472</v>
      </c>
      <c r="L3994" s="21" t="s">
        <v>5473</v>
      </c>
      <c r="M3994" s="1">
        <v>624.48</v>
      </c>
      <c r="N3994" s="1">
        <v>511.87</v>
      </c>
      <c r="O3994" s="1">
        <v>530.80999999999995</v>
      </c>
      <c r="P3994" s="1">
        <v>435.09</v>
      </c>
      <c r="Q3994">
        <v>0.57999999999999996</v>
      </c>
      <c r="R3994">
        <v>8.9999999999999998E-4</v>
      </c>
    </row>
    <row r="3995" spans="1:18" ht="13.8" outlineLevel="2" x14ac:dyDescent="0.25">
      <c r="A3995">
        <v>78386</v>
      </c>
      <c r="B3995" t="s">
        <v>5465</v>
      </c>
      <c r="C3995" t="s">
        <v>5474</v>
      </c>
      <c r="D3995" s="14" t="s">
        <v>5475</v>
      </c>
      <c r="E3995" s="12" t="s">
        <v>28</v>
      </c>
      <c r="F3995" s="13" t="s">
        <v>29</v>
      </c>
      <c r="G3995">
        <v>1</v>
      </c>
      <c r="H3995" t="s">
        <v>30</v>
      </c>
      <c r="I3995">
        <v>1</v>
      </c>
      <c r="J3995" s="15"/>
      <c r="K3995" s="21" t="s">
        <v>5476</v>
      </c>
      <c r="L3995" s="21" t="s">
        <v>5477</v>
      </c>
      <c r="M3995" s="1">
        <v>679.55</v>
      </c>
      <c r="N3995" s="1">
        <v>557.01</v>
      </c>
      <c r="O3995" s="1">
        <v>577.62</v>
      </c>
      <c r="P3995" s="1">
        <v>473.46</v>
      </c>
      <c r="Q3995">
        <v>0.73</v>
      </c>
      <c r="R3995">
        <v>1.134E-3</v>
      </c>
    </row>
    <row r="3996" spans="1:18" ht="13.8" outlineLevel="2" x14ac:dyDescent="0.25">
      <c r="A3996">
        <v>78388</v>
      </c>
      <c r="B3996" t="s">
        <v>5465</v>
      </c>
      <c r="C3996" t="s">
        <v>5478</v>
      </c>
      <c r="D3996" s="14" t="s">
        <v>5479</v>
      </c>
      <c r="E3996" s="12" t="s">
        <v>28</v>
      </c>
      <c r="F3996" s="13" t="s">
        <v>29</v>
      </c>
      <c r="G3996">
        <v>1</v>
      </c>
      <c r="H3996" t="s">
        <v>30</v>
      </c>
      <c r="I3996">
        <v>1</v>
      </c>
      <c r="J3996" s="15"/>
      <c r="K3996" s="21" t="s">
        <v>5480</v>
      </c>
      <c r="L3996" s="21" t="s">
        <v>5481</v>
      </c>
      <c r="M3996" s="1">
        <v>732.73</v>
      </c>
      <c r="N3996" s="1">
        <v>600.6</v>
      </c>
      <c r="O3996" s="1">
        <v>622.82000000000005</v>
      </c>
      <c r="P3996" s="1">
        <v>510.51</v>
      </c>
      <c r="Q3996">
        <v>0.9</v>
      </c>
      <c r="R3996">
        <v>1.1999999999999999E-3</v>
      </c>
    </row>
    <row r="3997" spans="1:18" ht="13.8" outlineLevel="2" x14ac:dyDescent="0.25">
      <c r="A3997">
        <v>78391</v>
      </c>
      <c r="B3997" t="s">
        <v>5482</v>
      </c>
      <c r="C3997" t="s">
        <v>5483</v>
      </c>
      <c r="D3997" s="14" t="s">
        <v>5484</v>
      </c>
      <c r="E3997" s="12" t="s">
        <v>28</v>
      </c>
      <c r="F3997" s="13" t="s">
        <v>29</v>
      </c>
      <c r="G3997">
        <v>1</v>
      </c>
      <c r="H3997" t="s">
        <v>30</v>
      </c>
      <c r="I3997">
        <v>1</v>
      </c>
      <c r="J3997" s="15"/>
      <c r="K3997" s="21" t="s">
        <v>5485</v>
      </c>
      <c r="L3997" s="21" t="s">
        <v>5486</v>
      </c>
      <c r="M3997" s="1">
        <v>702.23</v>
      </c>
      <c r="N3997" s="1">
        <v>575.6</v>
      </c>
      <c r="O3997" s="1">
        <v>596.9</v>
      </c>
      <c r="P3997" s="1">
        <v>489.26</v>
      </c>
      <c r="Q3997">
        <v>0.7</v>
      </c>
      <c r="R3997">
        <v>1.768E-3</v>
      </c>
    </row>
    <row r="3998" spans="1:18" ht="13.8" outlineLevel="2" x14ac:dyDescent="0.25">
      <c r="A3998">
        <v>78392</v>
      </c>
      <c r="B3998" t="s">
        <v>5487</v>
      </c>
      <c r="C3998" t="s">
        <v>5488</v>
      </c>
      <c r="D3998" s="14" t="s">
        <v>5489</v>
      </c>
      <c r="E3998" s="12" t="s">
        <v>28</v>
      </c>
      <c r="F3998" s="17" t="s">
        <v>549</v>
      </c>
      <c r="G3998">
        <v>1</v>
      </c>
      <c r="H3998" t="s">
        <v>30</v>
      </c>
      <c r="I3998">
        <v>1</v>
      </c>
      <c r="J3998" s="15"/>
      <c r="K3998" s="21" t="s">
        <v>5490</v>
      </c>
      <c r="L3998" s="21" t="s">
        <v>5491</v>
      </c>
      <c r="M3998" s="1">
        <v>1547.62</v>
      </c>
      <c r="N3998" s="1">
        <v>1268.54</v>
      </c>
      <c r="O3998" s="1">
        <v>1315.48</v>
      </c>
      <c r="P3998" s="1">
        <v>1078.26</v>
      </c>
      <c r="Q3998">
        <v>0.88</v>
      </c>
      <c r="R3998">
        <v>1.8129999999999999E-3</v>
      </c>
    </row>
    <row r="3999" spans="1:18" ht="13.8" outlineLevel="2" x14ac:dyDescent="0.25">
      <c r="A3999">
        <v>79824</v>
      </c>
      <c r="B3999" t="s">
        <v>5492</v>
      </c>
      <c r="C3999" t="s">
        <v>5493</v>
      </c>
      <c r="D3999" s="14" t="s">
        <v>5494</v>
      </c>
      <c r="E3999" s="12" t="s">
        <v>28</v>
      </c>
      <c r="F3999" s="17" t="s">
        <v>549</v>
      </c>
      <c r="G3999">
        <v>1</v>
      </c>
      <c r="H3999" t="s">
        <v>30</v>
      </c>
      <c r="I3999">
        <v>1</v>
      </c>
      <c r="J3999" s="15"/>
      <c r="K3999" s="21" t="s">
        <v>5495</v>
      </c>
      <c r="L3999" s="21" t="s">
        <v>5496</v>
      </c>
      <c r="M3999" s="1">
        <v>1578.47</v>
      </c>
      <c r="N3999" s="1">
        <v>1293.83</v>
      </c>
      <c r="O3999" s="1">
        <v>1341.7</v>
      </c>
      <c r="P3999" s="1">
        <v>1099.76</v>
      </c>
      <c r="Q3999">
        <v>0.9</v>
      </c>
      <c r="R3999">
        <v>2.0999999999999999E-3</v>
      </c>
    </row>
    <row r="4000" spans="1:18" ht="13.8" outlineLevel="2" x14ac:dyDescent="0.25">
      <c r="A4000">
        <v>79825</v>
      </c>
      <c r="B4000" t="s">
        <v>5497</v>
      </c>
      <c r="C4000" t="s">
        <v>5498</v>
      </c>
      <c r="D4000" s="14" t="s">
        <v>5499</v>
      </c>
      <c r="E4000" s="12" t="s">
        <v>28</v>
      </c>
      <c r="F4000" s="13" t="s">
        <v>29</v>
      </c>
      <c r="G4000">
        <v>1</v>
      </c>
      <c r="H4000" t="s">
        <v>30</v>
      </c>
      <c r="I4000">
        <v>1</v>
      </c>
      <c r="J4000" s="15"/>
      <c r="K4000" s="21" t="s">
        <v>5500</v>
      </c>
      <c r="L4000" s="21" t="s">
        <v>5501</v>
      </c>
      <c r="M4000" s="1">
        <v>1634.14</v>
      </c>
      <c r="N4000" s="1">
        <v>1339.46</v>
      </c>
      <c r="O4000" s="1">
        <v>1389.02</v>
      </c>
      <c r="P4000" s="1">
        <v>1138.54</v>
      </c>
      <c r="Q4000">
        <v>0.9</v>
      </c>
      <c r="R4000">
        <v>1.9980000000000002E-3</v>
      </c>
    </row>
    <row r="4001" spans="1:18" ht="13.8" outlineLevel="2" x14ac:dyDescent="0.25">
      <c r="A4001">
        <v>78389</v>
      </c>
      <c r="B4001" t="s">
        <v>5502</v>
      </c>
      <c r="C4001" t="s">
        <v>5503</v>
      </c>
      <c r="D4001" s="14" t="s">
        <v>5504</v>
      </c>
      <c r="E4001" s="12" t="s">
        <v>28</v>
      </c>
      <c r="F4001" s="13" t="s">
        <v>29</v>
      </c>
      <c r="G4001">
        <v>1</v>
      </c>
      <c r="H4001" t="s">
        <v>30</v>
      </c>
      <c r="I4001">
        <v>1</v>
      </c>
      <c r="J4001" s="15"/>
      <c r="K4001" s="21" t="s">
        <v>5505</v>
      </c>
      <c r="L4001" s="21" t="s">
        <v>5506</v>
      </c>
      <c r="M4001" s="1">
        <v>865.52</v>
      </c>
      <c r="N4001" s="1">
        <v>709.44</v>
      </c>
      <c r="O4001" s="1">
        <v>735.69</v>
      </c>
      <c r="P4001" s="1">
        <v>603.02</v>
      </c>
      <c r="Q4001">
        <v>1.23</v>
      </c>
      <c r="R4001">
        <v>1.0399999999999999E-3</v>
      </c>
    </row>
    <row r="4002" spans="1:18" ht="13.8" outlineLevel="2" x14ac:dyDescent="0.25">
      <c r="A4002">
        <v>78390</v>
      </c>
      <c r="B4002" t="s">
        <v>5502</v>
      </c>
      <c r="C4002" t="s">
        <v>5507</v>
      </c>
      <c r="D4002" s="14" t="s">
        <v>5508</v>
      </c>
      <c r="E4002" s="12" t="s">
        <v>28</v>
      </c>
      <c r="F4002" s="13" t="s">
        <v>29</v>
      </c>
      <c r="G4002">
        <v>1</v>
      </c>
      <c r="H4002" t="s">
        <v>30</v>
      </c>
      <c r="I4002">
        <v>1</v>
      </c>
      <c r="J4002" s="15"/>
      <c r="K4002" s="21" t="s">
        <v>5509</v>
      </c>
      <c r="L4002" s="21" t="s">
        <v>5510</v>
      </c>
      <c r="M4002" s="1">
        <v>1046.3900000000001</v>
      </c>
      <c r="N4002" s="1">
        <v>857.7</v>
      </c>
      <c r="O4002" s="1">
        <v>889.43</v>
      </c>
      <c r="P4002" s="1">
        <v>729.05</v>
      </c>
      <c r="Q4002">
        <v>1.73</v>
      </c>
      <c r="R4002">
        <v>1.6100000000000001E-3</v>
      </c>
    </row>
    <row r="4003" spans="1:18" ht="13.8" outlineLevel="2" x14ac:dyDescent="0.25">
      <c r="A4003">
        <v>80103</v>
      </c>
      <c r="B4003" t="s">
        <v>5511</v>
      </c>
      <c r="C4003" t="s">
        <v>5512</v>
      </c>
      <c r="D4003" s="14" t="s">
        <v>5513</v>
      </c>
      <c r="E4003" s="12" t="s">
        <v>28</v>
      </c>
      <c r="F4003" s="13" t="s">
        <v>29</v>
      </c>
      <c r="G4003">
        <v>1</v>
      </c>
      <c r="H4003" t="s">
        <v>30</v>
      </c>
      <c r="I4003">
        <v>1</v>
      </c>
      <c r="J4003" s="15"/>
      <c r="K4003" s="16">
        <f>IF($E$1&gt;=$Q$1%,1158.67-(1158.67*$Q$1%),1158.67-(1158.67*$E$1))</f>
        <v>1158.67</v>
      </c>
      <c r="L4003" s="16">
        <f>IF($E$1&gt;=$Q$1%,949.73-(949.73*$Q$1%),949.73-(949.73*$E$1))</f>
        <v>949.73</v>
      </c>
      <c r="M4003" s="1">
        <v>1158.67</v>
      </c>
      <c r="N4003" s="1">
        <v>949.73</v>
      </c>
      <c r="O4003" s="1">
        <v>1158.67</v>
      </c>
      <c r="P4003" s="1">
        <v>949.73</v>
      </c>
      <c r="Q4003">
        <v>0.4</v>
      </c>
      <c r="R4003">
        <v>8.7000000000000001E-4</v>
      </c>
    </row>
    <row r="4004" spans="1:18" ht="13.8" outlineLevel="2" x14ac:dyDescent="0.25">
      <c r="A4004">
        <v>80105</v>
      </c>
      <c r="B4004" t="s">
        <v>5511</v>
      </c>
      <c r="C4004" t="s">
        <v>5514</v>
      </c>
      <c r="D4004" s="14" t="s">
        <v>5515</v>
      </c>
      <c r="E4004" s="12" t="s">
        <v>28</v>
      </c>
      <c r="F4004" s="13" t="s">
        <v>29</v>
      </c>
      <c r="G4004">
        <v>1</v>
      </c>
      <c r="H4004" t="s">
        <v>30</v>
      </c>
      <c r="I4004">
        <v>1</v>
      </c>
      <c r="J4004" s="15"/>
      <c r="K4004" s="16">
        <f>IF($E$1&gt;=$Q$1%,1615.13-(1615.13*$Q$1%),1615.13-(1615.13*$E$1))</f>
        <v>1615.13</v>
      </c>
      <c r="L4004" s="16">
        <f>IF($E$1&gt;=$Q$1%,1323.88-(1323.88*$Q$1%),1323.88-(1323.88*$E$1))</f>
        <v>1323.88</v>
      </c>
      <c r="M4004" s="1">
        <v>1615.13</v>
      </c>
      <c r="N4004" s="1">
        <v>1323.88</v>
      </c>
      <c r="O4004" s="1">
        <v>1615.13</v>
      </c>
      <c r="P4004" s="1">
        <v>1323.88</v>
      </c>
      <c r="Q4004">
        <v>0.7</v>
      </c>
      <c r="R4004">
        <v>1.6119999999999999E-3</v>
      </c>
    </row>
    <row r="4005" spans="1:18" ht="13.8" outlineLevel="2" x14ac:dyDescent="0.25">
      <c r="A4005">
        <v>80106</v>
      </c>
      <c r="B4005" t="s">
        <v>5511</v>
      </c>
      <c r="C4005" t="s">
        <v>5516</v>
      </c>
      <c r="D4005" s="14" t="s">
        <v>5517</v>
      </c>
      <c r="E4005" s="12" t="s">
        <v>28</v>
      </c>
      <c r="F4005" s="13" t="s">
        <v>29</v>
      </c>
      <c r="G4005">
        <v>1</v>
      </c>
      <c r="H4005" t="s">
        <v>30</v>
      </c>
      <c r="I4005">
        <v>1</v>
      </c>
      <c r="J4005" s="15"/>
      <c r="K4005" s="16">
        <f>IF($E$1&gt;=$Q$1%,2378.18-(2378.18*$Q$1%),2378.18-(2378.18*$E$1))</f>
        <v>2378.1799999999998</v>
      </c>
      <c r="L4005" s="16">
        <f>IF($E$1&gt;=$Q$1%,1949.33-(1949.33*$Q$1%),1949.33-(1949.33*$E$1))</f>
        <v>1949.33</v>
      </c>
      <c r="M4005" s="1">
        <v>2378.1799999999998</v>
      </c>
      <c r="N4005" s="1">
        <v>1949.33</v>
      </c>
      <c r="O4005" s="1">
        <v>2378.1799999999998</v>
      </c>
      <c r="P4005" s="1">
        <v>1949.33</v>
      </c>
      <c r="Q4005">
        <v>1.1000000000000001</v>
      </c>
      <c r="R4005">
        <v>2.6250000000000002E-3</v>
      </c>
    </row>
    <row r="4006" spans="1:18" ht="13.8" outlineLevel="2" x14ac:dyDescent="0.25">
      <c r="A4006">
        <v>89182</v>
      </c>
      <c r="B4006" t="s">
        <v>5518</v>
      </c>
      <c r="C4006" t="s">
        <v>5519</v>
      </c>
      <c r="D4006" s="14" t="s">
        <v>5520</v>
      </c>
      <c r="E4006" s="12" t="s">
        <v>28</v>
      </c>
      <c r="F4006" s="13" t="s">
        <v>29</v>
      </c>
      <c r="G4006">
        <v>1</v>
      </c>
      <c r="H4006" t="s">
        <v>30</v>
      </c>
      <c r="I4006">
        <v>1</v>
      </c>
      <c r="J4006" s="15"/>
      <c r="K4006" s="16">
        <f>IF($E$1&gt;=$Q$1%,3574.53-(3574.53*$Q$1%),3574.53-(3574.53*$E$1))</f>
        <v>3574.53</v>
      </c>
      <c r="L4006" s="16">
        <f>IF($E$1&gt;=$Q$1%,2929.94-(2929.94*$Q$1%),2929.94-(2929.94*$E$1))</f>
        <v>2929.94</v>
      </c>
      <c r="M4006" s="1">
        <v>3574.53</v>
      </c>
      <c r="N4006" s="1">
        <v>2929.94</v>
      </c>
      <c r="O4006" s="1">
        <v>3574.53</v>
      </c>
      <c r="P4006" s="1">
        <v>2929.94</v>
      </c>
      <c r="Q4006">
        <v>1.4219999999999999</v>
      </c>
      <c r="R4006">
        <v>3.4710000000000001E-3</v>
      </c>
    </row>
    <row r="4007" spans="1:18" ht="16.5" customHeight="1" outlineLevel="1" x14ac:dyDescent="0.35">
      <c r="A4007" s="9"/>
      <c r="B4007" s="10" t="s">
        <v>5521</v>
      </c>
      <c r="C4007" s="10"/>
      <c r="D4007" s="10"/>
      <c r="E4007" s="10"/>
      <c r="F4007" s="10"/>
      <c r="G4007" s="10"/>
      <c r="H4007" s="10"/>
      <c r="I4007" s="10"/>
      <c r="J4007" s="10"/>
      <c r="K4007" s="10"/>
      <c r="L4007" s="10"/>
      <c r="M4007" s="10"/>
      <c r="N4007" s="10"/>
      <c r="O4007" s="10"/>
      <c r="P4007" s="10"/>
      <c r="Q4007" s="10"/>
      <c r="R4007" s="11"/>
    </row>
    <row r="4008" spans="1:18" ht="13.8" outlineLevel="2" x14ac:dyDescent="0.25">
      <c r="A4008">
        <v>77442</v>
      </c>
      <c r="B4008" t="s">
        <v>5522</v>
      </c>
      <c r="C4008" t="s">
        <v>5523</v>
      </c>
      <c r="D4008" s="14" t="s">
        <v>5524</v>
      </c>
      <c r="E4008" s="12" t="s">
        <v>28</v>
      </c>
      <c r="F4008" s="13" t="s">
        <v>29</v>
      </c>
      <c r="G4008">
        <v>1</v>
      </c>
      <c r="H4008" t="s">
        <v>30</v>
      </c>
      <c r="I4008">
        <v>1</v>
      </c>
      <c r="J4008" s="15"/>
      <c r="K4008" s="16">
        <f>IF($E$1&gt;=$Q$1%,1708.99-(1708.99*$Q$1%),1708.99-(1708.99*$E$1))</f>
        <v>1708.99</v>
      </c>
      <c r="L4008" s="16">
        <f>IF($E$1&gt;=$Q$1%,1400.81-(1400.81*$Q$1%),1400.81-(1400.81*$E$1))</f>
        <v>1400.81</v>
      </c>
      <c r="M4008" s="1">
        <v>1708.99</v>
      </c>
      <c r="N4008" s="1">
        <v>1400.81</v>
      </c>
      <c r="O4008" s="1">
        <v>1708.99</v>
      </c>
      <c r="P4008" s="1">
        <v>1400.81</v>
      </c>
      <c r="Q4008">
        <v>0.51800000000000002</v>
      </c>
      <c r="R4008">
        <v>8.9999999999999998E-4</v>
      </c>
    </row>
    <row r="4009" spans="1:18" ht="13.8" outlineLevel="2" x14ac:dyDescent="0.25">
      <c r="A4009">
        <v>77443</v>
      </c>
      <c r="B4009" t="s">
        <v>5522</v>
      </c>
      <c r="C4009" t="s">
        <v>5525</v>
      </c>
      <c r="D4009" s="14" t="s">
        <v>5526</v>
      </c>
      <c r="E4009" s="12" t="s">
        <v>28</v>
      </c>
      <c r="F4009" s="13" t="s">
        <v>29</v>
      </c>
      <c r="G4009">
        <v>1</v>
      </c>
      <c r="H4009" t="s">
        <v>30</v>
      </c>
      <c r="I4009">
        <v>1</v>
      </c>
      <c r="J4009" s="15"/>
      <c r="K4009" s="16">
        <f>IF($E$1&gt;=$Q$1%,1757.63-(1757.63*$Q$1%),1757.63-(1757.63*$E$1))</f>
        <v>1757.63</v>
      </c>
      <c r="L4009" s="16">
        <f>IF($E$1&gt;=$Q$1%,1440.68-(1440.68*$Q$1%),1440.68-(1440.68*$E$1))</f>
        <v>1440.68</v>
      </c>
      <c r="M4009" s="1">
        <v>1757.63</v>
      </c>
      <c r="N4009" s="1">
        <v>1440.68</v>
      </c>
      <c r="O4009" s="1">
        <v>1757.63</v>
      </c>
      <c r="P4009" s="1">
        <v>1440.68</v>
      </c>
      <c r="Q4009">
        <v>0.68600000000000005</v>
      </c>
      <c r="R4009">
        <v>1.2390000000000001E-3</v>
      </c>
    </row>
    <row r="4010" spans="1:18" ht="13.8" outlineLevel="2" x14ac:dyDescent="0.25">
      <c r="A4010">
        <v>84384</v>
      </c>
      <c r="B4010" t="s">
        <v>5522</v>
      </c>
      <c r="C4010" t="s">
        <v>5527</v>
      </c>
      <c r="D4010" s="14" t="s">
        <v>5528</v>
      </c>
      <c r="E4010" s="12" t="s">
        <v>28</v>
      </c>
      <c r="F4010" s="13" t="s">
        <v>29</v>
      </c>
      <c r="G4010">
        <v>1</v>
      </c>
      <c r="H4010" t="s">
        <v>30</v>
      </c>
      <c r="I4010">
        <v>1</v>
      </c>
      <c r="J4010" s="15"/>
      <c r="K4010" s="16">
        <f>IF($E$1&gt;=$Q$1%,1638.87-(1638.87*$Q$1%),1638.87-(1638.87*$E$1))</f>
        <v>1638.87</v>
      </c>
      <c r="L4010" s="16">
        <f>IF($E$1&gt;=$Q$1%,1343.34-(1343.34*$Q$1%),1343.34-(1343.34*$E$1))</f>
        <v>1343.34</v>
      </c>
      <c r="M4010" s="1">
        <v>1638.87</v>
      </c>
      <c r="N4010" s="1">
        <v>1343.34</v>
      </c>
      <c r="O4010" s="1">
        <v>1638.87</v>
      </c>
      <c r="P4010" s="1">
        <v>1343.34</v>
      </c>
      <c r="Q4010">
        <v>0.45</v>
      </c>
      <c r="R4010">
        <v>1.0200000000000001E-3</v>
      </c>
    </row>
    <row r="4011" spans="1:18" ht="13.8" outlineLevel="2" x14ac:dyDescent="0.25">
      <c r="A4011">
        <v>92036</v>
      </c>
      <c r="B4011" t="s">
        <v>5522</v>
      </c>
      <c r="C4011" t="s">
        <v>5529</v>
      </c>
      <c r="D4011" s="14" t="s">
        <v>5530</v>
      </c>
      <c r="E4011" s="12" t="s">
        <v>28</v>
      </c>
      <c r="F4011" s="13" t="s">
        <v>29</v>
      </c>
      <c r="G4011">
        <v>1</v>
      </c>
      <c r="H4011" t="s">
        <v>30</v>
      </c>
      <c r="I4011">
        <v>1</v>
      </c>
      <c r="J4011" s="15"/>
      <c r="K4011" s="16">
        <f>IF($E$1&gt;=$Q$1%,3051.65-(3051.65*$Q$1%),3051.65-(3051.65*$E$1))</f>
        <v>3051.65</v>
      </c>
      <c r="L4011" s="16">
        <f>IF($E$1&gt;=$Q$1%,2501.35-(2501.35*$Q$1%),2501.35-(2501.35*$E$1))</f>
        <v>2501.35</v>
      </c>
      <c r="M4011" s="1">
        <v>3051.65</v>
      </c>
      <c r="N4011" s="1">
        <v>2501.35</v>
      </c>
      <c r="O4011" s="1">
        <v>3051.65</v>
      </c>
      <c r="P4011" s="1">
        <v>2501.35</v>
      </c>
      <c r="Q4011">
        <v>1.32</v>
      </c>
      <c r="R4011">
        <v>1.9499999999999999E-3</v>
      </c>
    </row>
    <row r="4012" spans="1:18" ht="13.8" outlineLevel="2" x14ac:dyDescent="0.25">
      <c r="A4012">
        <v>92037</v>
      </c>
      <c r="B4012" t="s">
        <v>5522</v>
      </c>
      <c r="C4012" t="s">
        <v>5531</v>
      </c>
      <c r="D4012" s="14" t="s">
        <v>5532</v>
      </c>
      <c r="E4012" s="12" t="s">
        <v>28</v>
      </c>
      <c r="F4012" s="13" t="s">
        <v>29</v>
      </c>
      <c r="G4012">
        <v>1</v>
      </c>
      <c r="H4012" t="s">
        <v>30</v>
      </c>
      <c r="I4012">
        <v>1</v>
      </c>
      <c r="J4012" s="15"/>
      <c r="K4012" s="16">
        <f>IF($E$1&gt;=$Q$1%,3808.83-(3808.83*$Q$1%),3808.83-(3808.83*$E$1))</f>
        <v>3808.83</v>
      </c>
      <c r="L4012" s="16">
        <f>IF($E$1&gt;=$Q$1%,3121.99-(3121.99*$Q$1%),3121.99-(3121.99*$E$1))</f>
        <v>3121.99</v>
      </c>
      <c r="M4012" s="1">
        <v>3808.83</v>
      </c>
      <c r="N4012" s="1">
        <v>3121.99</v>
      </c>
      <c r="O4012" s="1">
        <v>3808.83</v>
      </c>
      <c r="P4012" s="1">
        <v>3121.99</v>
      </c>
      <c r="Q4012">
        <v>1.51</v>
      </c>
      <c r="R4012">
        <v>1.98E-3</v>
      </c>
    </row>
    <row r="4013" spans="1:18" ht="16.5" customHeight="1" outlineLevel="1" x14ac:dyDescent="0.35">
      <c r="A4013" s="9"/>
      <c r="B4013" s="10" t="s">
        <v>5533</v>
      </c>
      <c r="C4013" s="10"/>
      <c r="D4013" s="10"/>
      <c r="E4013" s="10"/>
      <c r="F4013" s="10"/>
      <c r="G4013" s="10"/>
      <c r="H4013" s="10"/>
      <c r="I4013" s="10"/>
      <c r="J4013" s="10"/>
      <c r="K4013" s="10"/>
      <c r="L4013" s="10"/>
      <c r="M4013" s="10"/>
      <c r="N4013" s="10"/>
      <c r="O4013" s="10"/>
      <c r="P4013" s="10"/>
      <c r="Q4013" s="10"/>
      <c r="R4013" s="11"/>
    </row>
    <row r="4014" spans="1:18" ht="13.8" outlineLevel="2" x14ac:dyDescent="0.25">
      <c r="A4014">
        <v>78491</v>
      </c>
      <c r="B4014" t="s">
        <v>5534</v>
      </c>
      <c r="C4014" t="s">
        <v>5535</v>
      </c>
      <c r="D4014" s="14" t="s">
        <v>5536</v>
      </c>
      <c r="E4014" s="12" t="s">
        <v>28</v>
      </c>
      <c r="F4014" s="17" t="s">
        <v>549</v>
      </c>
      <c r="G4014">
        <v>1</v>
      </c>
      <c r="H4014" t="s">
        <v>30</v>
      </c>
      <c r="I4014">
        <v>1</v>
      </c>
      <c r="J4014" s="15"/>
      <c r="K4014" s="16">
        <f>IF($E$1&gt;=$Q$1%,116.91-(116.91*$Q$1%),116.91-(116.91*$E$1))</f>
        <v>116.91</v>
      </c>
      <c r="L4014" s="16">
        <f>IF($E$1&gt;=$Q$1%,95.83-(95.83*$Q$1%),95.83-(95.83*$E$1))</f>
        <v>95.83</v>
      </c>
      <c r="M4014" s="1">
        <v>116.91</v>
      </c>
      <c r="N4014" s="1">
        <v>95.83</v>
      </c>
      <c r="O4014" s="1">
        <v>116.91</v>
      </c>
      <c r="P4014" s="1">
        <v>95.83</v>
      </c>
      <c r="Q4014">
        <v>0.04</v>
      </c>
      <c r="R4014">
        <v>2.22E-4</v>
      </c>
    </row>
    <row r="4015" spans="1:18" ht="13.8" outlineLevel="2" x14ac:dyDescent="0.25">
      <c r="A4015">
        <v>78492</v>
      </c>
      <c r="B4015" t="s">
        <v>5537</v>
      </c>
      <c r="C4015" t="s">
        <v>5538</v>
      </c>
      <c r="D4015" s="14" t="s">
        <v>5539</v>
      </c>
      <c r="E4015" s="12" t="s">
        <v>28</v>
      </c>
      <c r="F4015" s="13" t="s">
        <v>29</v>
      </c>
      <c r="G4015">
        <v>1</v>
      </c>
      <c r="H4015" t="s">
        <v>30</v>
      </c>
      <c r="I4015">
        <v>1</v>
      </c>
      <c r="J4015" s="15"/>
      <c r="K4015" s="16">
        <f>IF($E$1&gt;=$Q$1%,406.31-(406.31*$Q$1%),406.31-(406.31*$E$1))</f>
        <v>406.31</v>
      </c>
      <c r="L4015" s="16">
        <f>IF($E$1&gt;=$Q$1%,333.04-(333.04*$Q$1%),333.04-(333.04*$E$1))</f>
        <v>333.04</v>
      </c>
      <c r="M4015" s="1">
        <v>406.31</v>
      </c>
      <c r="N4015" s="1">
        <v>333.04</v>
      </c>
      <c r="O4015" s="1">
        <v>406.31</v>
      </c>
      <c r="P4015" s="1">
        <v>333.04</v>
      </c>
      <c r="Q4015">
        <v>0.15</v>
      </c>
      <c r="R4015">
        <v>6.3500000000000004E-4</v>
      </c>
    </row>
    <row r="4016" spans="1:18" ht="13.8" outlineLevel="2" x14ac:dyDescent="0.25">
      <c r="A4016">
        <v>78493</v>
      </c>
      <c r="B4016" t="s">
        <v>5534</v>
      </c>
      <c r="C4016" t="s">
        <v>5540</v>
      </c>
      <c r="D4016" s="14" t="s">
        <v>5541</v>
      </c>
      <c r="E4016" s="12" t="s">
        <v>28</v>
      </c>
      <c r="F4016" s="13" t="s">
        <v>29</v>
      </c>
      <c r="G4016">
        <v>1</v>
      </c>
      <c r="H4016" t="s">
        <v>30</v>
      </c>
      <c r="I4016">
        <v>1</v>
      </c>
      <c r="J4016" s="15"/>
      <c r="K4016" s="16">
        <f>IF($E$1&gt;=$Q$1%,243.15-(243.15*$Q$1%),243.15-(243.15*$E$1))</f>
        <v>243.15</v>
      </c>
      <c r="L4016" s="16">
        <f>IF($E$1&gt;=$Q$1%,199.3-(199.3*$Q$1%),199.3-(199.3*$E$1))</f>
        <v>199.3</v>
      </c>
      <c r="M4016" s="1">
        <v>243.15</v>
      </c>
      <c r="N4016" s="1">
        <v>199.3</v>
      </c>
      <c r="O4016" s="1">
        <v>243.15</v>
      </c>
      <c r="P4016" s="1">
        <v>199.3</v>
      </c>
      <c r="Q4016">
        <v>0.12</v>
      </c>
      <c r="R4016">
        <v>5.9999999999999995E-4</v>
      </c>
    </row>
    <row r="4017" spans="1:18" ht="13.8" outlineLevel="2" x14ac:dyDescent="0.25">
      <c r="A4017">
        <v>78495</v>
      </c>
      <c r="B4017" t="s">
        <v>5534</v>
      </c>
      <c r="C4017" t="s">
        <v>5542</v>
      </c>
      <c r="D4017" s="14" t="s">
        <v>5543</v>
      </c>
      <c r="E4017" s="12" t="s">
        <v>28</v>
      </c>
      <c r="F4017" s="13" t="s">
        <v>29</v>
      </c>
      <c r="G4017">
        <v>1</v>
      </c>
      <c r="H4017" t="s">
        <v>30</v>
      </c>
      <c r="I4017">
        <v>1</v>
      </c>
      <c r="J4017" s="15"/>
      <c r="K4017" s="16">
        <f>IF($E$1&gt;=$Q$1%,623.7-(623.7*$Q$1%),623.7-(623.7*$E$1))</f>
        <v>623.70000000000005</v>
      </c>
      <c r="L4017" s="16">
        <f>IF($E$1&gt;=$Q$1%,511.23-(511.23*$Q$1%),511.23-(511.23*$E$1))</f>
        <v>511.23</v>
      </c>
      <c r="M4017" s="1">
        <v>623.70000000000005</v>
      </c>
      <c r="N4017" s="1">
        <v>511.23</v>
      </c>
      <c r="O4017" s="1">
        <v>623.70000000000005</v>
      </c>
      <c r="P4017" s="1">
        <v>511.23</v>
      </c>
      <c r="Q4017">
        <v>0.16</v>
      </c>
      <c r="R4017">
        <v>7.1599999999999995E-4</v>
      </c>
    </row>
    <row r="4018" spans="1:18" ht="13.8" outlineLevel="2" x14ac:dyDescent="0.25">
      <c r="A4018">
        <v>78496</v>
      </c>
      <c r="B4018" t="s">
        <v>5534</v>
      </c>
      <c r="C4018" t="s">
        <v>5544</v>
      </c>
      <c r="D4018" s="14" t="s">
        <v>5545</v>
      </c>
      <c r="E4018" s="12" t="s">
        <v>28</v>
      </c>
      <c r="F4018" s="13" t="s">
        <v>29</v>
      </c>
      <c r="G4018">
        <v>1</v>
      </c>
      <c r="H4018" t="s">
        <v>30</v>
      </c>
      <c r="I4018">
        <v>1</v>
      </c>
      <c r="J4018" s="15"/>
      <c r="K4018" s="16">
        <f>IF($E$1&gt;=$Q$1%,417.35-(417.35*$Q$1%),417.35-(417.35*$E$1))</f>
        <v>417.35</v>
      </c>
      <c r="L4018" s="16">
        <f>IF($E$1&gt;=$Q$1%,342.09-(342.09*$Q$1%),342.09-(342.09*$E$1))</f>
        <v>342.09</v>
      </c>
      <c r="M4018" s="1">
        <v>417.35</v>
      </c>
      <c r="N4018" s="1">
        <v>342.09</v>
      </c>
      <c r="O4018" s="1">
        <v>417.35</v>
      </c>
      <c r="P4018" s="1">
        <v>342.09</v>
      </c>
      <c r="Q4018">
        <v>0.09</v>
      </c>
      <c r="R4018">
        <v>5.5199999999999997E-4</v>
      </c>
    </row>
    <row r="4019" spans="1:18" ht="13.8" outlineLevel="2" x14ac:dyDescent="0.25">
      <c r="A4019">
        <v>78497</v>
      </c>
      <c r="B4019" t="s">
        <v>5534</v>
      </c>
      <c r="C4019" t="s">
        <v>5546</v>
      </c>
      <c r="D4019" s="14" t="s">
        <v>5547</v>
      </c>
      <c r="E4019" s="12" t="s">
        <v>28</v>
      </c>
      <c r="F4019" s="13" t="s">
        <v>29</v>
      </c>
      <c r="G4019">
        <v>1</v>
      </c>
      <c r="H4019" t="s">
        <v>30</v>
      </c>
      <c r="I4019">
        <v>1</v>
      </c>
      <c r="J4019" s="15"/>
      <c r="K4019" s="16">
        <f>IF($E$1&gt;=$Q$1%,816.27-(816.27*$Q$1%),816.27-(816.27*$E$1))</f>
        <v>816.27</v>
      </c>
      <c r="L4019" s="16">
        <f>IF($E$1&gt;=$Q$1%,669.07-(669.07*$Q$1%),669.07-(669.07*$E$1))</f>
        <v>669.07</v>
      </c>
      <c r="M4019" s="1">
        <v>816.27</v>
      </c>
      <c r="N4019" s="1">
        <v>669.07</v>
      </c>
      <c r="O4019" s="1">
        <v>816.27</v>
      </c>
      <c r="P4019" s="1">
        <v>669.07</v>
      </c>
      <c r="Q4019">
        <v>0.24</v>
      </c>
      <c r="R4019">
        <v>6.6200000000000005E-4</v>
      </c>
    </row>
    <row r="4020" spans="1:18" ht="13.8" outlineLevel="2" x14ac:dyDescent="0.25">
      <c r="A4020">
        <v>78498</v>
      </c>
      <c r="B4020" t="s">
        <v>5534</v>
      </c>
      <c r="C4020" t="s">
        <v>5548</v>
      </c>
      <c r="D4020" s="14" t="s">
        <v>5549</v>
      </c>
      <c r="E4020" s="12" t="s">
        <v>28</v>
      </c>
      <c r="F4020" s="17" t="s">
        <v>549</v>
      </c>
      <c r="G4020">
        <v>1</v>
      </c>
      <c r="H4020" t="s">
        <v>30</v>
      </c>
      <c r="I4020">
        <v>1</v>
      </c>
      <c r="J4020" s="15"/>
      <c r="K4020" s="16">
        <f>IF($E$1&gt;=$Q$1%,693.58-(693.58*$Q$1%),693.58-(693.58*$E$1))</f>
        <v>693.58</v>
      </c>
      <c r="L4020" s="16">
        <f>IF($E$1&gt;=$Q$1%,568.51-(568.51*$Q$1%),568.51-(568.51*$E$1))</f>
        <v>568.51</v>
      </c>
      <c r="M4020" s="1">
        <v>693.58</v>
      </c>
      <c r="N4020" s="1">
        <v>568.51</v>
      </c>
      <c r="O4020" s="1">
        <v>693.58</v>
      </c>
      <c r="P4020" s="1">
        <v>568.51</v>
      </c>
      <c r="Q4020">
        <v>0.25</v>
      </c>
      <c r="R4020">
        <v>5.9400000000000002E-4</v>
      </c>
    </row>
    <row r="4021" spans="1:18" ht="13.8" outlineLevel="2" x14ac:dyDescent="0.25">
      <c r="A4021">
        <v>78499</v>
      </c>
      <c r="B4021" t="s">
        <v>5534</v>
      </c>
      <c r="C4021" t="s">
        <v>5550</v>
      </c>
      <c r="D4021" s="14" t="s">
        <v>5551</v>
      </c>
      <c r="E4021" s="12" t="s">
        <v>28</v>
      </c>
      <c r="F4021" s="13" t="s">
        <v>29</v>
      </c>
      <c r="G4021">
        <v>1</v>
      </c>
      <c r="H4021" t="s">
        <v>30</v>
      </c>
      <c r="I4021">
        <v>1</v>
      </c>
      <c r="J4021" s="15"/>
      <c r="K4021" s="16">
        <f>IF($E$1&gt;=$Q$1%,1054.91-(1054.91*$Q$1%),1054.91-(1054.91*$E$1))</f>
        <v>1054.9100000000001</v>
      </c>
      <c r="L4021" s="16">
        <f>IF($E$1&gt;=$Q$1%,864.68-(864.68*$Q$1%),864.68-(864.68*$E$1))</f>
        <v>864.68</v>
      </c>
      <c r="M4021" s="1">
        <v>1054.9100000000001</v>
      </c>
      <c r="N4021" s="1">
        <v>864.68</v>
      </c>
      <c r="O4021" s="1">
        <v>1054.9100000000001</v>
      </c>
      <c r="P4021" s="1">
        <v>864.68</v>
      </c>
      <c r="Q4021">
        <v>0.22</v>
      </c>
      <c r="R4021">
        <v>9.3599999999999998E-4</v>
      </c>
    </row>
    <row r="4022" spans="1:18" ht="13.8" outlineLevel="2" x14ac:dyDescent="0.25">
      <c r="A4022">
        <v>79899</v>
      </c>
      <c r="B4022" t="s">
        <v>5534</v>
      </c>
      <c r="C4022" t="s">
        <v>5552</v>
      </c>
      <c r="D4022" s="14" t="s">
        <v>5553</v>
      </c>
      <c r="E4022" s="12" t="s">
        <v>28</v>
      </c>
      <c r="F4022" s="13" t="s">
        <v>29</v>
      </c>
      <c r="G4022">
        <v>1</v>
      </c>
      <c r="H4022" t="s">
        <v>30</v>
      </c>
      <c r="I4022">
        <v>1</v>
      </c>
      <c r="J4022" s="15"/>
      <c r="K4022" s="16">
        <f>IF($E$1&gt;=$Q$1%,708.33-(708.33*$Q$1%),708.33-(708.33*$E$1))</f>
        <v>708.33</v>
      </c>
      <c r="L4022" s="16">
        <f>IF($E$1&gt;=$Q$1%,580.6-(580.6*$Q$1%),580.6-(580.6*$E$1))</f>
        <v>580.6</v>
      </c>
      <c r="M4022" s="1">
        <v>708.33</v>
      </c>
      <c r="N4022" s="1">
        <v>580.6</v>
      </c>
      <c r="O4022" s="1">
        <v>708.33</v>
      </c>
      <c r="P4022" s="1">
        <v>580.6</v>
      </c>
      <c r="Q4022">
        <v>0.15</v>
      </c>
      <c r="R4022">
        <v>4.1399999999999998E-4</v>
      </c>
    </row>
    <row r="4023" spans="1:18" ht="13.8" outlineLevel="2" x14ac:dyDescent="0.25">
      <c r="A4023">
        <v>78501</v>
      </c>
      <c r="B4023" t="s">
        <v>5554</v>
      </c>
      <c r="C4023" t="s">
        <v>5555</v>
      </c>
      <c r="D4023" s="14" t="s">
        <v>5555</v>
      </c>
      <c r="E4023" s="12" t="s">
        <v>28</v>
      </c>
      <c r="F4023" s="13" t="s">
        <v>29</v>
      </c>
      <c r="G4023">
        <v>1</v>
      </c>
      <c r="H4023" t="s">
        <v>30</v>
      </c>
      <c r="I4023">
        <v>1</v>
      </c>
      <c r="J4023" s="15"/>
      <c r="K4023" s="16">
        <f>IF($E$1&gt;=$Q$1%,138.85-(138.85*$Q$1%),138.85-(138.85*$E$1))</f>
        <v>138.85</v>
      </c>
      <c r="L4023" s="16">
        <f>IF($E$1&gt;=$Q$1%,113.81-(113.81*$Q$1%),113.81-(113.81*$E$1))</f>
        <v>113.81</v>
      </c>
      <c r="M4023" s="1">
        <v>138.85</v>
      </c>
      <c r="N4023" s="1">
        <v>113.81</v>
      </c>
      <c r="O4023" s="1">
        <v>138.85</v>
      </c>
      <c r="P4023" s="1">
        <v>113.81</v>
      </c>
      <c r="Q4023">
        <v>0.03</v>
      </c>
      <c r="R4023">
        <v>1.4E-5</v>
      </c>
    </row>
    <row r="4024" spans="1:18" ht="16.5" customHeight="1" outlineLevel="1" x14ac:dyDescent="0.35">
      <c r="A4024" s="9"/>
      <c r="B4024" s="10" t="s">
        <v>5556</v>
      </c>
      <c r="C4024" s="10"/>
      <c r="D4024" s="10"/>
      <c r="E4024" s="10"/>
      <c r="F4024" s="10"/>
      <c r="G4024" s="10"/>
      <c r="H4024" s="10"/>
      <c r="I4024" s="10"/>
      <c r="J4024" s="10"/>
      <c r="K4024" s="10"/>
      <c r="L4024" s="10"/>
      <c r="M4024" s="10"/>
      <c r="N4024" s="10"/>
      <c r="O4024" s="10"/>
      <c r="P4024" s="10"/>
      <c r="Q4024" s="10"/>
      <c r="R4024" s="11"/>
    </row>
    <row r="4025" spans="1:18" ht="13.8" outlineLevel="2" x14ac:dyDescent="0.25">
      <c r="A4025">
        <v>102040</v>
      </c>
      <c r="B4025" t="s">
        <v>5557</v>
      </c>
      <c r="C4025" t="s">
        <v>5558</v>
      </c>
      <c r="D4025" s="14" t="s">
        <v>5559</v>
      </c>
      <c r="E4025" s="12" t="s">
        <v>28</v>
      </c>
      <c r="F4025" s="13" t="s">
        <v>29</v>
      </c>
      <c r="G4025">
        <v>1</v>
      </c>
      <c r="H4025" t="s">
        <v>30</v>
      </c>
      <c r="I4025">
        <v>1</v>
      </c>
      <c r="J4025" s="15"/>
      <c r="K4025" s="21" t="s">
        <v>5560</v>
      </c>
      <c r="L4025" s="21" t="s">
        <v>5561</v>
      </c>
      <c r="M4025" s="1">
        <v>844.64</v>
      </c>
      <c r="N4025" s="1">
        <v>692.33</v>
      </c>
      <c r="O4025" s="1">
        <v>717.95</v>
      </c>
      <c r="P4025" s="1">
        <v>588.48</v>
      </c>
      <c r="Q4025">
        <v>0.4</v>
      </c>
      <c r="R4025">
        <v>6.96E-4</v>
      </c>
    </row>
    <row r="4026" spans="1:18" ht="13.8" outlineLevel="2" x14ac:dyDescent="0.25">
      <c r="A4026">
        <v>102042</v>
      </c>
      <c r="B4026" t="s">
        <v>5562</v>
      </c>
      <c r="C4026" t="s">
        <v>5563</v>
      </c>
      <c r="D4026" s="14" t="s">
        <v>5564</v>
      </c>
      <c r="E4026" s="12" t="s">
        <v>28</v>
      </c>
      <c r="F4026" s="13" t="s">
        <v>29</v>
      </c>
      <c r="G4026">
        <v>1</v>
      </c>
      <c r="H4026" t="s">
        <v>30</v>
      </c>
      <c r="I4026">
        <v>1</v>
      </c>
      <c r="J4026" s="15"/>
      <c r="K4026" s="21" t="s">
        <v>5565</v>
      </c>
      <c r="L4026" s="21" t="s">
        <v>5566</v>
      </c>
      <c r="M4026" s="1">
        <v>843.18</v>
      </c>
      <c r="N4026" s="1">
        <v>691.13</v>
      </c>
      <c r="O4026" s="1">
        <v>716.7</v>
      </c>
      <c r="P4026" s="1">
        <v>587.46</v>
      </c>
      <c r="Q4026">
        <v>0.4</v>
      </c>
      <c r="R4026">
        <v>7.0799999999999997E-4</v>
      </c>
    </row>
    <row r="4027" spans="1:18" ht="13.8" outlineLevel="2" x14ac:dyDescent="0.25">
      <c r="A4027">
        <v>102041</v>
      </c>
      <c r="B4027" t="s">
        <v>5567</v>
      </c>
      <c r="C4027" t="s">
        <v>5568</v>
      </c>
      <c r="D4027" s="14" t="s">
        <v>5569</v>
      </c>
      <c r="E4027" s="12" t="s">
        <v>28</v>
      </c>
      <c r="F4027" s="13" t="s">
        <v>29</v>
      </c>
      <c r="G4027">
        <v>1</v>
      </c>
      <c r="H4027" t="s">
        <v>30</v>
      </c>
      <c r="I4027">
        <v>1</v>
      </c>
      <c r="J4027" s="15"/>
      <c r="K4027" s="21" t="s">
        <v>5570</v>
      </c>
      <c r="L4027" s="21" t="s">
        <v>5571</v>
      </c>
      <c r="M4027" s="1">
        <v>844.04</v>
      </c>
      <c r="N4027" s="1">
        <v>691.84</v>
      </c>
      <c r="O4027" s="1">
        <v>717.44</v>
      </c>
      <c r="P4027" s="1">
        <v>588.05999999999995</v>
      </c>
      <c r="Q4027">
        <v>0.4</v>
      </c>
      <c r="R4027">
        <v>6.96E-4</v>
      </c>
    </row>
    <row r="4028" spans="1:18" ht="13.8" outlineLevel="2" x14ac:dyDescent="0.25">
      <c r="A4028">
        <v>104582</v>
      </c>
      <c r="B4028" t="s">
        <v>5572</v>
      </c>
      <c r="C4028" t="s">
        <v>5573</v>
      </c>
      <c r="D4028" s="14" t="s">
        <v>5574</v>
      </c>
      <c r="E4028" s="12" t="s">
        <v>28</v>
      </c>
      <c r="F4028" s="13" t="s">
        <v>29</v>
      </c>
      <c r="G4028">
        <v>1</v>
      </c>
      <c r="H4028" t="s">
        <v>30</v>
      </c>
      <c r="I4028">
        <v>1</v>
      </c>
      <c r="J4028" s="15"/>
      <c r="K4028" s="21" t="s">
        <v>5575</v>
      </c>
      <c r="L4028" s="21" t="s">
        <v>5576</v>
      </c>
      <c r="M4028" s="1">
        <v>2379.9</v>
      </c>
      <c r="N4028" s="1">
        <v>1950.74</v>
      </c>
      <c r="O4028" s="1">
        <v>2022.92</v>
      </c>
      <c r="P4028" s="1">
        <v>1658.13</v>
      </c>
      <c r="Q4028">
        <v>1.27</v>
      </c>
      <c r="R4028">
        <v>3.4299999999999999E-3</v>
      </c>
    </row>
    <row r="4029" spans="1:18" ht="13.8" outlineLevel="2" x14ac:dyDescent="0.25">
      <c r="A4029">
        <v>102044</v>
      </c>
      <c r="B4029" t="s">
        <v>5562</v>
      </c>
      <c r="C4029" t="s">
        <v>5577</v>
      </c>
      <c r="D4029" s="14" t="s">
        <v>5578</v>
      </c>
      <c r="E4029" s="12" t="s">
        <v>28</v>
      </c>
      <c r="F4029" s="13" t="s">
        <v>29</v>
      </c>
      <c r="G4029">
        <v>1</v>
      </c>
      <c r="H4029" t="s">
        <v>30</v>
      </c>
      <c r="I4029">
        <v>1</v>
      </c>
      <c r="J4029" s="15"/>
      <c r="K4029" s="21" t="s">
        <v>5579</v>
      </c>
      <c r="L4029" s="21" t="s">
        <v>5580</v>
      </c>
      <c r="M4029" s="1">
        <v>1382.41</v>
      </c>
      <c r="N4029" s="1">
        <v>1133.1199999999999</v>
      </c>
      <c r="O4029" s="1">
        <v>1175.05</v>
      </c>
      <c r="P4029" s="1">
        <v>963.15</v>
      </c>
      <c r="Q4029">
        <v>0.54</v>
      </c>
      <c r="R4029">
        <v>9.6000000000000002E-4</v>
      </c>
    </row>
    <row r="4030" spans="1:18" ht="13.8" outlineLevel="2" x14ac:dyDescent="0.25">
      <c r="A4030">
        <v>102045</v>
      </c>
      <c r="B4030" t="s">
        <v>5567</v>
      </c>
      <c r="C4030" t="s">
        <v>5581</v>
      </c>
      <c r="D4030" s="14" t="s">
        <v>5582</v>
      </c>
      <c r="E4030" s="12" t="s">
        <v>28</v>
      </c>
      <c r="F4030" s="13" t="s">
        <v>29</v>
      </c>
      <c r="G4030">
        <v>1</v>
      </c>
      <c r="H4030" t="s">
        <v>30</v>
      </c>
      <c r="I4030">
        <v>1</v>
      </c>
      <c r="J4030" s="15"/>
      <c r="K4030" s="21" t="s">
        <v>5583</v>
      </c>
      <c r="L4030" s="21" t="s">
        <v>5584</v>
      </c>
      <c r="M4030" s="1">
        <v>1381.5</v>
      </c>
      <c r="N4030" s="1">
        <v>1132.3800000000001</v>
      </c>
      <c r="O4030" s="1">
        <v>1174.28</v>
      </c>
      <c r="P4030" s="1">
        <v>962.52</v>
      </c>
      <c r="Q4030">
        <v>0.54</v>
      </c>
      <c r="R4030">
        <v>9.9200000000000004E-4</v>
      </c>
    </row>
    <row r="4031" spans="1:18" ht="13.8" outlineLevel="2" x14ac:dyDescent="0.25">
      <c r="A4031">
        <v>104428</v>
      </c>
      <c r="B4031" t="s">
        <v>5585</v>
      </c>
      <c r="C4031" t="s">
        <v>5586</v>
      </c>
      <c r="D4031" s="14" t="s">
        <v>5587</v>
      </c>
      <c r="E4031" s="12" t="s">
        <v>28</v>
      </c>
      <c r="F4031" s="13" t="s">
        <v>29</v>
      </c>
      <c r="G4031">
        <v>1</v>
      </c>
      <c r="H4031" t="s">
        <v>30</v>
      </c>
      <c r="I4031">
        <v>1</v>
      </c>
      <c r="J4031" s="15"/>
      <c r="K4031" s="21" t="s">
        <v>5588</v>
      </c>
      <c r="L4031" s="21" t="s">
        <v>5589</v>
      </c>
      <c r="M4031" s="1">
        <v>1613.93</v>
      </c>
      <c r="N4031" s="1">
        <v>1322.89</v>
      </c>
      <c r="O4031" s="1">
        <v>1371.84</v>
      </c>
      <c r="P4031" s="1">
        <v>1124.46</v>
      </c>
      <c r="Q4031">
        <v>0.47</v>
      </c>
      <c r="R4031">
        <v>7.4399999999999998E-4</v>
      </c>
    </row>
    <row r="4032" spans="1:18" ht="13.8" outlineLevel="2" x14ac:dyDescent="0.25">
      <c r="A4032">
        <v>104955</v>
      </c>
      <c r="B4032" t="s">
        <v>5590</v>
      </c>
      <c r="C4032" t="s">
        <v>5591</v>
      </c>
      <c r="D4032" s="14" t="s">
        <v>5592</v>
      </c>
      <c r="E4032" s="12" t="s">
        <v>28</v>
      </c>
      <c r="F4032" s="13" t="s">
        <v>29</v>
      </c>
      <c r="G4032">
        <v>1</v>
      </c>
      <c r="H4032" t="s">
        <v>30</v>
      </c>
      <c r="I4032">
        <v>1</v>
      </c>
      <c r="J4032" s="15"/>
      <c r="K4032" s="21" t="s">
        <v>5588</v>
      </c>
      <c r="L4032" s="21" t="s">
        <v>5589</v>
      </c>
      <c r="M4032" s="1">
        <v>1613.93</v>
      </c>
      <c r="N4032" s="1">
        <v>1322.89</v>
      </c>
      <c r="O4032" s="1">
        <v>1371.84</v>
      </c>
      <c r="P4032" s="1">
        <v>1124.46</v>
      </c>
      <c r="Q4032">
        <v>0.45</v>
      </c>
      <c r="R4032">
        <v>7.4399999999999998E-4</v>
      </c>
    </row>
    <row r="4033" spans="1:18" ht="13.8" outlineLevel="2" x14ac:dyDescent="0.25">
      <c r="A4033">
        <v>102043</v>
      </c>
      <c r="B4033" t="s">
        <v>5593</v>
      </c>
      <c r="C4033" t="s">
        <v>5594</v>
      </c>
      <c r="D4033" s="14" t="s">
        <v>5595</v>
      </c>
      <c r="E4033" s="12" t="s">
        <v>28</v>
      </c>
      <c r="F4033" s="13" t="s">
        <v>29</v>
      </c>
      <c r="G4033">
        <v>1</v>
      </c>
      <c r="H4033" t="s">
        <v>30</v>
      </c>
      <c r="I4033">
        <v>1</v>
      </c>
      <c r="J4033" s="15"/>
      <c r="K4033" s="21" t="s">
        <v>5596</v>
      </c>
      <c r="L4033" s="21" t="s">
        <v>5597</v>
      </c>
      <c r="M4033" s="1">
        <v>944.29</v>
      </c>
      <c r="N4033" s="1">
        <v>774.01</v>
      </c>
      <c r="O4033" s="1">
        <v>802.65</v>
      </c>
      <c r="P4033" s="1">
        <v>657.91</v>
      </c>
      <c r="Q4033">
        <v>0.43</v>
      </c>
      <c r="R4033">
        <v>7.9199999999999995E-4</v>
      </c>
    </row>
    <row r="4034" spans="1:18" ht="33.75" customHeight="1" x14ac:dyDescent="0.35">
      <c r="A4034" s="9"/>
      <c r="B4034" s="10" t="s">
        <v>5598</v>
      </c>
      <c r="C4034" s="10"/>
      <c r="D4034" s="10"/>
      <c r="E4034" s="10"/>
      <c r="F4034" s="10"/>
      <c r="G4034" s="10"/>
      <c r="H4034" s="10"/>
      <c r="I4034" s="10"/>
      <c r="J4034" s="10"/>
      <c r="K4034" s="10"/>
      <c r="L4034" s="10"/>
      <c r="M4034" s="10"/>
      <c r="N4034" s="10"/>
      <c r="O4034" s="10"/>
      <c r="P4034" s="10"/>
      <c r="Q4034" s="10"/>
      <c r="R4034" s="11"/>
    </row>
    <row r="4035" spans="1:18" ht="16.5" customHeight="1" outlineLevel="1" x14ac:dyDescent="0.35">
      <c r="A4035" s="9"/>
      <c r="B4035" s="10" t="s">
        <v>5599</v>
      </c>
      <c r="C4035" s="10"/>
      <c r="D4035" s="10"/>
      <c r="E4035" s="10"/>
      <c r="F4035" s="10"/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1"/>
    </row>
    <row r="4036" spans="1:18" ht="16.5" customHeight="1" outlineLevel="2" x14ac:dyDescent="0.35">
      <c r="A4036" s="9"/>
      <c r="B4036" s="10" t="s">
        <v>5599</v>
      </c>
      <c r="C4036" s="10"/>
      <c r="D4036" s="10"/>
      <c r="E4036" s="10"/>
      <c r="F4036" s="10"/>
      <c r="G4036" s="10"/>
      <c r="H4036" s="10"/>
      <c r="I4036" s="10"/>
      <c r="J4036" s="10"/>
      <c r="K4036" s="10"/>
      <c r="L4036" s="10"/>
      <c r="M4036" s="10"/>
      <c r="N4036" s="10"/>
      <c r="O4036" s="10"/>
      <c r="P4036" s="10"/>
      <c r="Q4036" s="10"/>
      <c r="R4036" s="11"/>
    </row>
    <row r="4037" spans="1:18" ht="13.8" outlineLevel="3" x14ac:dyDescent="0.25">
      <c r="A4037">
        <v>74326</v>
      </c>
      <c r="B4037" t="s">
        <v>5600</v>
      </c>
      <c r="C4037" t="s">
        <v>5601</v>
      </c>
      <c r="D4037" s="14" t="s">
        <v>5602</v>
      </c>
      <c r="E4037" s="12" t="s">
        <v>28</v>
      </c>
      <c r="F4037" s="13" t="s">
        <v>29</v>
      </c>
      <c r="G4037">
        <v>1</v>
      </c>
      <c r="H4037" t="s">
        <v>30</v>
      </c>
      <c r="I4037">
        <v>1</v>
      </c>
      <c r="J4037" s="15"/>
      <c r="K4037" s="16">
        <f>IF($E$1&gt;=$Q$1%,6688.42-(6688.42*$Q$1%),6688.42-(6688.42*$E$1))</f>
        <v>6688.42</v>
      </c>
      <c r="L4037" s="16">
        <f>IF($E$1&gt;=$Q$1%,5482.31-(5482.31*$Q$1%),5482.31-(5482.31*$E$1))</f>
        <v>5482.31</v>
      </c>
      <c r="M4037" s="1">
        <v>6688.42</v>
      </c>
      <c r="N4037" s="1">
        <v>5482.31</v>
      </c>
      <c r="O4037" s="1">
        <v>6688.42</v>
      </c>
      <c r="P4037" s="1">
        <v>5482.31</v>
      </c>
      <c r="Q4037">
        <v>1.4</v>
      </c>
      <c r="R4037">
        <v>5.3600000000000002E-4</v>
      </c>
    </row>
    <row r="4038" spans="1:18" ht="13.8" outlineLevel="3" x14ac:dyDescent="0.25">
      <c r="A4038">
        <v>74327</v>
      </c>
      <c r="B4038" t="s">
        <v>5600</v>
      </c>
      <c r="C4038" t="s">
        <v>5603</v>
      </c>
      <c r="D4038" s="14" t="s">
        <v>5604</v>
      </c>
      <c r="E4038" s="12" t="s">
        <v>28</v>
      </c>
      <c r="F4038" s="13" t="s">
        <v>29</v>
      </c>
      <c r="G4038">
        <v>1</v>
      </c>
      <c r="H4038" t="s">
        <v>30</v>
      </c>
      <c r="I4038">
        <v>1</v>
      </c>
      <c r="J4038" s="15"/>
      <c r="K4038" s="16">
        <f>IF($E$1&gt;=$Q$1%,8926.9-(8926.9*$Q$1%),8926.9-(8926.9*$E$1))</f>
        <v>8926.9</v>
      </c>
      <c r="L4038" s="16">
        <f>IF($E$1&gt;=$Q$1%,7317.13-(7317.13*$Q$1%),7317.13-(7317.13*$E$1))</f>
        <v>7317.13</v>
      </c>
      <c r="M4038" s="1">
        <v>8926.9</v>
      </c>
      <c r="N4038" s="1">
        <v>7317.13</v>
      </c>
      <c r="O4038" s="1">
        <v>8926.9</v>
      </c>
      <c r="P4038" s="1">
        <v>7317.13</v>
      </c>
      <c r="Q4038">
        <v>2.6</v>
      </c>
      <c r="R4038">
        <v>1.2179999999999999E-3</v>
      </c>
    </row>
    <row r="4039" spans="1:18" ht="13.8" outlineLevel="3" x14ac:dyDescent="0.25">
      <c r="A4039">
        <v>74328</v>
      </c>
      <c r="B4039" t="s">
        <v>5600</v>
      </c>
      <c r="C4039" t="s">
        <v>5605</v>
      </c>
      <c r="D4039" s="14" t="s">
        <v>5606</v>
      </c>
      <c r="E4039" s="12" t="s">
        <v>28</v>
      </c>
      <c r="F4039" s="13" t="s">
        <v>29</v>
      </c>
      <c r="G4039">
        <v>1</v>
      </c>
      <c r="H4039" t="s">
        <v>30</v>
      </c>
      <c r="I4039">
        <v>1</v>
      </c>
      <c r="J4039" s="15"/>
      <c r="K4039" s="16">
        <f>IF($E$1&gt;=$Q$1%,11756.96-(11756.96*$Q$1%),11756.96-(11756.96*$E$1))</f>
        <v>11756.96</v>
      </c>
      <c r="L4039" s="16">
        <f>IF($E$1&gt;=$Q$1%,9636.85-(9636.85*$Q$1%),9636.85-(9636.85*$E$1))</f>
        <v>9636.85</v>
      </c>
      <c r="M4039" s="1">
        <v>11756.96</v>
      </c>
      <c r="N4039" s="1">
        <v>9636.85</v>
      </c>
      <c r="O4039" s="1">
        <v>11756.96</v>
      </c>
      <c r="P4039" s="1">
        <v>9636.85</v>
      </c>
      <c r="Q4039">
        <v>4</v>
      </c>
      <c r="R4039">
        <v>1.8400000000000001E-3</v>
      </c>
    </row>
    <row r="4040" spans="1:18" ht="13.8" outlineLevel="3" x14ac:dyDescent="0.25">
      <c r="A4040">
        <v>74329</v>
      </c>
      <c r="B4040" t="s">
        <v>5600</v>
      </c>
      <c r="C4040" t="s">
        <v>5607</v>
      </c>
      <c r="D4040" s="14" t="s">
        <v>5608</v>
      </c>
      <c r="E4040" s="12" t="s">
        <v>28</v>
      </c>
      <c r="F4040" s="13" t="s">
        <v>29</v>
      </c>
      <c r="G4040">
        <v>1</v>
      </c>
      <c r="H4040" t="s">
        <v>30</v>
      </c>
      <c r="I4040">
        <v>1</v>
      </c>
      <c r="J4040" s="15"/>
      <c r="K4040" s="16">
        <f>IF($E$1&gt;=$Q$1%,15129.78-(15129.78*$Q$1%),15129.78-(15129.78*$E$1))</f>
        <v>15129.78</v>
      </c>
      <c r="L4040" s="16">
        <f>IF($E$1&gt;=$Q$1%,12401.46-(12401.46*$Q$1%),12401.46-(12401.46*$E$1))</f>
        <v>12401.46</v>
      </c>
      <c r="M4040" s="1">
        <v>15129.78</v>
      </c>
      <c r="N4040" s="1">
        <v>12401.46</v>
      </c>
      <c r="O4040" s="1">
        <v>15129.78</v>
      </c>
      <c r="P4040" s="1">
        <v>12401.46</v>
      </c>
      <c r="Q4040">
        <v>6.3</v>
      </c>
      <c r="R4040">
        <v>2.7720000000000002E-3</v>
      </c>
    </row>
    <row r="4041" spans="1:18" ht="13.8" outlineLevel="3" x14ac:dyDescent="0.25">
      <c r="A4041">
        <v>84598</v>
      </c>
      <c r="B4041" t="s">
        <v>5600</v>
      </c>
      <c r="C4041" t="s">
        <v>5609</v>
      </c>
      <c r="D4041" s="14" t="s">
        <v>5610</v>
      </c>
      <c r="E4041" s="12" t="s">
        <v>28</v>
      </c>
      <c r="F4041" s="13" t="s">
        <v>29</v>
      </c>
      <c r="H4041" t="s">
        <v>30</v>
      </c>
      <c r="I4041">
        <v>1</v>
      </c>
      <c r="J4041" s="15"/>
      <c r="K4041" s="16">
        <f>IF($E$1&gt;=$Q$1%,28860.08-(28860.08*$Q$1%),28860.08-(28860.08*$E$1))</f>
        <v>28860.080000000002</v>
      </c>
      <c r="L4041" s="16">
        <f>IF($E$1&gt;=$Q$1%,23655.8-(23655.8*$Q$1%),23655.8-(23655.8*$E$1))</f>
        <v>23655.8</v>
      </c>
      <c r="M4041" s="1">
        <v>28860.080000000002</v>
      </c>
      <c r="N4041" s="1">
        <v>23655.8</v>
      </c>
      <c r="O4041" s="1">
        <v>28860.080000000002</v>
      </c>
      <c r="P4041" s="1">
        <v>23655.8</v>
      </c>
    </row>
    <row r="4042" spans="1:18" ht="13.8" outlineLevel="3" x14ac:dyDescent="0.25">
      <c r="A4042">
        <v>88498</v>
      </c>
      <c r="B4042" t="s">
        <v>5600</v>
      </c>
      <c r="C4042" t="s">
        <v>5611</v>
      </c>
      <c r="D4042" s="14" t="s">
        <v>5612</v>
      </c>
      <c r="E4042" s="12" t="s">
        <v>28</v>
      </c>
      <c r="F4042" s="13" t="s">
        <v>29</v>
      </c>
      <c r="H4042" t="s">
        <v>30</v>
      </c>
      <c r="I4042">
        <v>1</v>
      </c>
      <c r="J4042" s="15"/>
      <c r="K4042" s="16">
        <f>IF($E$1&gt;=$Q$1%,45603.64-(45603.64*$Q$1%),45603.64-(45603.64*$E$1))</f>
        <v>45603.64</v>
      </c>
      <c r="L4042" s="16">
        <f>IF($E$1&gt;=$Q$1%,37380.03-(37380.03*$Q$1%),37380.03-(37380.03*$E$1))</f>
        <v>37380.03</v>
      </c>
      <c r="M4042" s="1">
        <v>45603.64</v>
      </c>
      <c r="N4042" s="1">
        <v>37380.03</v>
      </c>
      <c r="O4042" s="1">
        <v>45603.64</v>
      </c>
      <c r="P4042" s="1">
        <v>37380.03</v>
      </c>
    </row>
    <row r="4043" spans="1:18" ht="13.8" outlineLevel="3" x14ac:dyDescent="0.25">
      <c r="A4043">
        <v>84593</v>
      </c>
      <c r="B4043" t="s">
        <v>5613</v>
      </c>
      <c r="C4043" t="s">
        <v>5614</v>
      </c>
      <c r="D4043" s="14" t="s">
        <v>5615</v>
      </c>
      <c r="E4043" s="12" t="s">
        <v>28</v>
      </c>
      <c r="F4043" s="13" t="s">
        <v>29</v>
      </c>
      <c r="G4043">
        <v>1</v>
      </c>
      <c r="H4043" t="s">
        <v>30</v>
      </c>
      <c r="I4043">
        <v>1</v>
      </c>
      <c r="J4043" s="15"/>
      <c r="K4043" s="16">
        <f>IF($E$1&gt;=$Q$1%,8780.05-(8780.05*$Q$1%),8780.05-(8780.05*$E$1))</f>
        <v>8780.0499999999993</v>
      </c>
      <c r="L4043" s="16">
        <f>IF($E$1&gt;=$Q$1%,7196.76-(7196.76*$Q$1%),7196.76-(7196.76*$E$1))</f>
        <v>7196.76</v>
      </c>
      <c r="M4043" s="1">
        <v>8780.0499999999993</v>
      </c>
      <c r="N4043" s="1">
        <v>7196.76</v>
      </c>
      <c r="O4043" s="1">
        <v>8780.0499999999993</v>
      </c>
      <c r="P4043" s="1">
        <v>7196.76</v>
      </c>
      <c r="Q4043">
        <v>1.4</v>
      </c>
      <c r="R4043">
        <v>6.7199999999999996E-4</v>
      </c>
    </row>
    <row r="4044" spans="1:18" ht="13.8" outlineLevel="3" x14ac:dyDescent="0.25">
      <c r="A4044">
        <v>84594</v>
      </c>
      <c r="B4044" t="s">
        <v>5613</v>
      </c>
      <c r="C4044" t="s">
        <v>5616</v>
      </c>
      <c r="D4044" s="14" t="s">
        <v>5617</v>
      </c>
      <c r="E4044" s="12" t="s">
        <v>28</v>
      </c>
      <c r="F4044" s="13" t="s">
        <v>29</v>
      </c>
      <c r="G4044">
        <v>1</v>
      </c>
      <c r="H4044" t="s">
        <v>30</v>
      </c>
      <c r="I4044">
        <v>1</v>
      </c>
      <c r="J4044" s="15"/>
      <c r="K4044" s="16">
        <f>IF($E$1&gt;=$Q$1%,11609.65-(11609.65*$Q$1%),11609.65-(11609.65*$E$1))</f>
        <v>11609.65</v>
      </c>
      <c r="L4044" s="16">
        <f>IF($E$1&gt;=$Q$1%,9516.11-(9516.11*$Q$1%),9516.11-(9516.11*$E$1))</f>
        <v>9516.11</v>
      </c>
      <c r="M4044" s="1">
        <v>11609.65</v>
      </c>
      <c r="N4044" s="1">
        <v>9516.11</v>
      </c>
      <c r="O4044" s="1">
        <v>11609.65</v>
      </c>
      <c r="P4044" s="1">
        <v>9516.11</v>
      </c>
      <c r="Q4044">
        <v>2.6</v>
      </c>
      <c r="R4044">
        <v>1.4400000000000001E-3</v>
      </c>
    </row>
    <row r="4045" spans="1:18" ht="13.8" outlineLevel="3" x14ac:dyDescent="0.25">
      <c r="A4045">
        <v>84595</v>
      </c>
      <c r="B4045" t="s">
        <v>5613</v>
      </c>
      <c r="C4045" t="s">
        <v>5618</v>
      </c>
      <c r="D4045" s="14" t="s">
        <v>5619</v>
      </c>
      <c r="E4045" s="12" t="s">
        <v>28</v>
      </c>
      <c r="F4045" s="13" t="s">
        <v>29</v>
      </c>
      <c r="G4045">
        <v>1</v>
      </c>
      <c r="H4045" t="s">
        <v>30</v>
      </c>
      <c r="I4045">
        <v>1</v>
      </c>
      <c r="J4045" s="15"/>
      <c r="K4045" s="16">
        <f>IF($E$1&gt;=$Q$1%,15387.52-(15387.52*$Q$1%),15387.52-(15387.52*$E$1))</f>
        <v>15387.52</v>
      </c>
      <c r="L4045" s="16">
        <f>IF($E$1&gt;=$Q$1%,12612.72-(12612.72*$Q$1%),12612.72-(12612.72*$E$1))</f>
        <v>12612.72</v>
      </c>
      <c r="M4045" s="1">
        <v>15387.52</v>
      </c>
      <c r="N4045" s="1">
        <v>12612.72</v>
      </c>
      <c r="O4045" s="1">
        <v>15387.52</v>
      </c>
      <c r="P4045" s="1">
        <v>12612.72</v>
      </c>
      <c r="Q4045">
        <v>4</v>
      </c>
      <c r="R4045">
        <v>1.748E-3</v>
      </c>
    </row>
    <row r="4046" spans="1:18" ht="13.8" outlineLevel="3" x14ac:dyDescent="0.25">
      <c r="A4046">
        <v>84596</v>
      </c>
      <c r="B4046" t="s">
        <v>5613</v>
      </c>
      <c r="C4046" t="s">
        <v>5620</v>
      </c>
      <c r="D4046" s="14" t="s">
        <v>5621</v>
      </c>
      <c r="E4046" s="12" t="s">
        <v>28</v>
      </c>
      <c r="F4046" s="13" t="s">
        <v>29</v>
      </c>
      <c r="G4046">
        <v>1</v>
      </c>
      <c r="H4046" t="s">
        <v>30</v>
      </c>
      <c r="I4046">
        <v>1</v>
      </c>
      <c r="J4046" s="15"/>
      <c r="K4046" s="16">
        <f>IF($E$1&gt;=$Q$1%,21507.5-(21507.5*$Q$1%),21507.5-(21507.5*$E$1))</f>
        <v>21507.5</v>
      </c>
      <c r="L4046" s="16">
        <f>IF($E$1&gt;=$Q$1%,17629.1-(17629.1*$Q$1%),17629.1-(17629.1*$E$1))</f>
        <v>17629.099999999999</v>
      </c>
      <c r="M4046" s="1">
        <v>21507.5</v>
      </c>
      <c r="N4046" s="1">
        <v>17629.099999999999</v>
      </c>
      <c r="O4046" s="1">
        <v>21507.5</v>
      </c>
      <c r="P4046" s="1">
        <v>17629.099999999999</v>
      </c>
      <c r="Q4046">
        <v>7.3</v>
      </c>
      <c r="R4046">
        <v>3.2200000000000002E-3</v>
      </c>
    </row>
    <row r="4047" spans="1:18" ht="13.8" outlineLevel="3" x14ac:dyDescent="0.25">
      <c r="A4047">
        <v>84597</v>
      </c>
      <c r="B4047" t="s">
        <v>5613</v>
      </c>
      <c r="C4047" t="s">
        <v>5622</v>
      </c>
      <c r="D4047" s="14" t="s">
        <v>5623</v>
      </c>
      <c r="E4047" s="12" t="s">
        <v>28</v>
      </c>
      <c r="F4047" s="13" t="s">
        <v>29</v>
      </c>
      <c r="H4047" t="s">
        <v>30</v>
      </c>
      <c r="I4047">
        <v>1</v>
      </c>
      <c r="J4047" s="15"/>
      <c r="K4047" s="16">
        <f>IF($E$1&gt;=$Q$1%,34556.26-(34556.26*$Q$1%),34556.26-(34556.26*$E$1))</f>
        <v>34556.26</v>
      </c>
      <c r="L4047" s="16">
        <f>IF($E$1&gt;=$Q$1%,28324.8-(28324.8*$Q$1%),28324.8-(28324.8*$E$1))</f>
        <v>28324.799999999999</v>
      </c>
      <c r="M4047" s="1">
        <v>34556.26</v>
      </c>
      <c r="N4047" s="1">
        <v>28324.799999999999</v>
      </c>
      <c r="O4047" s="1">
        <v>34556.26</v>
      </c>
      <c r="P4047" s="1">
        <v>28324.799999999999</v>
      </c>
    </row>
    <row r="4048" spans="1:18" ht="13.8" outlineLevel="3" x14ac:dyDescent="0.25">
      <c r="A4048">
        <v>74330</v>
      </c>
      <c r="B4048" t="s">
        <v>5624</v>
      </c>
      <c r="C4048" t="s">
        <v>5625</v>
      </c>
      <c r="D4048" s="14" t="s">
        <v>5626</v>
      </c>
      <c r="E4048" s="12" t="s">
        <v>28</v>
      </c>
      <c r="F4048" s="13" t="s">
        <v>29</v>
      </c>
      <c r="G4048">
        <v>1</v>
      </c>
      <c r="H4048" t="s">
        <v>30</v>
      </c>
      <c r="I4048">
        <v>1</v>
      </c>
      <c r="J4048" s="15"/>
      <c r="K4048" s="16">
        <f>IF($E$1&gt;=$Q$1%,6272.65-(6272.65*$Q$1%),6272.65-(6272.65*$E$1))</f>
        <v>6272.65</v>
      </c>
      <c r="L4048" s="16">
        <f>IF($E$1&gt;=$Q$1%,5141.52-(5141.52*$Q$1%),5141.52-(5141.52*$E$1))</f>
        <v>5141.5200000000004</v>
      </c>
      <c r="M4048" s="1">
        <v>6272.65</v>
      </c>
      <c r="N4048" s="1">
        <v>5141.5200000000004</v>
      </c>
      <c r="O4048" s="1">
        <v>6272.65</v>
      </c>
      <c r="P4048" s="1">
        <v>5141.5200000000004</v>
      </c>
      <c r="Q4048">
        <v>2.6</v>
      </c>
      <c r="R4048">
        <v>1.142E-3</v>
      </c>
    </row>
    <row r="4049" spans="1:18" ht="13.8" outlineLevel="3" x14ac:dyDescent="0.25">
      <c r="A4049">
        <v>84544</v>
      </c>
      <c r="B4049" t="s">
        <v>5624</v>
      </c>
      <c r="C4049" t="s">
        <v>5627</v>
      </c>
      <c r="D4049" s="14" t="s">
        <v>5626</v>
      </c>
      <c r="E4049" s="12" t="s">
        <v>28</v>
      </c>
      <c r="F4049" s="13" t="s">
        <v>29</v>
      </c>
      <c r="G4049">
        <v>1</v>
      </c>
      <c r="H4049" t="s">
        <v>30</v>
      </c>
      <c r="I4049">
        <v>1</v>
      </c>
      <c r="J4049" s="15"/>
      <c r="K4049" s="16">
        <f>IF($E$1&gt;=$Q$1%,7895.96-(7895.96*$Q$1%),7895.96-(7895.96*$E$1))</f>
        <v>7895.96</v>
      </c>
      <c r="L4049" s="16">
        <f>IF($E$1&gt;=$Q$1%,6472.1-(6472.1*$Q$1%),6472.1-(6472.1*$E$1))</f>
        <v>6472.1</v>
      </c>
      <c r="M4049" s="1">
        <v>7895.96</v>
      </c>
      <c r="N4049" s="1">
        <v>6472.1</v>
      </c>
      <c r="O4049" s="1">
        <v>7895.96</v>
      </c>
      <c r="P4049" s="1">
        <v>6472.1</v>
      </c>
      <c r="Q4049">
        <v>3.5</v>
      </c>
      <c r="R4049">
        <v>1.2509999999999999E-3</v>
      </c>
    </row>
    <row r="4050" spans="1:18" ht="13.8" outlineLevel="3" x14ac:dyDescent="0.25">
      <c r="A4050">
        <v>74331</v>
      </c>
      <c r="B4050" t="s">
        <v>5624</v>
      </c>
      <c r="C4050" t="s">
        <v>5628</v>
      </c>
      <c r="D4050" s="14" t="s">
        <v>5626</v>
      </c>
      <c r="E4050" s="12" t="s">
        <v>28</v>
      </c>
      <c r="F4050" s="13" t="s">
        <v>29</v>
      </c>
      <c r="G4050">
        <v>1</v>
      </c>
      <c r="H4050" t="s">
        <v>30</v>
      </c>
      <c r="I4050">
        <v>1</v>
      </c>
      <c r="J4050" s="15"/>
      <c r="K4050" s="16">
        <f>IF($E$1&gt;=$Q$1%,12294.46-(12294.46*$Q$1%),12294.46-(12294.46*$E$1))</f>
        <v>12294.46</v>
      </c>
      <c r="L4050" s="16">
        <f>IF($E$1&gt;=$Q$1%,10077.43-(10077.43*$Q$1%),10077.43-(10077.43*$E$1))</f>
        <v>10077.43</v>
      </c>
      <c r="M4050" s="1">
        <v>12294.46</v>
      </c>
      <c r="N4050" s="1">
        <v>10077.43</v>
      </c>
      <c r="O4050" s="1">
        <v>12294.46</v>
      </c>
      <c r="P4050" s="1">
        <v>10077.43</v>
      </c>
      <c r="Q4050">
        <v>5</v>
      </c>
      <c r="R4050">
        <v>2.1740000000000002E-3</v>
      </c>
    </row>
    <row r="4051" spans="1:18" ht="13.8" outlineLevel="3" x14ac:dyDescent="0.25">
      <c r="A4051">
        <v>84545</v>
      </c>
      <c r="B4051" t="s">
        <v>5624</v>
      </c>
      <c r="C4051" t="s">
        <v>5629</v>
      </c>
      <c r="D4051" s="14" t="s">
        <v>5626</v>
      </c>
      <c r="E4051" s="12" t="s">
        <v>28</v>
      </c>
      <c r="F4051" s="13" t="s">
        <v>29</v>
      </c>
      <c r="G4051">
        <v>1</v>
      </c>
      <c r="H4051" t="s">
        <v>30</v>
      </c>
      <c r="I4051">
        <v>1</v>
      </c>
      <c r="J4051" s="15"/>
      <c r="K4051" s="16">
        <f>IF($E$1&gt;=$Q$1%,19561.92-(19561.92*$Q$1%),19561.92-(19561.92*$E$1))</f>
        <v>19561.919999999998</v>
      </c>
      <c r="L4051" s="16">
        <f>IF($E$1&gt;=$Q$1%,16034.36-(16034.36*$Q$1%),16034.36-(16034.36*$E$1))</f>
        <v>16034.36</v>
      </c>
      <c r="M4051" s="1">
        <v>19561.919999999998</v>
      </c>
      <c r="N4051" s="1">
        <v>16034.36</v>
      </c>
      <c r="O4051" s="1">
        <v>19561.919999999998</v>
      </c>
      <c r="P4051" s="1">
        <v>16034.36</v>
      </c>
      <c r="Q4051">
        <v>7.2</v>
      </c>
      <c r="R4051">
        <v>2.9580000000000001E-3</v>
      </c>
    </row>
    <row r="4052" spans="1:18" ht="13.8" outlineLevel="3" x14ac:dyDescent="0.25">
      <c r="A4052">
        <v>74332</v>
      </c>
      <c r="B4052" t="s">
        <v>5624</v>
      </c>
      <c r="C4052" t="s">
        <v>5630</v>
      </c>
      <c r="D4052" s="14" t="s">
        <v>5626</v>
      </c>
      <c r="E4052" s="12" t="s">
        <v>28</v>
      </c>
      <c r="F4052" s="13" t="s">
        <v>29</v>
      </c>
      <c r="G4052">
        <v>1</v>
      </c>
      <c r="H4052" t="s">
        <v>30</v>
      </c>
      <c r="I4052">
        <v>1</v>
      </c>
      <c r="J4052" s="15"/>
      <c r="K4052" s="16">
        <f>IF($E$1&gt;=$Q$1%,8356.34-(8356.34*$Q$1%),8356.34-(8356.34*$E$1))</f>
        <v>8356.34</v>
      </c>
      <c r="L4052" s="16">
        <f>IF($E$1&gt;=$Q$1%,6849.46-(6849.46*$Q$1%),6849.46-(6849.46*$E$1))</f>
        <v>6849.46</v>
      </c>
      <c r="M4052" s="1">
        <v>8356.34</v>
      </c>
      <c r="N4052" s="1">
        <v>6849.46</v>
      </c>
      <c r="O4052" s="1">
        <v>8356.34</v>
      </c>
      <c r="P4052" s="1">
        <v>6849.46</v>
      </c>
      <c r="Q4052">
        <v>4.5999999999999996</v>
      </c>
      <c r="R4052">
        <v>2.6670000000000001E-3</v>
      </c>
    </row>
    <row r="4053" spans="1:18" ht="13.8" outlineLevel="3" x14ac:dyDescent="0.25">
      <c r="A4053">
        <v>84546</v>
      </c>
      <c r="B4053" t="s">
        <v>5624</v>
      </c>
      <c r="C4053" t="s">
        <v>5631</v>
      </c>
      <c r="D4053" s="14" t="s">
        <v>5626</v>
      </c>
      <c r="E4053" s="12" t="s">
        <v>28</v>
      </c>
      <c r="F4053" s="13" t="s">
        <v>29</v>
      </c>
      <c r="G4053">
        <v>1</v>
      </c>
      <c r="H4053" t="s">
        <v>30</v>
      </c>
      <c r="I4053">
        <v>1</v>
      </c>
      <c r="J4053" s="15"/>
      <c r="K4053" s="16">
        <f>IF($E$1&gt;=$Q$1%,11119.71-(11119.71*$Q$1%),11119.71-(11119.71*$E$1))</f>
        <v>11119.71</v>
      </c>
      <c r="L4053" s="16">
        <f>IF($E$1&gt;=$Q$1%,9114.52-(9114.52*$Q$1%),9114.52-(9114.52*$E$1))</f>
        <v>9114.52</v>
      </c>
      <c r="M4053" s="1">
        <v>11119.71</v>
      </c>
      <c r="N4053" s="1">
        <v>9114.52</v>
      </c>
      <c r="O4053" s="1">
        <v>11119.71</v>
      </c>
      <c r="P4053" s="1">
        <v>9114.52</v>
      </c>
      <c r="Q4053">
        <v>5.5</v>
      </c>
      <c r="R4053">
        <v>2.604E-3</v>
      </c>
    </row>
    <row r="4054" spans="1:18" ht="13.8" outlineLevel="3" x14ac:dyDescent="0.25">
      <c r="A4054">
        <v>74333</v>
      </c>
      <c r="B4054" t="s">
        <v>5624</v>
      </c>
      <c r="C4054" t="s">
        <v>5632</v>
      </c>
      <c r="D4054" s="14" t="s">
        <v>5626</v>
      </c>
      <c r="E4054" s="12" t="s">
        <v>28</v>
      </c>
      <c r="F4054" s="13" t="s">
        <v>29</v>
      </c>
      <c r="G4054">
        <v>1</v>
      </c>
      <c r="H4054" t="s">
        <v>30</v>
      </c>
      <c r="I4054">
        <v>1</v>
      </c>
      <c r="J4054" s="15"/>
      <c r="K4054" s="16">
        <f>IF($E$1&gt;=$Q$1%,16336.25-(16336.25*$Q$1%),16336.25-(16336.25*$E$1))</f>
        <v>16336.25</v>
      </c>
      <c r="L4054" s="16">
        <f>IF($E$1&gt;=$Q$1%,13390.37-(13390.37*$Q$1%),13390.37-(13390.37*$E$1))</f>
        <v>13390.37</v>
      </c>
      <c r="M4054" s="1">
        <v>16336.25</v>
      </c>
      <c r="N4054" s="1">
        <v>13390.37</v>
      </c>
      <c r="O4054" s="1">
        <v>16336.25</v>
      </c>
      <c r="P4054" s="1">
        <v>13390.37</v>
      </c>
      <c r="Q4054">
        <v>8.6999999999999993</v>
      </c>
      <c r="R4054">
        <v>5.6100000000000004E-3</v>
      </c>
    </row>
    <row r="4055" spans="1:18" ht="13.8" outlineLevel="3" x14ac:dyDescent="0.25">
      <c r="A4055">
        <v>84547</v>
      </c>
      <c r="B4055" t="s">
        <v>5624</v>
      </c>
      <c r="C4055" t="s">
        <v>5633</v>
      </c>
      <c r="D4055" s="14" t="s">
        <v>5626</v>
      </c>
      <c r="E4055" s="12" t="s">
        <v>28</v>
      </c>
      <c r="F4055" s="13" t="s">
        <v>29</v>
      </c>
      <c r="G4055">
        <v>1</v>
      </c>
      <c r="H4055" t="s">
        <v>30</v>
      </c>
      <c r="I4055">
        <v>1</v>
      </c>
      <c r="J4055" s="15"/>
      <c r="K4055" s="16">
        <f>IF($E$1&gt;=$Q$1%,23839.21-(23839.21*$Q$1%),23839.21-(23839.21*$E$1))</f>
        <v>23839.21</v>
      </c>
      <c r="L4055" s="16">
        <f>IF($E$1&gt;=$Q$1%,19540.34-(19540.34*$Q$1%),19540.34-(19540.34*$E$1))</f>
        <v>19540.34</v>
      </c>
      <c r="M4055" s="1">
        <v>23839.21</v>
      </c>
      <c r="N4055" s="1">
        <v>19540.34</v>
      </c>
      <c r="O4055" s="1">
        <v>23839.21</v>
      </c>
      <c r="P4055" s="1">
        <v>19540.34</v>
      </c>
      <c r="Q4055">
        <v>8.1</v>
      </c>
      <c r="R4055">
        <v>4.2009999999999999E-3</v>
      </c>
    </row>
    <row r="4056" spans="1:18" ht="13.8" outlineLevel="3" x14ac:dyDescent="0.25">
      <c r="A4056">
        <v>74334</v>
      </c>
      <c r="B4056" t="s">
        <v>5624</v>
      </c>
      <c r="C4056" t="s">
        <v>5634</v>
      </c>
      <c r="D4056" s="14" t="s">
        <v>5626</v>
      </c>
      <c r="E4056" s="12" t="s">
        <v>28</v>
      </c>
      <c r="F4056" s="13" t="s">
        <v>29</v>
      </c>
      <c r="G4056">
        <v>1</v>
      </c>
      <c r="H4056" t="s">
        <v>30</v>
      </c>
      <c r="I4056">
        <v>1</v>
      </c>
      <c r="J4056" s="15"/>
      <c r="K4056" s="16">
        <f>IF($E$1&gt;=$Q$1%,11810.75-(11810.75*$Q$1%),11810.75-(11810.75*$E$1))</f>
        <v>11810.75</v>
      </c>
      <c r="L4056" s="16">
        <f>IF($E$1&gt;=$Q$1%,9680.94-(9680.94*$Q$1%),9680.94-(9680.94*$E$1))</f>
        <v>9680.94</v>
      </c>
      <c r="M4056" s="1">
        <v>11810.75</v>
      </c>
      <c r="N4056" s="1">
        <v>9680.94</v>
      </c>
      <c r="O4056" s="1">
        <v>11810.75</v>
      </c>
      <c r="P4056" s="1">
        <v>9680.94</v>
      </c>
      <c r="Q4056">
        <v>6.06</v>
      </c>
      <c r="R4056">
        <v>2.8440000000000002E-3</v>
      </c>
    </row>
    <row r="4057" spans="1:18" ht="13.8" outlineLevel="3" x14ac:dyDescent="0.25">
      <c r="A4057">
        <v>84548</v>
      </c>
      <c r="B4057" t="s">
        <v>5624</v>
      </c>
      <c r="C4057" t="s">
        <v>5635</v>
      </c>
      <c r="D4057" s="14" t="s">
        <v>5626</v>
      </c>
      <c r="E4057" s="12" t="s">
        <v>28</v>
      </c>
      <c r="F4057" s="13" t="s">
        <v>29</v>
      </c>
      <c r="G4057">
        <v>1</v>
      </c>
      <c r="H4057" t="s">
        <v>30</v>
      </c>
      <c r="I4057">
        <v>1</v>
      </c>
      <c r="J4057" s="15"/>
      <c r="K4057" s="16">
        <f>IF($E$1&gt;=$Q$1%,15638.64-(15638.64*$Q$1%),15638.64-(15638.64*$E$1))</f>
        <v>15638.64</v>
      </c>
      <c r="L4057" s="16">
        <f>IF($E$1&gt;=$Q$1%,12818.56-(12818.56*$Q$1%),12818.56-(12818.56*$E$1))</f>
        <v>12818.56</v>
      </c>
      <c r="M4057" s="1">
        <v>15638.64</v>
      </c>
      <c r="N4057" s="1">
        <v>12818.56</v>
      </c>
      <c r="O4057" s="1">
        <v>15638.64</v>
      </c>
      <c r="P4057" s="1">
        <v>12818.56</v>
      </c>
      <c r="Q4057">
        <v>11</v>
      </c>
      <c r="R4057">
        <v>3.3409999999999998E-3</v>
      </c>
    </row>
    <row r="4058" spans="1:18" ht="13.8" outlineLevel="3" x14ac:dyDescent="0.25">
      <c r="A4058">
        <v>74335</v>
      </c>
      <c r="B4058" t="s">
        <v>5624</v>
      </c>
      <c r="C4058" t="s">
        <v>5636</v>
      </c>
      <c r="D4058" s="14" t="s">
        <v>5626</v>
      </c>
      <c r="E4058" s="12" t="s">
        <v>28</v>
      </c>
      <c r="F4058" s="13" t="s">
        <v>29</v>
      </c>
      <c r="H4058" t="s">
        <v>30</v>
      </c>
      <c r="I4058">
        <v>1</v>
      </c>
      <c r="J4058" s="15"/>
      <c r="K4058" s="16">
        <f>IF($E$1&gt;=$Q$1%,20787.99-(20787.99*$Q$1%),20787.99-(20787.99*$E$1))</f>
        <v>20787.990000000002</v>
      </c>
      <c r="L4058" s="16">
        <f>IF($E$1&gt;=$Q$1%,17039.34-(17039.34*$Q$1%),17039.34-(17039.34*$E$1))</f>
        <v>17039.34</v>
      </c>
      <c r="M4058" s="1">
        <v>20787.990000000002</v>
      </c>
      <c r="N4058" s="1">
        <v>17039.34</v>
      </c>
      <c r="O4058" s="1">
        <v>20787.990000000002</v>
      </c>
      <c r="P4058" s="1">
        <v>17039.34</v>
      </c>
    </row>
    <row r="4059" spans="1:18" ht="13.8" outlineLevel="3" x14ac:dyDescent="0.25">
      <c r="A4059">
        <v>84549</v>
      </c>
      <c r="B4059" t="s">
        <v>5637</v>
      </c>
      <c r="C4059" t="s">
        <v>5638</v>
      </c>
      <c r="D4059" s="14" t="s">
        <v>5626</v>
      </c>
      <c r="E4059" s="12" t="s">
        <v>28</v>
      </c>
      <c r="F4059" s="13" t="s">
        <v>29</v>
      </c>
      <c r="H4059" t="s">
        <v>30</v>
      </c>
      <c r="I4059">
        <v>1</v>
      </c>
      <c r="J4059" s="15"/>
      <c r="K4059" s="16">
        <f>IF($E$1&gt;=$Q$1%,30339.11-(30339.11*$Q$1%),30339.11-(30339.11*$E$1))</f>
        <v>30339.11</v>
      </c>
      <c r="L4059" s="16">
        <f>IF($E$1&gt;=$Q$1%,24868.12-(24868.12*$Q$1%),24868.12-(24868.12*$E$1))</f>
        <v>24868.12</v>
      </c>
      <c r="M4059" s="1">
        <v>30339.11</v>
      </c>
      <c r="N4059" s="1">
        <v>24868.12</v>
      </c>
      <c r="O4059" s="1">
        <v>30339.11</v>
      </c>
      <c r="P4059" s="1">
        <v>24868.12</v>
      </c>
    </row>
    <row r="4060" spans="1:18" ht="13.8" outlineLevel="3" x14ac:dyDescent="0.25">
      <c r="A4060">
        <v>74336</v>
      </c>
      <c r="B4060" t="s">
        <v>5637</v>
      </c>
      <c r="C4060" t="s">
        <v>5639</v>
      </c>
      <c r="D4060" s="14" t="s">
        <v>5626</v>
      </c>
      <c r="E4060" s="12" t="s">
        <v>28</v>
      </c>
      <c r="F4060" s="13" t="s">
        <v>29</v>
      </c>
      <c r="H4060" t="s">
        <v>30</v>
      </c>
      <c r="I4060">
        <v>1</v>
      </c>
      <c r="J4060" s="15"/>
      <c r="K4060" s="16">
        <f>IF($E$1&gt;=$Q$1%,13642.54-(13642.54*$Q$1%),13642.54-(13642.54*$E$1))</f>
        <v>13642.54</v>
      </c>
      <c r="L4060" s="16">
        <f>IF($E$1&gt;=$Q$1%,11182.41-(11182.41*$Q$1%),11182.41-(11182.41*$E$1))</f>
        <v>11182.41</v>
      </c>
      <c r="M4060" s="1">
        <v>13642.54</v>
      </c>
      <c r="N4060" s="1">
        <v>11182.41</v>
      </c>
      <c r="O4060" s="1">
        <v>13642.54</v>
      </c>
      <c r="P4060" s="1">
        <v>11182.41</v>
      </c>
    </row>
    <row r="4061" spans="1:18" ht="13.8" outlineLevel="3" x14ac:dyDescent="0.25">
      <c r="A4061">
        <v>84550</v>
      </c>
      <c r="B4061" t="s">
        <v>5624</v>
      </c>
      <c r="C4061" t="s">
        <v>5640</v>
      </c>
      <c r="D4061" s="14" t="s">
        <v>5626</v>
      </c>
      <c r="E4061" s="12" t="s">
        <v>28</v>
      </c>
      <c r="F4061" s="13" t="s">
        <v>29</v>
      </c>
      <c r="H4061" t="s">
        <v>30</v>
      </c>
      <c r="I4061">
        <v>1</v>
      </c>
      <c r="J4061" s="15"/>
      <c r="K4061" s="16">
        <f>IF($E$1&gt;=$Q$1%,18784.73-(18784.73*$Q$1%),18784.73-(18784.73*$E$1))</f>
        <v>18784.73</v>
      </c>
      <c r="L4061" s="16">
        <f>IF($E$1&gt;=$Q$1%,15397.32-(15397.32*$Q$1%),15397.32-(15397.32*$E$1))</f>
        <v>15397.32</v>
      </c>
      <c r="M4061" s="1">
        <v>18784.73</v>
      </c>
      <c r="N4061" s="1">
        <v>15397.32</v>
      </c>
      <c r="O4061" s="1">
        <v>18784.73</v>
      </c>
      <c r="P4061" s="1">
        <v>15397.32</v>
      </c>
    </row>
    <row r="4062" spans="1:18" ht="13.8" outlineLevel="3" x14ac:dyDescent="0.25">
      <c r="A4062">
        <v>74337</v>
      </c>
      <c r="B4062" t="s">
        <v>5624</v>
      </c>
      <c r="C4062" t="s">
        <v>5641</v>
      </c>
      <c r="D4062" s="14" t="s">
        <v>5626</v>
      </c>
      <c r="E4062" s="12" t="s">
        <v>28</v>
      </c>
      <c r="F4062" s="13" t="s">
        <v>29</v>
      </c>
      <c r="H4062" t="s">
        <v>30</v>
      </c>
      <c r="I4062">
        <v>1</v>
      </c>
      <c r="J4062" s="15"/>
      <c r="K4062" s="16">
        <f>IF($E$1&gt;=$Q$1%,24758.73-(24758.73*$Q$1%),24758.73-(24758.73*$E$1))</f>
        <v>24758.73</v>
      </c>
      <c r="L4062" s="16">
        <f>IF($E$1&gt;=$Q$1%,20294.04-(20294.04*$Q$1%),20294.04-(20294.04*$E$1))</f>
        <v>20294.04</v>
      </c>
      <c r="M4062" s="1">
        <v>24758.73</v>
      </c>
      <c r="N4062" s="1">
        <v>20294.04</v>
      </c>
      <c r="O4062" s="1">
        <v>24758.73</v>
      </c>
      <c r="P4062" s="1">
        <v>20294.04</v>
      </c>
    </row>
    <row r="4063" spans="1:18" ht="13.8" outlineLevel="3" x14ac:dyDescent="0.25">
      <c r="A4063">
        <v>84551</v>
      </c>
      <c r="B4063" t="s">
        <v>5624</v>
      </c>
      <c r="C4063" t="s">
        <v>5642</v>
      </c>
      <c r="D4063" s="14" t="s">
        <v>5626</v>
      </c>
      <c r="E4063" s="12" t="s">
        <v>28</v>
      </c>
      <c r="F4063" s="13" t="s">
        <v>29</v>
      </c>
      <c r="H4063" t="s">
        <v>30</v>
      </c>
      <c r="I4063">
        <v>1</v>
      </c>
      <c r="J4063" s="15"/>
      <c r="K4063" s="16">
        <f>IF($E$1&gt;=$Q$1%,36595.41-(36595.41*$Q$1%),36595.41-(36595.41*$E$1))</f>
        <v>36595.410000000003</v>
      </c>
      <c r="L4063" s="16">
        <f>IF($E$1&gt;=$Q$1%,29996.24-(29996.24*$Q$1%),29996.24-(29996.24*$E$1))</f>
        <v>29996.240000000002</v>
      </c>
      <c r="M4063" s="1">
        <v>36595.410000000003</v>
      </c>
      <c r="N4063" s="1">
        <v>29996.240000000002</v>
      </c>
      <c r="O4063" s="1">
        <v>36595.410000000003</v>
      </c>
      <c r="P4063" s="1">
        <v>29996.240000000002</v>
      </c>
    </row>
    <row r="4064" spans="1:18" ht="13.8" outlineLevel="3" x14ac:dyDescent="0.25">
      <c r="A4064">
        <v>84552</v>
      </c>
      <c r="B4064" t="s">
        <v>5624</v>
      </c>
      <c r="C4064" t="s">
        <v>5643</v>
      </c>
      <c r="D4064" s="14" t="s">
        <v>5626</v>
      </c>
      <c r="E4064" s="12" t="s">
        <v>28</v>
      </c>
      <c r="F4064" s="13" t="s">
        <v>29</v>
      </c>
      <c r="H4064" t="s">
        <v>30</v>
      </c>
      <c r="I4064">
        <v>1</v>
      </c>
      <c r="J4064" s="15"/>
      <c r="K4064" s="16">
        <f>IF($E$1&gt;=$Q$1%,32139.7-(32139.7*$Q$1%),32139.7-(32139.7*$E$1))</f>
        <v>32139.7</v>
      </c>
      <c r="L4064" s="16">
        <f>IF($E$1&gt;=$Q$1%,26344.02-(26344.02*$Q$1%),26344.02-(26344.02*$E$1))</f>
        <v>26344.02</v>
      </c>
      <c r="M4064" s="1">
        <v>32139.7</v>
      </c>
      <c r="N4064" s="1">
        <v>26344.02</v>
      </c>
      <c r="O4064" s="1">
        <v>32139.7</v>
      </c>
      <c r="P4064" s="1">
        <v>26344.02</v>
      </c>
    </row>
    <row r="4065" spans="1:18" ht="13.8" outlineLevel="3" x14ac:dyDescent="0.25">
      <c r="A4065">
        <v>84554</v>
      </c>
      <c r="B4065" t="s">
        <v>5624</v>
      </c>
      <c r="C4065" t="s">
        <v>5644</v>
      </c>
      <c r="D4065" s="14" t="s">
        <v>5626</v>
      </c>
      <c r="E4065" s="12" t="s">
        <v>28</v>
      </c>
      <c r="F4065" s="13" t="s">
        <v>29</v>
      </c>
      <c r="H4065" t="s">
        <v>30</v>
      </c>
      <c r="I4065">
        <v>1</v>
      </c>
      <c r="J4065" s="15"/>
      <c r="K4065" s="16">
        <f>IF($E$1&gt;=$Q$1%,39346.11-(39346.11*$Q$1%),39346.11-(39346.11*$E$1))</f>
        <v>39346.11</v>
      </c>
      <c r="L4065" s="16">
        <f>IF($E$1&gt;=$Q$1%,32250.91-(32250.91*$Q$1%),32250.91-(32250.91*$E$1))</f>
        <v>32250.91</v>
      </c>
      <c r="M4065" s="1">
        <v>39346.11</v>
      </c>
      <c r="N4065" s="1">
        <v>32250.91</v>
      </c>
      <c r="O4065" s="1">
        <v>39346.11</v>
      </c>
      <c r="P4065" s="1">
        <v>32250.91</v>
      </c>
    </row>
    <row r="4066" spans="1:18" ht="13.8" outlineLevel="3" x14ac:dyDescent="0.25">
      <c r="A4066">
        <v>84556</v>
      </c>
      <c r="B4066" t="s">
        <v>5624</v>
      </c>
      <c r="C4066" t="s">
        <v>5645</v>
      </c>
      <c r="D4066" s="14" t="s">
        <v>5626</v>
      </c>
      <c r="E4066" s="12" t="s">
        <v>28</v>
      </c>
      <c r="F4066" s="13" t="s">
        <v>29</v>
      </c>
      <c r="H4066" t="s">
        <v>30</v>
      </c>
      <c r="I4066">
        <v>1</v>
      </c>
      <c r="J4066" s="15"/>
      <c r="K4066" s="16">
        <f>IF($E$1&gt;=$Q$1%,52248.7-(52248.7*$Q$1%),52248.7-(52248.7*$E$1))</f>
        <v>52248.7</v>
      </c>
      <c r="L4066" s="16">
        <f>IF($E$1&gt;=$Q$1%,42826.8-(42826.8*$Q$1%),42826.8-(42826.8*$E$1))</f>
        <v>42826.8</v>
      </c>
      <c r="M4066" s="1">
        <v>52248.7</v>
      </c>
      <c r="N4066" s="1">
        <v>42826.8</v>
      </c>
      <c r="O4066" s="1">
        <v>52248.7</v>
      </c>
      <c r="P4066" s="1">
        <v>42826.8</v>
      </c>
    </row>
    <row r="4067" spans="1:18" ht="13.8" outlineLevel="3" x14ac:dyDescent="0.25">
      <c r="A4067">
        <v>84557</v>
      </c>
      <c r="B4067" t="s">
        <v>5624</v>
      </c>
      <c r="C4067" t="s">
        <v>5646</v>
      </c>
      <c r="D4067" s="14" t="s">
        <v>5626</v>
      </c>
      <c r="E4067" s="12" t="s">
        <v>28</v>
      </c>
      <c r="F4067" s="13" t="s">
        <v>29</v>
      </c>
      <c r="H4067" t="s">
        <v>30</v>
      </c>
      <c r="I4067">
        <v>1</v>
      </c>
      <c r="J4067" s="15"/>
      <c r="K4067" s="16">
        <f>IF($E$1&gt;=$Q$1%,73112.04-(73112.04*$Q$1%),73112.04-(73112.04*$E$1))</f>
        <v>73112.039999999994</v>
      </c>
      <c r="L4067" s="16">
        <f>IF($E$1&gt;=$Q$1%,59927.9-(59927.9*$Q$1%),59927.9-(59927.9*$E$1))</f>
        <v>59927.9</v>
      </c>
      <c r="M4067" s="1">
        <v>73112.039999999994</v>
      </c>
      <c r="N4067" s="1">
        <v>59927.9</v>
      </c>
      <c r="O4067" s="1">
        <v>73112.039999999994</v>
      </c>
      <c r="P4067" s="1">
        <v>59927.9</v>
      </c>
    </row>
    <row r="4068" spans="1:18" ht="13.8" outlineLevel="3" x14ac:dyDescent="0.25">
      <c r="A4068">
        <v>84614</v>
      </c>
      <c r="B4068" t="s">
        <v>5624</v>
      </c>
      <c r="C4068" t="s">
        <v>5647</v>
      </c>
      <c r="D4068" s="14" t="s">
        <v>5626</v>
      </c>
      <c r="E4068" s="12" t="s">
        <v>28</v>
      </c>
      <c r="F4068" s="13" t="s">
        <v>29</v>
      </c>
      <c r="H4068" t="s">
        <v>30</v>
      </c>
      <c r="I4068">
        <v>1</v>
      </c>
      <c r="J4068" s="15"/>
      <c r="K4068" s="16">
        <f>IF($E$1&gt;=$Q$1%,62563.14-(62563.14*$Q$1%),62563.14-(62563.14*$E$1))</f>
        <v>62563.14</v>
      </c>
      <c r="L4068" s="16">
        <f>IF($E$1&gt;=$Q$1%,51281.26-(51281.26*$Q$1%),51281.26-(51281.26*$E$1))</f>
        <v>51281.26</v>
      </c>
      <c r="M4068" s="1">
        <v>62563.14</v>
      </c>
      <c r="N4068" s="1">
        <v>51281.26</v>
      </c>
      <c r="O4068" s="1">
        <v>62563.14</v>
      </c>
      <c r="P4068" s="1">
        <v>51281.26</v>
      </c>
    </row>
    <row r="4069" spans="1:18" ht="13.8" outlineLevel="3" x14ac:dyDescent="0.25">
      <c r="A4069">
        <v>84615</v>
      </c>
      <c r="B4069" t="s">
        <v>5624</v>
      </c>
      <c r="C4069" t="s">
        <v>5648</v>
      </c>
      <c r="D4069" s="14" t="s">
        <v>5626</v>
      </c>
      <c r="E4069" s="12" t="s">
        <v>28</v>
      </c>
      <c r="F4069" s="13" t="s">
        <v>29</v>
      </c>
      <c r="H4069" t="s">
        <v>30</v>
      </c>
      <c r="I4069">
        <v>1</v>
      </c>
      <c r="J4069" s="15"/>
      <c r="K4069" s="16">
        <f>IF($E$1&gt;=$Q$1%,113896.28-(113896.28*$Q$1%),113896.28-(113896.28*$E$1))</f>
        <v>113896.28</v>
      </c>
      <c r="L4069" s="16">
        <f>IF($E$1&gt;=$Q$1%,93357.61-(93357.61*$Q$1%),93357.61-(93357.61*$E$1))</f>
        <v>93357.61</v>
      </c>
      <c r="M4069" s="1">
        <v>113896.28</v>
      </c>
      <c r="N4069" s="1">
        <v>93357.61</v>
      </c>
      <c r="O4069" s="1">
        <v>113896.28</v>
      </c>
      <c r="P4069" s="1">
        <v>93357.61</v>
      </c>
    </row>
    <row r="4070" spans="1:18" ht="13.8" outlineLevel="3" x14ac:dyDescent="0.25">
      <c r="A4070">
        <v>74341</v>
      </c>
      <c r="B4070" t="s">
        <v>5649</v>
      </c>
      <c r="C4070" t="s">
        <v>5650</v>
      </c>
      <c r="D4070" s="14" t="s">
        <v>5651</v>
      </c>
      <c r="E4070" s="12" t="s">
        <v>28</v>
      </c>
      <c r="F4070" s="13" t="s">
        <v>29</v>
      </c>
      <c r="G4070">
        <v>1</v>
      </c>
      <c r="H4070" t="s">
        <v>30</v>
      </c>
      <c r="I4070">
        <v>1</v>
      </c>
      <c r="J4070" s="15"/>
      <c r="K4070" s="16">
        <f>IF($E$1&gt;=$Q$1%,18891.65-(18891.65*$Q$1%),18891.65-(18891.65*$E$1))</f>
        <v>18891.650000000001</v>
      </c>
      <c r="L4070" s="16">
        <f>IF($E$1&gt;=$Q$1%,15484.96-(15484.96*$Q$1%),15484.96-(15484.96*$E$1))</f>
        <v>15484.96</v>
      </c>
      <c r="M4070" s="1">
        <v>18891.650000000001</v>
      </c>
      <c r="N4070" s="1">
        <v>15484.96</v>
      </c>
      <c r="O4070" s="1">
        <v>18891.650000000001</v>
      </c>
      <c r="P4070" s="1">
        <v>15484.96</v>
      </c>
      <c r="Q4070">
        <v>7.5</v>
      </c>
      <c r="R4070">
        <v>4.2750000000000002E-3</v>
      </c>
    </row>
    <row r="4071" spans="1:18" ht="13.8" outlineLevel="3" x14ac:dyDescent="0.25">
      <c r="A4071">
        <v>84589</v>
      </c>
      <c r="B4071" t="s">
        <v>5649</v>
      </c>
      <c r="C4071" t="s">
        <v>5652</v>
      </c>
      <c r="D4071" s="14" t="s">
        <v>5651</v>
      </c>
      <c r="E4071" s="12" t="s">
        <v>28</v>
      </c>
      <c r="F4071" s="13" t="s">
        <v>29</v>
      </c>
      <c r="G4071">
        <v>1</v>
      </c>
      <c r="H4071" t="s">
        <v>30</v>
      </c>
      <c r="I4071">
        <v>1</v>
      </c>
      <c r="J4071" s="15"/>
      <c r="K4071" s="16">
        <f>IF($E$1&gt;=$Q$1%,24163.15-(24163.15*$Q$1%),24163.15-(24163.15*$E$1))</f>
        <v>24163.15</v>
      </c>
      <c r="L4071" s="16">
        <f>IF($E$1&gt;=$Q$1%,19805.86-(19805.86*$Q$1%),19805.86-(19805.86*$E$1))</f>
        <v>19805.86</v>
      </c>
      <c r="M4071" s="1">
        <v>24163.15</v>
      </c>
      <c r="N4071" s="1">
        <v>19805.86</v>
      </c>
      <c r="O4071" s="1">
        <v>24163.15</v>
      </c>
      <c r="P4071" s="1">
        <v>19805.86</v>
      </c>
      <c r="Q4071">
        <v>10.8</v>
      </c>
      <c r="R4071">
        <v>4.8770000000000003E-3</v>
      </c>
    </row>
    <row r="4072" spans="1:18" ht="13.8" outlineLevel="3" x14ac:dyDescent="0.25">
      <c r="A4072">
        <v>74342</v>
      </c>
      <c r="B4072" t="s">
        <v>5649</v>
      </c>
      <c r="C4072" t="s">
        <v>5653</v>
      </c>
      <c r="D4072" s="14" t="s">
        <v>5651</v>
      </c>
      <c r="E4072" s="12" t="s">
        <v>28</v>
      </c>
      <c r="F4072" s="13" t="s">
        <v>29</v>
      </c>
      <c r="G4072">
        <v>1</v>
      </c>
      <c r="H4072" t="s">
        <v>30</v>
      </c>
      <c r="I4072">
        <v>1</v>
      </c>
      <c r="J4072" s="15"/>
      <c r="K4072" s="16">
        <f>IF($E$1&gt;=$Q$1%,21864.45-(21864.45*$Q$1%),21864.45-(21864.45*$E$1))</f>
        <v>21864.45</v>
      </c>
      <c r="L4072" s="16">
        <f>IF($E$1&gt;=$Q$1%,17921.68-(17921.68*$Q$1%),17921.68-(17921.68*$E$1))</f>
        <v>17921.68</v>
      </c>
      <c r="M4072" s="1">
        <v>21864.45</v>
      </c>
      <c r="N4072" s="1">
        <v>17921.68</v>
      </c>
      <c r="O4072" s="1">
        <v>21864.45</v>
      </c>
      <c r="P4072" s="1">
        <v>17921.68</v>
      </c>
      <c r="Q4072">
        <v>10.199999999999999</v>
      </c>
      <c r="R4072">
        <v>4.163E-3</v>
      </c>
    </row>
    <row r="4073" spans="1:18" ht="13.8" outlineLevel="3" x14ac:dyDescent="0.25">
      <c r="A4073">
        <v>84590</v>
      </c>
      <c r="B4073" t="s">
        <v>5649</v>
      </c>
      <c r="C4073" t="s">
        <v>5654</v>
      </c>
      <c r="D4073" s="14" t="s">
        <v>5651</v>
      </c>
      <c r="E4073" s="12" t="s">
        <v>28</v>
      </c>
      <c r="F4073" s="13" t="s">
        <v>29</v>
      </c>
      <c r="H4073" t="s">
        <v>30</v>
      </c>
      <c r="I4073">
        <v>1</v>
      </c>
      <c r="J4073" s="15"/>
      <c r="K4073" s="16">
        <f>IF($E$1&gt;=$Q$1%,33912.72-(33912.72*$Q$1%),33912.72-(33912.72*$E$1))</f>
        <v>33912.720000000001</v>
      </c>
      <c r="L4073" s="16">
        <f>IF($E$1&gt;=$Q$1%,27797.31-(27797.31*$Q$1%),27797.31-(27797.31*$E$1))</f>
        <v>27797.31</v>
      </c>
      <c r="M4073" s="1">
        <v>33912.720000000001</v>
      </c>
      <c r="N4073" s="1">
        <v>27797.31</v>
      </c>
      <c r="O4073" s="1">
        <v>33912.720000000001</v>
      </c>
      <c r="P4073" s="1">
        <v>27797.31</v>
      </c>
    </row>
    <row r="4074" spans="1:18" ht="13.8" outlineLevel="3" x14ac:dyDescent="0.25">
      <c r="A4074">
        <v>84591</v>
      </c>
      <c r="B4074" t="s">
        <v>5649</v>
      </c>
      <c r="C4074" t="s">
        <v>5655</v>
      </c>
      <c r="D4074" s="14" t="s">
        <v>5651</v>
      </c>
      <c r="E4074" s="12" t="s">
        <v>28</v>
      </c>
      <c r="F4074" s="13" t="s">
        <v>29</v>
      </c>
      <c r="H4074" t="s">
        <v>30</v>
      </c>
      <c r="I4074">
        <v>1</v>
      </c>
      <c r="J4074" s="15"/>
      <c r="K4074" s="16">
        <f>IF($E$1&gt;=$Q$1%,49733.26-(49733.26*$Q$1%),49733.26-(49733.26*$E$1))</f>
        <v>49733.26</v>
      </c>
      <c r="L4074" s="16">
        <f>IF($E$1&gt;=$Q$1%,40764.97-(40764.97*$Q$1%),40764.97-(40764.97*$E$1))</f>
        <v>40764.97</v>
      </c>
      <c r="M4074" s="1">
        <v>49733.26</v>
      </c>
      <c r="N4074" s="1">
        <v>40764.97</v>
      </c>
      <c r="O4074" s="1">
        <v>49733.26</v>
      </c>
      <c r="P4074" s="1">
        <v>40764.97</v>
      </c>
    </row>
    <row r="4075" spans="1:18" ht="13.8" outlineLevel="3" x14ac:dyDescent="0.25">
      <c r="A4075">
        <v>84592</v>
      </c>
      <c r="B4075" t="s">
        <v>5649</v>
      </c>
      <c r="C4075" t="s">
        <v>5656</v>
      </c>
      <c r="D4075" s="14" t="s">
        <v>5651</v>
      </c>
      <c r="E4075" s="12" t="s">
        <v>28</v>
      </c>
      <c r="F4075" s="13" t="s">
        <v>29</v>
      </c>
      <c r="H4075" t="s">
        <v>30</v>
      </c>
      <c r="I4075">
        <v>1</v>
      </c>
      <c r="J4075" s="15"/>
      <c r="K4075" s="16">
        <f>IF($E$1&gt;=$Q$1%,111712.23-(111712.23*$Q$1%),111712.23-(111712.23*$E$1))</f>
        <v>111712.23</v>
      </c>
      <c r="L4075" s="16">
        <f>IF($E$1&gt;=$Q$1%,91567.4-(91567.4*$Q$1%),91567.4-(91567.4*$E$1))</f>
        <v>91567.4</v>
      </c>
      <c r="M4075" s="1">
        <v>111712.23</v>
      </c>
      <c r="N4075" s="1">
        <v>91567.4</v>
      </c>
      <c r="O4075" s="1">
        <v>111712.23</v>
      </c>
      <c r="P4075" s="1">
        <v>91567.4</v>
      </c>
    </row>
    <row r="4076" spans="1:18" ht="13.8" outlineLevel="3" x14ac:dyDescent="0.25">
      <c r="A4076">
        <v>84571</v>
      </c>
      <c r="B4076" t="s">
        <v>5657</v>
      </c>
      <c r="C4076" t="s">
        <v>5658</v>
      </c>
      <c r="D4076" s="14" t="s">
        <v>5659</v>
      </c>
      <c r="E4076" s="12" t="s">
        <v>28</v>
      </c>
      <c r="F4076" s="13" t="s">
        <v>29</v>
      </c>
      <c r="H4076" t="s">
        <v>30</v>
      </c>
      <c r="I4076">
        <v>1</v>
      </c>
      <c r="J4076" s="15"/>
      <c r="K4076" s="16">
        <f>IF($E$1&gt;=$Q$1%,32473.83-(32473.83*$Q$1%),32473.83-(32473.83*$E$1))</f>
        <v>32473.83</v>
      </c>
      <c r="L4076" s="16">
        <f>IF($E$1&gt;=$Q$1%,26617.89-(26617.89*$Q$1%),26617.89-(26617.89*$E$1))</f>
        <v>26617.89</v>
      </c>
      <c r="M4076" s="1">
        <v>32473.83</v>
      </c>
      <c r="N4076" s="1">
        <v>26617.89</v>
      </c>
      <c r="O4076" s="1">
        <v>32473.83</v>
      </c>
      <c r="P4076" s="1">
        <v>26617.89</v>
      </c>
    </row>
    <row r="4077" spans="1:18" ht="13.8" outlineLevel="3" x14ac:dyDescent="0.25">
      <c r="A4077">
        <v>85186</v>
      </c>
      <c r="B4077" t="s">
        <v>5657</v>
      </c>
      <c r="C4077" t="s">
        <v>5660</v>
      </c>
      <c r="D4077" s="14" t="s">
        <v>5659</v>
      </c>
      <c r="E4077" s="12" t="s">
        <v>28</v>
      </c>
      <c r="F4077" s="13" t="s">
        <v>29</v>
      </c>
      <c r="H4077" t="s">
        <v>30</v>
      </c>
      <c r="I4077">
        <v>1</v>
      </c>
      <c r="J4077" s="15"/>
      <c r="K4077" s="16">
        <f>IF($E$1&gt;=$Q$1%,124141.66-(124141.66*$Q$1%),124141.66-(124141.66*$E$1))</f>
        <v>124141.66</v>
      </c>
      <c r="L4077" s="16">
        <f>IF($E$1&gt;=$Q$1%,101755.46-(101755.46*$Q$1%),101755.46-(101755.46*$E$1))</f>
        <v>101755.46</v>
      </c>
      <c r="M4077" s="1">
        <v>124141.66</v>
      </c>
      <c r="N4077" s="1">
        <v>101755.46</v>
      </c>
      <c r="O4077" s="1">
        <v>124141.66</v>
      </c>
      <c r="P4077" s="1">
        <v>101755.46</v>
      </c>
    </row>
    <row r="4078" spans="1:18" ht="13.8" outlineLevel="3" x14ac:dyDescent="0.25">
      <c r="A4078">
        <v>84582</v>
      </c>
      <c r="B4078" t="s">
        <v>5661</v>
      </c>
      <c r="C4078" t="s">
        <v>5662</v>
      </c>
      <c r="D4078" s="14" t="s">
        <v>5663</v>
      </c>
      <c r="E4078" s="12" t="s">
        <v>28</v>
      </c>
      <c r="F4078" s="17" t="s">
        <v>549</v>
      </c>
      <c r="G4078">
        <v>1</v>
      </c>
      <c r="H4078" t="s">
        <v>30</v>
      </c>
      <c r="I4078">
        <v>1</v>
      </c>
      <c r="J4078" s="15"/>
      <c r="K4078" s="16">
        <f>IF($E$1&gt;=$Q$1%,15481.63-(15481.63*$Q$1%),15481.63-(15481.63*$E$1))</f>
        <v>15481.63</v>
      </c>
      <c r="L4078" s="16">
        <f>IF($E$1&gt;=$Q$1%,12689.86-(12689.86*$Q$1%),12689.86-(12689.86*$E$1))</f>
        <v>12689.86</v>
      </c>
      <c r="M4078" s="1">
        <v>15481.63</v>
      </c>
      <c r="N4078" s="1">
        <v>12689.86</v>
      </c>
      <c r="O4078" s="1">
        <v>15481.63</v>
      </c>
      <c r="P4078" s="1">
        <v>12689.86</v>
      </c>
      <c r="Q4078">
        <v>10</v>
      </c>
      <c r="R4078">
        <v>4.0049999999999999E-3</v>
      </c>
    </row>
    <row r="4079" spans="1:18" ht="13.8" outlineLevel="3" x14ac:dyDescent="0.25">
      <c r="A4079">
        <v>84585</v>
      </c>
      <c r="B4079" t="s">
        <v>5661</v>
      </c>
      <c r="C4079" t="s">
        <v>5664</v>
      </c>
      <c r="D4079" s="14" t="s">
        <v>5663</v>
      </c>
      <c r="E4079" s="12" t="s">
        <v>28</v>
      </c>
      <c r="F4079" s="17" t="s">
        <v>549</v>
      </c>
      <c r="H4079" t="s">
        <v>30</v>
      </c>
      <c r="I4079">
        <v>1</v>
      </c>
      <c r="J4079" s="15"/>
      <c r="K4079" s="16">
        <f>IF($E$1&gt;=$Q$1%,25046.31-(25046.31*$Q$1%),25046.31-(25046.31*$E$1))</f>
        <v>25046.31</v>
      </c>
      <c r="L4079" s="16">
        <f>IF($E$1&gt;=$Q$1%,20529.76-(20529.76*$Q$1%),20529.76-(20529.76*$E$1))</f>
        <v>20529.759999999998</v>
      </c>
      <c r="M4079" s="1">
        <v>25046.31</v>
      </c>
      <c r="N4079" s="1">
        <v>20529.759999999998</v>
      </c>
      <c r="O4079" s="1">
        <v>25046.31</v>
      </c>
      <c r="P4079" s="1">
        <v>20529.759999999998</v>
      </c>
    </row>
    <row r="4080" spans="1:18" ht="13.8" outlineLevel="3" x14ac:dyDescent="0.25">
      <c r="A4080">
        <v>74340</v>
      </c>
      <c r="B4080" t="s">
        <v>5661</v>
      </c>
      <c r="C4080" t="s">
        <v>5665</v>
      </c>
      <c r="D4080" s="14" t="s">
        <v>5663</v>
      </c>
      <c r="E4080" s="12" t="s">
        <v>28</v>
      </c>
      <c r="F4080" s="13" t="s">
        <v>29</v>
      </c>
      <c r="H4080" t="s">
        <v>30</v>
      </c>
      <c r="I4080">
        <v>1</v>
      </c>
      <c r="J4080" s="15"/>
      <c r="K4080" s="16">
        <f>IF($E$1&gt;=$Q$1%,32807.91-(32807.91*$Q$1%),32807.91-(32807.91*$E$1))</f>
        <v>32807.910000000003</v>
      </c>
      <c r="L4080" s="16">
        <f>IF($E$1&gt;=$Q$1%,26891.73-(26891.73*$Q$1%),26891.73-(26891.73*$E$1))</f>
        <v>26891.73</v>
      </c>
      <c r="M4080" s="1">
        <v>32807.910000000003</v>
      </c>
      <c r="N4080" s="1">
        <v>26891.73</v>
      </c>
      <c r="O4080" s="1">
        <v>32807.910000000003</v>
      </c>
      <c r="P4080" s="1">
        <v>26891.73</v>
      </c>
    </row>
    <row r="4081" spans="1:18" ht="13.8" outlineLevel="3" x14ac:dyDescent="0.25">
      <c r="A4081">
        <v>84586</v>
      </c>
      <c r="B4081" t="s">
        <v>5661</v>
      </c>
      <c r="C4081" t="s">
        <v>5666</v>
      </c>
      <c r="D4081" s="14" t="s">
        <v>5663</v>
      </c>
      <c r="E4081" s="12" t="s">
        <v>28</v>
      </c>
      <c r="F4081" s="13" t="s">
        <v>29</v>
      </c>
      <c r="H4081" t="s">
        <v>30</v>
      </c>
      <c r="I4081">
        <v>1</v>
      </c>
      <c r="J4081" s="15"/>
      <c r="K4081" s="16">
        <f>IF($E$1&gt;=$Q$1%,38384.03-(38384.03*$Q$1%),38384.03-(38384.03*$E$1))</f>
        <v>38384.03</v>
      </c>
      <c r="L4081" s="16">
        <f>IF($E$1&gt;=$Q$1%,31462.32-(31462.32*$Q$1%),31462.32-(31462.32*$E$1))</f>
        <v>31462.32</v>
      </c>
      <c r="M4081" s="1">
        <v>38384.03</v>
      </c>
      <c r="N4081" s="1">
        <v>31462.32</v>
      </c>
      <c r="O4081" s="1">
        <v>38384.03</v>
      </c>
      <c r="P4081" s="1">
        <v>31462.32</v>
      </c>
    </row>
    <row r="4082" spans="1:18" ht="13.8" outlineLevel="3" x14ac:dyDescent="0.25">
      <c r="A4082">
        <v>84587</v>
      </c>
      <c r="B4082" t="s">
        <v>5661</v>
      </c>
      <c r="C4082" t="s">
        <v>5667</v>
      </c>
      <c r="D4082" s="14" t="s">
        <v>5663</v>
      </c>
      <c r="E4082" s="12" t="s">
        <v>28</v>
      </c>
      <c r="F4082" s="13" t="s">
        <v>29</v>
      </c>
      <c r="H4082" t="s">
        <v>30</v>
      </c>
      <c r="I4082">
        <v>1</v>
      </c>
      <c r="J4082" s="15"/>
      <c r="K4082" s="16">
        <f>IF($E$1&gt;=$Q$1%,46001.82-(46001.82*$Q$1%),46001.82-(46001.82*$E$1))</f>
        <v>46001.82</v>
      </c>
      <c r="L4082" s="16">
        <f>IF($E$1&gt;=$Q$1%,37706.41-(37706.41*$Q$1%),37706.41-(37706.41*$E$1))</f>
        <v>37706.410000000003</v>
      </c>
      <c r="M4082" s="1">
        <v>46001.82</v>
      </c>
      <c r="N4082" s="1">
        <v>37706.410000000003</v>
      </c>
      <c r="O4082" s="1">
        <v>46001.82</v>
      </c>
      <c r="P4082" s="1">
        <v>37706.410000000003</v>
      </c>
    </row>
    <row r="4083" spans="1:18" ht="13.8" outlineLevel="3" x14ac:dyDescent="0.25">
      <c r="A4083">
        <v>84588</v>
      </c>
      <c r="B4083" t="s">
        <v>5661</v>
      </c>
      <c r="C4083" t="s">
        <v>5668</v>
      </c>
      <c r="D4083" s="14" t="s">
        <v>5663</v>
      </c>
      <c r="E4083" s="12" t="s">
        <v>28</v>
      </c>
      <c r="F4083" s="13" t="s">
        <v>29</v>
      </c>
      <c r="H4083" t="s">
        <v>30</v>
      </c>
      <c r="I4083">
        <v>1</v>
      </c>
      <c r="J4083" s="15"/>
      <c r="K4083" s="16">
        <f>IF($E$1&gt;=$Q$1%,60419.69-(60419.69*$Q$1%),60419.69-(60419.69*$E$1))</f>
        <v>60419.69</v>
      </c>
      <c r="L4083" s="16">
        <f>IF($E$1&gt;=$Q$1%,49524.34-(49524.34*$Q$1%),49524.34-(49524.34*$E$1))</f>
        <v>49524.34</v>
      </c>
      <c r="M4083" s="1">
        <v>60419.69</v>
      </c>
      <c r="N4083" s="1">
        <v>49524.34</v>
      </c>
      <c r="O4083" s="1">
        <v>60419.69</v>
      </c>
      <c r="P4083" s="1">
        <v>49524.34</v>
      </c>
    </row>
    <row r="4084" spans="1:18" ht="13.8" outlineLevel="3" x14ac:dyDescent="0.25">
      <c r="A4084">
        <v>87375</v>
      </c>
      <c r="B4084" t="s">
        <v>5669</v>
      </c>
      <c r="C4084" t="s">
        <v>5670</v>
      </c>
      <c r="D4084" s="14" t="s">
        <v>5671</v>
      </c>
      <c r="E4084" s="12" t="s">
        <v>28</v>
      </c>
      <c r="F4084" s="13" t="s">
        <v>29</v>
      </c>
      <c r="H4084" t="s">
        <v>30</v>
      </c>
      <c r="I4084">
        <v>1</v>
      </c>
      <c r="J4084" s="15"/>
      <c r="K4084" s="16">
        <f>IF($E$1&gt;=$Q$1%,9415.46-(9415.46*$Q$1%),9415.46-(9415.46*$E$1))</f>
        <v>9415.4599999999991</v>
      </c>
      <c r="L4084" s="16">
        <f>IF($E$1&gt;=$Q$1%,7717.59-(7717.59*$Q$1%),7717.59-(7717.59*$E$1))</f>
        <v>7717.59</v>
      </c>
      <c r="M4084" s="1">
        <v>9415.4599999999991</v>
      </c>
      <c r="N4084" s="1">
        <v>7717.59</v>
      </c>
      <c r="O4084" s="1">
        <v>9415.4599999999991</v>
      </c>
      <c r="P4084" s="1">
        <v>7717.59</v>
      </c>
    </row>
    <row r="4085" spans="1:18" ht="13.8" outlineLevel="3" x14ac:dyDescent="0.25">
      <c r="A4085">
        <v>87376</v>
      </c>
      <c r="B4085" t="s">
        <v>5669</v>
      </c>
      <c r="C4085" t="s">
        <v>5672</v>
      </c>
      <c r="D4085" s="14" t="s">
        <v>5673</v>
      </c>
      <c r="E4085" s="12" t="s">
        <v>28</v>
      </c>
      <c r="F4085" s="13" t="s">
        <v>29</v>
      </c>
      <c r="G4085">
        <v>1</v>
      </c>
      <c r="H4085" t="s">
        <v>30</v>
      </c>
      <c r="I4085">
        <v>1</v>
      </c>
      <c r="J4085" s="15"/>
      <c r="K4085" s="16">
        <f>IF($E$1&gt;=$Q$1%,19122.69-(19122.69*$Q$1%),19122.69-(19122.69*$E$1))</f>
        <v>19122.689999999999</v>
      </c>
      <c r="L4085" s="16">
        <f>IF($E$1&gt;=$Q$1%,15674.34-(15674.34*$Q$1%),15674.34-(15674.34*$E$1))</f>
        <v>15674.34</v>
      </c>
      <c r="M4085" s="1">
        <v>19122.689999999999</v>
      </c>
      <c r="N4085" s="1">
        <v>15674.34</v>
      </c>
      <c r="O4085" s="1">
        <v>19122.689999999999</v>
      </c>
      <c r="P4085" s="1">
        <v>15674.34</v>
      </c>
      <c r="Q4085">
        <v>21.28</v>
      </c>
      <c r="R4085">
        <v>3.0419999999999999E-2</v>
      </c>
    </row>
    <row r="4086" spans="1:18" ht="13.8" outlineLevel="3" x14ac:dyDescent="0.25">
      <c r="A4086">
        <v>87377</v>
      </c>
      <c r="B4086" t="s">
        <v>5669</v>
      </c>
      <c r="C4086" t="s">
        <v>5674</v>
      </c>
      <c r="D4086" s="14" t="s">
        <v>5675</v>
      </c>
      <c r="E4086" s="12" t="s">
        <v>28</v>
      </c>
      <c r="F4086" s="13" t="s">
        <v>29</v>
      </c>
      <c r="H4086" t="s">
        <v>30</v>
      </c>
      <c r="I4086">
        <v>1</v>
      </c>
      <c r="J4086" s="15"/>
      <c r="K4086" s="16">
        <f>IF($E$1&gt;=$Q$1%,31597.65-(31597.65*$Q$1%),31597.65-(31597.65*$E$1))</f>
        <v>31597.65</v>
      </c>
      <c r="L4086" s="16">
        <f>IF($E$1&gt;=$Q$1%,25899.71-(25899.71*$Q$1%),25899.71-(25899.71*$E$1))</f>
        <v>25899.71</v>
      </c>
      <c r="M4086" s="1">
        <v>31597.65</v>
      </c>
      <c r="N4086" s="1">
        <v>25899.71</v>
      </c>
      <c r="O4086" s="1">
        <v>31597.65</v>
      </c>
      <c r="P4086" s="1">
        <v>25899.71</v>
      </c>
    </row>
    <row r="4087" spans="1:18" ht="13.8" outlineLevel="3" x14ac:dyDescent="0.25">
      <c r="A4087">
        <v>87378</v>
      </c>
      <c r="B4087" t="s">
        <v>5669</v>
      </c>
      <c r="C4087" t="s">
        <v>5676</v>
      </c>
      <c r="D4087" s="14" t="s">
        <v>5677</v>
      </c>
      <c r="E4087" s="12" t="s">
        <v>28</v>
      </c>
      <c r="F4087" s="13" t="s">
        <v>29</v>
      </c>
      <c r="G4087">
        <v>1</v>
      </c>
      <c r="H4087" t="s">
        <v>30</v>
      </c>
      <c r="I4087">
        <v>1</v>
      </c>
      <c r="J4087" s="15"/>
      <c r="K4087" s="16">
        <f>IF($E$1&gt;=$Q$1%,42510.89-(42510.89*$Q$1%),42510.89-(42510.89*$E$1))</f>
        <v>42510.89</v>
      </c>
      <c r="L4087" s="16">
        <f>IF($E$1&gt;=$Q$1%,34844.99-(34844.99*$Q$1%),34844.99-(34844.99*$E$1))</f>
        <v>34844.99</v>
      </c>
      <c r="M4087" s="1">
        <v>42510.89</v>
      </c>
      <c r="N4087" s="1">
        <v>34844.99</v>
      </c>
      <c r="O4087" s="1">
        <v>42510.89</v>
      </c>
      <c r="P4087" s="1">
        <v>34844.99</v>
      </c>
      <c r="Q4087">
        <v>49.3</v>
      </c>
      <c r="R4087">
        <v>3.4595000000000001E-2</v>
      </c>
    </row>
    <row r="4088" spans="1:18" ht="13.8" outlineLevel="3" x14ac:dyDescent="0.25">
      <c r="A4088">
        <v>89194</v>
      </c>
      <c r="B4088" t="s">
        <v>5678</v>
      </c>
      <c r="C4088" t="s">
        <v>5679</v>
      </c>
      <c r="D4088" s="14" t="s">
        <v>5680</v>
      </c>
      <c r="E4088" s="12" t="s">
        <v>28</v>
      </c>
      <c r="F4088" s="13" t="s">
        <v>29</v>
      </c>
      <c r="H4088" t="s">
        <v>30</v>
      </c>
      <c r="I4088">
        <v>1</v>
      </c>
      <c r="J4088" s="15"/>
      <c r="K4088" s="16">
        <f>IF($E$1&gt;=$Q$1%,74521.16-(74521.16*$Q$1%),74521.16-(74521.16*$E$1))</f>
        <v>74521.16</v>
      </c>
      <c r="L4088" s="16">
        <f>IF($E$1&gt;=$Q$1%,61082.92-(61082.92*$Q$1%),61082.92-(61082.92*$E$1))</f>
        <v>61082.92</v>
      </c>
      <c r="M4088" s="1">
        <v>74521.16</v>
      </c>
      <c r="N4088" s="1">
        <v>61082.92</v>
      </c>
      <c r="O4088" s="1">
        <v>74521.16</v>
      </c>
      <c r="P4088" s="1">
        <v>61082.92</v>
      </c>
    </row>
    <row r="4089" spans="1:18" ht="13.8" outlineLevel="3" x14ac:dyDescent="0.25">
      <c r="A4089">
        <v>103854</v>
      </c>
      <c r="B4089" t="s">
        <v>5678</v>
      </c>
      <c r="C4089" t="s">
        <v>5681</v>
      </c>
      <c r="D4089" s="14" t="s">
        <v>5682</v>
      </c>
      <c r="E4089" s="12" t="s">
        <v>28</v>
      </c>
      <c r="F4089" s="13" t="s">
        <v>29</v>
      </c>
      <c r="H4089" t="s">
        <v>30</v>
      </c>
      <c r="I4089">
        <v>1</v>
      </c>
      <c r="J4089" s="15"/>
      <c r="K4089" s="16">
        <f>IF($E$1&gt;=$Q$1%,9911.01-(9911.01*$Q$1%),9911.01-(9911.01*$E$1))</f>
        <v>9911.01</v>
      </c>
      <c r="L4089" s="16">
        <f>IF($E$1&gt;=$Q$1%,8123.78-(8123.78*$Q$1%),8123.78-(8123.78*$E$1))</f>
        <v>8123.78</v>
      </c>
      <c r="M4089" s="1">
        <v>9911.01</v>
      </c>
      <c r="N4089" s="1">
        <v>8123.78</v>
      </c>
      <c r="O4089" s="1">
        <v>9911.01</v>
      </c>
      <c r="P4089" s="1">
        <v>8123.78</v>
      </c>
    </row>
    <row r="4090" spans="1:18" ht="13.8" outlineLevel="3" x14ac:dyDescent="0.25">
      <c r="A4090">
        <v>103855</v>
      </c>
      <c r="B4090" t="s">
        <v>5678</v>
      </c>
      <c r="C4090" t="s">
        <v>5683</v>
      </c>
      <c r="D4090" s="14" t="s">
        <v>5684</v>
      </c>
      <c r="E4090" s="12" t="s">
        <v>28</v>
      </c>
      <c r="F4090" s="13" t="s">
        <v>29</v>
      </c>
      <c r="H4090" t="s">
        <v>30</v>
      </c>
      <c r="I4090">
        <v>1</v>
      </c>
      <c r="J4090" s="15"/>
      <c r="K4090" s="16">
        <f>IF($E$1&gt;=$Q$1%,20129.15-(20129.15*$Q$1%),20129.15-(20129.15*$E$1))</f>
        <v>20129.150000000001</v>
      </c>
      <c r="L4090" s="16">
        <f>IF($E$1&gt;=$Q$1%,16499.3-(16499.3*$Q$1%),16499.3-(16499.3*$E$1))</f>
        <v>16499.3</v>
      </c>
      <c r="M4090" s="1">
        <v>20129.150000000001</v>
      </c>
      <c r="N4090" s="1">
        <v>16499.3</v>
      </c>
      <c r="O4090" s="1">
        <v>20129.150000000001</v>
      </c>
      <c r="P4090" s="1">
        <v>16499.3</v>
      </c>
    </row>
    <row r="4091" spans="1:18" ht="13.8" outlineLevel="3" x14ac:dyDescent="0.25">
      <c r="A4091">
        <v>103856</v>
      </c>
      <c r="B4091" t="s">
        <v>5678</v>
      </c>
      <c r="C4091" t="s">
        <v>5685</v>
      </c>
      <c r="D4091" s="14" t="s">
        <v>5686</v>
      </c>
      <c r="E4091" s="12" t="s">
        <v>28</v>
      </c>
      <c r="F4091" s="13" t="s">
        <v>29</v>
      </c>
      <c r="H4091" t="s">
        <v>30</v>
      </c>
      <c r="I4091">
        <v>1</v>
      </c>
      <c r="J4091" s="15"/>
      <c r="K4091" s="16">
        <f>IF($E$1&gt;=$Q$1%,33260.68-(33260.68*$Q$1%),33260.68-(33260.68*$E$1))</f>
        <v>33260.68</v>
      </c>
      <c r="L4091" s="16">
        <f>IF($E$1&gt;=$Q$1%,27262.85-(27262.85*$Q$1%),27262.85-(27262.85*$E$1))</f>
        <v>27262.85</v>
      </c>
      <c r="M4091" s="1">
        <v>33260.68</v>
      </c>
      <c r="N4091" s="1">
        <v>27262.85</v>
      </c>
      <c r="O4091" s="1">
        <v>33260.68</v>
      </c>
      <c r="P4091" s="1">
        <v>27262.85</v>
      </c>
    </row>
    <row r="4092" spans="1:18" ht="13.8" outlineLevel="3" x14ac:dyDescent="0.25">
      <c r="A4092">
        <v>103857</v>
      </c>
      <c r="B4092" t="s">
        <v>5678</v>
      </c>
      <c r="C4092" t="s">
        <v>5687</v>
      </c>
      <c r="D4092" s="14" t="s">
        <v>5688</v>
      </c>
      <c r="E4092" s="12" t="s">
        <v>28</v>
      </c>
      <c r="F4092" s="13" t="s">
        <v>29</v>
      </c>
      <c r="H4092" t="s">
        <v>30</v>
      </c>
      <c r="I4092">
        <v>1</v>
      </c>
      <c r="J4092" s="15"/>
      <c r="K4092" s="16">
        <f>IF($E$1&gt;=$Q$1%,44748.31-(44748.31*$Q$1%),44748.31-(44748.31*$E$1))</f>
        <v>44748.31</v>
      </c>
      <c r="L4092" s="16">
        <f>IF($E$1&gt;=$Q$1%,36678.94-(36678.94*$Q$1%),36678.94-(36678.94*$E$1))</f>
        <v>36678.94</v>
      </c>
      <c r="M4092" s="1">
        <v>44748.31</v>
      </c>
      <c r="N4092" s="1">
        <v>36678.94</v>
      </c>
      <c r="O4092" s="1">
        <v>44748.31</v>
      </c>
      <c r="P4092" s="1">
        <v>36678.94</v>
      </c>
    </row>
    <row r="4093" spans="1:18" ht="16.5" customHeight="1" outlineLevel="1" x14ac:dyDescent="0.35">
      <c r="A4093" s="9"/>
      <c r="B4093" s="10" t="s">
        <v>5689</v>
      </c>
      <c r="C4093" s="10"/>
      <c r="D4093" s="10"/>
      <c r="E4093" s="10"/>
      <c r="F4093" s="10"/>
      <c r="G4093" s="10"/>
      <c r="H4093" s="10"/>
      <c r="I4093" s="10"/>
      <c r="J4093" s="10"/>
      <c r="K4093" s="10"/>
      <c r="L4093" s="10"/>
      <c r="M4093" s="10"/>
      <c r="N4093" s="10"/>
      <c r="O4093" s="10"/>
      <c r="P4093" s="10"/>
      <c r="Q4093" s="10"/>
      <c r="R4093" s="11"/>
    </row>
    <row r="4094" spans="1:18" ht="13.8" outlineLevel="2" x14ac:dyDescent="0.25">
      <c r="A4094">
        <v>88608</v>
      </c>
      <c r="B4094" t="s">
        <v>5690</v>
      </c>
      <c r="C4094" t="s">
        <v>5691</v>
      </c>
      <c r="D4094" s="14" t="s">
        <v>5692</v>
      </c>
      <c r="E4094" s="12" t="s">
        <v>28</v>
      </c>
      <c r="F4094" s="13" t="s">
        <v>29</v>
      </c>
      <c r="H4094" t="s">
        <v>30</v>
      </c>
      <c r="I4094">
        <v>1</v>
      </c>
      <c r="J4094" s="15"/>
      <c r="K4094" s="16">
        <f>IF($E$1&gt;=$Q$1%,486557.22-(486557.22*$Q$1%),486557.22-(486557.22*$E$1))</f>
        <v>486557.22</v>
      </c>
      <c r="L4094" s="16">
        <f>IF($E$1&gt;=$Q$1%,398817.39-(398817.39*$Q$1%),398817.39-(398817.39*$E$1))</f>
        <v>398817.39</v>
      </c>
      <c r="M4094" s="1">
        <v>486557.22</v>
      </c>
      <c r="N4094" s="1">
        <v>398817.39</v>
      </c>
      <c r="O4094" s="1">
        <v>486557.22</v>
      </c>
      <c r="P4094" s="1">
        <v>398817.39</v>
      </c>
    </row>
    <row r="4095" spans="1:18" ht="13.8" outlineLevel="2" x14ac:dyDescent="0.25">
      <c r="A4095">
        <v>88609</v>
      </c>
      <c r="B4095" t="s">
        <v>5690</v>
      </c>
      <c r="C4095" t="s">
        <v>5693</v>
      </c>
      <c r="D4095" s="14" t="s">
        <v>5694</v>
      </c>
      <c r="E4095" s="12" t="s">
        <v>28</v>
      </c>
      <c r="F4095" s="13" t="s">
        <v>29</v>
      </c>
      <c r="H4095" t="s">
        <v>30</v>
      </c>
      <c r="I4095">
        <v>1</v>
      </c>
      <c r="J4095" s="15"/>
      <c r="K4095" s="16">
        <f>IF($E$1&gt;=$Q$1%,551996.93-(551996.93*$Q$1%),551996.93-(551996.93*$E$1))</f>
        <v>551996.93000000005</v>
      </c>
      <c r="L4095" s="16">
        <f>IF($E$1&gt;=$Q$1%,452456.5-(452456.5*$Q$1%),452456.5-(452456.5*$E$1))</f>
        <v>452456.5</v>
      </c>
      <c r="M4095" s="1">
        <v>551996.93000000005</v>
      </c>
      <c r="N4095" s="1">
        <v>452456.5</v>
      </c>
      <c r="O4095" s="1">
        <v>551996.93000000005</v>
      </c>
      <c r="P4095" s="1">
        <v>452456.5</v>
      </c>
    </row>
    <row r="4096" spans="1:18" ht="13.8" outlineLevel="2" x14ac:dyDescent="0.25">
      <c r="A4096">
        <v>79859</v>
      </c>
      <c r="B4096" t="s">
        <v>5695</v>
      </c>
      <c r="C4096" t="s">
        <v>5696</v>
      </c>
      <c r="D4096" s="14" t="s">
        <v>5697</v>
      </c>
      <c r="E4096" s="12" t="s">
        <v>28</v>
      </c>
      <c r="F4096" s="13" t="s">
        <v>29</v>
      </c>
      <c r="H4096" t="s">
        <v>30</v>
      </c>
      <c r="I4096">
        <v>1</v>
      </c>
      <c r="J4096" s="15"/>
      <c r="K4096" s="16">
        <f>IF($E$1&gt;=$Q$1%,7311.42-(7311.42*$Q$1%),7311.42-(7311.42*$E$1))</f>
        <v>7311.42</v>
      </c>
      <c r="L4096" s="16">
        <f>IF($E$1&gt;=$Q$1%,5992.97-(5992.97*$Q$1%),5992.97-(5992.97*$E$1))</f>
        <v>5992.97</v>
      </c>
      <c r="M4096" s="1">
        <v>7311.42</v>
      </c>
      <c r="N4096" s="1">
        <v>5992.97</v>
      </c>
      <c r="O4096" s="1">
        <v>7311.42</v>
      </c>
      <c r="P4096" s="1">
        <v>5992.97</v>
      </c>
    </row>
    <row r="4097" spans="1:18" ht="13.8" outlineLevel="2" x14ac:dyDescent="0.25">
      <c r="A4097">
        <v>79860</v>
      </c>
      <c r="B4097" t="s">
        <v>5695</v>
      </c>
      <c r="C4097" t="s">
        <v>5698</v>
      </c>
      <c r="D4097" s="14" t="s">
        <v>5699</v>
      </c>
      <c r="E4097" s="12" t="s">
        <v>28</v>
      </c>
      <c r="F4097" s="13" t="s">
        <v>29</v>
      </c>
      <c r="H4097" t="s">
        <v>30</v>
      </c>
      <c r="I4097">
        <v>1</v>
      </c>
      <c r="J4097" s="15"/>
      <c r="K4097" s="16">
        <f>IF($E$1&gt;=$Q$1%,11225.46-(11225.46*$Q$1%),11225.46-(11225.46*$E$1))</f>
        <v>11225.46</v>
      </c>
      <c r="L4097" s="16">
        <f>IF($E$1&gt;=$Q$1%,9201.2-(9201.2*$Q$1%),9201.2-(9201.2*$E$1))</f>
        <v>9201.2000000000007</v>
      </c>
      <c r="M4097" s="1">
        <v>11225.46</v>
      </c>
      <c r="N4097" s="1">
        <v>9201.2000000000007</v>
      </c>
      <c r="O4097" s="1">
        <v>11225.46</v>
      </c>
      <c r="P4097" s="1">
        <v>9201.2000000000007</v>
      </c>
    </row>
    <row r="4098" spans="1:18" ht="13.8" outlineLevel="2" x14ac:dyDescent="0.25">
      <c r="A4098">
        <v>79861</v>
      </c>
      <c r="B4098" t="s">
        <v>5695</v>
      </c>
      <c r="C4098" t="s">
        <v>5700</v>
      </c>
      <c r="D4098" s="14" t="s">
        <v>5701</v>
      </c>
      <c r="E4098" s="12" t="s">
        <v>28</v>
      </c>
      <c r="F4098" s="13" t="s">
        <v>29</v>
      </c>
      <c r="H4098" t="s">
        <v>30</v>
      </c>
      <c r="I4098">
        <v>1</v>
      </c>
      <c r="J4098" s="15"/>
      <c r="K4098" s="16">
        <f>IF($E$1&gt;=$Q$1%,19225.8-(19225.8*$Q$1%),19225.8-(19225.8*$E$1))</f>
        <v>19225.8</v>
      </c>
      <c r="L4098" s="16">
        <f>IF($E$1&gt;=$Q$1%,15758.85-(15758.85*$Q$1%),15758.85-(15758.85*$E$1))</f>
        <v>15758.85</v>
      </c>
      <c r="M4098" s="1">
        <v>19225.8</v>
      </c>
      <c r="N4098" s="1">
        <v>15758.85</v>
      </c>
      <c r="O4098" s="1">
        <v>19225.8</v>
      </c>
      <c r="P4098" s="1">
        <v>15758.85</v>
      </c>
    </row>
    <row r="4099" spans="1:18" ht="13.8" outlineLevel="2" x14ac:dyDescent="0.25">
      <c r="A4099">
        <v>79862</v>
      </c>
      <c r="B4099" t="s">
        <v>5695</v>
      </c>
      <c r="C4099" t="s">
        <v>5702</v>
      </c>
      <c r="D4099" s="14" t="s">
        <v>5703</v>
      </c>
      <c r="E4099" s="12" t="s">
        <v>28</v>
      </c>
      <c r="F4099" s="13" t="s">
        <v>29</v>
      </c>
      <c r="H4099" t="s">
        <v>30</v>
      </c>
      <c r="I4099">
        <v>1</v>
      </c>
      <c r="J4099" s="15"/>
      <c r="K4099" s="16">
        <f>IF($E$1&gt;=$Q$1%,30067.73-(30067.73*$Q$1%),30067.73-(30067.73*$E$1))</f>
        <v>30067.73</v>
      </c>
      <c r="L4099" s="16">
        <f>IF($E$1&gt;=$Q$1%,24645.68-(24645.68*$Q$1%),24645.68-(24645.68*$E$1))</f>
        <v>24645.68</v>
      </c>
      <c r="M4099" s="1">
        <v>30067.73</v>
      </c>
      <c r="N4099" s="1">
        <v>24645.68</v>
      </c>
      <c r="O4099" s="1">
        <v>30067.73</v>
      </c>
      <c r="P4099" s="1">
        <v>24645.68</v>
      </c>
    </row>
    <row r="4100" spans="1:18" ht="13.8" outlineLevel="2" x14ac:dyDescent="0.25">
      <c r="A4100">
        <v>79863</v>
      </c>
      <c r="B4100" t="s">
        <v>5695</v>
      </c>
      <c r="C4100" t="s">
        <v>5704</v>
      </c>
      <c r="D4100" s="14" t="s">
        <v>5705</v>
      </c>
      <c r="E4100" s="12" t="s">
        <v>28</v>
      </c>
      <c r="F4100" s="13" t="s">
        <v>29</v>
      </c>
      <c r="H4100" t="s">
        <v>30</v>
      </c>
      <c r="I4100">
        <v>1</v>
      </c>
      <c r="J4100" s="15"/>
      <c r="K4100" s="16">
        <f>IF($E$1&gt;=$Q$1%,42869.2-(42869.2*$Q$1%),42869.2-(42869.2*$E$1))</f>
        <v>42869.2</v>
      </c>
      <c r="L4100" s="16">
        <f>IF($E$1&gt;=$Q$1%,35138.69-(35138.69*$Q$1%),35138.69-(35138.69*$E$1))</f>
        <v>35138.69</v>
      </c>
      <c r="M4100" s="1">
        <v>42869.2</v>
      </c>
      <c r="N4100" s="1">
        <v>35138.69</v>
      </c>
      <c r="O4100" s="1">
        <v>42869.2</v>
      </c>
      <c r="P4100" s="1">
        <v>35138.69</v>
      </c>
    </row>
    <row r="4101" spans="1:18" ht="13.8" outlineLevel="2" x14ac:dyDescent="0.25">
      <c r="A4101">
        <v>89423</v>
      </c>
      <c r="B4101" t="s">
        <v>5706</v>
      </c>
      <c r="C4101" t="s">
        <v>5707</v>
      </c>
      <c r="D4101" s="14" t="s">
        <v>5708</v>
      </c>
      <c r="E4101" s="12" t="s">
        <v>28</v>
      </c>
      <c r="F4101" s="13" t="s">
        <v>29</v>
      </c>
      <c r="H4101" t="s">
        <v>30</v>
      </c>
      <c r="I4101">
        <v>1</v>
      </c>
      <c r="J4101" s="15"/>
      <c r="K4101" s="16">
        <f>IF($E$1&gt;=$Q$1%,268543.06-(268543.06*$Q$1%),268543.06-(268543.06*$E$1))</f>
        <v>268543.06</v>
      </c>
      <c r="L4101" s="16">
        <f>IF($E$1&gt;=$Q$1%,220117.26-(220117.26*$Q$1%),220117.26-(220117.26*$E$1))</f>
        <v>220117.26</v>
      </c>
      <c r="M4101" s="1">
        <v>268543.06</v>
      </c>
      <c r="N4101" s="1">
        <v>220117.26</v>
      </c>
      <c r="O4101" s="1">
        <v>268543.06</v>
      </c>
      <c r="P4101" s="1">
        <v>220117.26</v>
      </c>
    </row>
    <row r="4102" spans="1:18" ht="13.8" outlineLevel="2" x14ac:dyDescent="0.25">
      <c r="A4102">
        <v>91801</v>
      </c>
      <c r="B4102" t="s">
        <v>5709</v>
      </c>
      <c r="C4102" t="s">
        <v>5710</v>
      </c>
      <c r="D4102" s="14" t="s">
        <v>5711</v>
      </c>
      <c r="E4102" s="12" t="s">
        <v>28</v>
      </c>
      <c r="F4102" s="13" t="s">
        <v>29</v>
      </c>
      <c r="H4102" t="s">
        <v>30</v>
      </c>
      <c r="I4102">
        <v>1</v>
      </c>
      <c r="J4102" s="15"/>
      <c r="K4102" s="16">
        <f>IF($E$1&gt;=$Q$1%,26485.59-(26485.59*$Q$1%),26485.59-(26485.59*$E$1))</f>
        <v>26485.59</v>
      </c>
      <c r="L4102" s="16">
        <f>IF($E$1&gt;=$Q$1%,21709.5-(21709.5*$Q$1%),21709.5-(21709.5*$E$1))</f>
        <v>21709.5</v>
      </c>
      <c r="M4102" s="1">
        <v>26485.59</v>
      </c>
      <c r="N4102" s="1">
        <v>21709.5</v>
      </c>
      <c r="O4102" s="1">
        <v>26485.59</v>
      </c>
      <c r="P4102" s="1">
        <v>21709.5</v>
      </c>
    </row>
    <row r="4103" spans="1:18" ht="13.8" outlineLevel="2" x14ac:dyDescent="0.25">
      <c r="A4103">
        <v>91802</v>
      </c>
      <c r="B4103" t="s">
        <v>5709</v>
      </c>
      <c r="C4103" t="s">
        <v>5712</v>
      </c>
      <c r="D4103" s="14" t="s">
        <v>5713</v>
      </c>
      <c r="E4103" s="12" t="s">
        <v>28</v>
      </c>
      <c r="F4103" s="13" t="s">
        <v>29</v>
      </c>
      <c r="H4103" t="s">
        <v>30</v>
      </c>
      <c r="I4103">
        <v>1</v>
      </c>
      <c r="J4103" s="15"/>
      <c r="K4103" s="16">
        <f>IF($E$1&gt;=$Q$1%,43535.21-(43535.21*$Q$1%),43535.21-(43535.21*$E$1))</f>
        <v>43535.21</v>
      </c>
      <c r="L4103" s="16">
        <f>IF($E$1&gt;=$Q$1%,35684.6-(35684.6*$Q$1%),35684.6-(35684.6*$E$1))</f>
        <v>35684.6</v>
      </c>
      <c r="M4103" s="1">
        <v>43535.21</v>
      </c>
      <c r="N4103" s="1">
        <v>35684.6</v>
      </c>
      <c r="O4103" s="1">
        <v>43535.21</v>
      </c>
      <c r="P4103" s="1">
        <v>35684.6</v>
      </c>
    </row>
    <row r="4104" spans="1:18" ht="13.8" outlineLevel="2" x14ac:dyDescent="0.25">
      <c r="A4104">
        <v>91803</v>
      </c>
      <c r="B4104" t="s">
        <v>5709</v>
      </c>
      <c r="C4104" t="s">
        <v>5714</v>
      </c>
      <c r="D4104" s="14" t="s">
        <v>5715</v>
      </c>
      <c r="E4104" s="12" t="s">
        <v>28</v>
      </c>
      <c r="F4104" s="13" t="s">
        <v>29</v>
      </c>
      <c r="H4104" t="s">
        <v>30</v>
      </c>
      <c r="I4104">
        <v>1</v>
      </c>
      <c r="J4104" s="15"/>
      <c r="K4104" s="16">
        <f>IF($E$1&gt;=$Q$1%,55004.96-(55004.96*$Q$1%),55004.96-(55004.96*$E$1))</f>
        <v>55004.959999999999</v>
      </c>
      <c r="L4104" s="16">
        <f>IF($E$1&gt;=$Q$1%,45086.03-(45086.03*$Q$1%),45086.03-(45086.03*$E$1))</f>
        <v>45086.03</v>
      </c>
      <c r="M4104" s="1">
        <v>55004.959999999999</v>
      </c>
      <c r="N4104" s="1">
        <v>45086.03</v>
      </c>
      <c r="O4104" s="1">
        <v>55004.959999999999</v>
      </c>
      <c r="P4104" s="1">
        <v>45086.03</v>
      </c>
    </row>
    <row r="4105" spans="1:18" ht="13.8" outlineLevel="2" x14ac:dyDescent="0.25">
      <c r="A4105">
        <v>79864</v>
      </c>
      <c r="B4105" t="s">
        <v>5716</v>
      </c>
      <c r="C4105" t="s">
        <v>5717</v>
      </c>
      <c r="D4105" s="14" t="s">
        <v>5718</v>
      </c>
      <c r="E4105" s="12" t="s">
        <v>28</v>
      </c>
      <c r="F4105" s="13" t="s">
        <v>29</v>
      </c>
      <c r="G4105">
        <v>1</v>
      </c>
      <c r="H4105" t="s">
        <v>30</v>
      </c>
      <c r="I4105">
        <v>1</v>
      </c>
      <c r="J4105" s="15"/>
      <c r="K4105" s="16">
        <f>IF($E$1&gt;=$Q$1%,8766.07-(8766.07*$Q$1%),8766.07-(8766.07*$E$1))</f>
        <v>8766.07</v>
      </c>
      <c r="L4105" s="16">
        <f>IF($E$1&gt;=$Q$1%,7185.3-(7185.3*$Q$1%),7185.3-(7185.3*$E$1))</f>
        <v>7185.3</v>
      </c>
      <c r="M4105" s="1">
        <v>8766.07</v>
      </c>
      <c r="N4105" s="1">
        <v>7185.3</v>
      </c>
      <c r="O4105" s="1">
        <v>8766.07</v>
      </c>
      <c r="P4105" s="1">
        <v>7185.3</v>
      </c>
      <c r="Q4105">
        <v>7.26</v>
      </c>
      <c r="R4105">
        <v>9.7260000000000003E-3</v>
      </c>
    </row>
    <row r="4106" spans="1:18" ht="13.8" outlineLevel="2" x14ac:dyDescent="0.25">
      <c r="A4106">
        <v>79865</v>
      </c>
      <c r="B4106" t="s">
        <v>5716</v>
      </c>
      <c r="C4106" t="s">
        <v>5719</v>
      </c>
      <c r="D4106" s="14" t="s">
        <v>5720</v>
      </c>
      <c r="E4106" s="12" t="s">
        <v>28</v>
      </c>
      <c r="F4106" s="13" t="s">
        <v>29</v>
      </c>
      <c r="G4106">
        <v>1</v>
      </c>
      <c r="H4106" t="s">
        <v>30</v>
      </c>
      <c r="I4106">
        <v>1</v>
      </c>
      <c r="J4106" s="15"/>
      <c r="K4106" s="16">
        <f>IF($E$1&gt;=$Q$1%,12335.7-(12335.7*$Q$1%),12335.7-(12335.7*$E$1))</f>
        <v>12335.7</v>
      </c>
      <c r="L4106" s="16">
        <f>IF($E$1&gt;=$Q$1%,10111.23-(10111.23*$Q$1%),10111.23-(10111.23*$E$1))</f>
        <v>10111.23</v>
      </c>
      <c r="M4106" s="1">
        <v>12335.7</v>
      </c>
      <c r="N4106" s="1">
        <v>10111.23</v>
      </c>
      <c r="O4106" s="1">
        <v>12335.7</v>
      </c>
      <c r="P4106" s="1">
        <v>10111.23</v>
      </c>
      <c r="Q4106">
        <v>10.6</v>
      </c>
      <c r="R4106">
        <v>9.7260000000000003E-3</v>
      </c>
    </row>
    <row r="4107" spans="1:18" ht="13.8" outlineLevel="2" x14ac:dyDescent="0.25">
      <c r="A4107">
        <v>89422</v>
      </c>
      <c r="B4107" t="s">
        <v>5721</v>
      </c>
      <c r="C4107" t="s">
        <v>5722</v>
      </c>
      <c r="D4107" s="14" t="s">
        <v>5723</v>
      </c>
      <c r="E4107" s="12" t="s">
        <v>28</v>
      </c>
      <c r="F4107" s="13" t="s">
        <v>29</v>
      </c>
      <c r="G4107">
        <v>1</v>
      </c>
      <c r="H4107" t="s">
        <v>30</v>
      </c>
      <c r="I4107">
        <v>1</v>
      </c>
      <c r="J4107" s="15"/>
      <c r="K4107" s="16">
        <f>IF($E$1&gt;=$Q$1%,18496.62-(18496.62*$Q$1%),18496.62-(18496.62*$E$1))</f>
        <v>18496.62</v>
      </c>
      <c r="L4107" s="16">
        <f>IF($E$1&gt;=$Q$1%,15161.16-(15161.16*$Q$1%),15161.16-(15161.16*$E$1))</f>
        <v>15161.16</v>
      </c>
      <c r="M4107" s="1">
        <v>18496.62</v>
      </c>
      <c r="N4107" s="1">
        <v>15161.16</v>
      </c>
      <c r="O4107" s="1">
        <v>18496.62</v>
      </c>
      <c r="P4107" s="1">
        <v>15161.16</v>
      </c>
      <c r="Q4107">
        <v>14.6</v>
      </c>
      <c r="R4107">
        <v>1.4437999999999999E-2</v>
      </c>
    </row>
    <row r="4108" spans="1:18" ht="13.8" outlineLevel="2" x14ac:dyDescent="0.25">
      <c r="A4108">
        <v>79866</v>
      </c>
      <c r="B4108" t="s">
        <v>5716</v>
      </c>
      <c r="C4108" t="s">
        <v>5724</v>
      </c>
      <c r="D4108" s="14" t="s">
        <v>5725</v>
      </c>
      <c r="E4108" s="12" t="s">
        <v>28</v>
      </c>
      <c r="F4108" s="13" t="s">
        <v>29</v>
      </c>
      <c r="G4108">
        <v>1</v>
      </c>
      <c r="H4108" t="s">
        <v>30</v>
      </c>
      <c r="I4108">
        <v>1</v>
      </c>
      <c r="J4108" s="15"/>
      <c r="K4108" s="16">
        <f>IF($E$1&gt;=$Q$1%,21967.7-(21967.7*$Q$1%),21967.7-(21967.7*$E$1))</f>
        <v>21967.7</v>
      </c>
      <c r="L4108" s="16">
        <f>IF($E$1&gt;=$Q$1%,18006.31-(18006.31*$Q$1%),18006.31-(18006.31*$E$1))</f>
        <v>18006.310000000001</v>
      </c>
      <c r="M4108" s="1">
        <v>21967.7</v>
      </c>
      <c r="N4108" s="1">
        <v>18006.310000000001</v>
      </c>
      <c r="O4108" s="1">
        <v>21967.7</v>
      </c>
      <c r="P4108" s="1">
        <v>18006.310000000001</v>
      </c>
      <c r="Q4108">
        <v>15.7</v>
      </c>
      <c r="R4108">
        <v>1.4437999999999999E-2</v>
      </c>
    </row>
    <row r="4109" spans="1:18" ht="13.8" outlineLevel="2" x14ac:dyDescent="0.25">
      <c r="A4109">
        <v>79867</v>
      </c>
      <c r="B4109" t="s">
        <v>5716</v>
      </c>
      <c r="C4109" t="s">
        <v>5726</v>
      </c>
      <c r="D4109" s="14" t="s">
        <v>5727</v>
      </c>
      <c r="E4109" s="12" t="s">
        <v>28</v>
      </c>
      <c r="F4109" s="13" t="s">
        <v>29</v>
      </c>
      <c r="H4109" t="s">
        <v>30</v>
      </c>
      <c r="I4109">
        <v>1</v>
      </c>
      <c r="J4109" s="15"/>
      <c r="K4109" s="16">
        <f>IF($E$1&gt;=$Q$1%,33175.98-(33175.98*$Q$1%),33175.98-(33175.98*$E$1))</f>
        <v>33175.980000000003</v>
      </c>
      <c r="L4109" s="16">
        <f>IF($E$1&gt;=$Q$1%,27193.43-(27193.43*$Q$1%),27193.43-(27193.43*$E$1))</f>
        <v>27193.43</v>
      </c>
      <c r="M4109" s="1">
        <v>33175.980000000003</v>
      </c>
      <c r="N4109" s="1">
        <v>27193.43</v>
      </c>
      <c r="O4109" s="1">
        <v>33175.980000000003</v>
      </c>
      <c r="P4109" s="1">
        <v>27193.43</v>
      </c>
    </row>
    <row r="4110" spans="1:18" ht="13.8" outlineLevel="2" x14ac:dyDescent="0.25">
      <c r="A4110">
        <v>79868</v>
      </c>
      <c r="B4110" t="s">
        <v>5716</v>
      </c>
      <c r="C4110" t="s">
        <v>5728</v>
      </c>
      <c r="D4110" s="14" t="s">
        <v>5729</v>
      </c>
      <c r="E4110" s="12" t="s">
        <v>28</v>
      </c>
      <c r="F4110" s="13" t="s">
        <v>29</v>
      </c>
      <c r="H4110" t="s">
        <v>30</v>
      </c>
      <c r="I4110">
        <v>1</v>
      </c>
      <c r="J4110" s="15"/>
      <c r="K4110" s="16">
        <f>IF($E$1&gt;=$Q$1%,45692.37-(45692.37*$Q$1%),45692.37-(45692.37*$E$1))</f>
        <v>45692.37</v>
      </c>
      <c r="L4110" s="16">
        <f>IF($E$1&gt;=$Q$1%,37452.76-(37452.76*$Q$1%),37452.76-(37452.76*$E$1))</f>
        <v>37452.76</v>
      </c>
      <c r="M4110" s="1">
        <v>45692.37</v>
      </c>
      <c r="N4110" s="1">
        <v>37452.76</v>
      </c>
      <c r="O4110" s="1">
        <v>45692.37</v>
      </c>
      <c r="P4110" s="1">
        <v>37452.76</v>
      </c>
    </row>
    <row r="4111" spans="1:18" ht="13.8" outlineLevel="2" x14ac:dyDescent="0.25">
      <c r="A4111">
        <v>91804</v>
      </c>
      <c r="B4111" t="s">
        <v>5730</v>
      </c>
      <c r="C4111" t="s">
        <v>5731</v>
      </c>
      <c r="D4111" s="14" t="s">
        <v>5732</v>
      </c>
      <c r="E4111" s="12" t="s">
        <v>28</v>
      </c>
      <c r="F4111" s="13" t="s">
        <v>29</v>
      </c>
      <c r="H4111" t="s">
        <v>30</v>
      </c>
      <c r="I4111">
        <v>1</v>
      </c>
      <c r="J4111" s="15"/>
      <c r="K4111" s="16">
        <f>IF($E$1&gt;=$Q$1%,19537.58-(19537.58*$Q$1%),19537.58-(19537.58*$E$1))</f>
        <v>19537.580000000002</v>
      </c>
      <c r="L4111" s="16">
        <f>IF($E$1&gt;=$Q$1%,16014.41-(16014.41*$Q$1%),16014.41-(16014.41*$E$1))</f>
        <v>16014.41</v>
      </c>
      <c r="M4111" s="1">
        <v>19537.580000000002</v>
      </c>
      <c r="N4111" s="1">
        <v>16014.41</v>
      </c>
      <c r="O4111" s="1">
        <v>19537.580000000002</v>
      </c>
      <c r="P4111" s="1">
        <v>16014.41</v>
      </c>
    </row>
    <row r="4112" spans="1:18" ht="13.8" outlineLevel="2" x14ac:dyDescent="0.25">
      <c r="A4112">
        <v>91805</v>
      </c>
      <c r="B4112" t="s">
        <v>5730</v>
      </c>
      <c r="C4112" t="s">
        <v>5733</v>
      </c>
      <c r="D4112" s="14" t="s">
        <v>5734</v>
      </c>
      <c r="E4112" s="12" t="s">
        <v>28</v>
      </c>
      <c r="F4112" s="13" t="s">
        <v>29</v>
      </c>
      <c r="H4112" t="s">
        <v>30</v>
      </c>
      <c r="I4112">
        <v>1</v>
      </c>
      <c r="J4112" s="15"/>
      <c r="K4112" s="16">
        <f>IF($E$1&gt;=$Q$1%,29575.5-(29575.5*$Q$1%),29575.5-(29575.5*$E$1))</f>
        <v>29575.5</v>
      </c>
      <c r="L4112" s="16">
        <f>IF($E$1&gt;=$Q$1%,24242.21-(24242.21*$Q$1%),24242.21-(24242.21*$E$1))</f>
        <v>24242.21</v>
      </c>
      <c r="M4112" s="1">
        <v>29575.5</v>
      </c>
      <c r="N4112" s="1">
        <v>24242.21</v>
      </c>
      <c r="O4112" s="1">
        <v>29575.5</v>
      </c>
      <c r="P4112" s="1">
        <v>24242.21</v>
      </c>
    </row>
    <row r="4113" spans="1:18" ht="13.8" outlineLevel="2" x14ac:dyDescent="0.25">
      <c r="A4113">
        <v>91806</v>
      </c>
      <c r="B4113" t="s">
        <v>5730</v>
      </c>
      <c r="C4113" t="s">
        <v>5735</v>
      </c>
      <c r="D4113" s="14" t="s">
        <v>5736</v>
      </c>
      <c r="E4113" s="12" t="s">
        <v>28</v>
      </c>
      <c r="F4113" s="13" t="s">
        <v>29</v>
      </c>
      <c r="H4113" t="s">
        <v>30</v>
      </c>
      <c r="I4113">
        <v>1</v>
      </c>
      <c r="J4113" s="15"/>
      <c r="K4113" s="16">
        <f>IF($E$1&gt;=$Q$1%,36760.95-(36760.95*$Q$1%),36760.95-(36760.95*$E$1))</f>
        <v>36760.949999999997</v>
      </c>
      <c r="L4113" s="16">
        <f>IF($E$1&gt;=$Q$1%,30131.93-(30131.93*$Q$1%),30131.93-(30131.93*$E$1))</f>
        <v>30131.93</v>
      </c>
      <c r="M4113" s="1">
        <v>36760.949999999997</v>
      </c>
      <c r="N4113" s="1">
        <v>30131.93</v>
      </c>
      <c r="O4113" s="1">
        <v>36760.949999999997</v>
      </c>
      <c r="P4113" s="1">
        <v>30131.93</v>
      </c>
    </row>
    <row r="4114" spans="1:18" ht="13.8" outlineLevel="2" x14ac:dyDescent="0.25">
      <c r="A4114">
        <v>84628</v>
      </c>
      <c r="B4114" t="s">
        <v>5737</v>
      </c>
      <c r="C4114" t="s">
        <v>5738</v>
      </c>
      <c r="D4114" s="14" t="s">
        <v>5739</v>
      </c>
      <c r="E4114" s="12" t="s">
        <v>28</v>
      </c>
      <c r="F4114" s="13" t="s">
        <v>29</v>
      </c>
      <c r="H4114" t="s">
        <v>30</v>
      </c>
      <c r="I4114">
        <v>1</v>
      </c>
      <c r="J4114" s="15"/>
      <c r="K4114" s="16">
        <f>IF($E$1&gt;=$Q$1%,16864.77-(16864.77*$Q$1%),16864.77-(16864.77*$E$1))</f>
        <v>16864.77</v>
      </c>
      <c r="L4114" s="16">
        <f>IF($E$1&gt;=$Q$1%,13823.58-(13823.58*$Q$1%),13823.58-(13823.58*$E$1))</f>
        <v>13823.58</v>
      </c>
      <c r="M4114" s="1">
        <v>16864.77</v>
      </c>
      <c r="N4114" s="1">
        <v>13823.58</v>
      </c>
      <c r="O4114" s="1">
        <v>16864.77</v>
      </c>
      <c r="P4114" s="1">
        <v>13823.58</v>
      </c>
    </row>
    <row r="4115" spans="1:18" ht="13.8" outlineLevel="2" x14ac:dyDescent="0.25">
      <c r="A4115">
        <v>84630</v>
      </c>
      <c r="B4115" t="s">
        <v>5737</v>
      </c>
      <c r="C4115" t="s">
        <v>5740</v>
      </c>
      <c r="D4115" s="14" t="s">
        <v>5741</v>
      </c>
      <c r="E4115" s="12" t="s">
        <v>28</v>
      </c>
      <c r="F4115" s="13" t="s">
        <v>29</v>
      </c>
      <c r="H4115" t="s">
        <v>30</v>
      </c>
      <c r="I4115">
        <v>1</v>
      </c>
      <c r="J4115" s="15"/>
      <c r="K4115" s="16">
        <f>IF($E$1&gt;=$Q$1%,21176.82-(21176.82*$Q$1%),21176.82-(21176.82*$E$1))</f>
        <v>21176.82</v>
      </c>
      <c r="L4115" s="16">
        <f>IF($E$1&gt;=$Q$1%,17358.05-(17358.05*$Q$1%),17358.05-(17358.05*$E$1))</f>
        <v>17358.05</v>
      </c>
      <c r="M4115" s="1">
        <v>21176.82</v>
      </c>
      <c r="N4115" s="1">
        <v>17358.05</v>
      </c>
      <c r="O4115" s="1">
        <v>21176.82</v>
      </c>
      <c r="P4115" s="1">
        <v>17358.05</v>
      </c>
    </row>
    <row r="4116" spans="1:18" ht="13.8" outlineLevel="2" x14ac:dyDescent="0.25">
      <c r="A4116">
        <v>84631</v>
      </c>
      <c r="B4116" t="s">
        <v>5737</v>
      </c>
      <c r="C4116" t="s">
        <v>5742</v>
      </c>
      <c r="D4116" s="14" t="s">
        <v>5743</v>
      </c>
      <c r="E4116" s="12" t="s">
        <v>28</v>
      </c>
      <c r="F4116" s="13" t="s">
        <v>29</v>
      </c>
      <c r="H4116" t="s">
        <v>30</v>
      </c>
      <c r="I4116">
        <v>1</v>
      </c>
      <c r="J4116" s="15"/>
      <c r="K4116" s="16">
        <f>IF($E$1&gt;=$Q$1%,36675.64-(36675.64*$Q$1%),36675.64-(36675.64*$E$1))</f>
        <v>36675.64</v>
      </c>
      <c r="L4116" s="16">
        <f>IF($E$1&gt;=$Q$1%,30062-(30062*$Q$1%),30062-(30062*$E$1))</f>
        <v>30062</v>
      </c>
      <c r="M4116" s="1">
        <v>36675.64</v>
      </c>
      <c r="N4116" s="1">
        <v>30062</v>
      </c>
      <c r="O4116" s="1">
        <v>36675.64</v>
      </c>
      <c r="P4116" s="1">
        <v>30062</v>
      </c>
    </row>
    <row r="4117" spans="1:18" ht="13.8" outlineLevel="2" x14ac:dyDescent="0.25">
      <c r="A4117">
        <v>84632</v>
      </c>
      <c r="B4117" t="s">
        <v>5737</v>
      </c>
      <c r="C4117" t="s">
        <v>5744</v>
      </c>
      <c r="D4117" s="14" t="s">
        <v>5745</v>
      </c>
      <c r="E4117" s="12" t="s">
        <v>28</v>
      </c>
      <c r="F4117" s="13" t="s">
        <v>29</v>
      </c>
      <c r="H4117" t="s">
        <v>30</v>
      </c>
      <c r="I4117">
        <v>1</v>
      </c>
      <c r="J4117" s="15"/>
      <c r="K4117" s="16">
        <f>IF($E$1&gt;=$Q$1%,56842.45-(56842.45*$Q$1%),56842.45-(56842.45*$E$1))</f>
        <v>56842.45</v>
      </c>
      <c r="L4117" s="16">
        <f>IF($E$1&gt;=$Q$1%,46592.17-(46592.17*$Q$1%),46592.17-(46592.17*$E$1))</f>
        <v>46592.17</v>
      </c>
      <c r="M4117" s="1">
        <v>56842.45</v>
      </c>
      <c r="N4117" s="1">
        <v>46592.17</v>
      </c>
      <c r="O4117" s="1">
        <v>56842.45</v>
      </c>
      <c r="P4117" s="1">
        <v>46592.17</v>
      </c>
    </row>
    <row r="4118" spans="1:18" ht="13.8" outlineLevel="2" x14ac:dyDescent="0.25">
      <c r="A4118">
        <v>84633</v>
      </c>
      <c r="B4118" t="s">
        <v>5737</v>
      </c>
      <c r="C4118" t="s">
        <v>5746</v>
      </c>
      <c r="D4118" s="14" t="s">
        <v>5747</v>
      </c>
      <c r="E4118" s="12" t="s">
        <v>28</v>
      </c>
      <c r="F4118" s="13" t="s">
        <v>29</v>
      </c>
      <c r="H4118" t="s">
        <v>30</v>
      </c>
      <c r="I4118">
        <v>1</v>
      </c>
      <c r="J4118" s="15"/>
      <c r="K4118" s="16">
        <f>IF($E$1&gt;=$Q$1%,68768.14-(68768.14*$Q$1%),68768.14-(68768.14*$E$1))</f>
        <v>68768.14</v>
      </c>
      <c r="L4118" s="16">
        <f>IF($E$1&gt;=$Q$1%,56367.33-(56367.33*$Q$1%),56367.33-(56367.33*$E$1))</f>
        <v>56367.33</v>
      </c>
      <c r="M4118" s="1">
        <v>68768.14</v>
      </c>
      <c r="N4118" s="1">
        <v>56367.33</v>
      </c>
      <c r="O4118" s="1">
        <v>68768.14</v>
      </c>
      <c r="P4118" s="1">
        <v>56367.33</v>
      </c>
    </row>
    <row r="4119" spans="1:18" ht="13.8" outlineLevel="2" x14ac:dyDescent="0.25">
      <c r="A4119">
        <v>104344</v>
      </c>
      <c r="B4119" t="s">
        <v>5748</v>
      </c>
      <c r="C4119" t="s">
        <v>5749</v>
      </c>
      <c r="D4119" s="14" t="s">
        <v>5750</v>
      </c>
      <c r="E4119" s="12" t="s">
        <v>28</v>
      </c>
      <c r="F4119" s="13" t="s">
        <v>29</v>
      </c>
      <c r="H4119" t="s">
        <v>30</v>
      </c>
      <c r="I4119">
        <v>1</v>
      </c>
      <c r="J4119" s="15"/>
      <c r="K4119" s="16">
        <f>IF($E$1&gt;=$Q$1%,305480.7-(305480.7*$Q$1%),305480.7-(305480.7*$E$1))</f>
        <v>305480.7</v>
      </c>
      <c r="L4119" s="16">
        <f>IF($E$1&gt;=$Q$1%,250394.02-(250394.02*$Q$1%),250394.02-(250394.02*$E$1))</f>
        <v>250394.02</v>
      </c>
      <c r="M4119" s="1">
        <v>305480.7</v>
      </c>
      <c r="N4119" s="1">
        <v>250394.02</v>
      </c>
      <c r="O4119" s="1">
        <v>305480.7</v>
      </c>
      <c r="P4119" s="1">
        <v>250394.02</v>
      </c>
    </row>
    <row r="4120" spans="1:18" ht="13.8" outlineLevel="2" x14ac:dyDescent="0.25">
      <c r="A4120">
        <v>82130</v>
      </c>
      <c r="B4120" t="s">
        <v>5751</v>
      </c>
      <c r="C4120" t="s">
        <v>5752</v>
      </c>
      <c r="D4120" s="14" t="s">
        <v>5753</v>
      </c>
      <c r="E4120" s="12" t="s">
        <v>28</v>
      </c>
      <c r="F4120" s="13" t="s">
        <v>29</v>
      </c>
      <c r="G4120">
        <v>1</v>
      </c>
      <c r="H4120" t="s">
        <v>30</v>
      </c>
      <c r="I4120">
        <v>1</v>
      </c>
      <c r="J4120" s="15"/>
      <c r="K4120" s="16">
        <f>IF($E$1&gt;=$Q$1%,498.48-(498.48*$Q$1%),498.48-(498.48*$E$1))</f>
        <v>498.48</v>
      </c>
      <c r="L4120" s="16">
        <f>IF($E$1&gt;=$Q$1%,408.59-(408.59*$Q$1%),408.59-(408.59*$E$1))</f>
        <v>408.59</v>
      </c>
      <c r="M4120" s="1">
        <v>498.48</v>
      </c>
      <c r="N4120" s="1">
        <v>408.59</v>
      </c>
      <c r="O4120" s="1">
        <v>498.48</v>
      </c>
      <c r="P4120" s="1">
        <v>408.59</v>
      </c>
      <c r="Q4120">
        <v>0.69</v>
      </c>
      <c r="R4120">
        <v>6.3000000000000003E-4</v>
      </c>
    </row>
    <row r="4121" spans="1:18" ht="16.5" customHeight="1" outlineLevel="1" x14ac:dyDescent="0.35">
      <c r="A4121" s="9"/>
      <c r="B4121" s="10" t="s">
        <v>5754</v>
      </c>
      <c r="C4121" s="10"/>
      <c r="D4121" s="10"/>
      <c r="E4121" s="10"/>
      <c r="F4121" s="10"/>
      <c r="G4121" s="10"/>
      <c r="H4121" s="10"/>
      <c r="I4121" s="10"/>
      <c r="J4121" s="10"/>
      <c r="K4121" s="10"/>
      <c r="L4121" s="10"/>
      <c r="M4121" s="10"/>
      <c r="N4121" s="10"/>
      <c r="O4121" s="10"/>
      <c r="P4121" s="10"/>
      <c r="Q4121" s="10"/>
      <c r="R4121" s="11"/>
    </row>
    <row r="4122" spans="1:18" ht="13.8" outlineLevel="2" x14ac:dyDescent="0.25">
      <c r="A4122">
        <v>87564</v>
      </c>
      <c r="B4122" t="s">
        <v>5755</v>
      </c>
      <c r="C4122" t="s">
        <v>5756</v>
      </c>
      <c r="D4122" s="14" t="s">
        <v>5757</v>
      </c>
      <c r="E4122" s="12" t="s">
        <v>28</v>
      </c>
      <c r="F4122" s="13" t="s">
        <v>29</v>
      </c>
      <c r="G4122">
        <v>1</v>
      </c>
      <c r="H4122" t="s">
        <v>30</v>
      </c>
      <c r="I4122">
        <v>1</v>
      </c>
      <c r="J4122" s="15"/>
      <c r="K4122" s="16">
        <f>IF($E$1&gt;=$Q$1%,38454.92-(38454.92*$Q$1%),38454.92-(38454.92*$E$1))</f>
        <v>38454.92</v>
      </c>
      <c r="L4122" s="16">
        <f>IF($E$1&gt;=$Q$1%,31520.43-(31520.43*$Q$1%),31520.43-(31520.43*$E$1))</f>
        <v>31520.43</v>
      </c>
      <c r="M4122" s="1">
        <v>38454.92</v>
      </c>
      <c r="N4122" s="1">
        <v>31520.43</v>
      </c>
      <c r="O4122" s="1">
        <v>38454.92</v>
      </c>
      <c r="P4122" s="1">
        <v>31520.43</v>
      </c>
      <c r="Q4122">
        <v>38.6</v>
      </c>
      <c r="R4122">
        <v>3.7726000000000003E-2</v>
      </c>
    </row>
    <row r="4123" spans="1:18" ht="13.8" outlineLevel="2" x14ac:dyDescent="0.25">
      <c r="A4123">
        <v>87565</v>
      </c>
      <c r="B4123" t="s">
        <v>5755</v>
      </c>
      <c r="C4123" t="s">
        <v>5758</v>
      </c>
      <c r="D4123" s="14" t="s">
        <v>5759</v>
      </c>
      <c r="E4123" s="12" t="s">
        <v>28</v>
      </c>
      <c r="F4123" s="13" t="s">
        <v>29</v>
      </c>
      <c r="G4123">
        <v>1</v>
      </c>
      <c r="H4123" t="s">
        <v>30</v>
      </c>
      <c r="I4123">
        <v>1</v>
      </c>
      <c r="J4123" s="15"/>
      <c r="K4123" s="16">
        <f>IF($E$1&gt;=$Q$1%,72733.36-(72733.36*$Q$1%),72733.36-(72733.36*$E$1))</f>
        <v>72733.36</v>
      </c>
      <c r="L4123" s="16">
        <f>IF($E$1&gt;=$Q$1%,59617.51-(59617.51*$Q$1%),59617.51-(59617.51*$E$1))</f>
        <v>59617.51</v>
      </c>
      <c r="M4123" s="1">
        <v>72733.36</v>
      </c>
      <c r="N4123" s="1">
        <v>59617.51</v>
      </c>
      <c r="O4123" s="1">
        <v>72733.36</v>
      </c>
      <c r="P4123" s="1">
        <v>59617.51</v>
      </c>
      <c r="Q4123">
        <v>80.400000000000006</v>
      </c>
      <c r="R4123">
        <v>7.3627999999999999E-2</v>
      </c>
    </row>
    <row r="4124" spans="1:18" ht="13.8" outlineLevel="2" x14ac:dyDescent="0.25">
      <c r="A4124">
        <v>87566</v>
      </c>
      <c r="B4124" t="s">
        <v>5755</v>
      </c>
      <c r="C4124" t="s">
        <v>5760</v>
      </c>
      <c r="D4124" s="14" t="s">
        <v>5761</v>
      </c>
      <c r="E4124" s="12" t="s">
        <v>28</v>
      </c>
      <c r="F4124" s="13" t="s">
        <v>29</v>
      </c>
      <c r="G4124">
        <v>1</v>
      </c>
      <c r="H4124" t="s">
        <v>30</v>
      </c>
      <c r="I4124">
        <v>1</v>
      </c>
      <c r="J4124" s="15"/>
      <c r="K4124" s="16">
        <f>IF($E$1&gt;=$Q$1%,106215.54-(106215.54*$Q$1%),106215.54-(106215.54*$E$1))</f>
        <v>106215.54</v>
      </c>
      <c r="L4124" s="16">
        <f>IF($E$1&gt;=$Q$1%,87061.92-(87061.92*$Q$1%),87061.92-(87061.92*$E$1))</f>
        <v>87061.92</v>
      </c>
      <c r="M4124" s="1">
        <v>106215.54</v>
      </c>
      <c r="N4124" s="1">
        <v>87061.92</v>
      </c>
      <c r="O4124" s="1">
        <v>106215.54</v>
      </c>
      <c r="P4124" s="1">
        <v>87061.92</v>
      </c>
      <c r="Q4124">
        <v>120</v>
      </c>
      <c r="R4124">
        <v>0.113681</v>
      </c>
    </row>
    <row r="4125" spans="1:18" ht="13.8" outlineLevel="2" x14ac:dyDescent="0.25">
      <c r="A4125">
        <v>87567</v>
      </c>
      <c r="B4125" t="s">
        <v>5755</v>
      </c>
      <c r="C4125" t="s">
        <v>5762</v>
      </c>
      <c r="D4125" s="14" t="s">
        <v>5763</v>
      </c>
      <c r="E4125" s="12" t="s">
        <v>28</v>
      </c>
      <c r="F4125" s="13" t="s">
        <v>29</v>
      </c>
      <c r="G4125">
        <v>1</v>
      </c>
      <c r="H4125" t="s">
        <v>30</v>
      </c>
      <c r="I4125">
        <v>1</v>
      </c>
      <c r="J4125" s="15"/>
      <c r="K4125" s="16">
        <f>IF($E$1&gt;=$Q$1%,27463.86-(27463.86*$Q$1%),27463.86-(27463.86*$E$1))</f>
        <v>27463.86</v>
      </c>
      <c r="L4125" s="16">
        <f>IF($E$1&gt;=$Q$1%,22511.36-(22511.36*$Q$1%),22511.36-(22511.36*$E$1))</f>
        <v>22511.360000000001</v>
      </c>
      <c r="M4125" s="1">
        <v>27463.86</v>
      </c>
      <c r="N4125" s="1">
        <v>22511.360000000001</v>
      </c>
      <c r="O4125" s="1">
        <v>27463.86</v>
      </c>
      <c r="P4125" s="1">
        <v>22511.360000000001</v>
      </c>
      <c r="Q4125">
        <v>21.3</v>
      </c>
      <c r="R4125">
        <v>1.7264999999999999E-2</v>
      </c>
    </row>
    <row r="4126" spans="1:18" ht="13.8" outlineLevel="2" x14ac:dyDescent="0.25">
      <c r="A4126">
        <v>87568</v>
      </c>
      <c r="B4126" t="s">
        <v>5755</v>
      </c>
      <c r="C4126" t="s">
        <v>5764</v>
      </c>
      <c r="D4126" s="14" t="s">
        <v>5765</v>
      </c>
      <c r="E4126" s="12" t="s">
        <v>28</v>
      </c>
      <c r="F4126" s="13" t="s">
        <v>29</v>
      </c>
      <c r="G4126">
        <v>1</v>
      </c>
      <c r="H4126" t="s">
        <v>30</v>
      </c>
      <c r="I4126">
        <v>1</v>
      </c>
      <c r="J4126" s="15"/>
      <c r="K4126" s="16">
        <f>IF($E$1&gt;=$Q$1%,42799.21-(42799.21*$Q$1%),42799.21-(42799.21*$E$1))</f>
        <v>42799.21</v>
      </c>
      <c r="L4126" s="16">
        <f>IF($E$1&gt;=$Q$1%,35081.32-(35081.32*$Q$1%),35081.32-(35081.32*$E$1))</f>
        <v>35081.32</v>
      </c>
      <c r="M4126" s="1">
        <v>42799.21</v>
      </c>
      <c r="N4126" s="1">
        <v>35081.32</v>
      </c>
      <c r="O4126" s="1">
        <v>42799.21</v>
      </c>
      <c r="P4126" s="1">
        <v>35081.32</v>
      </c>
      <c r="Q4126">
        <v>46.6</v>
      </c>
      <c r="R4126">
        <v>3.7726000000000003E-2</v>
      </c>
    </row>
    <row r="4127" spans="1:18" ht="13.8" outlineLevel="2" x14ac:dyDescent="0.25">
      <c r="A4127">
        <v>87569</v>
      </c>
      <c r="B4127" t="s">
        <v>5755</v>
      </c>
      <c r="C4127" t="s">
        <v>5766</v>
      </c>
      <c r="D4127" s="14" t="s">
        <v>5767</v>
      </c>
      <c r="E4127" s="12" t="s">
        <v>28</v>
      </c>
      <c r="F4127" s="13" t="s">
        <v>29</v>
      </c>
      <c r="G4127">
        <v>1</v>
      </c>
      <c r="H4127" t="s">
        <v>30</v>
      </c>
      <c r="I4127">
        <v>1</v>
      </c>
      <c r="J4127" s="15"/>
      <c r="K4127" s="16">
        <f>IF($E$1&gt;=$Q$1%,78920.4-(78920.4*$Q$1%),78920.4-(78920.4*$E$1))</f>
        <v>78920.399999999994</v>
      </c>
      <c r="L4127" s="16">
        <f>IF($E$1&gt;=$Q$1%,64688.85-(64688.85*$Q$1%),64688.85-(64688.85*$E$1))</f>
        <v>64688.85</v>
      </c>
      <c r="M4127" s="1">
        <v>78920.399999999994</v>
      </c>
      <c r="N4127" s="1">
        <v>64688.85</v>
      </c>
      <c r="O4127" s="1">
        <v>78920.399999999994</v>
      </c>
      <c r="P4127" s="1">
        <v>64688.85</v>
      </c>
      <c r="Q4127">
        <v>92.3</v>
      </c>
      <c r="R4127">
        <v>7.3627999999999999E-2</v>
      </c>
    </row>
    <row r="4128" spans="1:18" ht="16.5" customHeight="1" outlineLevel="1" x14ac:dyDescent="0.35">
      <c r="A4128" s="9"/>
      <c r="B4128" s="10" t="s">
        <v>5768</v>
      </c>
      <c r="C4128" s="10"/>
      <c r="D4128" s="10"/>
      <c r="E4128" s="10"/>
      <c r="F4128" s="10"/>
      <c r="G4128" s="10"/>
      <c r="H4128" s="10"/>
      <c r="I4128" s="10"/>
      <c r="J4128" s="10"/>
      <c r="K4128" s="10"/>
      <c r="L4128" s="10"/>
      <c r="M4128" s="10"/>
      <c r="N4128" s="10"/>
      <c r="O4128" s="10"/>
      <c r="P4128" s="10"/>
      <c r="Q4128" s="10"/>
      <c r="R4128" s="11"/>
    </row>
    <row r="4129" spans="1:18" ht="13.8" outlineLevel="2" x14ac:dyDescent="0.25">
      <c r="A4129">
        <v>110081</v>
      </c>
      <c r="B4129" t="s">
        <v>5769</v>
      </c>
      <c r="C4129" t="s">
        <v>5770</v>
      </c>
      <c r="D4129" s="14" t="s">
        <v>5771</v>
      </c>
      <c r="E4129" s="12" t="s">
        <v>28</v>
      </c>
      <c r="F4129" s="18" t="s">
        <v>1467</v>
      </c>
      <c r="G4129">
        <v>1</v>
      </c>
      <c r="H4129" t="s">
        <v>30</v>
      </c>
      <c r="I4129">
        <v>1</v>
      </c>
      <c r="J4129" s="15"/>
      <c r="K4129" s="16">
        <f>IF($E$1&gt;=$Q$1%,256153.35-(256153.35*$Q$1%),256153.35-(256153.35*$E$1))</f>
        <v>256153.35</v>
      </c>
      <c r="L4129" s="16">
        <f>IF($E$1&gt;=$Q$1%,209961.76-(209961.76*$Q$1%),209961.76-(209961.76*$E$1))</f>
        <v>209961.76</v>
      </c>
      <c r="M4129" s="1">
        <v>256153.35</v>
      </c>
      <c r="N4129" s="1">
        <v>209961.76</v>
      </c>
      <c r="O4129" s="1">
        <v>256153.35</v>
      </c>
      <c r="P4129" s="1">
        <v>209961.76</v>
      </c>
      <c r="Q4129">
        <v>24.35</v>
      </c>
      <c r="R4129">
        <v>4.9301999999999999E-2</v>
      </c>
    </row>
    <row r="4130" spans="1:18" ht="13.8" outlineLevel="2" x14ac:dyDescent="0.25">
      <c r="A4130">
        <v>87720</v>
      </c>
      <c r="B4130" t="s">
        <v>5772</v>
      </c>
      <c r="C4130" t="s">
        <v>5773</v>
      </c>
      <c r="D4130" s="14" t="s">
        <v>5774</v>
      </c>
      <c r="E4130" s="12" t="s">
        <v>28</v>
      </c>
      <c r="F4130" s="13" t="s">
        <v>29</v>
      </c>
      <c r="G4130">
        <v>1</v>
      </c>
      <c r="H4130" t="s">
        <v>30</v>
      </c>
      <c r="I4130">
        <v>1</v>
      </c>
      <c r="J4130" s="15"/>
      <c r="K4130" s="16">
        <f>IF($E$1&gt;=$Q$1%,13453.35-(13453.35*$Q$1%),13453.35-(13453.35*$E$1))</f>
        <v>13453.35</v>
      </c>
      <c r="L4130" s="16">
        <f>IF($E$1&gt;=$Q$1%,11027.34-(11027.34*$Q$1%),11027.34-(11027.34*$E$1))</f>
        <v>11027.34</v>
      </c>
      <c r="M4130" s="1">
        <v>13453.35</v>
      </c>
      <c r="N4130" s="1">
        <v>11027.34</v>
      </c>
      <c r="O4130" s="1">
        <v>13453.35</v>
      </c>
      <c r="P4130" s="1">
        <v>11027.34</v>
      </c>
      <c r="Q4130">
        <v>3.9</v>
      </c>
      <c r="R4130">
        <v>7.1960000000000001E-3</v>
      </c>
    </row>
    <row r="4131" spans="1:18" ht="13.8" outlineLevel="2" x14ac:dyDescent="0.25">
      <c r="A4131">
        <v>87721</v>
      </c>
      <c r="B4131" t="s">
        <v>5772</v>
      </c>
      <c r="C4131" t="s">
        <v>5775</v>
      </c>
      <c r="D4131" s="14" t="s">
        <v>5776</v>
      </c>
      <c r="E4131" s="12" t="s">
        <v>28</v>
      </c>
      <c r="F4131" s="13" t="s">
        <v>29</v>
      </c>
      <c r="G4131">
        <v>1</v>
      </c>
      <c r="H4131" t="s">
        <v>30</v>
      </c>
      <c r="I4131">
        <v>1</v>
      </c>
      <c r="J4131" s="15"/>
      <c r="K4131" s="16">
        <f>IF($E$1&gt;=$Q$1%,20294.53-(20294.53*$Q$1%),20294.53-(20294.53*$E$1))</f>
        <v>20294.53</v>
      </c>
      <c r="L4131" s="16">
        <f>IF($E$1&gt;=$Q$1%,16634.86-(16634.86*$Q$1%),16634.86-(16634.86*$E$1))</f>
        <v>16634.86</v>
      </c>
      <c r="M4131" s="1">
        <v>20294.53</v>
      </c>
      <c r="N4131" s="1">
        <v>16634.86</v>
      </c>
      <c r="O4131" s="1">
        <v>20294.53</v>
      </c>
      <c r="P4131" s="1">
        <v>16634.86</v>
      </c>
      <c r="Q4131">
        <v>6.6</v>
      </c>
      <c r="R4131">
        <v>1.452E-2</v>
      </c>
    </row>
    <row r="4132" spans="1:18" ht="13.8" outlineLevel="2" x14ac:dyDescent="0.25">
      <c r="A4132">
        <v>87722</v>
      </c>
      <c r="B4132" t="s">
        <v>5777</v>
      </c>
      <c r="C4132" t="s">
        <v>5778</v>
      </c>
      <c r="D4132" s="14" t="s">
        <v>5779</v>
      </c>
      <c r="E4132" s="12" t="s">
        <v>28</v>
      </c>
      <c r="F4132" s="13" t="s">
        <v>29</v>
      </c>
      <c r="H4132" t="s">
        <v>30</v>
      </c>
      <c r="I4132">
        <v>1</v>
      </c>
      <c r="J4132" s="15"/>
      <c r="K4132" s="16">
        <f>IF($E$1&gt;=$Q$1%,25676.9-(25676.9*$Q$1%),25676.9-(25676.9*$E$1))</f>
        <v>25676.9</v>
      </c>
      <c r="L4132" s="16">
        <f>IF($E$1&gt;=$Q$1%,21046.64-(21046.64*$Q$1%),21046.64-(21046.64*$E$1))</f>
        <v>21046.639999999999</v>
      </c>
      <c r="M4132" s="1">
        <v>25676.9</v>
      </c>
      <c r="N4132" s="1">
        <v>21046.639999999999</v>
      </c>
      <c r="O4132" s="1">
        <v>25676.9</v>
      </c>
      <c r="P4132" s="1">
        <v>21046.639999999999</v>
      </c>
    </row>
    <row r="4133" spans="1:18" ht="13.8" outlineLevel="2" x14ac:dyDescent="0.25">
      <c r="A4133">
        <v>87723</v>
      </c>
      <c r="B4133" t="s">
        <v>5777</v>
      </c>
      <c r="C4133" t="s">
        <v>5780</v>
      </c>
      <c r="D4133" s="14" t="s">
        <v>5781</v>
      </c>
      <c r="E4133" s="12" t="s">
        <v>28</v>
      </c>
      <c r="F4133" s="13" t="s">
        <v>29</v>
      </c>
      <c r="H4133" t="s">
        <v>30</v>
      </c>
      <c r="I4133">
        <v>1</v>
      </c>
      <c r="J4133" s="15"/>
      <c r="K4133" s="16">
        <f>IF($E$1&gt;=$Q$1%,38172.37-(38172.37*$Q$1%),38172.37-(38172.37*$E$1))</f>
        <v>38172.370000000003</v>
      </c>
      <c r="L4133" s="16">
        <f>IF($E$1&gt;=$Q$1%,31288.83-(31288.83*$Q$1%),31288.83-(31288.83*$E$1))</f>
        <v>31288.83</v>
      </c>
      <c r="M4133" s="1">
        <v>38172.370000000003</v>
      </c>
      <c r="N4133" s="1">
        <v>31288.83</v>
      </c>
      <c r="O4133" s="1">
        <v>38172.370000000003</v>
      </c>
      <c r="P4133" s="1">
        <v>31288.83</v>
      </c>
    </row>
    <row r="4134" spans="1:18" ht="13.8" outlineLevel="2" x14ac:dyDescent="0.25">
      <c r="A4134">
        <v>87718</v>
      </c>
      <c r="B4134" t="s">
        <v>5782</v>
      </c>
      <c r="C4134" t="s">
        <v>5783</v>
      </c>
      <c r="D4134" s="14" t="s">
        <v>5784</v>
      </c>
      <c r="E4134" s="12" t="s">
        <v>28</v>
      </c>
      <c r="F4134" s="13" t="s">
        <v>29</v>
      </c>
      <c r="G4134">
        <v>1</v>
      </c>
      <c r="H4134" t="s">
        <v>30</v>
      </c>
      <c r="I4134">
        <v>1</v>
      </c>
      <c r="J4134" s="15"/>
      <c r="K4134" s="16">
        <f>IF($E$1&gt;=$Q$1%,53604.96-(53604.96*$Q$1%),53604.96-(53604.96*$E$1))</f>
        <v>53604.959999999999</v>
      </c>
      <c r="L4134" s="16">
        <f>IF($E$1&gt;=$Q$1%,43938.49-(43938.49*$Q$1%),43938.49-(43938.49*$E$1))</f>
        <v>43938.49</v>
      </c>
      <c r="M4134" s="1">
        <v>53604.959999999999</v>
      </c>
      <c r="N4134" s="1">
        <v>43938.49</v>
      </c>
      <c r="O4134" s="1">
        <v>53604.959999999999</v>
      </c>
      <c r="P4134" s="1">
        <v>43938.49</v>
      </c>
      <c r="Q4134">
        <v>10.7</v>
      </c>
      <c r="R4134">
        <v>7.424E-3</v>
      </c>
    </row>
    <row r="4135" spans="1:18" ht="13.8" outlineLevel="2" x14ac:dyDescent="0.25">
      <c r="A4135">
        <v>110079</v>
      </c>
      <c r="B4135" t="s">
        <v>5785</v>
      </c>
      <c r="C4135" t="s">
        <v>5786</v>
      </c>
      <c r="D4135" s="14" t="s">
        <v>5787</v>
      </c>
      <c r="E4135" s="12" t="s">
        <v>28</v>
      </c>
      <c r="F4135" s="18" t="s">
        <v>1467</v>
      </c>
      <c r="G4135">
        <v>1</v>
      </c>
      <c r="H4135" t="s">
        <v>30</v>
      </c>
      <c r="I4135">
        <v>1</v>
      </c>
      <c r="J4135" s="15"/>
      <c r="K4135" s="16">
        <f>IF($E$1&gt;=$Q$1%,74304.22-(74304.22*$Q$1%),74304.22-(74304.22*$E$1))</f>
        <v>74304.22</v>
      </c>
      <c r="L4135" s="16">
        <f>IF($E$1&gt;=$Q$1%,60905.1-(60905.1*$Q$1%),60905.1-(60905.1*$E$1))</f>
        <v>60905.1</v>
      </c>
      <c r="M4135" s="1">
        <v>74304.22</v>
      </c>
      <c r="N4135" s="1">
        <v>60905.1</v>
      </c>
      <c r="O4135" s="1">
        <v>74304.22</v>
      </c>
      <c r="P4135" s="1">
        <v>60905.1</v>
      </c>
      <c r="Q4135">
        <v>18.54</v>
      </c>
      <c r="R4135">
        <v>1.5561E-2</v>
      </c>
    </row>
    <row r="4136" spans="1:18" ht="13.8" outlineLevel="2" x14ac:dyDescent="0.25">
      <c r="A4136">
        <v>87719</v>
      </c>
      <c r="B4136" t="s">
        <v>5788</v>
      </c>
      <c r="C4136" t="s">
        <v>5789</v>
      </c>
      <c r="D4136" s="14" t="s">
        <v>5790</v>
      </c>
      <c r="E4136" s="12" t="s">
        <v>28</v>
      </c>
      <c r="F4136" s="13" t="s">
        <v>29</v>
      </c>
      <c r="H4136" t="s">
        <v>30</v>
      </c>
      <c r="I4136">
        <v>1</v>
      </c>
      <c r="J4136" s="15"/>
      <c r="K4136" s="16">
        <f>IF($E$1&gt;=$Q$1%,63091.96-(63091.96*$Q$1%),63091.96-(63091.96*$E$1))</f>
        <v>63091.96</v>
      </c>
      <c r="L4136" s="16">
        <f>IF($E$1&gt;=$Q$1%,51714.72-(51714.72*$Q$1%),51714.72-(51714.72*$E$1))</f>
        <v>51714.720000000001</v>
      </c>
      <c r="M4136" s="1">
        <v>63091.96</v>
      </c>
      <c r="N4136" s="1">
        <v>51714.720000000001</v>
      </c>
      <c r="O4136" s="1">
        <v>63091.96</v>
      </c>
      <c r="P4136" s="1">
        <v>51714.720000000001</v>
      </c>
    </row>
    <row r="4137" spans="1:18" ht="13.8" outlineLevel="2" x14ac:dyDescent="0.25">
      <c r="A4137">
        <v>110080</v>
      </c>
      <c r="B4137" t="s">
        <v>5791</v>
      </c>
      <c r="C4137" t="s">
        <v>5792</v>
      </c>
      <c r="D4137" s="14" t="s">
        <v>5793</v>
      </c>
      <c r="E4137" s="12" t="s">
        <v>28</v>
      </c>
      <c r="F4137" s="18" t="s">
        <v>1467</v>
      </c>
      <c r="G4137">
        <v>1</v>
      </c>
      <c r="H4137" t="s">
        <v>30</v>
      </c>
      <c r="I4137">
        <v>1</v>
      </c>
      <c r="J4137" s="15"/>
      <c r="K4137" s="16">
        <f>IF($E$1&gt;=$Q$1%,87699.9-(87699.9*$Q$1%),87699.9-(87699.9*$E$1))</f>
        <v>87699.9</v>
      </c>
      <c r="L4137" s="16">
        <f>IF($E$1&gt;=$Q$1%,71885.16-(71885.16*$Q$1%),71885.16-(71885.16*$E$1))</f>
        <v>71885.16</v>
      </c>
      <c r="M4137" s="1">
        <v>87699.9</v>
      </c>
      <c r="N4137" s="1">
        <v>71885.16</v>
      </c>
      <c r="O4137" s="1">
        <v>87699.9</v>
      </c>
      <c r="P4137" s="1">
        <v>71885.16</v>
      </c>
      <c r="Q4137">
        <v>21.11</v>
      </c>
      <c r="R4137">
        <v>1.9890000000000001E-2</v>
      </c>
    </row>
    <row r="4138" spans="1:18" ht="13.8" outlineLevel="2" x14ac:dyDescent="0.25">
      <c r="A4138">
        <v>109352</v>
      </c>
      <c r="B4138" t="s">
        <v>5794</v>
      </c>
      <c r="C4138" t="s">
        <v>5795</v>
      </c>
      <c r="D4138" s="14" t="s">
        <v>5796</v>
      </c>
      <c r="E4138" s="12" t="s">
        <v>28</v>
      </c>
      <c r="F4138" s="18" t="s">
        <v>1467</v>
      </c>
      <c r="H4138" t="s">
        <v>30</v>
      </c>
      <c r="I4138">
        <v>1</v>
      </c>
      <c r="J4138" s="15"/>
      <c r="K4138" s="16">
        <f>IF($E$1&gt;=$Q$1%,40500-(40500*$Q$1%),40500-(40500*$E$1))</f>
        <v>40500</v>
      </c>
      <c r="L4138" s="16">
        <f>IF($E$1&gt;=$Q$1%,33196.72-(33196.72*$Q$1%),33196.72-(33196.72*$E$1))</f>
        <v>33196.720000000001</v>
      </c>
      <c r="M4138" s="1">
        <v>40500</v>
      </c>
      <c r="N4138" s="1">
        <v>33196.720000000001</v>
      </c>
      <c r="O4138" s="1">
        <v>40500</v>
      </c>
      <c r="P4138" s="1">
        <v>33196.720000000001</v>
      </c>
    </row>
    <row r="4139" spans="1:18" ht="13.8" outlineLevel="2" x14ac:dyDescent="0.25">
      <c r="A4139">
        <v>109353</v>
      </c>
      <c r="B4139" t="s">
        <v>5794</v>
      </c>
      <c r="C4139" t="s">
        <v>5797</v>
      </c>
      <c r="D4139" s="14" t="s">
        <v>5798</v>
      </c>
      <c r="E4139" s="12" t="s">
        <v>28</v>
      </c>
      <c r="F4139" s="18" t="s">
        <v>1467</v>
      </c>
      <c r="H4139" t="s">
        <v>30</v>
      </c>
      <c r="I4139">
        <v>1</v>
      </c>
      <c r="J4139" s="15"/>
      <c r="K4139" s="16">
        <f>IF($E$1&gt;=$Q$1%,88500-(88500*$Q$1%),88500-(88500*$E$1))</f>
        <v>88500</v>
      </c>
      <c r="L4139" s="16">
        <f>IF($E$1&gt;=$Q$1%,72540.98-(72540.98*$Q$1%),72540.98-(72540.98*$E$1))</f>
        <v>72540.98</v>
      </c>
      <c r="M4139" s="1">
        <v>88500</v>
      </c>
      <c r="N4139" s="1">
        <v>72540.98</v>
      </c>
      <c r="O4139" s="1">
        <v>88500</v>
      </c>
      <c r="P4139" s="1">
        <v>72540.98</v>
      </c>
    </row>
    <row r="4140" spans="1:18" ht="13.8" outlineLevel="2" x14ac:dyDescent="0.25">
      <c r="A4140">
        <v>109354</v>
      </c>
      <c r="B4140" t="s">
        <v>5794</v>
      </c>
      <c r="C4140" t="s">
        <v>5799</v>
      </c>
      <c r="D4140" s="14" t="s">
        <v>5800</v>
      </c>
      <c r="E4140" s="12" t="s">
        <v>28</v>
      </c>
      <c r="F4140" s="18" t="s">
        <v>1467</v>
      </c>
      <c r="H4140" t="s">
        <v>30</v>
      </c>
      <c r="I4140">
        <v>1</v>
      </c>
      <c r="J4140" s="15"/>
      <c r="K4140" s="16">
        <f>IF($E$1&gt;=$Q$1%,52500-(52500*$Q$1%),52500-(52500*$E$1))</f>
        <v>52500</v>
      </c>
      <c r="L4140" s="16">
        <f>IF($E$1&gt;=$Q$1%,43032.79-(43032.79*$Q$1%),43032.79-(43032.79*$E$1))</f>
        <v>43032.79</v>
      </c>
      <c r="M4140" s="1">
        <v>52500</v>
      </c>
      <c r="N4140" s="1">
        <v>43032.79</v>
      </c>
      <c r="O4140" s="1">
        <v>52500</v>
      </c>
      <c r="P4140" s="1">
        <v>43032.79</v>
      </c>
    </row>
    <row r="4141" spans="1:18" ht="13.8" outlineLevel="2" x14ac:dyDescent="0.25">
      <c r="A4141">
        <v>109355</v>
      </c>
      <c r="B4141" t="s">
        <v>5794</v>
      </c>
      <c r="C4141" t="s">
        <v>5801</v>
      </c>
      <c r="D4141" s="14" t="s">
        <v>5802</v>
      </c>
      <c r="E4141" s="12" t="s">
        <v>28</v>
      </c>
      <c r="F4141" s="18" t="s">
        <v>1467</v>
      </c>
      <c r="H4141" t="s">
        <v>30</v>
      </c>
      <c r="I4141">
        <v>1</v>
      </c>
      <c r="J4141" s="15"/>
      <c r="K4141" s="16">
        <f>IF($E$1&gt;=$Q$1%,120000.01-(120000.01*$Q$1%),120000.01-(120000.01*$E$1))</f>
        <v>120000.01</v>
      </c>
      <c r="L4141" s="16">
        <f>IF($E$1&gt;=$Q$1%,98360.66-(98360.66*$Q$1%),98360.66-(98360.66*$E$1))</f>
        <v>98360.66</v>
      </c>
      <c r="M4141" s="1">
        <v>120000.01</v>
      </c>
      <c r="N4141" s="1">
        <v>98360.66</v>
      </c>
      <c r="O4141" s="1">
        <v>120000.01</v>
      </c>
      <c r="P4141" s="1">
        <v>98360.66</v>
      </c>
    </row>
    <row r="4142" spans="1:18" ht="13.8" outlineLevel="2" x14ac:dyDescent="0.25">
      <c r="A4142">
        <v>109356</v>
      </c>
      <c r="B4142" t="s">
        <v>5794</v>
      </c>
      <c r="C4142" t="s">
        <v>5803</v>
      </c>
      <c r="D4142" s="14" t="s">
        <v>5804</v>
      </c>
      <c r="E4142" s="12" t="s">
        <v>28</v>
      </c>
      <c r="F4142" s="18" t="s">
        <v>1467</v>
      </c>
      <c r="H4142" t="s">
        <v>30</v>
      </c>
      <c r="I4142">
        <v>1</v>
      </c>
      <c r="J4142" s="15"/>
      <c r="K4142" s="16">
        <f>IF($E$1&gt;=$Q$1%,67500-(67500*$Q$1%),67500-(67500*$E$1))</f>
        <v>67500</v>
      </c>
      <c r="L4142" s="16">
        <f>IF($E$1&gt;=$Q$1%,55327.87-(55327.87*$Q$1%),55327.87-(55327.87*$E$1))</f>
        <v>55327.87</v>
      </c>
      <c r="M4142" s="1">
        <v>67500</v>
      </c>
      <c r="N4142" s="1">
        <v>55327.87</v>
      </c>
      <c r="O4142" s="1">
        <v>67500</v>
      </c>
      <c r="P4142" s="1">
        <v>55327.87</v>
      </c>
    </row>
    <row r="4143" spans="1:18" ht="13.8" outlineLevel="2" x14ac:dyDescent="0.25">
      <c r="A4143">
        <v>109357</v>
      </c>
      <c r="B4143" t="s">
        <v>5794</v>
      </c>
      <c r="C4143" t="s">
        <v>5805</v>
      </c>
      <c r="D4143" s="14" t="s">
        <v>5806</v>
      </c>
      <c r="E4143" s="12" t="s">
        <v>28</v>
      </c>
      <c r="F4143" s="18" t="s">
        <v>1467</v>
      </c>
      <c r="H4143" t="s">
        <v>30</v>
      </c>
      <c r="I4143">
        <v>1</v>
      </c>
      <c r="J4143" s="15"/>
      <c r="K4143" s="16">
        <f>IF($E$1&gt;=$Q$1%,150000-(150000*$Q$1%),150000-(150000*$E$1))</f>
        <v>150000</v>
      </c>
      <c r="L4143" s="16">
        <f>IF($E$1&gt;=$Q$1%,122950.82-(122950.82*$Q$1%),122950.82-(122950.82*$E$1))</f>
        <v>122950.82</v>
      </c>
      <c r="M4143" s="1">
        <v>150000</v>
      </c>
      <c r="N4143" s="1">
        <v>122950.82</v>
      </c>
      <c r="O4143" s="1">
        <v>150000</v>
      </c>
      <c r="P4143" s="1">
        <v>122950.82</v>
      </c>
    </row>
    <row r="4144" spans="1:18" ht="16.5" customHeight="1" outlineLevel="1" x14ac:dyDescent="0.35">
      <c r="A4144" s="9"/>
      <c r="B4144" s="10" t="s">
        <v>5807</v>
      </c>
      <c r="C4144" s="10"/>
      <c r="D4144" s="10"/>
      <c r="E4144" s="10"/>
      <c r="F4144" s="10"/>
      <c r="G4144" s="10"/>
      <c r="H4144" s="10"/>
      <c r="I4144" s="10"/>
      <c r="J4144" s="10"/>
      <c r="K4144" s="10"/>
      <c r="L4144" s="10"/>
      <c r="M4144" s="10"/>
      <c r="N4144" s="10"/>
      <c r="O4144" s="10"/>
      <c r="P4144" s="10"/>
      <c r="Q4144" s="10"/>
      <c r="R4144" s="11"/>
    </row>
    <row r="4145" spans="1:18" ht="13.8" outlineLevel="2" x14ac:dyDescent="0.25">
      <c r="A4145">
        <v>67661</v>
      </c>
      <c r="B4145" t="s">
        <v>5808</v>
      </c>
      <c r="C4145" t="s">
        <v>5809</v>
      </c>
      <c r="D4145" s="14" t="s">
        <v>5810</v>
      </c>
      <c r="E4145" s="12" t="s">
        <v>28</v>
      </c>
      <c r="F4145" s="13" t="s">
        <v>29</v>
      </c>
      <c r="G4145">
        <v>1</v>
      </c>
      <c r="H4145" t="s">
        <v>30</v>
      </c>
      <c r="I4145">
        <v>1</v>
      </c>
      <c r="J4145" s="15"/>
      <c r="K4145" s="16">
        <f>IF($E$1&gt;=$Q$1%,18222.73-(18222.73*$Q$1%),18222.73-(18222.73*$E$1))</f>
        <v>18222.73</v>
      </c>
      <c r="L4145" s="16">
        <f>IF($E$1&gt;=$Q$1%,14936.66-(14936.66*$Q$1%),14936.66-(14936.66*$E$1))</f>
        <v>14936.66</v>
      </c>
      <c r="M4145" s="1">
        <v>18222.73</v>
      </c>
      <c r="N4145" s="1">
        <v>14936.66</v>
      </c>
      <c r="O4145" s="1">
        <v>18222.73</v>
      </c>
      <c r="P4145" s="1">
        <v>14936.66</v>
      </c>
      <c r="Q4145">
        <v>2.4700000000000002</v>
      </c>
      <c r="R4145">
        <v>1.8810000000000001E-3</v>
      </c>
    </row>
    <row r="4146" spans="1:18" ht="13.8" outlineLevel="2" x14ac:dyDescent="0.25">
      <c r="A4146">
        <v>67662</v>
      </c>
      <c r="B4146" t="s">
        <v>5808</v>
      </c>
      <c r="C4146" t="s">
        <v>5811</v>
      </c>
      <c r="D4146" s="14" t="s">
        <v>5812</v>
      </c>
      <c r="E4146" s="12" t="s">
        <v>28</v>
      </c>
      <c r="F4146" s="13" t="s">
        <v>29</v>
      </c>
      <c r="G4146">
        <v>1</v>
      </c>
      <c r="H4146" t="s">
        <v>30</v>
      </c>
      <c r="I4146">
        <v>1</v>
      </c>
      <c r="J4146" s="15"/>
      <c r="K4146" s="16">
        <f>IF($E$1&gt;=$Q$1%,21711.32-(21711.32*$Q$1%),21711.32-(21711.32*$E$1))</f>
        <v>21711.32</v>
      </c>
      <c r="L4146" s="16">
        <f>IF($E$1&gt;=$Q$1%,17796.16-(17796.16*$Q$1%),17796.16-(17796.16*$E$1))</f>
        <v>17796.16</v>
      </c>
      <c r="M4146" s="1">
        <v>21711.32</v>
      </c>
      <c r="N4146" s="1">
        <v>17796.16</v>
      </c>
      <c r="O4146" s="1">
        <v>21711.32</v>
      </c>
      <c r="P4146" s="1">
        <v>17796.16</v>
      </c>
      <c r="Q4146">
        <v>3.95</v>
      </c>
      <c r="R4146">
        <v>2.8050000000000002E-3</v>
      </c>
    </row>
    <row r="4147" spans="1:18" ht="13.8" outlineLevel="2" x14ac:dyDescent="0.25">
      <c r="A4147">
        <v>67663</v>
      </c>
      <c r="B4147" t="s">
        <v>5808</v>
      </c>
      <c r="C4147" t="s">
        <v>5813</v>
      </c>
      <c r="D4147" s="14" t="s">
        <v>5814</v>
      </c>
      <c r="E4147" s="12" t="s">
        <v>28</v>
      </c>
      <c r="F4147" s="13" t="s">
        <v>29</v>
      </c>
      <c r="G4147">
        <v>1</v>
      </c>
      <c r="H4147" t="s">
        <v>30</v>
      </c>
      <c r="I4147">
        <v>1</v>
      </c>
      <c r="J4147" s="15"/>
      <c r="K4147" s="16">
        <f>IF($E$1&gt;=$Q$1%,25229.11-(25229.11*$Q$1%),25229.11-(25229.11*$E$1))</f>
        <v>25229.11</v>
      </c>
      <c r="L4147" s="16">
        <f>IF($E$1&gt;=$Q$1%,20679.6-(20679.6*$Q$1%),20679.6-(20679.6*$E$1))</f>
        <v>20679.599999999999</v>
      </c>
      <c r="M4147" s="1">
        <v>25229.11</v>
      </c>
      <c r="N4147" s="1">
        <v>20679.599999999999</v>
      </c>
      <c r="O4147" s="1">
        <v>25229.11</v>
      </c>
      <c r="P4147" s="1">
        <v>20679.599999999999</v>
      </c>
      <c r="Q4147">
        <v>5.4</v>
      </c>
      <c r="R4147">
        <v>3.7950000000000002E-3</v>
      </c>
    </row>
    <row r="4148" spans="1:18" ht="13.8" outlineLevel="2" x14ac:dyDescent="0.25">
      <c r="A4148">
        <v>67664</v>
      </c>
      <c r="B4148" t="s">
        <v>5808</v>
      </c>
      <c r="C4148" t="s">
        <v>5815</v>
      </c>
      <c r="D4148" s="14" t="s">
        <v>5816</v>
      </c>
      <c r="E4148" s="12" t="s">
        <v>28</v>
      </c>
      <c r="F4148" s="13" t="s">
        <v>29</v>
      </c>
      <c r="G4148">
        <v>1</v>
      </c>
      <c r="H4148" t="s">
        <v>30</v>
      </c>
      <c r="I4148">
        <v>1</v>
      </c>
      <c r="J4148" s="15"/>
      <c r="K4148" s="16">
        <f>IF($E$1&gt;=$Q$1%,36678.46-(36678.46*$Q$1%),36678.46-(36678.46*$E$1))</f>
        <v>36678.46</v>
      </c>
      <c r="L4148" s="16">
        <f>IF($E$1&gt;=$Q$1%,30064.31-(30064.31*$Q$1%),30064.31-(30064.31*$E$1))</f>
        <v>30064.31</v>
      </c>
      <c r="M4148" s="1">
        <v>36678.46</v>
      </c>
      <c r="N4148" s="1">
        <v>30064.31</v>
      </c>
      <c r="O4148" s="1">
        <v>36678.46</v>
      </c>
      <c r="P4148" s="1">
        <v>30064.31</v>
      </c>
      <c r="Q4148">
        <v>10</v>
      </c>
      <c r="R4148">
        <v>5.8240000000000002E-3</v>
      </c>
    </row>
    <row r="4149" spans="1:18" ht="13.8" outlineLevel="2" x14ac:dyDescent="0.25">
      <c r="A4149">
        <v>84600</v>
      </c>
      <c r="B4149" t="s">
        <v>5808</v>
      </c>
      <c r="C4149" t="s">
        <v>5817</v>
      </c>
      <c r="D4149" s="14" t="s">
        <v>5818</v>
      </c>
      <c r="E4149" s="12" t="s">
        <v>28</v>
      </c>
      <c r="F4149" s="13" t="s">
        <v>29</v>
      </c>
      <c r="G4149">
        <v>1</v>
      </c>
      <c r="H4149" t="s">
        <v>30</v>
      </c>
      <c r="I4149">
        <v>1</v>
      </c>
      <c r="J4149" s="15"/>
      <c r="K4149" s="16">
        <f>IF($E$1&gt;=$Q$1%,58708.85-(58708.85*$Q$1%),58708.85-(58708.85*$E$1))</f>
        <v>58708.85</v>
      </c>
      <c r="L4149" s="16">
        <f>IF($E$1&gt;=$Q$1%,48122.01-(48122.01*$Q$1%),48122.01-(48122.01*$E$1))</f>
        <v>48122.01</v>
      </c>
      <c r="M4149" s="1">
        <v>58708.85</v>
      </c>
      <c r="N4149" s="1">
        <v>48122.01</v>
      </c>
      <c r="O4149" s="1">
        <v>58708.85</v>
      </c>
      <c r="P4149" s="1">
        <v>48122.01</v>
      </c>
      <c r="Q4149">
        <v>16</v>
      </c>
      <c r="R4149">
        <v>7.6340000000000002E-3</v>
      </c>
    </row>
    <row r="4150" spans="1:18" ht="13.8" outlineLevel="2" x14ac:dyDescent="0.25">
      <c r="A4150">
        <v>84601</v>
      </c>
      <c r="B4150" t="s">
        <v>5808</v>
      </c>
      <c r="C4150" t="s">
        <v>5819</v>
      </c>
      <c r="D4150" s="14" t="s">
        <v>5820</v>
      </c>
      <c r="E4150" s="12" t="s">
        <v>28</v>
      </c>
      <c r="F4150" s="13" t="s">
        <v>29</v>
      </c>
      <c r="G4150">
        <v>1</v>
      </c>
      <c r="H4150" t="s">
        <v>30</v>
      </c>
      <c r="I4150">
        <v>1</v>
      </c>
      <c r="J4150" s="15"/>
      <c r="K4150" s="16">
        <f>IF($E$1&gt;=$Q$1%,109516.9-(109516.9*$Q$1%),109516.9-(109516.9*$E$1))</f>
        <v>109516.9</v>
      </c>
      <c r="L4150" s="16">
        <f>IF($E$1&gt;=$Q$1%,89767.95-(89767.95*$Q$1%),89767.95-(89767.95*$E$1))</f>
        <v>89767.95</v>
      </c>
      <c r="M4150" s="1">
        <v>109516.9</v>
      </c>
      <c r="N4150" s="1">
        <v>89767.95</v>
      </c>
      <c r="O4150" s="1">
        <v>109516.9</v>
      </c>
      <c r="P4150" s="1">
        <v>89767.95</v>
      </c>
      <c r="Q4150">
        <v>39</v>
      </c>
      <c r="R4150">
        <v>2.1888000000000001E-2</v>
      </c>
    </row>
    <row r="4151" spans="1:18" ht="13.8" outlineLevel="2" x14ac:dyDescent="0.25">
      <c r="A4151">
        <v>89257</v>
      </c>
      <c r="B4151" t="s">
        <v>5821</v>
      </c>
      <c r="C4151" t="s">
        <v>5822</v>
      </c>
      <c r="D4151" s="14" t="s">
        <v>5823</v>
      </c>
      <c r="E4151" s="12" t="s">
        <v>28</v>
      </c>
      <c r="F4151" s="13" t="s">
        <v>29</v>
      </c>
      <c r="H4151" t="s">
        <v>30</v>
      </c>
      <c r="I4151">
        <v>1</v>
      </c>
      <c r="J4151" s="15"/>
      <c r="K4151" s="21" t="s">
        <v>5824</v>
      </c>
      <c r="L4151" s="21" t="s">
        <v>5825</v>
      </c>
      <c r="M4151" s="1">
        <v>35013.32</v>
      </c>
      <c r="N4151" s="1">
        <v>28699.439999999999</v>
      </c>
      <c r="O4151" s="1">
        <v>29761.32</v>
      </c>
      <c r="P4151" s="1">
        <v>24394.52</v>
      </c>
    </row>
    <row r="4152" spans="1:18" ht="13.8" outlineLevel="2" x14ac:dyDescent="0.25">
      <c r="A4152">
        <v>89258</v>
      </c>
      <c r="B4152" t="s">
        <v>5821</v>
      </c>
      <c r="C4152" t="s">
        <v>5826</v>
      </c>
      <c r="D4152" s="14" t="s">
        <v>5827</v>
      </c>
      <c r="E4152" s="12" t="s">
        <v>28</v>
      </c>
      <c r="F4152" s="13" t="s">
        <v>29</v>
      </c>
      <c r="H4152" t="s">
        <v>30</v>
      </c>
      <c r="I4152">
        <v>1</v>
      </c>
      <c r="J4152" s="15"/>
      <c r="K4152" s="21" t="s">
        <v>5828</v>
      </c>
      <c r="L4152" s="21" t="s">
        <v>5829</v>
      </c>
      <c r="M4152" s="1">
        <v>40594.769999999997</v>
      </c>
      <c r="N4152" s="1">
        <v>33274.400000000001</v>
      </c>
      <c r="O4152" s="1">
        <v>34505.550000000003</v>
      </c>
      <c r="P4152" s="1">
        <v>28283.24</v>
      </c>
    </row>
    <row r="4153" spans="1:18" ht="33.75" customHeight="1" x14ac:dyDescent="0.35">
      <c r="A4153" s="9"/>
      <c r="B4153" s="10" t="s">
        <v>5830</v>
      </c>
      <c r="C4153" s="10"/>
      <c r="D4153" s="10"/>
      <c r="E4153" s="10"/>
      <c r="F4153" s="10"/>
      <c r="G4153" s="10"/>
      <c r="H4153" s="10"/>
      <c r="I4153" s="10"/>
      <c r="J4153" s="10"/>
      <c r="K4153" s="10"/>
      <c r="L4153" s="10"/>
      <c r="M4153" s="10"/>
      <c r="N4153" s="10"/>
      <c r="O4153" s="10"/>
      <c r="P4153" s="10"/>
      <c r="Q4153" s="10"/>
      <c r="R4153" s="11"/>
    </row>
    <row r="4154" spans="1:18" ht="16.5" customHeight="1" outlineLevel="1" x14ac:dyDescent="0.35">
      <c r="A4154" s="9"/>
      <c r="B4154" s="10" t="s">
        <v>5831</v>
      </c>
      <c r="C4154" s="10"/>
      <c r="D4154" s="10"/>
      <c r="E4154" s="10"/>
      <c r="F4154" s="10"/>
      <c r="G4154" s="10"/>
      <c r="H4154" s="10"/>
      <c r="I4154" s="10"/>
      <c r="J4154" s="10"/>
      <c r="K4154" s="10"/>
      <c r="L4154" s="10"/>
      <c r="M4154" s="10"/>
      <c r="N4154" s="10"/>
      <c r="O4154" s="10"/>
      <c r="P4154" s="10"/>
      <c r="Q4154" s="10"/>
      <c r="R4154" s="11"/>
    </row>
    <row r="4155" spans="1:18" ht="13.8" outlineLevel="2" x14ac:dyDescent="0.25">
      <c r="A4155">
        <v>55928</v>
      </c>
      <c r="B4155" t="s">
        <v>5832</v>
      </c>
      <c r="C4155" t="s">
        <v>5833</v>
      </c>
      <c r="D4155" s="14" t="s">
        <v>5834</v>
      </c>
      <c r="E4155" s="12" t="s">
        <v>28</v>
      </c>
      <c r="F4155" s="13" t="s">
        <v>29</v>
      </c>
      <c r="G4155">
        <v>1</v>
      </c>
      <c r="H4155" t="s">
        <v>30</v>
      </c>
      <c r="I4155">
        <v>1</v>
      </c>
      <c r="J4155" s="15"/>
      <c r="K4155" s="16">
        <f>1486.46 - (1486.46 * $E$1)</f>
        <v>1486.46</v>
      </c>
      <c r="L4155" s="16">
        <f>1218.41 - (1218.41 * $E$1)</f>
        <v>1218.4100000000001</v>
      </c>
      <c r="M4155" s="1">
        <v>1486.46</v>
      </c>
      <c r="N4155" s="1">
        <v>1218.4100000000001</v>
      </c>
      <c r="O4155" s="1">
        <v>1263.49</v>
      </c>
      <c r="P4155" s="1">
        <v>1035.6500000000001</v>
      </c>
      <c r="Q4155">
        <v>0.3</v>
      </c>
      <c r="R4155">
        <v>5.5199999999999997E-4</v>
      </c>
    </row>
    <row r="4156" spans="1:18" ht="13.8" outlineLevel="2" x14ac:dyDescent="0.25">
      <c r="A4156">
        <v>55929</v>
      </c>
      <c r="B4156" t="s">
        <v>5832</v>
      </c>
      <c r="C4156" t="s">
        <v>5835</v>
      </c>
      <c r="D4156" s="14" t="s">
        <v>5836</v>
      </c>
      <c r="E4156" s="12" t="s">
        <v>28</v>
      </c>
      <c r="F4156" s="13" t="s">
        <v>29</v>
      </c>
      <c r="G4156">
        <v>1</v>
      </c>
      <c r="H4156" t="s">
        <v>30</v>
      </c>
      <c r="I4156">
        <v>1</v>
      </c>
      <c r="J4156" s="15"/>
      <c r="K4156" s="16">
        <f>2006.6 - (2006.6 * $E$1)</f>
        <v>2006.6</v>
      </c>
      <c r="L4156" s="16">
        <f>1644.75 - (1644.75 * $E$1)</f>
        <v>1644.75</v>
      </c>
      <c r="M4156" s="1">
        <v>2006.6</v>
      </c>
      <c r="N4156" s="1">
        <v>1644.75</v>
      </c>
      <c r="O4156" s="1">
        <v>1705.61</v>
      </c>
      <c r="P4156" s="1">
        <v>1398.04</v>
      </c>
      <c r="Q4156">
        <v>0.4</v>
      </c>
      <c r="R4156">
        <v>7.2999999999999996E-4</v>
      </c>
    </row>
    <row r="4157" spans="1:18" ht="13.8" outlineLevel="2" x14ac:dyDescent="0.25">
      <c r="A4157">
        <v>69280</v>
      </c>
      <c r="B4157" t="s">
        <v>5832</v>
      </c>
      <c r="C4157" t="s">
        <v>5837</v>
      </c>
      <c r="D4157" s="14" t="s">
        <v>5838</v>
      </c>
      <c r="E4157" s="12" t="s">
        <v>28</v>
      </c>
      <c r="F4157" s="13" t="s">
        <v>29</v>
      </c>
      <c r="G4157">
        <v>1</v>
      </c>
      <c r="H4157" t="s">
        <v>30</v>
      </c>
      <c r="I4157">
        <v>1</v>
      </c>
      <c r="J4157" s="15"/>
      <c r="K4157" s="16">
        <f>2580.8 - (2580.8 * $E$1)</f>
        <v>2580.8000000000002</v>
      </c>
      <c r="L4157" s="16">
        <f>2115.41 - (2115.41 * $E$1)</f>
        <v>2115.41</v>
      </c>
      <c r="M4157" s="1">
        <v>2580.8000000000002</v>
      </c>
      <c r="N4157" s="1">
        <v>2115.41</v>
      </c>
      <c r="O4157" s="1">
        <v>2193.6799999999998</v>
      </c>
      <c r="P4157" s="1">
        <v>1798.1</v>
      </c>
      <c r="Q4157">
        <v>0.4</v>
      </c>
      <c r="R4157">
        <v>8.4199999999999998E-4</v>
      </c>
    </row>
    <row r="4158" spans="1:18" ht="13.8" outlineLevel="2" x14ac:dyDescent="0.25">
      <c r="A4158">
        <v>84626</v>
      </c>
      <c r="B4158" t="s">
        <v>5832</v>
      </c>
      <c r="C4158" t="s">
        <v>5839</v>
      </c>
      <c r="D4158" s="14" t="s">
        <v>5840</v>
      </c>
      <c r="E4158" s="12" t="s">
        <v>28</v>
      </c>
      <c r="F4158" s="13" t="s">
        <v>29</v>
      </c>
      <c r="G4158">
        <v>1</v>
      </c>
      <c r="H4158" t="s">
        <v>30</v>
      </c>
      <c r="I4158">
        <v>1</v>
      </c>
      <c r="J4158" s="15"/>
      <c r="K4158" s="16">
        <f>1026.69 - (1026.69 * $E$1)</f>
        <v>1026.69</v>
      </c>
      <c r="L4158" s="16">
        <f>841.55 - (841.55 * $E$1)</f>
        <v>841.55</v>
      </c>
      <c r="M4158" s="1">
        <v>1026.69</v>
      </c>
      <c r="N4158" s="1">
        <v>841.55</v>
      </c>
      <c r="O4158" s="1">
        <v>872.69</v>
      </c>
      <c r="P4158" s="1">
        <v>715.32</v>
      </c>
      <c r="Q4158">
        <v>0.3</v>
      </c>
      <c r="R4158">
        <v>1.134E-3</v>
      </c>
    </row>
    <row r="4159" spans="1:18" ht="13.8" outlineLevel="2" x14ac:dyDescent="0.25">
      <c r="A4159">
        <v>101929</v>
      </c>
      <c r="B4159" t="s">
        <v>5841</v>
      </c>
      <c r="C4159" t="s">
        <v>5842</v>
      </c>
      <c r="D4159" s="14" t="s">
        <v>5843</v>
      </c>
      <c r="E4159" s="12" t="s">
        <v>28</v>
      </c>
      <c r="F4159" s="13" t="s">
        <v>29</v>
      </c>
      <c r="G4159">
        <v>1</v>
      </c>
      <c r="H4159" t="s">
        <v>30</v>
      </c>
      <c r="I4159">
        <v>1</v>
      </c>
      <c r="J4159" s="15"/>
      <c r="K4159" s="16">
        <f>891 - (891 * $E$1)</f>
        <v>891</v>
      </c>
      <c r="L4159" s="16">
        <f>730.33 - (730.33 * $E$1)</f>
        <v>730.33</v>
      </c>
      <c r="M4159" s="1">
        <v>891</v>
      </c>
      <c r="N4159" s="1">
        <v>730.33</v>
      </c>
      <c r="O4159" s="1">
        <v>757.35</v>
      </c>
      <c r="P4159" s="1">
        <v>620.78</v>
      </c>
      <c r="Q4159">
        <v>0.33</v>
      </c>
      <c r="R4159">
        <v>7.5000000000000002E-4</v>
      </c>
    </row>
    <row r="4160" spans="1:18" ht="13.8" outlineLevel="2" x14ac:dyDescent="0.25">
      <c r="A4160">
        <v>89229</v>
      </c>
      <c r="B4160" t="s">
        <v>5841</v>
      </c>
      <c r="C4160" t="s">
        <v>5844</v>
      </c>
      <c r="D4160" s="14" t="s">
        <v>5845</v>
      </c>
      <c r="E4160" s="12" t="s">
        <v>28</v>
      </c>
      <c r="F4160" s="13" t="s">
        <v>29</v>
      </c>
      <c r="G4160">
        <v>1</v>
      </c>
      <c r="H4160" t="s">
        <v>30</v>
      </c>
      <c r="I4160">
        <v>1</v>
      </c>
      <c r="J4160" s="15"/>
      <c r="K4160" s="16">
        <f>3478.71 - (3478.71 * $E$1)</f>
        <v>3478.71</v>
      </c>
      <c r="L4160" s="16">
        <f>2851.4 - (2851.4 * $E$1)</f>
        <v>2851.4</v>
      </c>
      <c r="M4160" s="1">
        <v>3478.71</v>
      </c>
      <c r="N4160" s="1">
        <v>2851.4</v>
      </c>
      <c r="O4160" s="1">
        <v>2956.9</v>
      </c>
      <c r="P4160" s="1">
        <v>2423.69</v>
      </c>
      <c r="Q4160">
        <v>0.39200000000000002</v>
      </c>
      <c r="R4160">
        <v>8.3500000000000002E-4</v>
      </c>
    </row>
    <row r="4161" spans="1:18" ht="13.8" outlineLevel="2" x14ac:dyDescent="0.25">
      <c r="A4161">
        <v>84825</v>
      </c>
      <c r="B4161" t="s">
        <v>5832</v>
      </c>
      <c r="C4161" t="s">
        <v>5846</v>
      </c>
      <c r="D4161" s="14" t="s">
        <v>5847</v>
      </c>
      <c r="E4161" s="12" t="s">
        <v>28</v>
      </c>
      <c r="F4161" s="13" t="s">
        <v>29</v>
      </c>
      <c r="G4161">
        <v>1</v>
      </c>
      <c r="H4161" t="s">
        <v>30</v>
      </c>
      <c r="I4161">
        <v>1</v>
      </c>
      <c r="J4161" s="15"/>
      <c r="K4161" s="16">
        <f>1742.71 - (1742.71 * $E$1)</f>
        <v>1742.71</v>
      </c>
      <c r="L4161" s="16">
        <f>1428.45 - (1428.45 * $E$1)</f>
        <v>1428.45</v>
      </c>
      <c r="M4161" s="1">
        <v>1742.71</v>
      </c>
      <c r="N4161" s="1">
        <v>1428.45</v>
      </c>
      <c r="O4161" s="1">
        <v>1481.3</v>
      </c>
      <c r="P4161" s="1">
        <v>1214.18</v>
      </c>
      <c r="Q4161">
        <v>0.53</v>
      </c>
      <c r="R4161">
        <v>8.7900000000000001E-4</v>
      </c>
    </row>
    <row r="4162" spans="1:18" ht="13.8" outlineLevel="2" x14ac:dyDescent="0.25">
      <c r="A4162">
        <v>84824</v>
      </c>
      <c r="B4162" t="s">
        <v>5832</v>
      </c>
      <c r="C4162" t="s">
        <v>5848</v>
      </c>
      <c r="D4162" s="14" t="s">
        <v>5849</v>
      </c>
      <c r="E4162" s="12" t="s">
        <v>28</v>
      </c>
      <c r="F4162" s="13" t="s">
        <v>29</v>
      </c>
      <c r="G4162">
        <v>1</v>
      </c>
      <c r="H4162" t="s">
        <v>30</v>
      </c>
      <c r="I4162">
        <v>1</v>
      </c>
      <c r="J4162" s="15"/>
      <c r="K4162" s="16">
        <f>699.4 - (699.4 * $E$1)</f>
        <v>699.4</v>
      </c>
      <c r="L4162" s="16">
        <f>573.28 - (573.28 * $E$1)</f>
        <v>573.28</v>
      </c>
      <c r="M4162" s="1">
        <v>699.4</v>
      </c>
      <c r="N4162" s="1">
        <v>573.28</v>
      </c>
      <c r="O4162" s="1">
        <v>594.49</v>
      </c>
      <c r="P4162" s="1">
        <v>487.29</v>
      </c>
      <c r="Q4162">
        <v>0.30499999999999999</v>
      </c>
      <c r="R4162">
        <v>8.7900000000000001E-4</v>
      </c>
    </row>
    <row r="4163" spans="1:18" ht="13.8" outlineLevel="2" x14ac:dyDescent="0.25">
      <c r="A4163">
        <v>79759</v>
      </c>
      <c r="B4163" t="s">
        <v>5832</v>
      </c>
      <c r="C4163" t="s">
        <v>5850</v>
      </c>
      <c r="D4163" s="14" t="s">
        <v>5851</v>
      </c>
      <c r="E4163" s="12" t="s">
        <v>28</v>
      </c>
      <c r="F4163" s="13" t="s">
        <v>29</v>
      </c>
      <c r="G4163">
        <v>1</v>
      </c>
      <c r="H4163" t="s">
        <v>30</v>
      </c>
      <c r="I4163">
        <v>1</v>
      </c>
      <c r="J4163" s="15"/>
      <c r="K4163" s="16">
        <f>1757.9 - (1757.9 * $E$1)</f>
        <v>1757.9</v>
      </c>
      <c r="L4163" s="16">
        <f>1440.9 - (1440.9 * $E$1)</f>
        <v>1440.9</v>
      </c>
      <c r="M4163" s="1">
        <v>1757.9</v>
      </c>
      <c r="N4163" s="1">
        <v>1440.9</v>
      </c>
      <c r="O4163" s="1">
        <v>1494.21</v>
      </c>
      <c r="P4163" s="1">
        <v>1224.77</v>
      </c>
      <c r="Q4163">
        <v>0.5</v>
      </c>
      <c r="R4163">
        <v>2.0999999999999999E-3</v>
      </c>
    </row>
    <row r="4164" spans="1:18" ht="13.8" outlineLevel="2" x14ac:dyDescent="0.25">
      <c r="A4164">
        <v>89228</v>
      </c>
      <c r="B4164" t="s">
        <v>5841</v>
      </c>
      <c r="C4164" t="s">
        <v>5852</v>
      </c>
      <c r="D4164" s="14" t="s">
        <v>5853</v>
      </c>
      <c r="E4164" s="12" t="s">
        <v>28</v>
      </c>
      <c r="F4164" s="13" t="s">
        <v>29</v>
      </c>
      <c r="G4164">
        <v>1</v>
      </c>
      <c r="H4164" t="s">
        <v>30</v>
      </c>
      <c r="I4164">
        <v>1</v>
      </c>
      <c r="J4164" s="15"/>
      <c r="K4164" s="16">
        <f>1086.59 - (1086.59 * $E$1)</f>
        <v>1086.5899999999999</v>
      </c>
      <c r="L4164" s="16">
        <f>890.65 - (890.65 * $E$1)</f>
        <v>890.65</v>
      </c>
      <c r="M4164" s="1">
        <v>1086.5899999999999</v>
      </c>
      <c r="N4164" s="1">
        <v>890.65</v>
      </c>
      <c r="O4164" s="1">
        <v>923.6</v>
      </c>
      <c r="P4164" s="1">
        <v>757.05</v>
      </c>
      <c r="Q4164">
        <v>0.35</v>
      </c>
      <c r="R4164">
        <v>7.4200000000000004E-4</v>
      </c>
    </row>
    <row r="4165" spans="1:18" ht="13.8" outlineLevel="2" x14ac:dyDescent="0.25">
      <c r="A4165">
        <v>84493</v>
      </c>
      <c r="B4165" t="s">
        <v>5832</v>
      </c>
      <c r="C4165" t="s">
        <v>5854</v>
      </c>
      <c r="D4165" s="14" t="s">
        <v>5855</v>
      </c>
      <c r="E4165" s="12" t="s">
        <v>28</v>
      </c>
      <c r="F4165" s="13" t="s">
        <v>29</v>
      </c>
      <c r="G4165">
        <v>1</v>
      </c>
      <c r="H4165" t="s">
        <v>30</v>
      </c>
      <c r="I4165">
        <v>1</v>
      </c>
      <c r="J4165" s="15"/>
      <c r="K4165" s="16">
        <f>4925.03 - (4925.03 * $E$1)</f>
        <v>4925.03</v>
      </c>
      <c r="L4165" s="16">
        <f>4036.91 - (4036.91 * $E$1)</f>
        <v>4036.91</v>
      </c>
      <c r="M4165" s="1">
        <v>4925.03</v>
      </c>
      <c r="N4165" s="1">
        <v>4036.91</v>
      </c>
      <c r="O4165" s="1">
        <v>4186.28</v>
      </c>
      <c r="P4165" s="1">
        <v>3431.37</v>
      </c>
      <c r="Q4165">
        <v>0.6</v>
      </c>
      <c r="R4165">
        <v>2.993E-3</v>
      </c>
    </row>
    <row r="4166" spans="1:18" ht="13.8" outlineLevel="2" x14ac:dyDescent="0.25">
      <c r="A4166">
        <v>86603</v>
      </c>
      <c r="B4166" t="s">
        <v>5832</v>
      </c>
      <c r="C4166" t="s">
        <v>5856</v>
      </c>
      <c r="D4166" s="14" t="s">
        <v>5857</v>
      </c>
      <c r="E4166" s="12" t="s">
        <v>28</v>
      </c>
      <c r="F4166" s="13" t="s">
        <v>29</v>
      </c>
      <c r="G4166">
        <v>1</v>
      </c>
      <c r="H4166" t="s">
        <v>30</v>
      </c>
      <c r="I4166">
        <v>1</v>
      </c>
      <c r="J4166" s="15"/>
      <c r="K4166" s="16">
        <f>1796.33 - (1796.33 * $E$1)</f>
        <v>1796.33</v>
      </c>
      <c r="L4166" s="16">
        <f>1472.4 - (1472.4 * $E$1)</f>
        <v>1472.4</v>
      </c>
      <c r="M4166" s="1">
        <v>1796.33</v>
      </c>
      <c r="N4166" s="1">
        <v>1472.4</v>
      </c>
      <c r="O4166" s="1">
        <v>1526.88</v>
      </c>
      <c r="P4166" s="1">
        <v>1251.54</v>
      </c>
      <c r="Q4166">
        <v>0.6</v>
      </c>
      <c r="R4166">
        <v>1.2179999999999999E-3</v>
      </c>
    </row>
    <row r="4167" spans="1:18" ht="13.8" outlineLevel="2" x14ac:dyDescent="0.25">
      <c r="A4167">
        <v>67376</v>
      </c>
      <c r="B4167" t="s">
        <v>5832</v>
      </c>
      <c r="C4167" t="s">
        <v>5858</v>
      </c>
      <c r="D4167" s="14" t="s">
        <v>5859</v>
      </c>
      <c r="E4167" s="12" t="s">
        <v>28</v>
      </c>
      <c r="F4167" s="13" t="s">
        <v>29</v>
      </c>
      <c r="G4167">
        <v>1</v>
      </c>
      <c r="H4167" t="s">
        <v>30</v>
      </c>
      <c r="I4167">
        <v>1</v>
      </c>
      <c r="J4167" s="15"/>
      <c r="K4167" s="16">
        <f>1685.19 - (1685.19 * $E$1)</f>
        <v>1685.19</v>
      </c>
      <c r="L4167" s="16">
        <f>1381.3 - (1381.3 * $E$1)</f>
        <v>1381.3</v>
      </c>
      <c r="M4167" s="1">
        <v>1685.19</v>
      </c>
      <c r="N4167" s="1">
        <v>1381.3</v>
      </c>
      <c r="O4167" s="1">
        <v>1432.41</v>
      </c>
      <c r="P4167" s="1">
        <v>1174.1099999999999</v>
      </c>
      <c r="Q4167">
        <v>0.4</v>
      </c>
      <c r="R4167">
        <v>7.6499999999999995E-4</v>
      </c>
    </row>
    <row r="4168" spans="1:18" ht="13.8" outlineLevel="2" x14ac:dyDescent="0.25">
      <c r="A4168">
        <v>89439</v>
      </c>
      <c r="B4168" t="s">
        <v>3350</v>
      </c>
      <c r="C4168" t="s">
        <v>5860</v>
      </c>
      <c r="D4168" s="14" t="s">
        <v>5861</v>
      </c>
      <c r="E4168" s="12" t="s">
        <v>28</v>
      </c>
      <c r="F4168" s="13" t="s">
        <v>29</v>
      </c>
      <c r="G4168">
        <v>1</v>
      </c>
      <c r="H4168" t="s">
        <v>30</v>
      </c>
      <c r="I4168">
        <v>1</v>
      </c>
      <c r="J4168" s="15"/>
      <c r="K4168" s="16">
        <f>2525.8 - (2525.8 * $E$1)</f>
        <v>2525.8000000000002</v>
      </c>
      <c r="L4168" s="16">
        <f>2070.33 - (2070.33 * $E$1)</f>
        <v>2070.33</v>
      </c>
      <c r="M4168" s="1">
        <v>2525.8000000000002</v>
      </c>
      <c r="N4168" s="1">
        <v>2070.33</v>
      </c>
      <c r="O4168" s="1">
        <v>2146.9299999999998</v>
      </c>
      <c r="P4168" s="1">
        <v>1759.78</v>
      </c>
      <c r="Q4168">
        <v>0.36</v>
      </c>
      <c r="R4168">
        <v>8.0900000000000004E-4</v>
      </c>
    </row>
    <row r="4169" spans="1:18" ht="13.8" outlineLevel="2" x14ac:dyDescent="0.25">
      <c r="A4169">
        <v>106407</v>
      </c>
      <c r="B4169" t="s">
        <v>5841</v>
      </c>
      <c r="C4169" t="s">
        <v>5862</v>
      </c>
      <c r="D4169" s="14" t="s">
        <v>5863</v>
      </c>
      <c r="E4169" s="12" t="s">
        <v>28</v>
      </c>
      <c r="F4169" s="18" t="s">
        <v>1467</v>
      </c>
      <c r="G4169">
        <v>1</v>
      </c>
      <c r="H4169" t="s">
        <v>30</v>
      </c>
      <c r="I4169">
        <v>1</v>
      </c>
      <c r="J4169" s="15"/>
      <c r="K4169" s="16">
        <f>2621.87 - (2621.87 * $E$1)</f>
        <v>2621.87</v>
      </c>
      <c r="L4169" s="16">
        <f>2149.07 - (2149.07 * $E$1)</f>
        <v>2149.0700000000002</v>
      </c>
      <c r="M4169" s="1">
        <v>2621.87</v>
      </c>
      <c r="N4169" s="1">
        <v>2149.0700000000002</v>
      </c>
      <c r="O4169" s="1">
        <v>2228.59</v>
      </c>
      <c r="P4169" s="1">
        <v>1826.71</v>
      </c>
      <c r="Q4169">
        <v>0.39</v>
      </c>
    </row>
    <row r="4170" spans="1:18" ht="16.5" customHeight="1" outlineLevel="1" x14ac:dyDescent="0.35">
      <c r="A4170" s="9"/>
      <c r="B4170" s="10" t="s">
        <v>5864</v>
      </c>
      <c r="C4170" s="10"/>
      <c r="D4170" s="10"/>
      <c r="E4170" s="10"/>
      <c r="F4170" s="10"/>
      <c r="G4170" s="10"/>
      <c r="H4170" s="10"/>
      <c r="I4170" s="10"/>
      <c r="J4170" s="10"/>
      <c r="K4170" s="10"/>
      <c r="L4170" s="10"/>
      <c r="M4170" s="10"/>
      <c r="N4170" s="10"/>
      <c r="O4170" s="10"/>
      <c r="P4170" s="10"/>
      <c r="Q4170" s="10"/>
      <c r="R4170" s="11"/>
    </row>
    <row r="4171" spans="1:18" ht="13.8" outlineLevel="2" x14ac:dyDescent="0.25">
      <c r="A4171">
        <v>85736</v>
      </c>
      <c r="B4171" t="s">
        <v>5865</v>
      </c>
      <c r="C4171" t="s">
        <v>5866</v>
      </c>
      <c r="D4171" s="14" t="s">
        <v>5867</v>
      </c>
      <c r="E4171" s="12" t="s">
        <v>28</v>
      </c>
      <c r="F4171" s="13" t="s">
        <v>29</v>
      </c>
      <c r="G4171">
        <v>1</v>
      </c>
      <c r="H4171" t="s">
        <v>30</v>
      </c>
      <c r="I4171">
        <v>1</v>
      </c>
      <c r="J4171" s="15"/>
      <c r="K4171" s="16">
        <f>461.64 - (461.64 * $E$1)</f>
        <v>461.64</v>
      </c>
      <c r="L4171" s="16">
        <f>378.39 - (378.39 * $E$1)</f>
        <v>378.39</v>
      </c>
      <c r="M4171" s="1">
        <v>461.64</v>
      </c>
      <c r="N4171" s="1">
        <v>378.39</v>
      </c>
      <c r="O4171" s="1">
        <v>392.39</v>
      </c>
      <c r="P4171" s="1">
        <v>321.63</v>
      </c>
      <c r="Q4171">
        <v>7.4999999999999997E-2</v>
      </c>
      <c r="R4171">
        <v>7.5000000000000002E-4</v>
      </c>
    </row>
    <row r="4172" spans="1:18" ht="13.8" outlineLevel="2" x14ac:dyDescent="0.25">
      <c r="A4172">
        <v>85738</v>
      </c>
      <c r="B4172" t="s">
        <v>5865</v>
      </c>
      <c r="C4172" t="s">
        <v>5868</v>
      </c>
      <c r="D4172" s="14" t="s">
        <v>5869</v>
      </c>
      <c r="E4172" s="12" t="s">
        <v>28</v>
      </c>
      <c r="F4172" s="13" t="s">
        <v>29</v>
      </c>
      <c r="G4172">
        <v>1</v>
      </c>
      <c r="H4172" t="s">
        <v>30</v>
      </c>
      <c r="I4172">
        <v>1</v>
      </c>
      <c r="J4172" s="15"/>
      <c r="K4172" s="16">
        <f>2051.95 - (2051.95 * $E$1)</f>
        <v>2051.9499999999998</v>
      </c>
      <c r="L4172" s="16">
        <f>1681.93 - (1681.93 * $E$1)</f>
        <v>1681.93</v>
      </c>
      <c r="M4172" s="1">
        <v>2051.9499999999998</v>
      </c>
      <c r="N4172" s="1">
        <v>1681.93</v>
      </c>
      <c r="O4172" s="1">
        <v>1744.16</v>
      </c>
      <c r="P4172" s="1">
        <v>1429.64</v>
      </c>
      <c r="Q4172">
        <v>0.2</v>
      </c>
      <c r="R4172">
        <v>8.0999999999999996E-4</v>
      </c>
    </row>
    <row r="4173" spans="1:18" ht="13.8" outlineLevel="2" x14ac:dyDescent="0.25">
      <c r="A4173">
        <v>85739</v>
      </c>
      <c r="B4173" t="s">
        <v>5870</v>
      </c>
      <c r="C4173" t="s">
        <v>5871</v>
      </c>
      <c r="D4173" s="14" t="s">
        <v>5872</v>
      </c>
      <c r="E4173" s="12" t="s">
        <v>28</v>
      </c>
      <c r="F4173" s="13" t="s">
        <v>29</v>
      </c>
      <c r="G4173">
        <v>1</v>
      </c>
      <c r="H4173" t="s">
        <v>30</v>
      </c>
      <c r="I4173">
        <v>1</v>
      </c>
      <c r="J4173" s="15"/>
      <c r="K4173" s="16">
        <f>81.91 - (81.91 * $E$1)</f>
        <v>81.91</v>
      </c>
      <c r="L4173" s="16">
        <f>67.14 - (67.14 * $E$1)</f>
        <v>67.14</v>
      </c>
      <c r="M4173" s="1">
        <v>81.91</v>
      </c>
      <c r="N4173" s="1">
        <v>67.14</v>
      </c>
      <c r="O4173" s="1">
        <v>69.62</v>
      </c>
      <c r="P4173" s="1">
        <v>57.07</v>
      </c>
      <c r="Q4173">
        <v>8.0000000000000002E-3</v>
      </c>
      <c r="R4173">
        <v>1.5999999999999999E-5</v>
      </c>
    </row>
    <row r="4174" spans="1:18" ht="13.8" outlineLevel="2" x14ac:dyDescent="0.25">
      <c r="A4174">
        <v>85935</v>
      </c>
      <c r="B4174" t="s">
        <v>5873</v>
      </c>
      <c r="C4174" t="s">
        <v>5874</v>
      </c>
      <c r="D4174" s="14" t="s">
        <v>5875</v>
      </c>
      <c r="E4174" s="12" t="s">
        <v>28</v>
      </c>
      <c r="F4174" s="13" t="s">
        <v>29</v>
      </c>
      <c r="G4174">
        <v>1</v>
      </c>
      <c r="H4174" t="s">
        <v>30</v>
      </c>
      <c r="I4174">
        <v>1</v>
      </c>
      <c r="J4174" s="15"/>
      <c r="K4174" s="16">
        <f>3453.78 - (3453.78 * $E$1)</f>
        <v>3453.78</v>
      </c>
      <c r="L4174" s="16">
        <f>2830.97 - (2830.97 * $E$1)</f>
        <v>2830.97</v>
      </c>
      <c r="M4174" s="1">
        <v>3453.78</v>
      </c>
      <c r="N4174" s="1">
        <v>2830.97</v>
      </c>
      <c r="O4174" s="1">
        <v>2935.72</v>
      </c>
      <c r="P4174" s="1">
        <v>2406.3200000000002</v>
      </c>
      <c r="Q4174">
        <v>0.68</v>
      </c>
      <c r="R4174">
        <v>2.1970000000000002E-3</v>
      </c>
    </row>
    <row r="4175" spans="1:18" ht="13.8" outlineLevel="2" x14ac:dyDescent="0.25">
      <c r="A4175">
        <v>90348</v>
      </c>
      <c r="B4175" t="s">
        <v>5876</v>
      </c>
      <c r="C4175" t="s">
        <v>5877</v>
      </c>
      <c r="D4175" s="14" t="s">
        <v>5878</v>
      </c>
      <c r="E4175" s="12" t="s">
        <v>28</v>
      </c>
      <c r="F4175" s="13" t="s">
        <v>29</v>
      </c>
      <c r="G4175">
        <v>1</v>
      </c>
      <c r="H4175" t="s">
        <v>30</v>
      </c>
      <c r="I4175">
        <v>1</v>
      </c>
      <c r="J4175" s="15"/>
      <c r="K4175" s="16">
        <f>5360.86 - (5360.86 * $E$1)</f>
        <v>5360.86</v>
      </c>
      <c r="L4175" s="16">
        <f>4394.15 - (4394.15 * $E$1)</f>
        <v>4394.1499999999996</v>
      </c>
      <c r="M4175" s="1">
        <v>5360.86</v>
      </c>
      <c r="N4175" s="1">
        <v>4394.1499999999996</v>
      </c>
      <c r="O4175" s="1">
        <v>4556.7299999999996</v>
      </c>
      <c r="P4175" s="1">
        <v>3735.03</v>
      </c>
      <c r="Q4175">
        <v>0.93</v>
      </c>
      <c r="R4175">
        <v>2.8080000000000002E-3</v>
      </c>
    </row>
    <row r="4176" spans="1:18" ht="13.8" outlineLevel="2" x14ac:dyDescent="0.25">
      <c r="A4176">
        <v>55958</v>
      </c>
      <c r="B4176" t="s">
        <v>5879</v>
      </c>
      <c r="C4176" t="s">
        <v>5880</v>
      </c>
      <c r="D4176" s="14" t="s">
        <v>5881</v>
      </c>
      <c r="E4176" s="12" t="s">
        <v>28</v>
      </c>
      <c r="F4176" s="13" t="s">
        <v>29</v>
      </c>
      <c r="G4176">
        <v>1</v>
      </c>
      <c r="H4176" t="s">
        <v>30</v>
      </c>
      <c r="I4176">
        <v>1</v>
      </c>
      <c r="J4176" s="15"/>
      <c r="K4176" s="16">
        <f>962.74 - (962.74 * $E$1)</f>
        <v>962.74</v>
      </c>
      <c r="L4176" s="16">
        <f>789.13 - (789.13 * $E$1)</f>
        <v>789.13</v>
      </c>
      <c r="M4176" s="1">
        <v>962.74</v>
      </c>
      <c r="N4176" s="1">
        <v>789.13</v>
      </c>
      <c r="O4176" s="1">
        <v>818.33</v>
      </c>
      <c r="P4176" s="1">
        <v>670.76</v>
      </c>
      <c r="Q4176">
        <v>0.124</v>
      </c>
      <c r="R4176">
        <v>3.8000000000000002E-4</v>
      </c>
    </row>
    <row r="4177" spans="1:18" ht="13.8" outlineLevel="2" x14ac:dyDescent="0.25">
      <c r="A4177">
        <v>85979</v>
      </c>
      <c r="B4177" t="s">
        <v>5882</v>
      </c>
      <c r="C4177" t="s">
        <v>5883</v>
      </c>
      <c r="D4177" s="14" t="s">
        <v>5884</v>
      </c>
      <c r="E4177" s="12" t="s">
        <v>28</v>
      </c>
      <c r="F4177" s="13" t="s">
        <v>29</v>
      </c>
      <c r="G4177">
        <v>1</v>
      </c>
      <c r="H4177" t="s">
        <v>30</v>
      </c>
      <c r="I4177">
        <v>1</v>
      </c>
      <c r="J4177" s="15"/>
      <c r="K4177" s="16">
        <f>1515.5 - (1515.5 * $E$1)</f>
        <v>1515.5</v>
      </c>
      <c r="L4177" s="16">
        <f>1242.21 - (1242.21 * $E$1)</f>
        <v>1242.21</v>
      </c>
      <c r="M4177" s="1">
        <v>1515.5</v>
      </c>
      <c r="N4177" s="1">
        <v>1242.21</v>
      </c>
      <c r="O4177" s="1">
        <v>1288.17</v>
      </c>
      <c r="P4177" s="1">
        <v>1055.8800000000001</v>
      </c>
      <c r="Q4177">
        <v>0.1</v>
      </c>
      <c r="R4177">
        <v>4.8000000000000001E-4</v>
      </c>
    </row>
    <row r="4178" spans="1:18" ht="13.8" outlineLevel="2" x14ac:dyDescent="0.25">
      <c r="A4178">
        <v>84826</v>
      </c>
      <c r="B4178" t="s">
        <v>4022</v>
      </c>
      <c r="C4178" t="s">
        <v>5885</v>
      </c>
      <c r="D4178" s="14" t="s">
        <v>5886</v>
      </c>
      <c r="E4178" s="12" t="s">
        <v>28</v>
      </c>
      <c r="F4178" s="13" t="s">
        <v>29</v>
      </c>
      <c r="G4178">
        <v>1</v>
      </c>
      <c r="H4178" t="s">
        <v>30</v>
      </c>
      <c r="I4178">
        <v>1</v>
      </c>
      <c r="J4178" s="15"/>
      <c r="K4178" s="16">
        <f>476.79 - (476.79 * $E$1)</f>
        <v>476.79</v>
      </c>
      <c r="L4178" s="16">
        <f>390.81 - (390.81 * $E$1)</f>
        <v>390.81</v>
      </c>
      <c r="M4178" s="1">
        <v>476.79</v>
      </c>
      <c r="N4178" s="1">
        <v>390.81</v>
      </c>
      <c r="O4178" s="1">
        <v>405.27</v>
      </c>
      <c r="P4178" s="1">
        <v>332.19</v>
      </c>
      <c r="Q4178">
        <v>0.1</v>
      </c>
      <c r="R4178">
        <v>5.2700000000000002E-4</v>
      </c>
    </row>
    <row r="4179" spans="1:18" ht="13.8" outlineLevel="2" x14ac:dyDescent="0.25">
      <c r="A4179">
        <v>85449</v>
      </c>
      <c r="B4179" t="s">
        <v>4022</v>
      </c>
      <c r="C4179" t="s">
        <v>5887</v>
      </c>
      <c r="D4179" s="14" t="s">
        <v>5888</v>
      </c>
      <c r="E4179" s="12" t="s">
        <v>28</v>
      </c>
      <c r="F4179" s="17" t="s">
        <v>549</v>
      </c>
      <c r="G4179">
        <v>1</v>
      </c>
      <c r="H4179" t="s">
        <v>30</v>
      </c>
      <c r="I4179">
        <v>1</v>
      </c>
      <c r="J4179" s="15"/>
      <c r="K4179" s="16">
        <f>489.39 - (489.39 * $E$1)</f>
        <v>489.39</v>
      </c>
      <c r="L4179" s="16">
        <f>401.14 - (401.14 * $E$1)</f>
        <v>401.14</v>
      </c>
      <c r="M4179" s="1">
        <v>489.39</v>
      </c>
      <c r="N4179" s="1">
        <v>401.14</v>
      </c>
      <c r="O4179" s="1">
        <v>415.98</v>
      </c>
      <c r="P4179" s="1">
        <v>340.97</v>
      </c>
      <c r="Q4179">
        <v>0.1</v>
      </c>
      <c r="R4179">
        <v>1.9000000000000001E-4</v>
      </c>
    </row>
    <row r="4180" spans="1:18" ht="13.8" outlineLevel="2" x14ac:dyDescent="0.25">
      <c r="A4180">
        <v>89440</v>
      </c>
      <c r="B4180" t="s">
        <v>5889</v>
      </c>
      <c r="C4180" t="s">
        <v>5890</v>
      </c>
      <c r="D4180" s="14" t="s">
        <v>5891</v>
      </c>
      <c r="E4180" s="12" t="s">
        <v>28</v>
      </c>
      <c r="F4180" s="13" t="s">
        <v>29</v>
      </c>
      <c r="G4180">
        <v>1</v>
      </c>
      <c r="H4180" t="s">
        <v>30</v>
      </c>
      <c r="I4180">
        <v>1</v>
      </c>
      <c r="J4180" s="15"/>
      <c r="K4180" s="16">
        <f>1106.92 - (1106.92 * $E$1)</f>
        <v>1106.92</v>
      </c>
      <c r="L4180" s="16">
        <f>907.31 - (907.31 * $E$1)</f>
        <v>907.31</v>
      </c>
      <c r="M4180" s="1">
        <v>1106.92</v>
      </c>
      <c r="N4180" s="1">
        <v>907.31</v>
      </c>
      <c r="O4180" s="1">
        <v>940.88</v>
      </c>
      <c r="P4180" s="1">
        <v>771.21</v>
      </c>
      <c r="Q4180">
        <v>8.7999999999999995E-2</v>
      </c>
      <c r="R4180">
        <v>5.9900000000000003E-4</v>
      </c>
    </row>
    <row r="4181" spans="1:18" ht="33.75" customHeight="1" x14ac:dyDescent="0.35">
      <c r="A4181" s="9"/>
      <c r="B4181" s="10" t="s">
        <v>5892</v>
      </c>
      <c r="C4181" s="10"/>
      <c r="D4181" s="10"/>
      <c r="E4181" s="10"/>
      <c r="F4181" s="10"/>
      <c r="G4181" s="10"/>
      <c r="H4181" s="10"/>
      <c r="I4181" s="10"/>
      <c r="J4181" s="10"/>
      <c r="K4181" s="10"/>
      <c r="L4181" s="10"/>
      <c r="M4181" s="10"/>
      <c r="N4181" s="10"/>
      <c r="O4181" s="10"/>
      <c r="P4181" s="10"/>
      <c r="Q4181" s="10"/>
      <c r="R4181" s="11"/>
    </row>
    <row r="4182" spans="1:18" ht="13.8" outlineLevel="1" x14ac:dyDescent="0.25">
      <c r="A4182">
        <v>102360</v>
      </c>
      <c r="B4182" t="s">
        <v>5893</v>
      </c>
      <c r="C4182" t="s">
        <v>5894</v>
      </c>
      <c r="D4182" s="14" t="s">
        <v>5895</v>
      </c>
      <c r="E4182" s="12" t="s">
        <v>28</v>
      </c>
      <c r="F4182" s="13" t="s">
        <v>29</v>
      </c>
      <c r="G4182">
        <v>1</v>
      </c>
      <c r="H4182" t="s">
        <v>30</v>
      </c>
      <c r="I4182">
        <v>1</v>
      </c>
      <c r="J4182" s="15"/>
      <c r="K4182" s="16">
        <f>IF($E$1&gt;=$Q$1%,38834.34-(38834.34*$Q$1%),38834.34-(38834.34*$E$1))</f>
        <v>38834.339999999997</v>
      </c>
      <c r="L4182" s="16">
        <f>IF($E$1&gt;=$Q$1%,31831.43-(31831.43*$Q$1%),31831.43-(31831.43*$E$1))</f>
        <v>31831.43</v>
      </c>
      <c r="M4182" s="1">
        <v>38834.339999999997</v>
      </c>
      <c r="N4182" s="1">
        <v>31831.43</v>
      </c>
      <c r="O4182" s="1">
        <v>38834.339999999997</v>
      </c>
      <c r="P4182" s="1">
        <v>31831.43</v>
      </c>
      <c r="Q4182">
        <v>8.2550000000000008</v>
      </c>
      <c r="R4182">
        <v>3.5424999999999998E-2</v>
      </c>
    </row>
    <row r="4183" spans="1:18" ht="13.8" outlineLevel="1" x14ac:dyDescent="0.25">
      <c r="A4183">
        <v>104523</v>
      </c>
      <c r="B4183" t="s">
        <v>5893</v>
      </c>
      <c r="C4183" t="s">
        <v>5896</v>
      </c>
      <c r="D4183" s="14" t="s">
        <v>5897</v>
      </c>
      <c r="E4183" s="12" t="s">
        <v>28</v>
      </c>
      <c r="F4183" s="13" t="s">
        <v>29</v>
      </c>
      <c r="G4183">
        <v>1</v>
      </c>
      <c r="H4183" t="s">
        <v>30</v>
      </c>
      <c r="I4183">
        <v>1</v>
      </c>
      <c r="J4183" s="15"/>
      <c r="K4183" s="16">
        <f>IF($E$1&gt;=$Q$1%,30626.9-(30626.9*$Q$1%),30626.9-(30626.9*$E$1))</f>
        <v>30626.9</v>
      </c>
      <c r="L4183" s="16">
        <f>IF($E$1&gt;=$Q$1%,25104.02-(25104.02*$Q$1%),25104.02-(25104.02*$E$1))</f>
        <v>25104.02</v>
      </c>
      <c r="M4183" s="1">
        <v>30626.9</v>
      </c>
      <c r="N4183" s="1">
        <v>25104.02</v>
      </c>
      <c r="O4183" s="1">
        <v>30626.9</v>
      </c>
      <c r="P4183" s="1">
        <v>25104.02</v>
      </c>
      <c r="Q4183">
        <v>8.1199999999999992</v>
      </c>
      <c r="R4183">
        <v>3.6249999999999998E-2</v>
      </c>
    </row>
    <row r="4184" spans="1:18" ht="13.8" outlineLevel="1" x14ac:dyDescent="0.25">
      <c r="A4184">
        <v>104524</v>
      </c>
      <c r="B4184" t="s">
        <v>5893</v>
      </c>
      <c r="C4184" t="s">
        <v>5898</v>
      </c>
      <c r="D4184" s="14" t="s">
        <v>5899</v>
      </c>
      <c r="E4184" s="12" t="s">
        <v>28</v>
      </c>
      <c r="F4184" s="13" t="s">
        <v>29</v>
      </c>
      <c r="G4184">
        <v>1</v>
      </c>
      <c r="H4184" t="s">
        <v>30</v>
      </c>
      <c r="I4184">
        <v>1</v>
      </c>
      <c r="J4184" s="15"/>
      <c r="K4184" s="16">
        <f>IF($E$1&gt;=$Q$1%,46530.01-(46530.01*$Q$1%),46530.01-(46530.01*$E$1))</f>
        <v>46530.01</v>
      </c>
      <c r="L4184" s="16">
        <f>IF($E$1&gt;=$Q$1%,38139.35-(38139.35*$Q$1%),38139.35-(38139.35*$E$1))</f>
        <v>38139.35</v>
      </c>
      <c r="M4184" s="1">
        <v>46530.01</v>
      </c>
      <c r="N4184" s="1">
        <v>38139.35</v>
      </c>
      <c r="O4184" s="1">
        <v>46530.01</v>
      </c>
      <c r="P4184" s="1">
        <v>38139.35</v>
      </c>
      <c r="Q4184">
        <v>7.7869999999999999</v>
      </c>
      <c r="R4184">
        <v>3.7714999999999999E-2</v>
      </c>
    </row>
    <row r="4185" spans="1:18" ht="13.8" outlineLevel="1" x14ac:dyDescent="0.25">
      <c r="A4185">
        <v>79853</v>
      </c>
      <c r="B4185" t="s">
        <v>5900</v>
      </c>
      <c r="C4185" t="s">
        <v>5901</v>
      </c>
      <c r="D4185" s="14" t="s">
        <v>5902</v>
      </c>
      <c r="E4185" s="12" t="s">
        <v>28</v>
      </c>
      <c r="F4185" s="13" t="s">
        <v>29</v>
      </c>
      <c r="G4185">
        <v>1</v>
      </c>
      <c r="H4185" t="s">
        <v>30</v>
      </c>
      <c r="I4185">
        <v>1</v>
      </c>
      <c r="J4185" s="15"/>
      <c r="K4185" s="16">
        <f>IF($E$1&gt;=$Q$1%,890.83-(890.83*$Q$1%),890.83-(890.83*$E$1))</f>
        <v>890.83</v>
      </c>
      <c r="L4185" s="16">
        <f>IF($E$1&gt;=$Q$1%,730.19-(730.19*$Q$1%),730.19-(730.19*$E$1))</f>
        <v>730.19</v>
      </c>
      <c r="M4185" s="1">
        <v>890.83</v>
      </c>
      <c r="N4185" s="1">
        <v>730.19</v>
      </c>
      <c r="O4185" s="1">
        <v>890.83</v>
      </c>
      <c r="P4185" s="1">
        <v>730.19</v>
      </c>
      <c r="Q4185">
        <v>0.6</v>
      </c>
      <c r="R4185">
        <v>1.9350000000000001E-3</v>
      </c>
    </row>
    <row r="4186" spans="1:18" ht="13.8" outlineLevel="1" x14ac:dyDescent="0.25">
      <c r="A4186">
        <v>79854</v>
      </c>
      <c r="B4186" t="s">
        <v>5900</v>
      </c>
      <c r="C4186" t="s">
        <v>5903</v>
      </c>
      <c r="D4186" s="14" t="s">
        <v>5904</v>
      </c>
      <c r="E4186" s="12" t="s">
        <v>28</v>
      </c>
      <c r="F4186" s="13" t="s">
        <v>29</v>
      </c>
      <c r="G4186">
        <v>1</v>
      </c>
      <c r="H4186" t="s">
        <v>30</v>
      </c>
      <c r="I4186">
        <v>1</v>
      </c>
      <c r="J4186" s="15"/>
      <c r="K4186" s="16">
        <f>IF($E$1&gt;=$Q$1%,890.83-(890.83*$Q$1%),890.83-(890.83*$E$1))</f>
        <v>890.83</v>
      </c>
      <c r="L4186" s="16">
        <f>IF($E$1&gt;=$Q$1%,730.19-(730.19*$Q$1%),730.19-(730.19*$E$1))</f>
        <v>730.19</v>
      </c>
      <c r="M4186" s="1">
        <v>890.83</v>
      </c>
      <c r="N4186" s="1">
        <v>730.19</v>
      </c>
      <c r="O4186" s="1">
        <v>890.83</v>
      </c>
      <c r="P4186" s="1">
        <v>730.19</v>
      </c>
      <c r="Q4186">
        <v>0.7</v>
      </c>
      <c r="R4186">
        <v>1.89E-3</v>
      </c>
    </row>
    <row r="4187" spans="1:18" ht="13.8" outlineLevel="1" x14ac:dyDescent="0.25">
      <c r="A4187">
        <v>79855</v>
      </c>
      <c r="B4187" t="s">
        <v>5900</v>
      </c>
      <c r="C4187" t="s">
        <v>5905</v>
      </c>
      <c r="D4187" s="14" t="s">
        <v>5906</v>
      </c>
      <c r="E4187" s="12" t="s">
        <v>28</v>
      </c>
      <c r="F4187" s="13" t="s">
        <v>29</v>
      </c>
      <c r="G4187">
        <v>1</v>
      </c>
      <c r="H4187" t="s">
        <v>30</v>
      </c>
      <c r="I4187">
        <v>1</v>
      </c>
      <c r="J4187" s="15"/>
      <c r="K4187" s="16">
        <f>IF($E$1&gt;=$Q$1%,2049.6-(2049.6*$Q$1%),2049.6-(2049.6*$E$1))</f>
        <v>2049.6</v>
      </c>
      <c r="L4187" s="16">
        <f>IF($E$1&gt;=$Q$1%,1680-(1680*$Q$1%),1680-(1680*$E$1))</f>
        <v>1680</v>
      </c>
      <c r="M4187" s="1">
        <v>2049.6</v>
      </c>
      <c r="N4187" s="1">
        <v>1680</v>
      </c>
      <c r="O4187" s="1">
        <v>2049.6</v>
      </c>
      <c r="P4187" s="1">
        <v>1680</v>
      </c>
      <c r="Q4187">
        <v>0.7</v>
      </c>
      <c r="R4187">
        <v>1.9719999999999998E-3</v>
      </c>
    </row>
    <row r="4188" spans="1:18" ht="13.8" outlineLevel="1" x14ac:dyDescent="0.25">
      <c r="A4188">
        <v>79856</v>
      </c>
      <c r="B4188" t="s">
        <v>5907</v>
      </c>
      <c r="C4188" t="s">
        <v>5908</v>
      </c>
      <c r="D4188" s="14" t="s">
        <v>5909</v>
      </c>
      <c r="E4188" s="12" t="s">
        <v>28</v>
      </c>
      <c r="F4188" s="13" t="s">
        <v>29</v>
      </c>
      <c r="G4188">
        <v>1</v>
      </c>
      <c r="H4188" t="s">
        <v>30</v>
      </c>
      <c r="I4188">
        <v>1</v>
      </c>
      <c r="J4188" s="15"/>
      <c r="K4188" s="16">
        <f>IF($E$1&gt;=$Q$1%,316.33-(316.33*$Q$1%),316.33-(316.33*$E$1))</f>
        <v>316.33</v>
      </c>
      <c r="L4188" s="16">
        <f>IF($E$1&gt;=$Q$1%,259.29-(259.29*$Q$1%),259.29-(259.29*$E$1))</f>
        <v>259.29000000000002</v>
      </c>
      <c r="M4188" s="1">
        <v>316.33</v>
      </c>
      <c r="N4188" s="1">
        <v>259.29000000000002</v>
      </c>
      <c r="O4188" s="1">
        <v>316.33</v>
      </c>
      <c r="P4188" s="1">
        <v>259.29000000000002</v>
      </c>
      <c r="Q4188">
        <v>0.1</v>
      </c>
      <c r="R4188">
        <v>7.0399999999999998E-4</v>
      </c>
    </row>
    <row r="4189" spans="1:18" ht="13.8" outlineLevel="1" x14ac:dyDescent="0.25">
      <c r="A4189">
        <v>80630</v>
      </c>
      <c r="B4189" t="s">
        <v>5910</v>
      </c>
      <c r="C4189" t="s">
        <v>5911</v>
      </c>
      <c r="D4189" s="14" t="s">
        <v>5912</v>
      </c>
      <c r="E4189" s="12" t="s">
        <v>28</v>
      </c>
      <c r="F4189" s="13" t="s">
        <v>29</v>
      </c>
      <c r="G4189">
        <v>1</v>
      </c>
      <c r="H4189" t="s">
        <v>30</v>
      </c>
      <c r="I4189">
        <v>1</v>
      </c>
      <c r="J4189" s="15"/>
      <c r="K4189" s="16">
        <f>IF($E$1&gt;=$Q$1%,1131.2-(1131.2*$Q$1%),1131.2-(1131.2*$E$1))</f>
        <v>1131.2</v>
      </c>
      <c r="L4189" s="16">
        <f>IF($E$1&gt;=$Q$1%,927.21-(927.21*$Q$1%),927.21-(927.21*$E$1))</f>
        <v>927.21</v>
      </c>
      <c r="M4189" s="1">
        <v>1131.2</v>
      </c>
      <c r="N4189" s="1">
        <v>927.21</v>
      </c>
      <c r="O4189" s="1">
        <v>1131.2</v>
      </c>
      <c r="P4189" s="1">
        <v>927.21</v>
      </c>
      <c r="Q4189">
        <v>1.3340000000000001</v>
      </c>
      <c r="R4189">
        <v>3.1960000000000001E-3</v>
      </c>
    </row>
    <row r="4190" spans="1:18" ht="13.8" outlineLevel="1" x14ac:dyDescent="0.25">
      <c r="A4190">
        <v>80631</v>
      </c>
      <c r="B4190" t="s">
        <v>5913</v>
      </c>
      <c r="C4190" t="s">
        <v>5914</v>
      </c>
      <c r="D4190" s="14" t="s">
        <v>5915</v>
      </c>
      <c r="E4190" s="12" t="s">
        <v>28</v>
      </c>
      <c r="F4190" s="13" t="s">
        <v>29</v>
      </c>
      <c r="G4190">
        <v>1</v>
      </c>
      <c r="H4190" t="s">
        <v>30</v>
      </c>
      <c r="I4190">
        <v>1</v>
      </c>
      <c r="J4190" s="15"/>
      <c r="K4190" s="16">
        <f>IF($E$1&gt;=$Q$1%,1833.53-(1833.53*$Q$1%),1833.53-(1833.53*$E$1))</f>
        <v>1833.53</v>
      </c>
      <c r="L4190" s="16">
        <f>IF($E$1&gt;=$Q$1%,1502.89-(1502.89*$Q$1%),1502.89-(1502.89*$E$1))</f>
        <v>1502.89</v>
      </c>
      <c r="M4190" s="1">
        <v>1833.53</v>
      </c>
      <c r="N4190" s="1">
        <v>1502.89</v>
      </c>
      <c r="O4190" s="1">
        <v>1833.53</v>
      </c>
      <c r="P4190" s="1">
        <v>1502.89</v>
      </c>
      <c r="Q4190">
        <v>2.008</v>
      </c>
      <c r="R4190">
        <v>3.0400000000000002E-3</v>
      </c>
    </row>
    <row r="4191" spans="1:18" ht="13.8" outlineLevel="1" x14ac:dyDescent="0.25">
      <c r="A4191">
        <v>87964</v>
      </c>
      <c r="B4191" t="s">
        <v>5916</v>
      </c>
      <c r="C4191" t="s">
        <v>5917</v>
      </c>
      <c r="D4191" s="14" t="s">
        <v>5918</v>
      </c>
      <c r="E4191" s="12" t="s">
        <v>28</v>
      </c>
      <c r="F4191" s="13" t="s">
        <v>29</v>
      </c>
      <c r="G4191">
        <v>1</v>
      </c>
      <c r="H4191" t="s">
        <v>30</v>
      </c>
      <c r="I4191">
        <v>1</v>
      </c>
      <c r="J4191" s="15"/>
      <c r="K4191" s="16">
        <f>IF($E$1&gt;=$Q$1%,625.4-(625.4*$Q$1%),625.4-(625.4*$E$1))</f>
        <v>625.4</v>
      </c>
      <c r="L4191" s="16">
        <f>IF($E$1&gt;=$Q$1%,512.62-(512.62*$Q$1%),512.62-(512.62*$E$1))</f>
        <v>512.62</v>
      </c>
      <c r="M4191" s="1">
        <v>625.4</v>
      </c>
      <c r="N4191" s="1">
        <v>512.62</v>
      </c>
      <c r="O4191" s="1">
        <v>625.4</v>
      </c>
      <c r="P4191" s="1">
        <v>512.62</v>
      </c>
      <c r="Q4191">
        <v>0.21</v>
      </c>
      <c r="R4191">
        <v>2.8080000000000002E-3</v>
      </c>
    </row>
    <row r="4192" spans="1:18" ht="13.8" outlineLevel="1" x14ac:dyDescent="0.25">
      <c r="A4192">
        <v>87965</v>
      </c>
      <c r="B4192" t="s">
        <v>5919</v>
      </c>
      <c r="C4192" t="s">
        <v>5920</v>
      </c>
      <c r="D4192" s="14" t="s">
        <v>5921</v>
      </c>
      <c r="E4192" s="12" t="s">
        <v>28</v>
      </c>
      <c r="F4192" s="13" t="s">
        <v>29</v>
      </c>
      <c r="G4192">
        <v>1</v>
      </c>
      <c r="H4192" t="s">
        <v>30</v>
      </c>
      <c r="I4192">
        <v>1</v>
      </c>
      <c r="J4192" s="15"/>
      <c r="K4192" s="16">
        <f>IF($E$1&gt;=$Q$1%,680.49-(680.49*$Q$1%),680.49-(680.49*$E$1))</f>
        <v>680.49</v>
      </c>
      <c r="L4192" s="16">
        <f>IF($E$1&gt;=$Q$1%,557.78-(557.78*$Q$1%),557.78-(557.78*$E$1))</f>
        <v>557.78</v>
      </c>
      <c r="M4192" s="1">
        <v>680.49</v>
      </c>
      <c r="N4192" s="1">
        <v>557.78</v>
      </c>
      <c r="O4192" s="1">
        <v>680.49</v>
      </c>
      <c r="P4192" s="1">
        <v>557.78</v>
      </c>
      <c r="Q4192">
        <v>0.22600000000000001</v>
      </c>
      <c r="R4192">
        <v>2.5200000000000001E-3</v>
      </c>
    </row>
    <row r="4193" spans="1:18" ht="13.8" outlineLevel="1" x14ac:dyDescent="0.25">
      <c r="A4193">
        <v>87966</v>
      </c>
      <c r="B4193" t="s">
        <v>5922</v>
      </c>
      <c r="C4193" t="s">
        <v>5923</v>
      </c>
      <c r="D4193" s="14" t="s">
        <v>5924</v>
      </c>
      <c r="E4193" s="12" t="s">
        <v>28</v>
      </c>
      <c r="F4193" s="13" t="s">
        <v>29</v>
      </c>
      <c r="G4193">
        <v>1</v>
      </c>
      <c r="H4193" t="s">
        <v>30</v>
      </c>
      <c r="I4193">
        <v>1</v>
      </c>
      <c r="J4193" s="15"/>
      <c r="K4193" s="16">
        <f>IF($E$1&gt;=$Q$1%,970.5-(970.5*$Q$1%),970.5-(970.5*$E$1))</f>
        <v>970.5</v>
      </c>
      <c r="L4193" s="16">
        <f>IF($E$1&gt;=$Q$1%,795.49-(795.49*$Q$1%),795.49-(795.49*$E$1))</f>
        <v>795.49</v>
      </c>
      <c r="M4193" s="1">
        <v>970.5</v>
      </c>
      <c r="N4193" s="1">
        <v>795.49</v>
      </c>
      <c r="O4193" s="1">
        <v>970.5</v>
      </c>
      <c r="P4193" s="1">
        <v>795.49</v>
      </c>
      <c r="Q4193">
        <v>0.36199999999999999</v>
      </c>
      <c r="R4193">
        <v>4.5960000000000003E-3</v>
      </c>
    </row>
    <row r="4194" spans="1:18" ht="13.8" outlineLevel="1" x14ac:dyDescent="0.25">
      <c r="A4194">
        <v>87967</v>
      </c>
      <c r="B4194" t="s">
        <v>5925</v>
      </c>
      <c r="C4194" t="s">
        <v>5926</v>
      </c>
      <c r="D4194" s="14" t="s">
        <v>5927</v>
      </c>
      <c r="E4194" s="12" t="s">
        <v>28</v>
      </c>
      <c r="F4194" s="13" t="s">
        <v>29</v>
      </c>
      <c r="G4194">
        <v>1</v>
      </c>
      <c r="H4194" t="s">
        <v>30</v>
      </c>
      <c r="I4194">
        <v>1</v>
      </c>
      <c r="J4194" s="15"/>
      <c r="K4194" s="16">
        <f>IF($E$1&gt;=$Q$1%,1215.91-(1215.91*$Q$1%),1215.91-(1215.91*$E$1))</f>
        <v>1215.9100000000001</v>
      </c>
      <c r="L4194" s="16">
        <f>IF($E$1&gt;=$Q$1%,996.65-(996.65*$Q$1%),996.65-(996.65*$E$1))</f>
        <v>996.65</v>
      </c>
      <c r="M4194" s="1">
        <v>1215.9100000000001</v>
      </c>
      <c r="N4194" s="1">
        <v>996.65</v>
      </c>
      <c r="O4194" s="1">
        <v>1215.9100000000001</v>
      </c>
      <c r="P4194" s="1">
        <v>996.65</v>
      </c>
      <c r="Q4194">
        <v>0.41</v>
      </c>
      <c r="R4194">
        <v>4.457E-3</v>
      </c>
    </row>
    <row r="4195" spans="1:18" ht="13.8" outlineLevel="1" x14ac:dyDescent="0.25">
      <c r="A4195">
        <v>87969</v>
      </c>
      <c r="B4195" t="s">
        <v>5928</v>
      </c>
      <c r="C4195" t="s">
        <v>5929</v>
      </c>
      <c r="D4195" s="14" t="s">
        <v>5930</v>
      </c>
      <c r="E4195" s="12" t="s">
        <v>28</v>
      </c>
      <c r="F4195" s="13" t="s">
        <v>29</v>
      </c>
      <c r="G4195">
        <v>1</v>
      </c>
      <c r="H4195" t="s">
        <v>1129</v>
      </c>
      <c r="I4195">
        <v>1</v>
      </c>
      <c r="J4195" s="15"/>
      <c r="K4195" s="21" t="s">
        <v>5931</v>
      </c>
      <c r="L4195" s="21" t="s">
        <v>5932</v>
      </c>
      <c r="M4195" s="1">
        <v>109.68</v>
      </c>
      <c r="N4195" s="1">
        <v>89.9</v>
      </c>
      <c r="O4195" s="1">
        <v>93.23</v>
      </c>
      <c r="P4195" s="1">
        <v>76.42</v>
      </c>
      <c r="Q4195">
        <v>6.2E-2</v>
      </c>
      <c r="R4195">
        <v>1.7899999999999999E-4</v>
      </c>
    </row>
    <row r="4196" spans="1:18" ht="13.8" outlineLevel="1" x14ac:dyDescent="0.25">
      <c r="A4196">
        <v>87970</v>
      </c>
      <c r="B4196" t="s">
        <v>5928</v>
      </c>
      <c r="C4196" t="s">
        <v>5933</v>
      </c>
      <c r="D4196" s="14" t="s">
        <v>5930</v>
      </c>
      <c r="E4196" s="12" t="s">
        <v>28</v>
      </c>
      <c r="F4196" s="13" t="s">
        <v>29</v>
      </c>
      <c r="G4196">
        <v>1</v>
      </c>
      <c r="H4196" t="s">
        <v>1129</v>
      </c>
      <c r="I4196">
        <v>1</v>
      </c>
      <c r="J4196" s="15"/>
      <c r="K4196" s="21" t="s">
        <v>5934</v>
      </c>
      <c r="L4196" s="21" t="s">
        <v>5935</v>
      </c>
      <c r="M4196" s="1">
        <v>279.95</v>
      </c>
      <c r="N4196" s="1">
        <v>229.47</v>
      </c>
      <c r="O4196" s="1">
        <v>237.96</v>
      </c>
      <c r="P4196" s="1">
        <v>195.05</v>
      </c>
      <c r="Q4196">
        <v>0.20399999999999999</v>
      </c>
      <c r="R4196">
        <v>3.6600000000000001E-4</v>
      </c>
    </row>
    <row r="4197" spans="1:18" ht="33.75" customHeight="1" x14ac:dyDescent="0.35">
      <c r="A4197" s="9"/>
      <c r="B4197" s="10" t="s">
        <v>5936</v>
      </c>
      <c r="C4197" s="10"/>
      <c r="D4197" s="10"/>
      <c r="E4197" s="10"/>
      <c r="F4197" s="10"/>
      <c r="G4197" s="10"/>
      <c r="H4197" s="10"/>
      <c r="I4197" s="10"/>
      <c r="J4197" s="10"/>
      <c r="K4197" s="10"/>
      <c r="L4197" s="10"/>
      <c r="M4197" s="10"/>
      <c r="N4197" s="10"/>
      <c r="O4197" s="10"/>
      <c r="P4197" s="10"/>
      <c r="Q4197" s="10"/>
      <c r="R4197" s="11"/>
    </row>
    <row r="4198" spans="1:18" ht="16.5" customHeight="1" outlineLevel="1" x14ac:dyDescent="0.35">
      <c r="A4198" s="9"/>
      <c r="B4198" s="10" t="s">
        <v>5937</v>
      </c>
      <c r="C4198" s="10"/>
      <c r="D4198" s="10"/>
      <c r="E4198" s="10"/>
      <c r="F4198" s="10"/>
      <c r="G4198" s="10"/>
      <c r="H4198" s="10"/>
      <c r="I4198" s="10"/>
      <c r="J4198" s="10"/>
      <c r="K4198" s="10"/>
      <c r="L4198" s="10"/>
      <c r="M4198" s="10"/>
      <c r="N4198" s="10"/>
      <c r="O4198" s="10"/>
      <c r="P4198" s="10"/>
      <c r="Q4198" s="10"/>
      <c r="R4198" s="11"/>
    </row>
    <row r="4199" spans="1:18" ht="13.8" outlineLevel="2" x14ac:dyDescent="0.25">
      <c r="A4199">
        <v>65330</v>
      </c>
      <c r="B4199" t="s">
        <v>5938</v>
      </c>
      <c r="C4199" t="s">
        <v>5939</v>
      </c>
      <c r="D4199" s="14" t="s">
        <v>5940</v>
      </c>
      <c r="E4199" s="12" t="s">
        <v>28</v>
      </c>
      <c r="F4199" s="13" t="s">
        <v>29</v>
      </c>
      <c r="G4199">
        <v>1</v>
      </c>
      <c r="H4199" t="s">
        <v>30</v>
      </c>
      <c r="I4199">
        <v>1</v>
      </c>
      <c r="J4199" s="15"/>
      <c r="K4199" s="16">
        <f>4030.15 - (4030.15 * $E$1)</f>
        <v>4030.15</v>
      </c>
      <c r="L4199" s="16">
        <f>3303.4 - (3303.4 * $E$1)</f>
        <v>3303.4</v>
      </c>
      <c r="M4199" s="1">
        <v>4030.15</v>
      </c>
      <c r="N4199" s="1">
        <v>3303.4</v>
      </c>
      <c r="O4199" s="1">
        <v>3425.63</v>
      </c>
      <c r="P4199" s="1">
        <v>2807.89</v>
      </c>
      <c r="Q4199">
        <v>2</v>
      </c>
      <c r="R4199">
        <v>1.1638000000000001E-2</v>
      </c>
    </row>
    <row r="4200" spans="1:18" ht="13.8" outlineLevel="2" x14ac:dyDescent="0.25">
      <c r="A4200">
        <v>66142</v>
      </c>
      <c r="B4200" t="s">
        <v>5938</v>
      </c>
      <c r="C4200" t="s">
        <v>5941</v>
      </c>
      <c r="D4200" s="14" t="s">
        <v>5942</v>
      </c>
      <c r="E4200" s="12" t="s">
        <v>28</v>
      </c>
      <c r="F4200" s="13" t="s">
        <v>29</v>
      </c>
      <c r="G4200">
        <v>1</v>
      </c>
      <c r="H4200" t="s">
        <v>30</v>
      </c>
      <c r="I4200">
        <v>1</v>
      </c>
      <c r="J4200" s="15"/>
      <c r="K4200" s="16">
        <f>3082.28 - (3082.28 * $E$1)</f>
        <v>3082.28</v>
      </c>
      <c r="L4200" s="16">
        <f>2526.46 - (2526.46 * $E$1)</f>
        <v>2526.46</v>
      </c>
      <c r="M4200" s="1">
        <v>3082.28</v>
      </c>
      <c r="N4200" s="1">
        <v>2526.46</v>
      </c>
      <c r="O4200" s="1">
        <v>2619.94</v>
      </c>
      <c r="P4200" s="1">
        <v>2147.4899999999998</v>
      </c>
      <c r="Q4200">
        <v>1.2</v>
      </c>
      <c r="R4200">
        <v>1.0710000000000001E-2</v>
      </c>
    </row>
    <row r="4201" spans="1:18" ht="13.8" outlineLevel="2" x14ac:dyDescent="0.25">
      <c r="A4201">
        <v>66143</v>
      </c>
      <c r="B4201" t="s">
        <v>5938</v>
      </c>
      <c r="C4201" t="s">
        <v>5943</v>
      </c>
      <c r="D4201" s="14" t="s">
        <v>5944</v>
      </c>
      <c r="E4201" s="12" t="s">
        <v>28</v>
      </c>
      <c r="F4201" s="13" t="s">
        <v>29</v>
      </c>
      <c r="G4201">
        <v>1</v>
      </c>
      <c r="H4201" t="s">
        <v>30</v>
      </c>
      <c r="I4201">
        <v>1</v>
      </c>
      <c r="J4201" s="15"/>
      <c r="K4201" s="16">
        <f>5660.92 - (5660.92 * $E$1)</f>
        <v>5660.92</v>
      </c>
      <c r="L4201" s="16">
        <f>4640.1 - (4640.1 * $E$1)</f>
        <v>4640.1000000000004</v>
      </c>
      <c r="M4201" s="1">
        <v>5660.92</v>
      </c>
      <c r="N4201" s="1">
        <v>4640.1000000000004</v>
      </c>
      <c r="O4201" s="1">
        <v>4811.78</v>
      </c>
      <c r="P4201" s="1">
        <v>3944.09</v>
      </c>
      <c r="Q4201">
        <v>2.4</v>
      </c>
      <c r="R4201">
        <v>2.2877999999999999E-2</v>
      </c>
    </row>
    <row r="4202" spans="1:18" ht="13.8" outlineLevel="2" x14ac:dyDescent="0.25">
      <c r="A4202">
        <v>66144</v>
      </c>
      <c r="B4202" t="s">
        <v>5938</v>
      </c>
      <c r="C4202" t="s">
        <v>5945</v>
      </c>
      <c r="D4202" s="14" t="s">
        <v>5946</v>
      </c>
      <c r="E4202" s="12" t="s">
        <v>28</v>
      </c>
      <c r="F4202" s="13" t="s">
        <v>29</v>
      </c>
      <c r="G4202">
        <v>1</v>
      </c>
      <c r="H4202" t="s">
        <v>30</v>
      </c>
      <c r="I4202">
        <v>1</v>
      </c>
      <c r="J4202" s="15"/>
      <c r="K4202" s="16">
        <f>8809.69 - (8809.69 * $E$1)</f>
        <v>8809.69</v>
      </c>
      <c r="L4202" s="16">
        <f>7221.06 - (7221.06 * $E$1)</f>
        <v>7221.06</v>
      </c>
      <c r="M4202" s="1">
        <v>8809.69</v>
      </c>
      <c r="N4202" s="1">
        <v>7221.06</v>
      </c>
      <c r="O4202" s="1">
        <v>7488.24</v>
      </c>
      <c r="P4202" s="1">
        <v>6137.9</v>
      </c>
      <c r="Q4202">
        <v>2.2000000000000002</v>
      </c>
      <c r="R4202">
        <v>2.5499999999999998E-2</v>
      </c>
    </row>
    <row r="4203" spans="1:18" ht="13.8" outlineLevel="2" x14ac:dyDescent="0.25">
      <c r="A4203">
        <v>104520</v>
      </c>
      <c r="B4203" t="s">
        <v>5947</v>
      </c>
      <c r="C4203" t="s">
        <v>5948</v>
      </c>
      <c r="D4203" s="14" t="s">
        <v>5949</v>
      </c>
      <c r="E4203" s="12" t="s">
        <v>28</v>
      </c>
      <c r="F4203" s="13" t="s">
        <v>29</v>
      </c>
      <c r="G4203">
        <v>1</v>
      </c>
      <c r="H4203" t="s">
        <v>30</v>
      </c>
      <c r="I4203">
        <v>1</v>
      </c>
      <c r="J4203" s="15"/>
      <c r="K4203" s="16">
        <f>8900.24 - (8900.24 * $E$1)</f>
        <v>8900.24</v>
      </c>
      <c r="L4203" s="16">
        <f>7295.28 - (7295.28 * $E$1)</f>
        <v>7295.28</v>
      </c>
      <c r="M4203" s="1">
        <v>8900.24</v>
      </c>
      <c r="N4203" s="1">
        <v>7295.28</v>
      </c>
      <c r="O4203" s="1">
        <v>7565.21</v>
      </c>
      <c r="P4203" s="1">
        <v>6200.99</v>
      </c>
      <c r="Q4203">
        <v>2.4</v>
      </c>
      <c r="R4203">
        <v>3.5880000000000002E-2</v>
      </c>
    </row>
    <row r="4204" spans="1:18" ht="13.8" outlineLevel="2" x14ac:dyDescent="0.25">
      <c r="A4204">
        <v>73564</v>
      </c>
      <c r="B4204" t="s">
        <v>5938</v>
      </c>
      <c r="C4204" t="s">
        <v>5950</v>
      </c>
      <c r="D4204" s="14" t="s">
        <v>5951</v>
      </c>
      <c r="E4204" s="12" t="s">
        <v>28</v>
      </c>
      <c r="F4204" s="13" t="s">
        <v>29</v>
      </c>
      <c r="G4204">
        <v>1</v>
      </c>
      <c r="H4204" t="s">
        <v>30</v>
      </c>
      <c r="I4204">
        <v>1</v>
      </c>
      <c r="J4204" s="15"/>
      <c r="K4204" s="16">
        <f>1223.28 - (1223.28 * $E$1)</f>
        <v>1223.28</v>
      </c>
      <c r="L4204" s="16">
        <f>1002.69 - (1002.69 * $E$1)</f>
        <v>1002.69</v>
      </c>
      <c r="M4204" s="1">
        <v>1223.28</v>
      </c>
      <c r="N4204" s="1">
        <v>1002.69</v>
      </c>
      <c r="O4204" s="1">
        <v>1039.79</v>
      </c>
      <c r="P4204" s="1">
        <v>852.29</v>
      </c>
      <c r="Q4204">
        <v>0.4</v>
      </c>
      <c r="R4204">
        <v>1.25E-3</v>
      </c>
    </row>
    <row r="4205" spans="1:18" ht="13.8" outlineLevel="2" x14ac:dyDescent="0.25">
      <c r="A4205">
        <v>104521</v>
      </c>
      <c r="B4205" t="s">
        <v>5947</v>
      </c>
      <c r="C4205" t="s">
        <v>5952</v>
      </c>
      <c r="D4205" s="14" t="s">
        <v>5953</v>
      </c>
      <c r="E4205" s="12" t="s">
        <v>28</v>
      </c>
      <c r="F4205" s="13" t="s">
        <v>29</v>
      </c>
      <c r="G4205">
        <v>1</v>
      </c>
      <c r="H4205" t="s">
        <v>30</v>
      </c>
      <c r="I4205">
        <v>1</v>
      </c>
      <c r="J4205" s="15"/>
      <c r="K4205" s="16">
        <f>3241.98 - (3241.98 * $E$1)</f>
        <v>3241.98</v>
      </c>
      <c r="L4205" s="16">
        <f>2657.36 - (2657.36 * $E$1)</f>
        <v>2657.36</v>
      </c>
      <c r="M4205" s="1">
        <v>3241.98</v>
      </c>
      <c r="N4205" s="1">
        <v>2657.36</v>
      </c>
      <c r="O4205" s="1">
        <v>2755.68</v>
      </c>
      <c r="P4205" s="1">
        <v>2258.7600000000002</v>
      </c>
      <c r="Q4205">
        <v>0.7</v>
      </c>
      <c r="R4205">
        <v>6.96E-3</v>
      </c>
    </row>
    <row r="4206" spans="1:18" ht="13.8" outlineLevel="2" x14ac:dyDescent="0.25">
      <c r="A4206">
        <v>78529</v>
      </c>
      <c r="B4206" t="s">
        <v>5938</v>
      </c>
      <c r="C4206" t="s">
        <v>5954</v>
      </c>
      <c r="D4206" s="14" t="s">
        <v>5955</v>
      </c>
      <c r="E4206" s="12" t="s">
        <v>28</v>
      </c>
      <c r="F4206" s="13" t="s">
        <v>29</v>
      </c>
      <c r="G4206">
        <v>1</v>
      </c>
      <c r="H4206" t="s">
        <v>30</v>
      </c>
      <c r="I4206">
        <v>1</v>
      </c>
      <c r="J4206" s="15"/>
      <c r="K4206" s="16">
        <f>1799.24 - (1799.24 * $E$1)</f>
        <v>1799.24</v>
      </c>
      <c r="L4206" s="16">
        <f>1474.79 - (1474.79 * $E$1)</f>
        <v>1474.79</v>
      </c>
      <c r="M4206" s="1">
        <v>1799.24</v>
      </c>
      <c r="N4206" s="1">
        <v>1474.79</v>
      </c>
      <c r="O4206" s="1">
        <v>1529.36</v>
      </c>
      <c r="P4206" s="1">
        <v>1253.57</v>
      </c>
      <c r="Q4206">
        <v>0.35</v>
      </c>
      <c r="R4206">
        <v>3.2239999999999999E-3</v>
      </c>
    </row>
    <row r="4207" spans="1:18" ht="13.8" outlineLevel="2" x14ac:dyDescent="0.25">
      <c r="A4207">
        <v>78268</v>
      </c>
      <c r="B4207" t="s">
        <v>5956</v>
      </c>
      <c r="C4207" t="s">
        <v>5957</v>
      </c>
      <c r="D4207" s="14" t="s">
        <v>5958</v>
      </c>
      <c r="E4207" s="12" t="s">
        <v>28</v>
      </c>
      <c r="F4207" s="13" t="s">
        <v>29</v>
      </c>
      <c r="G4207">
        <v>1</v>
      </c>
      <c r="H4207" t="s">
        <v>30</v>
      </c>
      <c r="I4207">
        <v>1</v>
      </c>
      <c r="J4207" s="15"/>
      <c r="K4207" s="16">
        <f>1839.36 - (1839.36 * $E$1)</f>
        <v>1839.36</v>
      </c>
      <c r="L4207" s="16">
        <f>1507.67 - (1507.67 * $E$1)</f>
        <v>1507.67</v>
      </c>
      <c r="M4207" s="1">
        <v>1839.36</v>
      </c>
      <c r="N4207" s="1">
        <v>1507.67</v>
      </c>
      <c r="O4207" s="1">
        <v>1563.45</v>
      </c>
      <c r="P4207" s="1">
        <v>1281.52</v>
      </c>
      <c r="Q4207">
        <v>0.51</v>
      </c>
      <c r="R4207">
        <v>1.2288E-2</v>
      </c>
    </row>
    <row r="4208" spans="1:18" ht="13.8" outlineLevel="2" x14ac:dyDescent="0.25">
      <c r="A4208">
        <v>78269</v>
      </c>
      <c r="B4208" t="s">
        <v>5956</v>
      </c>
      <c r="C4208" t="s">
        <v>5959</v>
      </c>
      <c r="D4208" s="14" t="s">
        <v>5960</v>
      </c>
      <c r="E4208" s="12" t="s">
        <v>28</v>
      </c>
      <c r="F4208" s="13" t="s">
        <v>29</v>
      </c>
      <c r="G4208">
        <v>1</v>
      </c>
      <c r="H4208" t="s">
        <v>30</v>
      </c>
      <c r="I4208">
        <v>1</v>
      </c>
      <c r="J4208" s="15"/>
      <c r="K4208" s="16">
        <f>2538.31 - (2538.31 * $E$1)</f>
        <v>2538.31</v>
      </c>
      <c r="L4208" s="16">
        <f>2080.58 - (2080.58 * $E$1)</f>
        <v>2080.58</v>
      </c>
      <c r="M4208" s="1">
        <v>2538.31</v>
      </c>
      <c r="N4208" s="1">
        <v>2080.58</v>
      </c>
      <c r="O4208" s="1">
        <v>2157.56</v>
      </c>
      <c r="P4208" s="1">
        <v>1768.49</v>
      </c>
      <c r="Q4208">
        <v>0.34</v>
      </c>
      <c r="R4208">
        <v>6.8640000000000003E-3</v>
      </c>
    </row>
    <row r="4209" spans="1:18" ht="13.8" outlineLevel="2" x14ac:dyDescent="0.25">
      <c r="A4209">
        <v>78531</v>
      </c>
      <c r="B4209" t="s">
        <v>5961</v>
      </c>
      <c r="C4209" t="s">
        <v>5962</v>
      </c>
      <c r="D4209" s="14" t="s">
        <v>5963</v>
      </c>
      <c r="E4209" s="12" t="s">
        <v>28</v>
      </c>
      <c r="F4209" s="13" t="s">
        <v>29</v>
      </c>
      <c r="G4209">
        <v>1</v>
      </c>
      <c r="H4209" t="s">
        <v>30</v>
      </c>
      <c r="I4209">
        <v>1</v>
      </c>
      <c r="J4209" s="15"/>
      <c r="K4209" s="16">
        <f>3819.97 - (3819.97 * $E$1)</f>
        <v>3819.97</v>
      </c>
      <c r="L4209" s="16">
        <f>3131.12 - (3131.12 * $E$1)</f>
        <v>3131.12</v>
      </c>
      <c r="M4209" s="1">
        <v>3819.97</v>
      </c>
      <c r="N4209" s="1">
        <v>3131.12</v>
      </c>
      <c r="O4209" s="1">
        <v>3246.97</v>
      </c>
      <c r="P4209" s="1">
        <v>2661.45</v>
      </c>
      <c r="Q4209">
        <v>0.8</v>
      </c>
      <c r="R4209">
        <v>1.4579999999999999E-2</v>
      </c>
    </row>
    <row r="4210" spans="1:18" ht="13.8" outlineLevel="2" x14ac:dyDescent="0.25">
      <c r="A4210">
        <v>69309</v>
      </c>
      <c r="B4210" t="s">
        <v>5964</v>
      </c>
      <c r="C4210" t="s">
        <v>5965</v>
      </c>
      <c r="D4210" s="14" t="s">
        <v>5966</v>
      </c>
      <c r="E4210" s="12" t="s">
        <v>28</v>
      </c>
      <c r="F4210" s="13" t="s">
        <v>29</v>
      </c>
      <c r="G4210">
        <v>1</v>
      </c>
      <c r="H4210" t="s">
        <v>30</v>
      </c>
      <c r="I4210">
        <v>1</v>
      </c>
      <c r="J4210" s="15"/>
      <c r="K4210" s="16">
        <f>7292.45 - (7292.45 * $E$1)</f>
        <v>7292.45</v>
      </c>
      <c r="L4210" s="16">
        <f>5977.42 - (5977.42 * $E$1)</f>
        <v>5977.42</v>
      </c>
      <c r="M4210" s="1">
        <v>7292.45</v>
      </c>
      <c r="N4210" s="1">
        <v>5977.42</v>
      </c>
      <c r="O4210" s="1">
        <v>6198.58</v>
      </c>
      <c r="P4210" s="1">
        <v>5080.8100000000004</v>
      </c>
      <c r="Q4210">
        <v>1.9</v>
      </c>
      <c r="R4210">
        <v>1.924E-2</v>
      </c>
    </row>
    <row r="4211" spans="1:18" ht="13.8" outlineLevel="2" x14ac:dyDescent="0.25">
      <c r="A4211">
        <v>73527</v>
      </c>
      <c r="B4211" t="s">
        <v>5964</v>
      </c>
      <c r="C4211" t="s">
        <v>5967</v>
      </c>
      <c r="D4211" s="14" t="s">
        <v>5968</v>
      </c>
      <c r="E4211" s="12" t="s">
        <v>28</v>
      </c>
      <c r="F4211" s="13" t="s">
        <v>29</v>
      </c>
      <c r="G4211">
        <v>1</v>
      </c>
      <c r="H4211" t="s">
        <v>30</v>
      </c>
      <c r="I4211">
        <v>1</v>
      </c>
      <c r="J4211" s="15"/>
      <c r="K4211" s="16">
        <f>6187.27 - (6187.27 * $E$1)</f>
        <v>6187.27</v>
      </c>
      <c r="L4211" s="16">
        <f>5071.53 - (5071.53 * $E$1)</f>
        <v>5071.53</v>
      </c>
      <c r="M4211" s="1">
        <v>6187.27</v>
      </c>
      <c r="N4211" s="1">
        <v>5071.53</v>
      </c>
      <c r="O4211" s="1">
        <v>5259.18</v>
      </c>
      <c r="P4211" s="1">
        <v>4310.8</v>
      </c>
      <c r="Q4211">
        <v>1.7</v>
      </c>
      <c r="R4211">
        <v>1.6660000000000001E-2</v>
      </c>
    </row>
    <row r="4212" spans="1:18" ht="13.8" outlineLevel="2" x14ac:dyDescent="0.25">
      <c r="A4212">
        <v>78424</v>
      </c>
      <c r="B4212" t="s">
        <v>5964</v>
      </c>
      <c r="C4212" t="s">
        <v>5969</v>
      </c>
      <c r="D4212" s="14" t="s">
        <v>5970</v>
      </c>
      <c r="E4212" s="12" t="s">
        <v>28</v>
      </c>
      <c r="F4212" s="13" t="s">
        <v>29</v>
      </c>
      <c r="G4212">
        <v>1</v>
      </c>
      <c r="H4212" t="s">
        <v>30</v>
      </c>
      <c r="I4212">
        <v>1</v>
      </c>
      <c r="J4212" s="15"/>
      <c r="K4212" s="16">
        <f>7259.04 - (7259.04 * $E$1)</f>
        <v>7259.04</v>
      </c>
      <c r="L4212" s="16">
        <f>5950.03 - (5950.03 * $E$1)</f>
        <v>5950.03</v>
      </c>
      <c r="M4212" s="1">
        <v>7259.04</v>
      </c>
      <c r="N4212" s="1">
        <v>5950.03</v>
      </c>
      <c r="O4212" s="1">
        <v>6170.18</v>
      </c>
      <c r="P4212" s="1">
        <v>5057.53</v>
      </c>
      <c r="Q4212">
        <v>1.8</v>
      </c>
      <c r="R4212">
        <v>2.7720000000000002E-2</v>
      </c>
    </row>
    <row r="4213" spans="1:18" ht="13.8" outlineLevel="2" x14ac:dyDescent="0.25">
      <c r="A4213">
        <v>102567</v>
      </c>
      <c r="B4213" t="s">
        <v>5971</v>
      </c>
      <c r="C4213" t="s">
        <v>5972</v>
      </c>
      <c r="D4213" s="14" t="s">
        <v>5972</v>
      </c>
      <c r="E4213" s="12" t="s">
        <v>28</v>
      </c>
      <c r="F4213" s="13" t="s">
        <v>29</v>
      </c>
      <c r="G4213">
        <v>1</v>
      </c>
      <c r="H4213" t="s">
        <v>30</v>
      </c>
      <c r="I4213">
        <v>1</v>
      </c>
      <c r="J4213" s="15"/>
      <c r="K4213" s="16">
        <f>12327.69 - (12327.69 * $E$1)</f>
        <v>12327.69</v>
      </c>
      <c r="L4213" s="16">
        <f>10104.66 - (10104.66 * $E$1)</f>
        <v>10104.66</v>
      </c>
      <c r="M4213" s="1">
        <v>12327.69</v>
      </c>
      <c r="N4213" s="1">
        <v>10104.66</v>
      </c>
      <c r="O4213" s="1">
        <v>10478.530000000001</v>
      </c>
      <c r="P4213" s="1">
        <v>8588.9599999999991</v>
      </c>
      <c r="Q4213">
        <v>1.17</v>
      </c>
      <c r="R4213">
        <v>1.7974E-2</v>
      </c>
    </row>
    <row r="4214" spans="1:18" ht="13.8" outlineLevel="2" x14ac:dyDescent="0.25">
      <c r="A4214">
        <v>102568</v>
      </c>
      <c r="B4214" t="s">
        <v>5971</v>
      </c>
      <c r="C4214" t="s">
        <v>5973</v>
      </c>
      <c r="D4214" s="14" t="s">
        <v>5973</v>
      </c>
      <c r="E4214" s="12" t="s">
        <v>28</v>
      </c>
      <c r="F4214" s="13" t="s">
        <v>29</v>
      </c>
      <c r="G4214">
        <v>1</v>
      </c>
      <c r="H4214" t="s">
        <v>30</v>
      </c>
      <c r="I4214">
        <v>1</v>
      </c>
      <c r="J4214" s="15"/>
      <c r="K4214" s="16">
        <f>13197.4 - (13197.4 * $E$1)</f>
        <v>13197.4</v>
      </c>
      <c r="L4214" s="16">
        <f>10817.54 - (10817.54 * $E$1)</f>
        <v>10817.54</v>
      </c>
      <c r="M4214" s="1">
        <v>13197.4</v>
      </c>
      <c r="N4214" s="1">
        <v>10817.54</v>
      </c>
      <c r="O4214" s="1">
        <v>11217.79</v>
      </c>
      <c r="P4214" s="1">
        <v>9194.91</v>
      </c>
      <c r="Q4214">
        <v>1.63</v>
      </c>
      <c r="R4214">
        <v>2.1432E-2</v>
      </c>
    </row>
    <row r="4215" spans="1:18" ht="13.8" outlineLevel="2" x14ac:dyDescent="0.25">
      <c r="A4215">
        <v>102569</v>
      </c>
      <c r="B4215" t="s">
        <v>5971</v>
      </c>
      <c r="C4215" t="s">
        <v>5974</v>
      </c>
      <c r="D4215" s="14" t="s">
        <v>5974</v>
      </c>
      <c r="E4215" s="12" t="s">
        <v>28</v>
      </c>
      <c r="F4215" s="13" t="s">
        <v>29</v>
      </c>
      <c r="G4215">
        <v>1</v>
      </c>
      <c r="H4215" t="s">
        <v>30</v>
      </c>
      <c r="I4215">
        <v>1</v>
      </c>
      <c r="J4215" s="15"/>
      <c r="K4215" s="16">
        <f>13065.08 - (13065.08 * $E$1)</f>
        <v>13065.08</v>
      </c>
      <c r="L4215" s="16">
        <f>10709.08 - (10709.08 * $E$1)</f>
        <v>10709.08</v>
      </c>
      <c r="M4215" s="1">
        <v>13065.08</v>
      </c>
      <c r="N4215" s="1">
        <v>10709.08</v>
      </c>
      <c r="O4215" s="1">
        <v>11105.32</v>
      </c>
      <c r="P4215" s="1">
        <v>9102.7199999999993</v>
      </c>
      <c r="Q4215">
        <v>1.44</v>
      </c>
      <c r="R4215">
        <v>1.8232000000000002E-2</v>
      </c>
    </row>
    <row r="4216" spans="1:18" ht="13.8" outlineLevel="2" x14ac:dyDescent="0.25">
      <c r="A4216">
        <v>69310</v>
      </c>
      <c r="B4216" t="s">
        <v>5975</v>
      </c>
      <c r="C4216" t="s">
        <v>5976</v>
      </c>
      <c r="D4216" s="14" t="s">
        <v>5977</v>
      </c>
      <c r="E4216" s="12" t="s">
        <v>28</v>
      </c>
      <c r="F4216" s="13" t="s">
        <v>29</v>
      </c>
      <c r="G4216">
        <v>1</v>
      </c>
      <c r="H4216" t="s">
        <v>30</v>
      </c>
      <c r="I4216">
        <v>1</v>
      </c>
      <c r="J4216" s="15"/>
      <c r="K4216" s="16">
        <f>3663.18 - (3663.18 * $E$1)</f>
        <v>3663.18</v>
      </c>
      <c r="L4216" s="16">
        <f>3002.61 - (3002.61 * $E$1)</f>
        <v>3002.61</v>
      </c>
      <c r="M4216" s="1">
        <v>3663.18</v>
      </c>
      <c r="N4216" s="1">
        <v>3002.61</v>
      </c>
      <c r="O4216" s="1">
        <v>3113.71</v>
      </c>
      <c r="P4216" s="1">
        <v>2552.2199999999998</v>
      </c>
      <c r="Q4216">
        <v>0.6</v>
      </c>
      <c r="R4216">
        <v>4.176E-3</v>
      </c>
    </row>
    <row r="4217" spans="1:18" ht="13.8" outlineLevel="2" x14ac:dyDescent="0.25">
      <c r="A4217">
        <v>78271</v>
      </c>
      <c r="B4217" t="s">
        <v>5978</v>
      </c>
      <c r="C4217" t="s">
        <v>5979</v>
      </c>
      <c r="D4217" s="14" t="s">
        <v>5980</v>
      </c>
      <c r="E4217" s="12" t="s">
        <v>28</v>
      </c>
      <c r="F4217" s="13" t="s">
        <v>29</v>
      </c>
      <c r="G4217">
        <v>1</v>
      </c>
      <c r="H4217" t="s">
        <v>30</v>
      </c>
      <c r="I4217">
        <v>1</v>
      </c>
      <c r="J4217" s="15"/>
      <c r="K4217" s="16">
        <f>438.65 - (438.65 * $E$1)</f>
        <v>438.65</v>
      </c>
      <c r="L4217" s="16">
        <f>359.55 - (359.55 * $E$1)</f>
        <v>359.55</v>
      </c>
      <c r="M4217" s="1">
        <v>438.65</v>
      </c>
      <c r="N4217" s="1">
        <v>359.55</v>
      </c>
      <c r="O4217" s="1">
        <v>372.85</v>
      </c>
      <c r="P4217" s="1">
        <v>305.62</v>
      </c>
      <c r="Q4217">
        <v>0.14000000000000001</v>
      </c>
      <c r="R4217">
        <v>5.1000000000000004E-4</v>
      </c>
    </row>
    <row r="4218" spans="1:18" ht="13.8" outlineLevel="2" x14ac:dyDescent="0.25">
      <c r="A4218">
        <v>78272</v>
      </c>
      <c r="B4218" t="s">
        <v>5981</v>
      </c>
      <c r="C4218" t="s">
        <v>5982</v>
      </c>
      <c r="D4218" s="14" t="s">
        <v>5983</v>
      </c>
      <c r="E4218" s="12" t="s">
        <v>28</v>
      </c>
      <c r="F4218" s="13" t="s">
        <v>29</v>
      </c>
      <c r="G4218">
        <v>1</v>
      </c>
      <c r="H4218" t="s">
        <v>30</v>
      </c>
      <c r="I4218">
        <v>1</v>
      </c>
      <c r="J4218" s="15"/>
      <c r="K4218" s="16">
        <f>502.36 - (502.36 * $E$1)</f>
        <v>502.36</v>
      </c>
      <c r="L4218" s="16">
        <f>411.77 - (411.77 * $E$1)</f>
        <v>411.77</v>
      </c>
      <c r="M4218" s="1">
        <v>502.36</v>
      </c>
      <c r="N4218" s="1">
        <v>411.77</v>
      </c>
      <c r="O4218" s="1">
        <v>427.01</v>
      </c>
      <c r="P4218" s="1">
        <v>350</v>
      </c>
      <c r="Q4218">
        <v>0.17</v>
      </c>
      <c r="R4218">
        <v>5.1000000000000004E-4</v>
      </c>
    </row>
    <row r="4219" spans="1:18" ht="13.8" outlineLevel="2" x14ac:dyDescent="0.25">
      <c r="A4219">
        <v>78275</v>
      </c>
      <c r="B4219" t="s">
        <v>5984</v>
      </c>
      <c r="C4219" t="s">
        <v>5985</v>
      </c>
      <c r="D4219" s="14" t="s">
        <v>5986</v>
      </c>
      <c r="E4219" s="12" t="s">
        <v>28</v>
      </c>
      <c r="F4219" s="13" t="s">
        <v>29</v>
      </c>
      <c r="G4219">
        <v>1</v>
      </c>
      <c r="H4219" t="s">
        <v>30</v>
      </c>
      <c r="I4219">
        <v>1</v>
      </c>
      <c r="J4219" s="15"/>
      <c r="K4219" s="16">
        <f>1042.83 - (1042.83 * $E$1)</f>
        <v>1042.83</v>
      </c>
      <c r="L4219" s="16">
        <f>854.78 - (854.78 * $E$1)</f>
        <v>854.78</v>
      </c>
      <c r="M4219" s="1">
        <v>1042.83</v>
      </c>
      <c r="N4219" s="1">
        <v>854.78</v>
      </c>
      <c r="O4219" s="1">
        <v>886.41</v>
      </c>
      <c r="P4219" s="1">
        <v>726.56</v>
      </c>
      <c r="Q4219">
        <v>0.09</v>
      </c>
      <c r="R4219">
        <v>2.1900000000000001E-4</v>
      </c>
    </row>
    <row r="4220" spans="1:18" ht="13.8" outlineLevel="2" x14ac:dyDescent="0.25">
      <c r="A4220">
        <v>78745</v>
      </c>
      <c r="B4220" t="s">
        <v>5987</v>
      </c>
      <c r="C4220" t="s">
        <v>5988</v>
      </c>
      <c r="D4220" s="14" t="s">
        <v>5989</v>
      </c>
      <c r="E4220" s="12" t="s">
        <v>28</v>
      </c>
      <c r="F4220" s="13" t="s">
        <v>29</v>
      </c>
      <c r="G4220">
        <v>1</v>
      </c>
      <c r="H4220" t="s">
        <v>30</v>
      </c>
      <c r="I4220">
        <v>1</v>
      </c>
      <c r="J4220" s="15"/>
      <c r="K4220" s="16">
        <f>970.02 - (970.02 * $E$1)</f>
        <v>970.02</v>
      </c>
      <c r="L4220" s="16">
        <f>795.1 - (795.1 * $E$1)</f>
        <v>795.1</v>
      </c>
      <c r="M4220" s="1">
        <v>970.02</v>
      </c>
      <c r="N4220" s="1">
        <v>795.1</v>
      </c>
      <c r="O4220" s="1">
        <v>824.52</v>
      </c>
      <c r="P4220" s="1">
        <v>675.84</v>
      </c>
      <c r="Q4220">
        <v>0.17</v>
      </c>
      <c r="R4220">
        <v>4.3400000000000001E-3</v>
      </c>
    </row>
    <row r="4221" spans="1:18" ht="13.8" outlineLevel="2" x14ac:dyDescent="0.25">
      <c r="A4221">
        <v>75910</v>
      </c>
      <c r="B4221" t="s">
        <v>5990</v>
      </c>
      <c r="C4221" t="s">
        <v>5991</v>
      </c>
      <c r="D4221" s="14" t="s">
        <v>5992</v>
      </c>
      <c r="E4221" s="12" t="s">
        <v>28</v>
      </c>
      <c r="F4221" s="13" t="s">
        <v>29</v>
      </c>
      <c r="G4221">
        <v>1</v>
      </c>
      <c r="H4221" t="s">
        <v>30</v>
      </c>
      <c r="I4221">
        <v>1</v>
      </c>
      <c r="J4221" s="15"/>
      <c r="K4221" s="16">
        <f>1009.57 - (1009.57 * $E$1)</f>
        <v>1009.57</v>
      </c>
      <c r="L4221" s="16">
        <f>827.52 - (827.52 * $E$1)</f>
        <v>827.52</v>
      </c>
      <c r="M4221" s="1">
        <v>1009.57</v>
      </c>
      <c r="N4221" s="1">
        <v>827.52</v>
      </c>
      <c r="O4221" s="1">
        <v>858.14</v>
      </c>
      <c r="P4221" s="1">
        <v>703.39</v>
      </c>
      <c r="Q4221">
        <v>0.28799999999999998</v>
      </c>
      <c r="R4221">
        <v>1.885E-3</v>
      </c>
    </row>
    <row r="4222" spans="1:18" ht="13.8" outlineLevel="2" x14ac:dyDescent="0.25">
      <c r="A4222">
        <v>105470</v>
      </c>
      <c r="B4222" t="s">
        <v>5993</v>
      </c>
      <c r="C4222" t="s">
        <v>5994</v>
      </c>
      <c r="D4222" s="14" t="s">
        <v>5995</v>
      </c>
      <c r="E4222" s="12" t="s">
        <v>28</v>
      </c>
      <c r="F4222" s="13" t="s">
        <v>29</v>
      </c>
      <c r="G4222">
        <v>1</v>
      </c>
      <c r="H4222" t="s">
        <v>30</v>
      </c>
      <c r="I4222">
        <v>1</v>
      </c>
      <c r="J4222" s="15"/>
      <c r="K4222" s="16">
        <f>997.85 - (997.85 * $E$1)</f>
        <v>997.85</v>
      </c>
      <c r="L4222" s="16">
        <f>817.91 - (817.91 * $E$1)</f>
        <v>817.91</v>
      </c>
      <c r="M4222" s="1">
        <v>997.85</v>
      </c>
      <c r="N4222" s="1">
        <v>817.91</v>
      </c>
      <c r="O4222" s="1">
        <v>848.17</v>
      </c>
      <c r="P4222" s="1">
        <v>695.22</v>
      </c>
      <c r="Q4222">
        <v>0.19</v>
      </c>
      <c r="R4222">
        <v>9.8999999999999999E-4</v>
      </c>
    </row>
    <row r="4223" spans="1:18" ht="13.8" outlineLevel="2" x14ac:dyDescent="0.25">
      <c r="A4223">
        <v>83135</v>
      </c>
      <c r="B4223" t="s">
        <v>5996</v>
      </c>
      <c r="C4223" t="s">
        <v>5997</v>
      </c>
      <c r="D4223" s="14" t="s">
        <v>5998</v>
      </c>
      <c r="E4223" s="12" t="s">
        <v>28</v>
      </c>
      <c r="F4223" s="13" t="s">
        <v>29</v>
      </c>
      <c r="G4223">
        <v>1</v>
      </c>
      <c r="H4223" t="s">
        <v>30</v>
      </c>
      <c r="I4223">
        <v>1</v>
      </c>
      <c r="J4223" s="15"/>
      <c r="K4223" s="16">
        <f>3771.56 - (3771.56 * $E$1)</f>
        <v>3771.56</v>
      </c>
      <c r="L4223" s="16">
        <f>3091.44 - (3091.44 * $E$1)</f>
        <v>3091.44</v>
      </c>
      <c r="M4223" s="1">
        <v>3771.56</v>
      </c>
      <c r="N4223" s="1">
        <v>3091.44</v>
      </c>
      <c r="O4223" s="1">
        <v>3205.82</v>
      </c>
      <c r="P4223" s="1">
        <v>2627.72</v>
      </c>
      <c r="Q4223">
        <v>0.8</v>
      </c>
      <c r="R4223">
        <v>1.6799999999999999E-2</v>
      </c>
    </row>
    <row r="4224" spans="1:18" ht="13.8" outlineLevel="2" x14ac:dyDescent="0.25">
      <c r="A4224">
        <v>83136</v>
      </c>
      <c r="B4224" t="s">
        <v>5996</v>
      </c>
      <c r="C4224" t="s">
        <v>5999</v>
      </c>
      <c r="D4224" s="14" t="s">
        <v>6000</v>
      </c>
      <c r="E4224" s="12" t="s">
        <v>28</v>
      </c>
      <c r="F4224" s="13" t="s">
        <v>29</v>
      </c>
      <c r="G4224">
        <v>1</v>
      </c>
      <c r="H4224" t="s">
        <v>30</v>
      </c>
      <c r="I4224">
        <v>1</v>
      </c>
      <c r="J4224" s="15"/>
      <c r="K4224" s="16">
        <f>4864.41 - (4864.41 * $E$1)</f>
        <v>4864.41</v>
      </c>
      <c r="L4224" s="16">
        <f>3987.22 - (3987.22 * $E$1)</f>
        <v>3987.22</v>
      </c>
      <c r="M4224" s="1">
        <v>4864.41</v>
      </c>
      <c r="N4224" s="1">
        <v>3987.22</v>
      </c>
      <c r="O4224" s="1">
        <v>4134.75</v>
      </c>
      <c r="P4224" s="1">
        <v>3389.14</v>
      </c>
      <c r="Q4224">
        <v>1</v>
      </c>
      <c r="R4224">
        <v>1.536E-2</v>
      </c>
    </row>
    <row r="4225" spans="1:18" ht="13.8" outlineLevel="2" x14ac:dyDescent="0.25">
      <c r="A4225">
        <v>83137</v>
      </c>
      <c r="B4225" t="s">
        <v>5996</v>
      </c>
      <c r="C4225" t="s">
        <v>6001</v>
      </c>
      <c r="D4225" s="14" t="s">
        <v>6002</v>
      </c>
      <c r="E4225" s="12" t="s">
        <v>28</v>
      </c>
      <c r="F4225" s="13" t="s">
        <v>29</v>
      </c>
      <c r="G4225">
        <v>1</v>
      </c>
      <c r="H4225" t="s">
        <v>30</v>
      </c>
      <c r="I4225">
        <v>1</v>
      </c>
      <c r="J4225" s="15"/>
      <c r="K4225" s="16">
        <f>1839.61 - (1839.61 * $E$1)</f>
        <v>1839.61</v>
      </c>
      <c r="L4225" s="16">
        <f>1507.88 - (1507.88 * $E$1)</f>
        <v>1507.88</v>
      </c>
      <c r="M4225" s="1">
        <v>1839.61</v>
      </c>
      <c r="N4225" s="1">
        <v>1507.88</v>
      </c>
      <c r="O4225" s="1">
        <v>1563.67</v>
      </c>
      <c r="P4225" s="1">
        <v>1281.7</v>
      </c>
      <c r="Q4225">
        <v>0.4</v>
      </c>
      <c r="R4225">
        <v>3.888E-3</v>
      </c>
    </row>
    <row r="4226" spans="1:18" ht="13.8" outlineLevel="2" x14ac:dyDescent="0.25">
      <c r="A4226">
        <v>83138</v>
      </c>
      <c r="B4226" t="s">
        <v>5996</v>
      </c>
      <c r="C4226" t="s">
        <v>6003</v>
      </c>
      <c r="D4226" s="14" t="s">
        <v>6004</v>
      </c>
      <c r="E4226" s="12" t="s">
        <v>28</v>
      </c>
      <c r="F4226" s="13" t="s">
        <v>29</v>
      </c>
      <c r="G4226">
        <v>1</v>
      </c>
      <c r="H4226" t="s">
        <v>30</v>
      </c>
      <c r="I4226">
        <v>1</v>
      </c>
      <c r="J4226" s="15"/>
      <c r="K4226" s="16">
        <f>2310.47 - (2310.47 * $E$1)</f>
        <v>2310.4699999999998</v>
      </c>
      <c r="L4226" s="16">
        <f>1893.83 - (1893.83 * $E$1)</f>
        <v>1893.83</v>
      </c>
      <c r="M4226" s="1">
        <v>2310.4699999999998</v>
      </c>
      <c r="N4226" s="1">
        <v>1893.83</v>
      </c>
      <c r="O4226" s="1">
        <v>1963.9</v>
      </c>
      <c r="P4226" s="1">
        <v>1609.76</v>
      </c>
      <c r="Q4226">
        <v>0.4</v>
      </c>
      <c r="R4226">
        <v>3.2759999999999998E-3</v>
      </c>
    </row>
    <row r="4227" spans="1:18" ht="13.8" outlineLevel="2" x14ac:dyDescent="0.25">
      <c r="A4227">
        <v>83139</v>
      </c>
      <c r="B4227" t="s">
        <v>6005</v>
      </c>
      <c r="C4227" t="s">
        <v>6006</v>
      </c>
      <c r="D4227" s="14" t="s">
        <v>6007</v>
      </c>
      <c r="E4227" s="12" t="s">
        <v>28</v>
      </c>
      <c r="F4227" s="13" t="s">
        <v>29</v>
      </c>
      <c r="G4227">
        <v>1</v>
      </c>
      <c r="H4227" t="s">
        <v>30</v>
      </c>
      <c r="I4227">
        <v>1</v>
      </c>
      <c r="J4227" s="15"/>
      <c r="K4227" s="16">
        <f>1620.76 - (1620.76 * $E$1)</f>
        <v>1620.76</v>
      </c>
      <c r="L4227" s="16">
        <f>1328.49 - (1328.49 * $E$1)</f>
        <v>1328.49</v>
      </c>
      <c r="M4227" s="1">
        <v>1620.76</v>
      </c>
      <c r="N4227" s="1">
        <v>1328.49</v>
      </c>
      <c r="O4227" s="1">
        <v>1377.64</v>
      </c>
      <c r="P4227" s="1">
        <v>1129.22</v>
      </c>
      <c r="Q4227">
        <v>0.3</v>
      </c>
      <c r="R4227">
        <v>3.6480000000000002E-3</v>
      </c>
    </row>
    <row r="4228" spans="1:18" ht="13.8" outlineLevel="2" x14ac:dyDescent="0.25">
      <c r="A4228">
        <v>83133</v>
      </c>
      <c r="B4228" t="s">
        <v>6008</v>
      </c>
      <c r="C4228" t="s">
        <v>6009</v>
      </c>
      <c r="D4228" s="14" t="s">
        <v>6010</v>
      </c>
      <c r="E4228" s="12" t="s">
        <v>28</v>
      </c>
      <c r="F4228" s="13" t="s">
        <v>29</v>
      </c>
      <c r="G4228">
        <v>1</v>
      </c>
      <c r="H4228" t="s">
        <v>30</v>
      </c>
      <c r="I4228">
        <v>1</v>
      </c>
      <c r="J4228" s="15"/>
      <c r="K4228" s="16">
        <f>1940.59 - (1940.59 * $E$1)</f>
        <v>1940.59</v>
      </c>
      <c r="L4228" s="16">
        <f>1590.65 - (1590.65 * $E$1)</f>
        <v>1590.65</v>
      </c>
      <c r="M4228" s="1">
        <v>1940.59</v>
      </c>
      <c r="N4228" s="1">
        <v>1590.65</v>
      </c>
      <c r="O4228" s="1">
        <v>1649.5</v>
      </c>
      <c r="P4228" s="1">
        <v>1352.05</v>
      </c>
      <c r="Q4228">
        <v>0.5</v>
      </c>
      <c r="R4228">
        <v>4.1999999999999997E-3</v>
      </c>
    </row>
    <row r="4229" spans="1:18" ht="13.8" outlineLevel="2" x14ac:dyDescent="0.25">
      <c r="A4229">
        <v>91980</v>
      </c>
      <c r="B4229" t="s">
        <v>6011</v>
      </c>
      <c r="C4229" t="s">
        <v>6012</v>
      </c>
      <c r="D4229" s="14" t="s">
        <v>6013</v>
      </c>
      <c r="E4229" s="12" t="s">
        <v>28</v>
      </c>
      <c r="F4229" s="13" t="s">
        <v>29</v>
      </c>
      <c r="G4229">
        <v>1</v>
      </c>
      <c r="H4229" t="s">
        <v>30</v>
      </c>
      <c r="I4229">
        <v>1</v>
      </c>
      <c r="J4229" s="15"/>
      <c r="K4229" s="16">
        <f>5298.48 - (5298.48 * $E$1)</f>
        <v>5298.48</v>
      </c>
      <c r="L4229" s="16">
        <f>4343.02 - (4343.02 * $E$1)</f>
        <v>4343.0200000000004</v>
      </c>
      <c r="M4229" s="1">
        <v>5298.48</v>
      </c>
      <c r="N4229" s="1">
        <v>4343.0200000000004</v>
      </c>
      <c r="O4229" s="1">
        <v>4503.71</v>
      </c>
      <c r="P4229" s="1">
        <v>3691.57</v>
      </c>
      <c r="Q4229">
        <v>1.1060000000000001</v>
      </c>
      <c r="R4229">
        <v>1.1934E-2</v>
      </c>
    </row>
    <row r="4230" spans="1:18" ht="13.8" outlineLevel="2" x14ac:dyDescent="0.25">
      <c r="A4230">
        <v>91981</v>
      </c>
      <c r="B4230" t="s">
        <v>6011</v>
      </c>
      <c r="C4230" t="s">
        <v>6014</v>
      </c>
      <c r="D4230" s="14" t="s">
        <v>6015</v>
      </c>
      <c r="E4230" s="12" t="s">
        <v>28</v>
      </c>
      <c r="F4230" s="13" t="s">
        <v>29</v>
      </c>
      <c r="G4230">
        <v>1</v>
      </c>
      <c r="H4230" t="s">
        <v>30</v>
      </c>
      <c r="I4230">
        <v>1</v>
      </c>
      <c r="J4230" s="15"/>
      <c r="K4230" s="16">
        <f>2529.24 - (2529.24 * $E$1)</f>
        <v>2529.2399999999998</v>
      </c>
      <c r="L4230" s="16">
        <f>2073.15 - (2073.15 * $E$1)</f>
        <v>2073.15</v>
      </c>
      <c r="M4230" s="1">
        <v>2529.2399999999998</v>
      </c>
      <c r="N4230" s="1">
        <v>2073.15</v>
      </c>
      <c r="O4230" s="1">
        <v>2149.86</v>
      </c>
      <c r="P4230" s="1">
        <v>1762.18</v>
      </c>
      <c r="Q4230">
        <v>0.43</v>
      </c>
      <c r="R4230">
        <v>4.8599999999999997E-3</v>
      </c>
    </row>
    <row r="4231" spans="1:18" ht="13.8" outlineLevel="2" x14ac:dyDescent="0.25">
      <c r="A4231">
        <v>91982</v>
      </c>
      <c r="B4231" t="s">
        <v>6011</v>
      </c>
      <c r="C4231" t="s">
        <v>6016</v>
      </c>
      <c r="D4231" s="14" t="s">
        <v>6017</v>
      </c>
      <c r="E4231" s="12" t="s">
        <v>28</v>
      </c>
      <c r="F4231" s="13" t="s">
        <v>29</v>
      </c>
      <c r="G4231">
        <v>1</v>
      </c>
      <c r="H4231" t="s">
        <v>30</v>
      </c>
      <c r="I4231">
        <v>1</v>
      </c>
      <c r="J4231" s="15"/>
      <c r="K4231" s="16">
        <f>2723.24 - (2723.24 * $E$1)</f>
        <v>2723.24</v>
      </c>
      <c r="L4231" s="16">
        <f>2232.16 - (2232.16 * $E$1)</f>
        <v>2232.16</v>
      </c>
      <c r="M4231" s="1">
        <v>2723.24</v>
      </c>
      <c r="N4231" s="1">
        <v>2232.16</v>
      </c>
      <c r="O4231" s="1">
        <v>2314.75</v>
      </c>
      <c r="P4231" s="1">
        <v>1897.34</v>
      </c>
      <c r="Q4231">
        <v>0.35599999999999998</v>
      </c>
      <c r="R4231">
        <v>4.104E-3</v>
      </c>
    </row>
    <row r="4232" spans="1:18" ht="13.8" outlineLevel="2" x14ac:dyDescent="0.25">
      <c r="A4232">
        <v>91983</v>
      </c>
      <c r="B4232" t="s">
        <v>6018</v>
      </c>
      <c r="C4232" t="s">
        <v>6019</v>
      </c>
      <c r="D4232" s="14" t="s">
        <v>6020</v>
      </c>
      <c r="E4232" s="12" t="s">
        <v>28</v>
      </c>
      <c r="F4232" s="13" t="s">
        <v>29</v>
      </c>
      <c r="G4232">
        <v>1</v>
      </c>
      <c r="H4232" t="s">
        <v>30</v>
      </c>
      <c r="I4232">
        <v>1</v>
      </c>
      <c r="J4232" s="15"/>
      <c r="K4232" s="16">
        <f>1835.82 - (1835.82 * $E$1)</f>
        <v>1835.82</v>
      </c>
      <c r="L4232" s="16">
        <f>1504.77 - (1504.77 * $E$1)</f>
        <v>1504.77</v>
      </c>
      <c r="M4232" s="1">
        <v>1835.82</v>
      </c>
      <c r="N4232" s="1">
        <v>1504.77</v>
      </c>
      <c r="O4232" s="1">
        <v>1560.45</v>
      </c>
      <c r="P4232" s="1">
        <v>1279.05</v>
      </c>
      <c r="Q4232">
        <v>0.42199999999999999</v>
      </c>
      <c r="R4232">
        <v>4.7190000000000001E-3</v>
      </c>
    </row>
    <row r="4233" spans="1:18" ht="13.8" outlineLevel="2" x14ac:dyDescent="0.25">
      <c r="A4233">
        <v>102646</v>
      </c>
      <c r="B4233" t="s">
        <v>6021</v>
      </c>
      <c r="C4233" t="s">
        <v>6022</v>
      </c>
      <c r="D4233" s="14" t="s">
        <v>6023</v>
      </c>
      <c r="E4233" s="12" t="s">
        <v>28</v>
      </c>
      <c r="F4233" s="13" t="s">
        <v>29</v>
      </c>
      <c r="G4233">
        <v>1</v>
      </c>
      <c r="H4233" t="s">
        <v>30</v>
      </c>
      <c r="I4233">
        <v>1</v>
      </c>
      <c r="J4233" s="15"/>
      <c r="K4233" s="16">
        <f>7870.11 - (7870.11 * $E$1)</f>
        <v>7870.11</v>
      </c>
      <c r="L4233" s="16">
        <f>6450.91 - (6450.91 * $E$1)</f>
        <v>6450.91</v>
      </c>
      <c r="M4233" s="1">
        <v>7870.11</v>
      </c>
      <c r="N4233" s="1">
        <v>6450.91</v>
      </c>
      <c r="O4233" s="1">
        <v>6689.59</v>
      </c>
      <c r="P4233" s="1">
        <v>5483.27</v>
      </c>
      <c r="Q4233">
        <v>1.7</v>
      </c>
      <c r="R4233">
        <v>1.6379999999999999E-2</v>
      </c>
    </row>
    <row r="4234" spans="1:18" ht="13.8" outlineLevel="2" x14ac:dyDescent="0.25">
      <c r="A4234">
        <v>102647</v>
      </c>
      <c r="B4234" t="s">
        <v>6021</v>
      </c>
      <c r="C4234" t="s">
        <v>6024</v>
      </c>
      <c r="D4234" s="14" t="s">
        <v>6025</v>
      </c>
      <c r="E4234" s="12" t="s">
        <v>28</v>
      </c>
      <c r="F4234" s="17" t="s">
        <v>549</v>
      </c>
      <c r="G4234">
        <v>1</v>
      </c>
      <c r="H4234" t="s">
        <v>30</v>
      </c>
      <c r="I4234">
        <v>1</v>
      </c>
      <c r="J4234" s="15"/>
      <c r="K4234" s="16">
        <f>9738.91 - (9738.91 * $E$1)</f>
        <v>9738.91</v>
      </c>
      <c r="L4234" s="16">
        <f>7982.71 - (7982.71 * $E$1)</f>
        <v>7982.71</v>
      </c>
      <c r="M4234" s="1">
        <v>9738.91</v>
      </c>
      <c r="N4234" s="1">
        <v>7982.71</v>
      </c>
      <c r="O4234" s="1">
        <v>8278.07</v>
      </c>
      <c r="P4234" s="1">
        <v>6785.3</v>
      </c>
      <c r="Q4234">
        <v>2.2999999999999998</v>
      </c>
      <c r="R4234">
        <v>2.4E-2</v>
      </c>
    </row>
    <row r="4235" spans="1:18" ht="13.8" outlineLevel="2" x14ac:dyDescent="0.25">
      <c r="A4235">
        <v>102648</v>
      </c>
      <c r="B4235" t="s">
        <v>6021</v>
      </c>
      <c r="C4235" t="s">
        <v>6026</v>
      </c>
      <c r="D4235" s="14" t="s">
        <v>6027</v>
      </c>
      <c r="E4235" s="12" t="s">
        <v>28</v>
      </c>
      <c r="F4235" s="17" t="s">
        <v>549</v>
      </c>
      <c r="G4235">
        <v>1</v>
      </c>
      <c r="H4235" t="s">
        <v>30</v>
      </c>
      <c r="I4235">
        <v>1</v>
      </c>
      <c r="J4235" s="15"/>
      <c r="K4235" s="16">
        <f>12159.54 - (12159.54 * $E$1)</f>
        <v>12159.54</v>
      </c>
      <c r="L4235" s="16">
        <f>9966.84 - (9966.84 * $E$1)</f>
        <v>9966.84</v>
      </c>
      <c r="M4235" s="1">
        <v>12159.54</v>
      </c>
      <c r="N4235" s="1">
        <v>9966.84</v>
      </c>
      <c r="O4235" s="1">
        <v>10335.61</v>
      </c>
      <c r="P4235" s="1">
        <v>8471.81</v>
      </c>
      <c r="Q4235">
        <v>2.6</v>
      </c>
      <c r="R4235">
        <v>2.4E-2</v>
      </c>
    </row>
    <row r="4236" spans="1:18" ht="13.8" outlineLevel="2" x14ac:dyDescent="0.25">
      <c r="A4236">
        <v>102653</v>
      </c>
      <c r="B4236" t="s">
        <v>6021</v>
      </c>
      <c r="C4236" t="s">
        <v>6028</v>
      </c>
      <c r="D4236" s="14" t="s">
        <v>6029</v>
      </c>
      <c r="E4236" s="12" t="s">
        <v>28</v>
      </c>
      <c r="F4236" s="13" t="s">
        <v>29</v>
      </c>
      <c r="G4236">
        <v>1</v>
      </c>
      <c r="H4236" t="s">
        <v>30</v>
      </c>
      <c r="I4236">
        <v>1</v>
      </c>
      <c r="J4236" s="15"/>
      <c r="K4236" s="16">
        <f>14202.92 - (14202.92 * $E$1)</f>
        <v>14202.92</v>
      </c>
      <c r="L4236" s="16">
        <f>11641.74 - (11641.74 * $E$1)</f>
        <v>11641.74</v>
      </c>
      <c r="M4236" s="1">
        <v>14202.92</v>
      </c>
      <c r="N4236" s="1">
        <v>11641.74</v>
      </c>
      <c r="O4236" s="1">
        <v>12072.48</v>
      </c>
      <c r="P4236" s="1">
        <v>9895.48</v>
      </c>
      <c r="Q4236">
        <v>3.1</v>
      </c>
      <c r="R4236">
        <v>2.6690999999999999E-2</v>
      </c>
    </row>
    <row r="4237" spans="1:18" ht="13.8" outlineLevel="2" x14ac:dyDescent="0.25">
      <c r="A4237">
        <v>83140</v>
      </c>
      <c r="B4237" t="s">
        <v>6030</v>
      </c>
      <c r="C4237" t="s">
        <v>6031</v>
      </c>
      <c r="D4237" s="14" t="s">
        <v>6032</v>
      </c>
      <c r="E4237" s="12" t="s">
        <v>28</v>
      </c>
      <c r="F4237" s="13" t="s">
        <v>29</v>
      </c>
      <c r="G4237">
        <v>1</v>
      </c>
      <c r="H4237" t="s">
        <v>30</v>
      </c>
      <c r="I4237">
        <v>1</v>
      </c>
      <c r="J4237" s="15"/>
      <c r="K4237" s="16">
        <f>966.94 - (966.94 * $E$1)</f>
        <v>966.94</v>
      </c>
      <c r="L4237" s="16">
        <f>792.57 - (792.57 * $E$1)</f>
        <v>792.57</v>
      </c>
      <c r="M4237" s="1">
        <v>966.94</v>
      </c>
      <c r="N4237" s="1">
        <v>792.57</v>
      </c>
      <c r="O4237" s="1">
        <v>821.9</v>
      </c>
      <c r="P4237" s="1">
        <v>673.68</v>
      </c>
      <c r="Q4237">
        <v>0.14000000000000001</v>
      </c>
      <c r="R4237">
        <v>3.2000000000000003E-4</v>
      </c>
    </row>
    <row r="4238" spans="1:18" ht="13.8" outlineLevel="2" x14ac:dyDescent="0.25">
      <c r="A4238">
        <v>78431</v>
      </c>
      <c r="B4238" t="s">
        <v>6033</v>
      </c>
      <c r="C4238" t="s">
        <v>6034</v>
      </c>
      <c r="D4238" s="14" t="s">
        <v>6035</v>
      </c>
      <c r="E4238" s="12" t="s">
        <v>28</v>
      </c>
      <c r="F4238" s="17" t="s">
        <v>549</v>
      </c>
      <c r="G4238">
        <v>1</v>
      </c>
      <c r="H4238" t="s">
        <v>30</v>
      </c>
      <c r="I4238">
        <v>1</v>
      </c>
      <c r="J4238" s="15"/>
      <c r="K4238" s="16">
        <f>1544.62 - (1544.62 * $E$1)</f>
        <v>1544.62</v>
      </c>
      <c r="L4238" s="16">
        <f>1266.08 - (1266.08 * $E$1)</f>
        <v>1266.08</v>
      </c>
      <c r="M4238" s="1">
        <v>1544.62</v>
      </c>
      <c r="N4238" s="1">
        <v>1266.08</v>
      </c>
      <c r="O4238" s="1">
        <v>1312.92</v>
      </c>
      <c r="P4238" s="1">
        <v>1076.17</v>
      </c>
      <c r="Q4238">
        <v>0.29599999999999999</v>
      </c>
      <c r="R4238">
        <v>1.56E-3</v>
      </c>
    </row>
    <row r="4239" spans="1:18" ht="13.8" outlineLevel="2" x14ac:dyDescent="0.25">
      <c r="A4239">
        <v>78429</v>
      </c>
      <c r="B4239" t="s">
        <v>6036</v>
      </c>
      <c r="C4239" t="s">
        <v>6037</v>
      </c>
      <c r="D4239" s="14" t="s">
        <v>6038</v>
      </c>
      <c r="E4239" s="12" t="s">
        <v>28</v>
      </c>
      <c r="F4239" s="13" t="s">
        <v>29</v>
      </c>
      <c r="G4239">
        <v>1</v>
      </c>
      <c r="H4239" t="s">
        <v>30</v>
      </c>
      <c r="I4239">
        <v>1</v>
      </c>
      <c r="J4239" s="15"/>
      <c r="K4239" s="16">
        <f>4592.52 - (4592.52 * $E$1)</f>
        <v>4592.5200000000004</v>
      </c>
      <c r="L4239" s="16">
        <f>3764.36 - (3764.36 * $E$1)</f>
        <v>3764.36</v>
      </c>
      <c r="M4239" s="1">
        <v>4592.5200000000004</v>
      </c>
      <c r="N4239" s="1">
        <v>3764.36</v>
      </c>
      <c r="O4239" s="1">
        <v>3903.64</v>
      </c>
      <c r="P4239" s="1">
        <v>3199.71</v>
      </c>
      <c r="Q4239">
        <v>0.76</v>
      </c>
      <c r="R4239">
        <v>9.7199999999999995E-3</v>
      </c>
    </row>
    <row r="4240" spans="1:18" ht="13.8" outlineLevel="2" x14ac:dyDescent="0.25">
      <c r="A4240">
        <v>78428</v>
      </c>
      <c r="B4240" t="s">
        <v>6036</v>
      </c>
      <c r="C4240" t="s">
        <v>6039</v>
      </c>
      <c r="D4240" s="14" t="s">
        <v>6040</v>
      </c>
      <c r="E4240" s="12" t="s">
        <v>28</v>
      </c>
      <c r="F4240" s="13" t="s">
        <v>29</v>
      </c>
      <c r="G4240">
        <v>1</v>
      </c>
      <c r="H4240" t="s">
        <v>30</v>
      </c>
      <c r="I4240">
        <v>1</v>
      </c>
      <c r="J4240" s="15"/>
      <c r="K4240" s="16">
        <f>4968.02 - (4968.02 * $E$1)</f>
        <v>4968.0200000000004</v>
      </c>
      <c r="L4240" s="16">
        <f>4072.15 - (4072.15 * $E$1)</f>
        <v>4072.15</v>
      </c>
      <c r="M4240" s="1">
        <v>4968.0200000000004</v>
      </c>
      <c r="N4240" s="1">
        <v>4072.15</v>
      </c>
      <c r="O4240" s="1">
        <v>4222.82</v>
      </c>
      <c r="P4240" s="1">
        <v>3461.33</v>
      </c>
      <c r="Q4240">
        <v>0.78</v>
      </c>
      <c r="R4240">
        <v>9.3600000000000003E-3</v>
      </c>
    </row>
    <row r="4241" spans="1:18" ht="13.8" outlineLevel="2" x14ac:dyDescent="0.25">
      <c r="A4241">
        <v>78430</v>
      </c>
      <c r="B4241" t="s">
        <v>6036</v>
      </c>
      <c r="C4241" t="s">
        <v>6041</v>
      </c>
      <c r="D4241" s="14" t="s">
        <v>6042</v>
      </c>
      <c r="E4241" s="12" t="s">
        <v>28</v>
      </c>
      <c r="F4241" s="13" t="s">
        <v>29</v>
      </c>
      <c r="G4241">
        <v>1</v>
      </c>
      <c r="H4241" t="s">
        <v>30</v>
      </c>
      <c r="I4241">
        <v>1</v>
      </c>
      <c r="J4241" s="15"/>
      <c r="K4241" s="16">
        <f>3309.32 - (3309.32 * $E$1)</f>
        <v>3309.32</v>
      </c>
      <c r="L4241" s="16">
        <f>2712.56 - (2712.56 * $E$1)</f>
        <v>2712.56</v>
      </c>
      <c r="M4241" s="1">
        <v>3309.32</v>
      </c>
      <c r="N4241" s="1">
        <v>2712.56</v>
      </c>
      <c r="O4241" s="1">
        <v>2812.92</v>
      </c>
      <c r="P4241" s="1">
        <v>2305.6799999999998</v>
      </c>
      <c r="Q4241">
        <v>0.67</v>
      </c>
      <c r="R4241">
        <v>8.9099999999999995E-3</v>
      </c>
    </row>
    <row r="4242" spans="1:18" ht="13.8" outlineLevel="2" x14ac:dyDescent="0.25">
      <c r="A4242">
        <v>78427</v>
      </c>
      <c r="B4242" t="s">
        <v>6043</v>
      </c>
      <c r="C4242" t="s">
        <v>6044</v>
      </c>
      <c r="D4242" s="14" t="s">
        <v>6045</v>
      </c>
      <c r="E4242" s="12" t="s">
        <v>28</v>
      </c>
      <c r="F4242" s="17" t="s">
        <v>549</v>
      </c>
      <c r="G4242">
        <v>1</v>
      </c>
      <c r="H4242" t="s">
        <v>30</v>
      </c>
      <c r="I4242">
        <v>1</v>
      </c>
      <c r="J4242" s="15"/>
      <c r="K4242" s="16">
        <f>7976.02 - (7976.02 * $E$1)</f>
        <v>7976.02</v>
      </c>
      <c r="L4242" s="16">
        <f>6537.72 - (6537.72 * $E$1)</f>
        <v>6537.72</v>
      </c>
      <c r="M4242" s="1">
        <v>7976.02</v>
      </c>
      <c r="N4242" s="1">
        <v>6537.72</v>
      </c>
      <c r="O4242" s="1">
        <v>6779.62</v>
      </c>
      <c r="P4242" s="1">
        <v>5557.06</v>
      </c>
      <c r="Q4242">
        <v>1.47</v>
      </c>
      <c r="R4242">
        <v>1.8414E-2</v>
      </c>
    </row>
    <row r="4243" spans="1:18" ht="16.5" customHeight="1" outlineLevel="1" x14ac:dyDescent="0.35">
      <c r="A4243" s="9"/>
      <c r="B4243" s="10" t="s">
        <v>6046</v>
      </c>
      <c r="C4243" s="10"/>
      <c r="D4243" s="10"/>
      <c r="E4243" s="10"/>
      <c r="F4243" s="10"/>
      <c r="G4243" s="10"/>
      <c r="H4243" s="10"/>
      <c r="I4243" s="10"/>
      <c r="J4243" s="10"/>
      <c r="K4243" s="10"/>
      <c r="L4243" s="10"/>
      <c r="M4243" s="10"/>
      <c r="N4243" s="10"/>
      <c r="O4243" s="10"/>
      <c r="P4243" s="10"/>
      <c r="Q4243" s="10"/>
      <c r="R4243" s="11"/>
    </row>
    <row r="4244" spans="1:18" ht="13.8" outlineLevel="2" x14ac:dyDescent="0.25">
      <c r="A4244">
        <v>76805</v>
      </c>
      <c r="B4244" t="s">
        <v>6047</v>
      </c>
      <c r="C4244" t="s">
        <v>6048</v>
      </c>
      <c r="D4244" s="14" t="s">
        <v>6049</v>
      </c>
      <c r="E4244" s="12" t="s">
        <v>28</v>
      </c>
      <c r="F4244" s="13" t="s">
        <v>29</v>
      </c>
      <c r="G4244">
        <v>1</v>
      </c>
      <c r="H4244" t="s">
        <v>30</v>
      </c>
      <c r="I4244">
        <v>1</v>
      </c>
      <c r="J4244" s="15"/>
      <c r="K4244" s="16">
        <f>IF($E$1&gt;=$Q$1%,5545.35-(5545.35*$Q$1%),5545.35-(5545.35*$E$1))</f>
        <v>5545.35</v>
      </c>
      <c r="L4244" s="16">
        <f>IF($E$1&gt;=$Q$1%,4545.37-(4545.37*$Q$1%),4545.37-(4545.37*$E$1))</f>
        <v>4545.37</v>
      </c>
      <c r="M4244" s="1">
        <v>5545.35</v>
      </c>
      <c r="N4244" s="1">
        <v>4545.37</v>
      </c>
      <c r="O4244" s="1">
        <v>5545.35</v>
      </c>
      <c r="P4244" s="1">
        <v>4545.37</v>
      </c>
      <c r="Q4244">
        <v>2</v>
      </c>
      <c r="R4244">
        <v>1.5348000000000001E-2</v>
      </c>
    </row>
    <row r="4245" spans="1:18" ht="13.8" outlineLevel="2" x14ac:dyDescent="0.25">
      <c r="A4245">
        <v>79346</v>
      </c>
      <c r="B4245" t="s">
        <v>6047</v>
      </c>
      <c r="C4245" t="s">
        <v>6050</v>
      </c>
      <c r="D4245" s="14" t="s">
        <v>6051</v>
      </c>
      <c r="E4245" s="12" t="s">
        <v>28</v>
      </c>
      <c r="F4245" s="13" t="s">
        <v>29</v>
      </c>
      <c r="G4245">
        <v>1</v>
      </c>
      <c r="H4245" t="s">
        <v>30</v>
      </c>
      <c r="I4245">
        <v>1</v>
      </c>
      <c r="J4245" s="15"/>
      <c r="K4245" s="16">
        <f>IF($E$1&gt;=$Q$1%,2278.66-(2278.66*$Q$1%),2278.66-(2278.66*$E$1))</f>
        <v>2278.66</v>
      </c>
      <c r="L4245" s="16">
        <f>IF($E$1&gt;=$Q$1%,1867.75-(1867.75*$Q$1%),1867.75-(1867.75*$E$1))</f>
        <v>1867.75</v>
      </c>
      <c r="M4245" s="1">
        <v>2278.66</v>
      </c>
      <c r="N4245" s="1">
        <v>1867.75</v>
      </c>
      <c r="O4245" s="1">
        <v>2278.66</v>
      </c>
      <c r="P4245" s="1">
        <v>1867.75</v>
      </c>
      <c r="Q4245">
        <v>1.3</v>
      </c>
      <c r="R4245">
        <v>6.8399999999999997E-3</v>
      </c>
    </row>
    <row r="4246" spans="1:18" ht="13.8" outlineLevel="2" x14ac:dyDescent="0.25">
      <c r="A4246">
        <v>79348</v>
      </c>
      <c r="B4246" t="s">
        <v>6047</v>
      </c>
      <c r="C4246" t="s">
        <v>6052</v>
      </c>
      <c r="D4246" s="14" t="s">
        <v>6053</v>
      </c>
      <c r="E4246" s="12" t="s">
        <v>28</v>
      </c>
      <c r="F4246" s="13" t="s">
        <v>29</v>
      </c>
      <c r="G4246">
        <v>1</v>
      </c>
      <c r="H4246" t="s">
        <v>30</v>
      </c>
      <c r="I4246">
        <v>1</v>
      </c>
      <c r="J4246" s="15"/>
      <c r="K4246" s="16">
        <f>IF($E$1&gt;=$Q$1%,1187.78-(1187.78*$Q$1%),1187.78-(1187.78*$E$1))</f>
        <v>1187.78</v>
      </c>
      <c r="L4246" s="16">
        <f>IF($E$1&gt;=$Q$1%,973.59-(973.59*$Q$1%),973.59-(973.59*$E$1))</f>
        <v>973.59</v>
      </c>
      <c r="M4246" s="1">
        <v>1187.78</v>
      </c>
      <c r="N4246" s="1">
        <v>973.59</v>
      </c>
      <c r="O4246" s="1">
        <v>1187.78</v>
      </c>
      <c r="P4246" s="1">
        <v>973.59</v>
      </c>
      <c r="Q4246">
        <v>0.7</v>
      </c>
      <c r="R4246">
        <v>7.5599999999999999E-3</v>
      </c>
    </row>
    <row r="4247" spans="1:18" ht="13.8" outlineLevel="2" x14ac:dyDescent="0.25">
      <c r="A4247">
        <v>81441</v>
      </c>
      <c r="B4247" t="s">
        <v>6047</v>
      </c>
      <c r="C4247" t="s">
        <v>6054</v>
      </c>
      <c r="D4247" s="14" t="s">
        <v>6055</v>
      </c>
      <c r="E4247" s="12" t="s">
        <v>28</v>
      </c>
      <c r="F4247" s="13" t="s">
        <v>29</v>
      </c>
      <c r="G4247">
        <v>1</v>
      </c>
      <c r="H4247" t="s">
        <v>30</v>
      </c>
      <c r="I4247">
        <v>1</v>
      </c>
      <c r="J4247" s="15"/>
      <c r="K4247" s="16">
        <f>IF($E$1&gt;=$Q$1%,393.71-(393.71*$Q$1%),393.71-(393.71*$E$1))</f>
        <v>393.71</v>
      </c>
      <c r="L4247" s="16">
        <f>IF($E$1&gt;=$Q$1%,322.71-(322.71*$Q$1%),322.71-(322.71*$E$1))</f>
        <v>322.70999999999998</v>
      </c>
      <c r="M4247" s="1">
        <v>393.71</v>
      </c>
      <c r="N4247" s="1">
        <v>322.70999999999998</v>
      </c>
      <c r="O4247" s="1">
        <v>393.71</v>
      </c>
      <c r="P4247" s="1">
        <v>322.70999999999998</v>
      </c>
      <c r="Q4247">
        <v>0.26400000000000001</v>
      </c>
      <c r="R4247">
        <v>2.2079999999999999E-3</v>
      </c>
    </row>
    <row r="4248" spans="1:18" ht="13.8" outlineLevel="2" x14ac:dyDescent="0.25">
      <c r="A4248">
        <v>81443</v>
      </c>
      <c r="B4248" t="s">
        <v>6047</v>
      </c>
      <c r="C4248" t="s">
        <v>6056</v>
      </c>
      <c r="D4248" s="14" t="s">
        <v>6057</v>
      </c>
      <c r="E4248" s="12" t="s">
        <v>28</v>
      </c>
      <c r="F4248" s="13" t="s">
        <v>29</v>
      </c>
      <c r="G4248">
        <v>1</v>
      </c>
      <c r="H4248" t="s">
        <v>30</v>
      </c>
      <c r="I4248">
        <v>1</v>
      </c>
      <c r="J4248" s="15"/>
      <c r="K4248" s="16">
        <f>IF($E$1&gt;=$Q$1%,735.39-(735.39*$Q$1%),735.39-(735.39*$E$1))</f>
        <v>735.39</v>
      </c>
      <c r="L4248" s="16">
        <f>IF($E$1&gt;=$Q$1%,602.78-(602.78*$Q$1%),602.78-(602.78*$E$1))</f>
        <v>602.78</v>
      </c>
      <c r="M4248" s="1">
        <v>735.39</v>
      </c>
      <c r="N4248" s="1">
        <v>602.78</v>
      </c>
      <c r="O4248" s="1">
        <v>735.39</v>
      </c>
      <c r="P4248" s="1">
        <v>602.78</v>
      </c>
      <c r="Q4248">
        <v>0.47599999999999998</v>
      </c>
      <c r="R4248">
        <v>4.0020000000000003E-3</v>
      </c>
    </row>
    <row r="4249" spans="1:18" ht="13.8" outlineLevel="2" x14ac:dyDescent="0.25">
      <c r="A4249">
        <v>81439</v>
      </c>
      <c r="B4249" t="s">
        <v>6058</v>
      </c>
      <c r="C4249" t="s">
        <v>6059</v>
      </c>
      <c r="D4249" s="14" t="s">
        <v>6060</v>
      </c>
      <c r="E4249" s="12" t="s">
        <v>28</v>
      </c>
      <c r="F4249" s="13" t="s">
        <v>29</v>
      </c>
      <c r="G4249">
        <v>1</v>
      </c>
      <c r="H4249" t="s">
        <v>30</v>
      </c>
      <c r="I4249">
        <v>1</v>
      </c>
      <c r="J4249" s="15"/>
      <c r="K4249" s="16">
        <f>IF($E$1&gt;=$Q$1%,1360.28-(1360.28*$Q$1%),1360.28-(1360.28*$E$1))</f>
        <v>1360.28</v>
      </c>
      <c r="L4249" s="16">
        <f>IF($E$1&gt;=$Q$1%,1114.98-(1114.98*$Q$1%),1114.98-(1114.98*$E$1))</f>
        <v>1114.98</v>
      </c>
      <c r="M4249" s="1">
        <v>1360.28</v>
      </c>
      <c r="N4249" s="1">
        <v>1114.98</v>
      </c>
      <c r="O4249" s="1">
        <v>1360.28</v>
      </c>
      <c r="P4249" s="1">
        <v>1114.98</v>
      </c>
      <c r="Q4249">
        <v>0.95</v>
      </c>
      <c r="R4249">
        <v>7.7759999999999999E-3</v>
      </c>
    </row>
    <row r="4250" spans="1:18" ht="16.5" customHeight="1" outlineLevel="1" x14ac:dyDescent="0.35">
      <c r="A4250" s="9"/>
      <c r="B4250" s="10" t="s">
        <v>6061</v>
      </c>
      <c r="C4250" s="10"/>
      <c r="D4250" s="10"/>
      <c r="E4250" s="10"/>
      <c r="F4250" s="10"/>
      <c r="G4250" s="10"/>
      <c r="H4250" s="10"/>
      <c r="I4250" s="10"/>
      <c r="J4250" s="10"/>
      <c r="K4250" s="10"/>
      <c r="L4250" s="10"/>
      <c r="M4250" s="10"/>
      <c r="N4250" s="10"/>
      <c r="O4250" s="10"/>
      <c r="P4250" s="10"/>
      <c r="Q4250" s="10"/>
      <c r="R4250" s="11"/>
    </row>
    <row r="4251" spans="1:18" ht="13.8" outlineLevel="2" x14ac:dyDescent="0.25">
      <c r="A4251">
        <v>75380</v>
      </c>
      <c r="B4251" t="s">
        <v>6062</v>
      </c>
      <c r="C4251" t="s">
        <v>6063</v>
      </c>
      <c r="D4251" s="14" t="s">
        <v>6064</v>
      </c>
      <c r="E4251" s="12" t="s">
        <v>28</v>
      </c>
      <c r="F4251" s="13" t="s">
        <v>29</v>
      </c>
      <c r="G4251">
        <v>1</v>
      </c>
      <c r="H4251" t="s">
        <v>6065</v>
      </c>
      <c r="I4251">
        <v>1</v>
      </c>
      <c r="J4251" s="15"/>
      <c r="K4251" s="16">
        <f>599.5 - (599.5 * $E$1)</f>
        <v>599.5</v>
      </c>
      <c r="L4251" s="16">
        <f>491.39 - (491.39 * $E$1)</f>
        <v>491.39</v>
      </c>
      <c r="M4251" s="1">
        <v>599.5</v>
      </c>
      <c r="N4251" s="1">
        <v>491.39</v>
      </c>
      <c r="O4251" s="1">
        <v>509.57</v>
      </c>
      <c r="P4251" s="1">
        <v>417.68</v>
      </c>
      <c r="Q4251">
        <v>0.06</v>
      </c>
      <c r="R4251">
        <v>5.7200000000000003E-4</v>
      </c>
    </row>
    <row r="4252" spans="1:18" ht="13.8" outlineLevel="2" x14ac:dyDescent="0.25">
      <c r="A4252">
        <v>75385</v>
      </c>
      <c r="B4252" t="s">
        <v>6062</v>
      </c>
      <c r="C4252" t="s">
        <v>6066</v>
      </c>
      <c r="D4252" s="14" t="s">
        <v>6064</v>
      </c>
      <c r="E4252" s="12" t="s">
        <v>28</v>
      </c>
      <c r="F4252" s="13" t="s">
        <v>29</v>
      </c>
      <c r="G4252">
        <v>1</v>
      </c>
      <c r="H4252" t="s">
        <v>6065</v>
      </c>
      <c r="I4252">
        <v>1</v>
      </c>
      <c r="J4252" s="15"/>
      <c r="K4252" s="16">
        <f>599.5 - (599.5 * $E$1)</f>
        <v>599.5</v>
      </c>
      <c r="L4252" s="16">
        <f>491.39 - (491.39 * $E$1)</f>
        <v>491.39</v>
      </c>
      <c r="M4252" s="1">
        <v>599.5</v>
      </c>
      <c r="N4252" s="1">
        <v>491.39</v>
      </c>
      <c r="O4252" s="1">
        <v>509.57</v>
      </c>
      <c r="P4252" s="1">
        <v>417.68</v>
      </c>
      <c r="Q4252">
        <v>0.08</v>
      </c>
      <c r="R4252">
        <v>5.7200000000000003E-4</v>
      </c>
    </row>
    <row r="4253" spans="1:18" ht="13.8" outlineLevel="2" x14ac:dyDescent="0.25">
      <c r="A4253">
        <v>75381</v>
      </c>
      <c r="B4253" t="s">
        <v>6062</v>
      </c>
      <c r="C4253" t="s">
        <v>6067</v>
      </c>
      <c r="D4253" s="14" t="s">
        <v>6068</v>
      </c>
      <c r="E4253" s="12" t="s">
        <v>28</v>
      </c>
      <c r="F4253" s="13" t="s">
        <v>29</v>
      </c>
      <c r="G4253">
        <v>1</v>
      </c>
      <c r="H4253" t="s">
        <v>6065</v>
      </c>
      <c r="I4253">
        <v>1</v>
      </c>
      <c r="J4253" s="15"/>
      <c r="K4253" s="16">
        <f>1150.79 - (1150.79 * $E$1)</f>
        <v>1150.79</v>
      </c>
      <c r="L4253" s="16">
        <f>943.27 - (943.27 * $E$1)</f>
        <v>943.27</v>
      </c>
      <c r="M4253" s="1">
        <v>1150.79</v>
      </c>
      <c r="N4253" s="1">
        <v>943.27</v>
      </c>
      <c r="O4253" s="1">
        <v>978.17</v>
      </c>
      <c r="P4253" s="1">
        <v>801.78</v>
      </c>
      <c r="Q4253">
        <v>0.09</v>
      </c>
      <c r="R4253">
        <v>6.2399999999999999E-4</v>
      </c>
    </row>
    <row r="4254" spans="1:18" ht="13.8" outlineLevel="2" x14ac:dyDescent="0.25">
      <c r="A4254">
        <v>75386</v>
      </c>
      <c r="B4254" t="s">
        <v>6062</v>
      </c>
      <c r="C4254" t="s">
        <v>6069</v>
      </c>
      <c r="D4254" s="14" t="s">
        <v>6068</v>
      </c>
      <c r="E4254" s="12" t="s">
        <v>28</v>
      </c>
      <c r="F4254" s="13" t="s">
        <v>29</v>
      </c>
      <c r="G4254">
        <v>1</v>
      </c>
      <c r="H4254" t="s">
        <v>6065</v>
      </c>
      <c r="I4254">
        <v>1</v>
      </c>
      <c r="J4254" s="15"/>
      <c r="K4254" s="16">
        <f>1150.79 - (1150.79 * $E$1)</f>
        <v>1150.79</v>
      </c>
      <c r="L4254" s="16">
        <f>943.27 - (943.27 * $E$1)</f>
        <v>943.27</v>
      </c>
      <c r="M4254" s="1">
        <v>1150.79</v>
      </c>
      <c r="N4254" s="1">
        <v>943.27</v>
      </c>
      <c r="O4254" s="1">
        <v>978.17</v>
      </c>
      <c r="P4254" s="1">
        <v>801.78</v>
      </c>
      <c r="Q4254">
        <v>0.1</v>
      </c>
      <c r="R4254">
        <v>6.4800000000000003E-4</v>
      </c>
    </row>
    <row r="4255" spans="1:18" ht="13.8" outlineLevel="2" x14ac:dyDescent="0.25">
      <c r="A4255">
        <v>75382</v>
      </c>
      <c r="B4255" t="s">
        <v>6062</v>
      </c>
      <c r="C4255" t="s">
        <v>6070</v>
      </c>
      <c r="D4255" s="14" t="s">
        <v>6071</v>
      </c>
      <c r="E4255" s="12" t="s">
        <v>28</v>
      </c>
      <c r="F4255" s="13" t="s">
        <v>29</v>
      </c>
      <c r="G4255">
        <v>1</v>
      </c>
      <c r="H4255" t="s">
        <v>6065</v>
      </c>
      <c r="I4255">
        <v>1</v>
      </c>
      <c r="J4255" s="15"/>
      <c r="K4255" s="16">
        <f>648.67 - (648.67 * $E$1)</f>
        <v>648.66999999999996</v>
      </c>
      <c r="L4255" s="16">
        <f>531.7 - (531.7 * $E$1)</f>
        <v>531.70000000000005</v>
      </c>
      <c r="M4255" s="1">
        <v>648.66999999999996</v>
      </c>
      <c r="N4255" s="1">
        <v>531.70000000000005</v>
      </c>
      <c r="O4255" s="1">
        <v>551.37</v>
      </c>
      <c r="P4255" s="1">
        <v>451.95</v>
      </c>
      <c r="Q4255">
        <v>0.1</v>
      </c>
      <c r="R4255">
        <v>6.4800000000000003E-4</v>
      </c>
    </row>
    <row r="4256" spans="1:18" ht="13.8" outlineLevel="2" x14ac:dyDescent="0.25">
      <c r="A4256">
        <v>79763</v>
      </c>
      <c r="B4256" t="s">
        <v>6062</v>
      </c>
      <c r="C4256" t="s">
        <v>6072</v>
      </c>
      <c r="D4256" s="14" t="s">
        <v>6073</v>
      </c>
      <c r="E4256" s="12" t="s">
        <v>28</v>
      </c>
      <c r="F4256" s="13" t="s">
        <v>29</v>
      </c>
      <c r="G4256">
        <v>1</v>
      </c>
      <c r="H4256" t="s">
        <v>6065</v>
      </c>
      <c r="I4256">
        <v>1</v>
      </c>
      <c r="J4256" s="15"/>
      <c r="K4256" s="16">
        <f>1070.95 - (1070.95 * $E$1)</f>
        <v>1070.95</v>
      </c>
      <c r="L4256" s="16">
        <f>877.83 - (877.83 * $E$1)</f>
        <v>877.83</v>
      </c>
      <c r="M4256" s="1">
        <v>1070.95</v>
      </c>
      <c r="N4256" s="1">
        <v>877.83</v>
      </c>
      <c r="O4256" s="1">
        <v>910.31</v>
      </c>
      <c r="P4256" s="1">
        <v>746.16</v>
      </c>
      <c r="Q4256">
        <v>0.10199999999999999</v>
      </c>
      <c r="R4256">
        <v>1.2960000000000001E-3</v>
      </c>
    </row>
    <row r="4257" spans="1:18" ht="13.8" outlineLevel="2" x14ac:dyDescent="0.25">
      <c r="A4257">
        <v>79767</v>
      </c>
      <c r="B4257" t="s">
        <v>6062</v>
      </c>
      <c r="C4257" t="s">
        <v>6074</v>
      </c>
      <c r="D4257" s="14" t="s">
        <v>6075</v>
      </c>
      <c r="E4257" s="12" t="s">
        <v>28</v>
      </c>
      <c r="F4257" s="17" t="s">
        <v>549</v>
      </c>
      <c r="G4257">
        <v>1</v>
      </c>
      <c r="H4257" t="s">
        <v>6065</v>
      </c>
      <c r="I4257">
        <v>1</v>
      </c>
      <c r="J4257" s="15"/>
      <c r="K4257" s="16">
        <f>2427.57 - (2427.57 * $E$1)</f>
        <v>2427.5700000000002</v>
      </c>
      <c r="L4257" s="16">
        <f>1989.81 - (1989.81 * $E$1)</f>
        <v>1989.81</v>
      </c>
      <c r="M4257" s="1">
        <v>2427.5700000000002</v>
      </c>
      <c r="N4257" s="1">
        <v>1989.81</v>
      </c>
      <c r="O4257" s="1">
        <v>2063.4299999999998</v>
      </c>
      <c r="P4257" s="1">
        <v>1691.34</v>
      </c>
      <c r="Q4257">
        <v>0.108</v>
      </c>
      <c r="R4257">
        <v>8.9999999999999998E-4</v>
      </c>
    </row>
    <row r="4258" spans="1:18" ht="13.8" outlineLevel="2" x14ac:dyDescent="0.25">
      <c r="A4258">
        <v>78426</v>
      </c>
      <c r="B4258" t="s">
        <v>6076</v>
      </c>
      <c r="C4258" t="s">
        <v>6077</v>
      </c>
      <c r="D4258" s="14" t="s">
        <v>6078</v>
      </c>
      <c r="E4258" s="12" t="s">
        <v>28</v>
      </c>
      <c r="F4258" s="13" t="s">
        <v>29</v>
      </c>
      <c r="G4258">
        <v>1</v>
      </c>
      <c r="H4258" t="s">
        <v>6065</v>
      </c>
      <c r="I4258">
        <v>1</v>
      </c>
      <c r="J4258" s="15"/>
      <c r="K4258" s="16">
        <f>2057.96 - (2057.96 * $E$1)</f>
        <v>2057.96</v>
      </c>
      <c r="L4258" s="16">
        <f>1686.85 - (1686.85 * $E$1)</f>
        <v>1686.85</v>
      </c>
      <c r="M4258" s="1">
        <v>2057.96</v>
      </c>
      <c r="N4258" s="1">
        <v>1686.85</v>
      </c>
      <c r="O4258" s="1">
        <v>1749.26</v>
      </c>
      <c r="P4258" s="1">
        <v>1433.82</v>
      </c>
      <c r="Q4258">
        <v>0.52</v>
      </c>
      <c r="R4258">
        <v>4.7499999999999999E-3</v>
      </c>
    </row>
    <row r="4259" spans="1:18" ht="13.8" outlineLevel="2" x14ac:dyDescent="0.25">
      <c r="A4259">
        <v>79682</v>
      </c>
      <c r="B4259" t="s">
        <v>6079</v>
      </c>
      <c r="C4259" t="s">
        <v>6080</v>
      </c>
      <c r="D4259" s="14" t="s">
        <v>6081</v>
      </c>
      <c r="E4259" s="12" t="s">
        <v>28</v>
      </c>
      <c r="F4259" s="13" t="s">
        <v>29</v>
      </c>
      <c r="G4259">
        <v>1</v>
      </c>
      <c r="H4259" t="s">
        <v>30</v>
      </c>
      <c r="I4259">
        <v>1</v>
      </c>
      <c r="J4259" s="15"/>
      <c r="K4259" s="21" t="s">
        <v>6082</v>
      </c>
      <c r="L4259" s="21" t="s">
        <v>6083</v>
      </c>
      <c r="M4259" s="1">
        <v>418.81</v>
      </c>
      <c r="N4259" s="1">
        <v>343.29</v>
      </c>
      <c r="O4259" s="1">
        <v>355.99</v>
      </c>
      <c r="P4259" s="1">
        <v>291.8</v>
      </c>
      <c r="Q4259">
        <v>3.2000000000000001E-2</v>
      </c>
      <c r="R4259">
        <v>5.04E-4</v>
      </c>
    </row>
    <row r="4260" spans="1:18" ht="13.8" outlineLevel="2" x14ac:dyDescent="0.25">
      <c r="A4260">
        <v>79684</v>
      </c>
      <c r="B4260" t="s">
        <v>6079</v>
      </c>
      <c r="C4260" t="s">
        <v>6084</v>
      </c>
      <c r="D4260" s="14" t="s">
        <v>6085</v>
      </c>
      <c r="E4260" s="12" t="s">
        <v>28</v>
      </c>
      <c r="F4260" s="13" t="s">
        <v>29</v>
      </c>
      <c r="G4260">
        <v>1</v>
      </c>
      <c r="H4260" t="s">
        <v>30</v>
      </c>
      <c r="I4260">
        <v>1</v>
      </c>
      <c r="J4260" s="15"/>
      <c r="K4260" s="21" t="s">
        <v>6086</v>
      </c>
      <c r="L4260" s="21" t="s">
        <v>6087</v>
      </c>
      <c r="M4260" s="1">
        <v>389.97</v>
      </c>
      <c r="N4260" s="1">
        <v>319.64999999999998</v>
      </c>
      <c r="O4260" s="1">
        <v>331.48</v>
      </c>
      <c r="P4260" s="1">
        <v>271.7</v>
      </c>
      <c r="Q4260">
        <v>3.7999999999999999E-2</v>
      </c>
      <c r="R4260">
        <v>1.5E-3</v>
      </c>
    </row>
    <row r="4261" spans="1:18" ht="13.8" outlineLevel="2" x14ac:dyDescent="0.25">
      <c r="A4261">
        <v>79685</v>
      </c>
      <c r="B4261" t="s">
        <v>6079</v>
      </c>
      <c r="C4261" t="s">
        <v>6088</v>
      </c>
      <c r="D4261" s="14" t="s">
        <v>6089</v>
      </c>
      <c r="E4261" s="12" t="s">
        <v>28</v>
      </c>
      <c r="F4261" s="13" t="s">
        <v>29</v>
      </c>
      <c r="G4261">
        <v>1</v>
      </c>
      <c r="H4261" t="s">
        <v>30</v>
      </c>
      <c r="I4261">
        <v>1</v>
      </c>
      <c r="J4261" s="15"/>
      <c r="K4261" s="21" t="s">
        <v>6090</v>
      </c>
      <c r="L4261" s="21" t="s">
        <v>6091</v>
      </c>
      <c r="M4261" s="1">
        <v>739.77</v>
      </c>
      <c r="N4261" s="1">
        <v>606.37</v>
      </c>
      <c r="O4261" s="1">
        <v>628.80999999999995</v>
      </c>
      <c r="P4261" s="1">
        <v>515.41</v>
      </c>
      <c r="Q4261">
        <v>0.06</v>
      </c>
      <c r="R4261">
        <v>7.9799999999999999E-4</v>
      </c>
    </row>
    <row r="4262" spans="1:18" ht="13.8" outlineLevel="2" x14ac:dyDescent="0.25">
      <c r="A4262">
        <v>79687</v>
      </c>
      <c r="B4262" t="s">
        <v>6079</v>
      </c>
      <c r="C4262" t="s">
        <v>6092</v>
      </c>
      <c r="D4262" s="14" t="s">
        <v>6093</v>
      </c>
      <c r="E4262" s="12" t="s">
        <v>28</v>
      </c>
      <c r="F4262" s="13" t="s">
        <v>29</v>
      </c>
      <c r="G4262">
        <v>1</v>
      </c>
      <c r="H4262" t="s">
        <v>30</v>
      </c>
      <c r="I4262">
        <v>1</v>
      </c>
      <c r="J4262" s="15"/>
      <c r="K4262" s="21" t="s">
        <v>6094</v>
      </c>
      <c r="L4262" s="21" t="s">
        <v>6095</v>
      </c>
      <c r="M4262" s="1">
        <v>539.79</v>
      </c>
      <c r="N4262" s="1">
        <v>442.45</v>
      </c>
      <c r="O4262" s="1">
        <v>458.82</v>
      </c>
      <c r="P4262" s="1">
        <v>376.08</v>
      </c>
      <c r="Q4262">
        <v>4.2000000000000003E-2</v>
      </c>
      <c r="R4262">
        <v>1.5E-3</v>
      </c>
    </row>
    <row r="4263" spans="1:18" ht="13.8" outlineLevel="2" x14ac:dyDescent="0.25">
      <c r="A4263">
        <v>81434</v>
      </c>
      <c r="B4263" t="s">
        <v>6096</v>
      </c>
      <c r="C4263" t="s">
        <v>6097</v>
      </c>
      <c r="D4263" s="14" t="s">
        <v>6098</v>
      </c>
      <c r="E4263" s="12" t="s">
        <v>28</v>
      </c>
      <c r="F4263" s="13" t="s">
        <v>29</v>
      </c>
      <c r="G4263">
        <v>1</v>
      </c>
      <c r="H4263" t="s">
        <v>30</v>
      </c>
      <c r="I4263">
        <v>1</v>
      </c>
      <c r="J4263" s="15"/>
      <c r="K4263" s="21" t="s">
        <v>6099</v>
      </c>
      <c r="L4263" s="21" t="s">
        <v>6100</v>
      </c>
      <c r="M4263" s="1">
        <v>665.14</v>
      </c>
      <c r="N4263" s="1">
        <v>545.20000000000005</v>
      </c>
      <c r="O4263" s="1">
        <v>565.37</v>
      </c>
      <c r="P4263" s="1">
        <v>463.42</v>
      </c>
      <c r="Q4263">
        <v>0.19</v>
      </c>
      <c r="R4263">
        <v>3.5999999999999999E-3</v>
      </c>
    </row>
    <row r="4264" spans="1:18" ht="13.8" outlineLevel="2" x14ac:dyDescent="0.25">
      <c r="A4264">
        <v>81435</v>
      </c>
      <c r="B4264" t="s">
        <v>6101</v>
      </c>
      <c r="C4264" t="s">
        <v>6102</v>
      </c>
      <c r="D4264" s="14" t="s">
        <v>6103</v>
      </c>
      <c r="E4264" s="12" t="s">
        <v>28</v>
      </c>
      <c r="F4264" s="13" t="s">
        <v>29</v>
      </c>
      <c r="G4264">
        <v>1</v>
      </c>
      <c r="H4264" t="s">
        <v>30</v>
      </c>
      <c r="I4264">
        <v>1</v>
      </c>
      <c r="J4264" s="15"/>
      <c r="K4264" s="21" t="s">
        <v>6104</v>
      </c>
      <c r="L4264" s="21" t="s">
        <v>6105</v>
      </c>
      <c r="M4264" s="1">
        <v>979.25</v>
      </c>
      <c r="N4264" s="1">
        <v>802.66</v>
      </c>
      <c r="O4264" s="1">
        <v>832.36</v>
      </c>
      <c r="P4264" s="1">
        <v>682.26</v>
      </c>
      <c r="Q4264">
        <v>0.28999999999999998</v>
      </c>
      <c r="R4264">
        <v>5.313E-3</v>
      </c>
    </row>
    <row r="4265" spans="1:18" ht="13.8" outlineLevel="2" x14ac:dyDescent="0.25">
      <c r="A4265">
        <v>81436</v>
      </c>
      <c r="B4265" t="s">
        <v>6101</v>
      </c>
      <c r="C4265" t="s">
        <v>6106</v>
      </c>
      <c r="D4265" s="14" t="s">
        <v>6107</v>
      </c>
      <c r="E4265" s="12" t="s">
        <v>28</v>
      </c>
      <c r="F4265" s="13" t="s">
        <v>29</v>
      </c>
      <c r="G4265">
        <v>1</v>
      </c>
      <c r="H4265" t="s">
        <v>30</v>
      </c>
      <c r="I4265">
        <v>1</v>
      </c>
      <c r="J4265" s="15"/>
      <c r="K4265" s="21" t="s">
        <v>6108</v>
      </c>
      <c r="L4265" s="21" t="s">
        <v>6109</v>
      </c>
      <c r="M4265" s="1">
        <v>1443.39</v>
      </c>
      <c r="N4265" s="1">
        <v>1183.1099999999999</v>
      </c>
      <c r="O4265" s="1">
        <v>1226.8900000000001</v>
      </c>
      <c r="P4265" s="1">
        <v>1005.64</v>
      </c>
      <c r="Q4265">
        <v>0.34</v>
      </c>
      <c r="R4265">
        <v>5.8190000000000004E-3</v>
      </c>
    </row>
    <row r="4266" spans="1:18" ht="16.5" customHeight="1" outlineLevel="1" x14ac:dyDescent="0.35">
      <c r="A4266" s="9"/>
      <c r="B4266" s="10" t="s">
        <v>6110</v>
      </c>
      <c r="C4266" s="10"/>
      <c r="D4266" s="10"/>
      <c r="E4266" s="10"/>
      <c r="F4266" s="10"/>
      <c r="G4266" s="10"/>
      <c r="H4266" s="10"/>
      <c r="I4266" s="10"/>
      <c r="J4266" s="10"/>
      <c r="K4266" s="10"/>
      <c r="L4266" s="10"/>
      <c r="M4266" s="10"/>
      <c r="N4266" s="10"/>
      <c r="O4266" s="10"/>
      <c r="P4266" s="10"/>
      <c r="Q4266" s="10"/>
      <c r="R4266" s="11"/>
    </row>
    <row r="4267" spans="1:18" ht="13.8" outlineLevel="2" x14ac:dyDescent="0.25">
      <c r="A4267">
        <v>63234</v>
      </c>
      <c r="B4267" t="s">
        <v>6111</v>
      </c>
      <c r="C4267" t="s">
        <v>6112</v>
      </c>
      <c r="D4267" s="14" t="s">
        <v>6113</v>
      </c>
      <c r="E4267" s="12" t="s">
        <v>28</v>
      </c>
      <c r="F4267" s="13" t="s">
        <v>29</v>
      </c>
      <c r="G4267">
        <v>1</v>
      </c>
      <c r="H4267" t="s">
        <v>30</v>
      </c>
      <c r="I4267">
        <v>1</v>
      </c>
      <c r="J4267" s="15"/>
      <c r="K4267" s="16">
        <f>IF($E$1&gt;=$Q$1%,4714.47-(4714.47*$Q$1%),4714.47-(4714.47*$E$1))</f>
        <v>4714.47</v>
      </c>
      <c r="L4267" s="16">
        <f>IF($E$1&gt;=$Q$1%,3864.32-(3864.32*$Q$1%),3864.32-(3864.32*$E$1))</f>
        <v>3864.32</v>
      </c>
      <c r="M4267" s="1">
        <v>4714.47</v>
      </c>
      <c r="N4267" s="1">
        <v>3864.32</v>
      </c>
      <c r="O4267" s="1">
        <v>4714.47</v>
      </c>
      <c r="P4267" s="1">
        <v>3864.32</v>
      </c>
      <c r="Q4267">
        <v>1.83</v>
      </c>
      <c r="R4267">
        <v>1.3860000000000001E-2</v>
      </c>
    </row>
    <row r="4268" spans="1:18" ht="13.8" outlineLevel="2" x14ac:dyDescent="0.25">
      <c r="A4268">
        <v>63229</v>
      </c>
      <c r="B4268" t="s">
        <v>6114</v>
      </c>
      <c r="C4268" t="s">
        <v>6115</v>
      </c>
      <c r="D4268" s="14" t="s">
        <v>6115</v>
      </c>
      <c r="E4268" s="12" t="s">
        <v>28</v>
      </c>
      <c r="F4268" s="13" t="s">
        <v>29</v>
      </c>
      <c r="G4268">
        <v>1</v>
      </c>
      <c r="H4268" t="s">
        <v>30</v>
      </c>
      <c r="I4268">
        <v>1</v>
      </c>
      <c r="J4268" s="15"/>
      <c r="K4268" s="16">
        <f>IF($E$1&gt;=$Q$1%,2168.81-(2168.81*$Q$1%),2168.81-(2168.81*$E$1))</f>
        <v>2168.81</v>
      </c>
      <c r="L4268" s="16">
        <f>IF($E$1&gt;=$Q$1%,1777.71-(1777.71*$Q$1%),1777.71-(1777.71*$E$1))</f>
        <v>1777.71</v>
      </c>
      <c r="M4268" s="1">
        <v>2168.81</v>
      </c>
      <c r="N4268" s="1">
        <v>1777.71</v>
      </c>
      <c r="O4268" s="1">
        <v>2168.81</v>
      </c>
      <c r="P4268" s="1">
        <v>1777.71</v>
      </c>
      <c r="Q4268">
        <v>0.71</v>
      </c>
      <c r="R4268">
        <v>5.8589999999999996E-3</v>
      </c>
    </row>
    <row r="4269" spans="1:18" ht="13.8" outlineLevel="2" x14ac:dyDescent="0.25">
      <c r="A4269">
        <v>63232</v>
      </c>
      <c r="B4269" t="s">
        <v>6116</v>
      </c>
      <c r="C4269" t="s">
        <v>6117</v>
      </c>
      <c r="D4269" s="14" t="s">
        <v>6117</v>
      </c>
      <c r="E4269" s="12" t="s">
        <v>28</v>
      </c>
      <c r="F4269" s="13" t="s">
        <v>29</v>
      </c>
      <c r="G4269">
        <v>1</v>
      </c>
      <c r="H4269" t="s">
        <v>30</v>
      </c>
      <c r="I4269">
        <v>1</v>
      </c>
      <c r="J4269" s="15"/>
      <c r="K4269" s="16">
        <f>IF($E$1&gt;=$Q$1%,1478.47-(1478.47*$Q$1%),1478.47-(1478.47*$E$1))</f>
        <v>1478.47</v>
      </c>
      <c r="L4269" s="16">
        <f>IF($E$1&gt;=$Q$1%,1211.86-(1211.86*$Q$1%),1211.86-(1211.86*$E$1))</f>
        <v>1211.8599999999999</v>
      </c>
      <c r="M4269" s="1">
        <v>1478.47</v>
      </c>
      <c r="N4269" s="1">
        <v>1211.8599999999999</v>
      </c>
      <c r="O4269" s="1">
        <v>1478.47</v>
      </c>
      <c r="P4269" s="1">
        <v>1211.8599999999999</v>
      </c>
      <c r="Q4269">
        <v>0.78</v>
      </c>
      <c r="R4269">
        <v>3.7499999999999999E-3</v>
      </c>
    </row>
    <row r="4270" spans="1:18" ht="13.8" outlineLevel="2" x14ac:dyDescent="0.25">
      <c r="A4270">
        <v>63233</v>
      </c>
      <c r="B4270" t="s">
        <v>6118</v>
      </c>
      <c r="C4270" t="s">
        <v>6119</v>
      </c>
      <c r="D4270" s="14" t="s">
        <v>6119</v>
      </c>
      <c r="E4270" s="12" t="s">
        <v>28</v>
      </c>
      <c r="F4270" s="13" t="s">
        <v>29</v>
      </c>
      <c r="G4270">
        <v>1</v>
      </c>
      <c r="H4270" t="s">
        <v>30</v>
      </c>
      <c r="I4270">
        <v>1</v>
      </c>
      <c r="J4270" s="15"/>
      <c r="K4270" s="16">
        <f>IF($E$1&gt;=$Q$1%,2030.9-(2030.9*$Q$1%),2030.9-(2030.9*$E$1))</f>
        <v>2030.9</v>
      </c>
      <c r="L4270" s="16">
        <f>IF($E$1&gt;=$Q$1%,1664.67-(1664.67*$Q$1%),1664.67-(1664.67*$E$1))</f>
        <v>1664.67</v>
      </c>
      <c r="M4270" s="1">
        <v>2030.9</v>
      </c>
      <c r="N4270" s="1">
        <v>1664.67</v>
      </c>
      <c r="O4270" s="1">
        <v>2030.9</v>
      </c>
      <c r="P4270" s="1">
        <v>1664.67</v>
      </c>
      <c r="Q4270">
        <v>0.96</v>
      </c>
      <c r="R4270">
        <v>5.1840000000000002E-3</v>
      </c>
    </row>
    <row r="4271" spans="1:18" ht="13.8" outlineLevel="2" x14ac:dyDescent="0.25">
      <c r="A4271">
        <v>63230</v>
      </c>
      <c r="B4271" t="s">
        <v>6116</v>
      </c>
      <c r="C4271" t="s">
        <v>6120</v>
      </c>
      <c r="D4271" s="14" t="s">
        <v>6120</v>
      </c>
      <c r="E4271" s="12" t="s">
        <v>28</v>
      </c>
      <c r="F4271" s="13" t="s">
        <v>29</v>
      </c>
      <c r="G4271">
        <v>1</v>
      </c>
      <c r="H4271" t="s">
        <v>30</v>
      </c>
      <c r="I4271">
        <v>1</v>
      </c>
      <c r="J4271" s="15"/>
      <c r="K4271" s="16">
        <f>IF($E$1&gt;=$Q$1%,1527.76-(1527.76*$Q$1%),1527.76-(1527.76*$E$1))</f>
        <v>1527.76</v>
      </c>
      <c r="L4271" s="16">
        <f>IF($E$1&gt;=$Q$1%,1252.26-(1252.26*$Q$1%),1252.26-(1252.26*$E$1))</f>
        <v>1252.26</v>
      </c>
      <c r="M4271" s="1">
        <v>1527.76</v>
      </c>
      <c r="N4271" s="1">
        <v>1252.26</v>
      </c>
      <c r="O4271" s="1">
        <v>1527.76</v>
      </c>
      <c r="P4271" s="1">
        <v>1252.26</v>
      </c>
      <c r="Q4271">
        <v>0.86</v>
      </c>
      <c r="R4271">
        <v>5.7749999999999998E-3</v>
      </c>
    </row>
    <row r="4272" spans="1:18" ht="13.8" outlineLevel="2" x14ac:dyDescent="0.25">
      <c r="A4272">
        <v>63231</v>
      </c>
      <c r="B4272" t="s">
        <v>6118</v>
      </c>
      <c r="C4272" t="s">
        <v>6121</v>
      </c>
      <c r="D4272" s="14" t="s">
        <v>6121</v>
      </c>
      <c r="E4272" s="12" t="s">
        <v>28</v>
      </c>
      <c r="F4272" s="13" t="s">
        <v>29</v>
      </c>
      <c r="G4272">
        <v>1</v>
      </c>
      <c r="H4272" t="s">
        <v>30</v>
      </c>
      <c r="I4272">
        <v>1</v>
      </c>
      <c r="J4272" s="15"/>
      <c r="K4272" s="16">
        <f>IF($E$1&gt;=$Q$1%,2026.86-(2026.86*$Q$1%),2026.86-(2026.86*$E$1))</f>
        <v>2026.86</v>
      </c>
      <c r="L4272" s="16">
        <f>IF($E$1&gt;=$Q$1%,1661.36-(1661.36*$Q$1%),1661.36-(1661.36*$E$1))</f>
        <v>1661.36</v>
      </c>
      <c r="M4272" s="1">
        <v>2026.86</v>
      </c>
      <c r="N4272" s="1">
        <v>1661.36</v>
      </c>
      <c r="O4272" s="1">
        <v>2026.86</v>
      </c>
      <c r="P4272" s="1">
        <v>1661.36</v>
      </c>
      <c r="Q4272">
        <v>1.08</v>
      </c>
      <c r="R4272">
        <v>5.2500000000000003E-3</v>
      </c>
    </row>
    <row r="4273" spans="1:18" ht="13.8" outlineLevel="2" x14ac:dyDescent="0.25">
      <c r="A4273">
        <v>63777</v>
      </c>
      <c r="B4273" t="s">
        <v>6122</v>
      </c>
      <c r="C4273" t="s">
        <v>6123</v>
      </c>
      <c r="D4273" s="14" t="s">
        <v>6123</v>
      </c>
      <c r="E4273" s="12" t="s">
        <v>28</v>
      </c>
      <c r="F4273" s="13" t="s">
        <v>29</v>
      </c>
      <c r="G4273">
        <v>1</v>
      </c>
      <c r="H4273" t="s">
        <v>30</v>
      </c>
      <c r="I4273">
        <v>1</v>
      </c>
      <c r="J4273" s="15"/>
      <c r="K4273" s="16">
        <f>IF($E$1&gt;=$Q$1%,2116.6-(2116.6*$Q$1%),2116.6-(2116.6*$E$1))</f>
        <v>2116.6</v>
      </c>
      <c r="L4273" s="16">
        <f>IF($E$1&gt;=$Q$1%,1734.92-(1734.92*$Q$1%),1734.92-(1734.92*$E$1))</f>
        <v>1734.92</v>
      </c>
      <c r="M4273" s="1">
        <v>2116.6</v>
      </c>
      <c r="N4273" s="1">
        <v>1734.92</v>
      </c>
      <c r="O4273" s="1">
        <v>2116.6</v>
      </c>
      <c r="P4273" s="1">
        <v>1734.92</v>
      </c>
      <c r="Q4273">
        <v>1.45</v>
      </c>
      <c r="R4273">
        <v>6.6010000000000001E-3</v>
      </c>
    </row>
    <row r="4274" spans="1:18" ht="13.8" outlineLevel="2" x14ac:dyDescent="0.25">
      <c r="A4274">
        <v>77524</v>
      </c>
      <c r="B4274" t="s">
        <v>6124</v>
      </c>
      <c r="C4274" t="s">
        <v>6125</v>
      </c>
      <c r="D4274" s="14" t="s">
        <v>6125</v>
      </c>
      <c r="E4274" s="12" t="s">
        <v>28</v>
      </c>
      <c r="F4274" s="13" t="s">
        <v>29</v>
      </c>
      <c r="G4274">
        <v>1</v>
      </c>
      <c r="H4274" t="s">
        <v>30</v>
      </c>
      <c r="I4274">
        <v>1</v>
      </c>
      <c r="J4274" s="15"/>
      <c r="K4274" s="16">
        <f>IF($E$1&gt;=$Q$1%,2458.61-(2458.61*$Q$1%),2458.61-(2458.61*$E$1))</f>
        <v>2458.61</v>
      </c>
      <c r="L4274" s="16">
        <f>IF($E$1&gt;=$Q$1%,2015.25-(2015.25*$Q$1%),2015.25-(2015.25*$E$1))</f>
        <v>2015.25</v>
      </c>
      <c r="M4274" s="1">
        <v>2458.61</v>
      </c>
      <c r="N4274" s="1">
        <v>2015.25</v>
      </c>
      <c r="O4274" s="1">
        <v>2458.61</v>
      </c>
      <c r="P4274" s="1">
        <v>2015.25</v>
      </c>
      <c r="Q4274">
        <v>1.61</v>
      </c>
      <c r="R4274">
        <v>6.6010000000000001E-3</v>
      </c>
    </row>
    <row r="4275" spans="1:18" ht="13.8" outlineLevel="2" x14ac:dyDescent="0.25">
      <c r="A4275">
        <v>60546</v>
      </c>
      <c r="B4275" t="s">
        <v>6126</v>
      </c>
      <c r="C4275" t="s">
        <v>6127</v>
      </c>
      <c r="D4275" s="14" t="s">
        <v>6128</v>
      </c>
      <c r="E4275" s="12" t="s">
        <v>28</v>
      </c>
      <c r="F4275" s="13" t="s">
        <v>29</v>
      </c>
      <c r="G4275">
        <v>1</v>
      </c>
      <c r="H4275" t="s">
        <v>6065</v>
      </c>
      <c r="I4275">
        <v>1</v>
      </c>
      <c r="J4275" s="15"/>
      <c r="K4275" s="21" t="s">
        <v>6129</v>
      </c>
      <c r="L4275" s="21" t="s">
        <v>6130</v>
      </c>
      <c r="M4275" s="1">
        <v>7986</v>
      </c>
      <c r="N4275" s="1">
        <v>6545.9</v>
      </c>
      <c r="O4275" s="1">
        <v>6788.1</v>
      </c>
      <c r="P4275" s="1">
        <v>5564.02</v>
      </c>
      <c r="Q4275">
        <v>4</v>
      </c>
      <c r="R4275">
        <v>1.925E-2</v>
      </c>
    </row>
    <row r="4276" spans="1:18" ht="13.8" outlineLevel="2" x14ac:dyDescent="0.25">
      <c r="A4276">
        <v>60547</v>
      </c>
      <c r="B4276" t="s">
        <v>6126</v>
      </c>
      <c r="C4276" t="s">
        <v>6131</v>
      </c>
      <c r="D4276" s="14" t="s">
        <v>6128</v>
      </c>
      <c r="E4276" s="12" t="s">
        <v>28</v>
      </c>
      <c r="F4276" s="13" t="s">
        <v>29</v>
      </c>
      <c r="G4276">
        <v>1</v>
      </c>
      <c r="H4276" t="s">
        <v>6065</v>
      </c>
      <c r="I4276">
        <v>1</v>
      </c>
      <c r="J4276" s="15"/>
      <c r="K4276" s="21" t="s">
        <v>6132</v>
      </c>
      <c r="L4276" s="21" t="s">
        <v>6133</v>
      </c>
      <c r="M4276" s="1">
        <v>8400.86</v>
      </c>
      <c r="N4276" s="1">
        <v>6885.95</v>
      </c>
      <c r="O4276" s="1">
        <v>7140.73</v>
      </c>
      <c r="P4276" s="1">
        <v>5853.06</v>
      </c>
      <c r="Q4276">
        <v>4.4000000000000004</v>
      </c>
      <c r="R4276">
        <v>2.2749999999999999E-2</v>
      </c>
    </row>
    <row r="4277" spans="1:18" ht="13.8" outlineLevel="2" x14ac:dyDescent="0.25">
      <c r="A4277">
        <v>61192</v>
      </c>
      <c r="B4277" t="s">
        <v>6134</v>
      </c>
      <c r="C4277" t="s">
        <v>6135</v>
      </c>
      <c r="D4277" s="14" t="s">
        <v>6136</v>
      </c>
      <c r="E4277" s="12" t="s">
        <v>28</v>
      </c>
      <c r="F4277" s="13" t="s">
        <v>29</v>
      </c>
      <c r="G4277">
        <v>1</v>
      </c>
      <c r="H4277" t="s">
        <v>6065</v>
      </c>
      <c r="I4277">
        <v>1</v>
      </c>
      <c r="J4277" s="15"/>
      <c r="K4277" s="21" t="s">
        <v>6137</v>
      </c>
      <c r="L4277" s="21" t="s">
        <v>6138</v>
      </c>
      <c r="M4277" s="1">
        <v>10998.43</v>
      </c>
      <c r="N4277" s="1">
        <v>9015.11</v>
      </c>
      <c r="O4277" s="1">
        <v>9348.67</v>
      </c>
      <c r="P4277" s="1">
        <v>7662.84</v>
      </c>
      <c r="Q4277">
        <v>3.8</v>
      </c>
      <c r="R4277">
        <v>1.925E-2</v>
      </c>
    </row>
    <row r="4278" spans="1:18" ht="13.8" outlineLevel="2" x14ac:dyDescent="0.25">
      <c r="A4278">
        <v>65643</v>
      </c>
      <c r="C4278" t="s">
        <v>6139</v>
      </c>
      <c r="D4278" s="14" t="s">
        <v>6140</v>
      </c>
      <c r="E4278" s="12" t="s">
        <v>28</v>
      </c>
      <c r="F4278" s="13" t="s">
        <v>29</v>
      </c>
      <c r="G4278">
        <v>1</v>
      </c>
      <c r="H4278" t="s">
        <v>1129</v>
      </c>
      <c r="I4278">
        <v>1</v>
      </c>
      <c r="J4278" s="15"/>
      <c r="K4278" s="21" t="s">
        <v>6141</v>
      </c>
      <c r="L4278" s="21" t="s">
        <v>6142</v>
      </c>
      <c r="M4278" s="1">
        <v>2489.14</v>
      </c>
      <c r="N4278" s="1">
        <v>2040.28</v>
      </c>
      <c r="O4278" s="1">
        <v>2115.77</v>
      </c>
      <c r="P4278" s="1">
        <v>1734.24</v>
      </c>
      <c r="Q4278">
        <v>0.4</v>
      </c>
      <c r="R4278">
        <v>2.5730000000000002E-3</v>
      </c>
    </row>
    <row r="4279" spans="1:18" ht="13.8" outlineLevel="2" x14ac:dyDescent="0.25">
      <c r="A4279">
        <v>61191</v>
      </c>
      <c r="C4279" t="s">
        <v>6143</v>
      </c>
      <c r="D4279" s="14" t="s">
        <v>6143</v>
      </c>
      <c r="E4279" s="12" t="s">
        <v>28</v>
      </c>
      <c r="F4279" s="13" t="s">
        <v>29</v>
      </c>
      <c r="G4279">
        <v>1</v>
      </c>
      <c r="H4279" t="s">
        <v>1129</v>
      </c>
      <c r="I4279">
        <v>1</v>
      </c>
      <c r="J4279" s="15"/>
      <c r="K4279" s="21" t="s">
        <v>6144</v>
      </c>
      <c r="L4279" s="21" t="s">
        <v>6145</v>
      </c>
      <c r="M4279" s="1">
        <v>2178.0100000000002</v>
      </c>
      <c r="N4279" s="1">
        <v>1785.25</v>
      </c>
      <c r="O4279" s="1">
        <v>1851.3</v>
      </c>
      <c r="P4279" s="1">
        <v>1517.46</v>
      </c>
      <c r="Q4279">
        <v>0.09</v>
      </c>
      <c r="R4279">
        <v>2.4000000000000001E-5</v>
      </c>
    </row>
    <row r="4280" spans="1:18" ht="16.5" customHeight="1" outlineLevel="1" x14ac:dyDescent="0.35">
      <c r="A4280" s="9"/>
      <c r="B4280" s="10" t="s">
        <v>6146</v>
      </c>
      <c r="C4280" s="10"/>
      <c r="D4280" s="10"/>
      <c r="E4280" s="10"/>
      <c r="F4280" s="10"/>
      <c r="G4280" s="10"/>
      <c r="H4280" s="10"/>
      <c r="I4280" s="10"/>
      <c r="J4280" s="10"/>
      <c r="K4280" s="10"/>
      <c r="L4280" s="10"/>
      <c r="M4280" s="10"/>
      <c r="N4280" s="10"/>
      <c r="O4280" s="10"/>
      <c r="P4280" s="10"/>
      <c r="Q4280" s="10"/>
      <c r="R4280" s="11"/>
    </row>
    <row r="4281" spans="1:18" ht="13.8" outlineLevel="2" x14ac:dyDescent="0.25">
      <c r="A4281">
        <v>82070</v>
      </c>
      <c r="B4281" t="s">
        <v>6147</v>
      </c>
      <c r="C4281" t="s">
        <v>6148</v>
      </c>
      <c r="D4281" s="14" t="s">
        <v>6149</v>
      </c>
      <c r="E4281" s="12" t="s">
        <v>28</v>
      </c>
      <c r="F4281" s="13" t="s">
        <v>29</v>
      </c>
      <c r="G4281">
        <v>1</v>
      </c>
      <c r="H4281" t="s">
        <v>30</v>
      </c>
      <c r="I4281">
        <v>1</v>
      </c>
      <c r="J4281" s="15"/>
      <c r="K4281" s="16">
        <f>IF($E$1&gt;=$Q$1%,1941.41-(1941.41*$Q$1%),1941.41-(1941.41*$E$1))</f>
        <v>1941.41</v>
      </c>
      <c r="L4281" s="16">
        <f>IF($E$1&gt;=$Q$1%,1591.32-(1591.32*$Q$1%),1591.32-(1591.32*$E$1))</f>
        <v>1591.32</v>
      </c>
      <c r="M4281" s="1">
        <v>1941.41</v>
      </c>
      <c r="N4281" s="1">
        <v>1591.32</v>
      </c>
      <c r="O4281" s="1">
        <v>1941.41</v>
      </c>
      <c r="P4281" s="1">
        <v>1591.32</v>
      </c>
      <c r="Q4281">
        <v>0.13</v>
      </c>
      <c r="R4281">
        <v>6.8499999999999995E-4</v>
      </c>
    </row>
    <row r="4282" spans="1:18" ht="13.8" outlineLevel="2" x14ac:dyDescent="0.25">
      <c r="A4282">
        <v>82072</v>
      </c>
      <c r="B4282" t="s">
        <v>6147</v>
      </c>
      <c r="C4282" t="s">
        <v>6150</v>
      </c>
      <c r="D4282" s="14" t="s">
        <v>6151</v>
      </c>
      <c r="E4282" s="12" t="s">
        <v>28</v>
      </c>
      <c r="F4282" s="13" t="s">
        <v>29</v>
      </c>
      <c r="G4282">
        <v>1</v>
      </c>
      <c r="H4282" t="s">
        <v>30</v>
      </c>
      <c r="I4282">
        <v>1</v>
      </c>
      <c r="J4282" s="15"/>
      <c r="K4282" s="16">
        <f>IF($E$1&gt;=$Q$1%,1474.08-(1474.08*$Q$1%),1474.08-(1474.08*$E$1))</f>
        <v>1474.08</v>
      </c>
      <c r="L4282" s="16">
        <f>IF($E$1&gt;=$Q$1%,1208.26-(1208.26*$Q$1%),1208.26-(1208.26*$E$1))</f>
        <v>1208.26</v>
      </c>
      <c r="M4282" s="1">
        <v>1474.08</v>
      </c>
      <c r="N4282" s="1">
        <v>1208.26</v>
      </c>
      <c r="O4282" s="1">
        <v>1474.08</v>
      </c>
      <c r="P4282" s="1">
        <v>1208.26</v>
      </c>
      <c r="Q4282">
        <v>0.1</v>
      </c>
      <c r="R4282">
        <v>1.3810000000000001E-3</v>
      </c>
    </row>
    <row r="4283" spans="1:18" ht="13.8" outlineLevel="2" x14ac:dyDescent="0.25">
      <c r="A4283">
        <v>88899</v>
      </c>
      <c r="B4283" t="s">
        <v>6147</v>
      </c>
      <c r="C4283" t="s">
        <v>6152</v>
      </c>
      <c r="D4283" s="14" t="s">
        <v>6153</v>
      </c>
      <c r="E4283" s="12" t="s">
        <v>28</v>
      </c>
      <c r="F4283" s="13" t="s">
        <v>29</v>
      </c>
      <c r="G4283">
        <v>1</v>
      </c>
      <c r="H4283" t="s">
        <v>30</v>
      </c>
      <c r="I4283">
        <v>1</v>
      </c>
      <c r="J4283" s="15"/>
      <c r="K4283" s="16">
        <f>IF($E$1&gt;=$Q$1%,2256.78-(2256.78*$Q$1%),2256.78-(2256.78*$E$1))</f>
        <v>2256.7800000000002</v>
      </c>
      <c r="L4283" s="16">
        <f>IF($E$1&gt;=$Q$1%,1849.82-(1849.82*$Q$1%),1849.82-(1849.82*$E$1))</f>
        <v>1849.82</v>
      </c>
      <c r="M4283" s="1">
        <v>2256.7800000000002</v>
      </c>
      <c r="N4283" s="1">
        <v>1849.82</v>
      </c>
      <c r="O4283" s="1">
        <v>2256.7800000000002</v>
      </c>
      <c r="P4283" s="1">
        <v>1849.82</v>
      </c>
      <c r="Q4283">
        <v>0.13600000000000001</v>
      </c>
      <c r="R4283">
        <v>5.9699999999999998E-4</v>
      </c>
    </row>
    <row r="4284" spans="1:18" ht="13.8" outlineLevel="2" x14ac:dyDescent="0.25">
      <c r="A4284">
        <v>82069</v>
      </c>
      <c r="B4284" t="s">
        <v>6147</v>
      </c>
      <c r="C4284" t="s">
        <v>6154</v>
      </c>
      <c r="D4284" s="14" t="s">
        <v>6155</v>
      </c>
      <c r="E4284" s="12" t="s">
        <v>28</v>
      </c>
      <c r="F4284" s="13" t="s">
        <v>29</v>
      </c>
      <c r="G4284">
        <v>1</v>
      </c>
      <c r="H4284" t="s">
        <v>30</v>
      </c>
      <c r="I4284">
        <v>1</v>
      </c>
      <c r="J4284" s="15"/>
      <c r="K4284" s="16">
        <f>IF($E$1&gt;=$Q$1%,1394.34-(1394.34*$Q$1%),1394.34-(1394.34*$E$1))</f>
        <v>1394.34</v>
      </c>
      <c r="L4284" s="16">
        <f>IF($E$1&gt;=$Q$1%,1142.9-(1142.9*$Q$1%),1142.9-(1142.9*$E$1))</f>
        <v>1142.9000000000001</v>
      </c>
      <c r="M4284" s="1">
        <v>1394.34</v>
      </c>
      <c r="N4284" s="1">
        <v>1142.9000000000001</v>
      </c>
      <c r="O4284" s="1">
        <v>1394.34</v>
      </c>
      <c r="P4284" s="1">
        <v>1142.9000000000001</v>
      </c>
      <c r="Q4284">
        <v>0.09</v>
      </c>
      <c r="R4284">
        <v>1.2149999999999999E-3</v>
      </c>
    </row>
    <row r="4285" spans="1:18" ht="13.8" outlineLevel="2" x14ac:dyDescent="0.25">
      <c r="A4285">
        <v>82071</v>
      </c>
      <c r="B4285" t="s">
        <v>6147</v>
      </c>
      <c r="C4285" t="s">
        <v>6156</v>
      </c>
      <c r="D4285" s="14" t="s">
        <v>6157</v>
      </c>
      <c r="E4285" s="12" t="s">
        <v>28</v>
      </c>
      <c r="F4285" s="13" t="s">
        <v>29</v>
      </c>
      <c r="G4285">
        <v>1</v>
      </c>
      <c r="H4285" t="s">
        <v>30</v>
      </c>
      <c r="I4285">
        <v>1</v>
      </c>
      <c r="J4285" s="15"/>
      <c r="K4285" s="16">
        <f>IF($E$1&gt;=$Q$1%,2443.97-(2443.97*$Q$1%),2443.97-(2443.97*$E$1))</f>
        <v>2443.9699999999998</v>
      </c>
      <c r="L4285" s="16">
        <f>IF($E$1&gt;=$Q$1%,2003.25-(2003.25*$Q$1%),2003.25-(2003.25*$E$1))</f>
        <v>2003.25</v>
      </c>
      <c r="M4285" s="1">
        <v>2443.9699999999998</v>
      </c>
      <c r="N4285" s="1">
        <v>2003.25</v>
      </c>
      <c r="O4285" s="1">
        <v>2443.9699999999998</v>
      </c>
      <c r="P4285" s="1">
        <v>2003.25</v>
      </c>
      <c r="Q4285">
        <v>0.16</v>
      </c>
      <c r="R4285">
        <v>7.2499999999999995E-4</v>
      </c>
    </row>
    <row r="4286" spans="1:18" ht="13.8" outlineLevel="2" x14ac:dyDescent="0.25">
      <c r="A4286">
        <v>88900</v>
      </c>
      <c r="B4286" t="s">
        <v>6147</v>
      </c>
      <c r="C4286" t="s">
        <v>6158</v>
      </c>
      <c r="D4286" s="14" t="s">
        <v>6159</v>
      </c>
      <c r="E4286" s="12" t="s">
        <v>28</v>
      </c>
      <c r="F4286" s="13" t="s">
        <v>29</v>
      </c>
      <c r="G4286">
        <v>1</v>
      </c>
      <c r="H4286" t="s">
        <v>30</v>
      </c>
      <c r="I4286">
        <v>1</v>
      </c>
      <c r="J4286" s="15"/>
      <c r="K4286" s="16">
        <f>IF($E$1&gt;=$Q$1%,2344.27-(2344.27*$Q$1%),2344.27-(2344.27*$E$1))</f>
        <v>2344.27</v>
      </c>
      <c r="L4286" s="16">
        <f>IF($E$1&gt;=$Q$1%,1921.53-(1921.53*$Q$1%),1921.53-(1921.53*$E$1))</f>
        <v>1921.53</v>
      </c>
      <c r="M4286" s="1">
        <v>2344.27</v>
      </c>
      <c r="N4286" s="1">
        <v>1921.53</v>
      </c>
      <c r="O4286" s="1">
        <v>2344.27</v>
      </c>
      <c r="P4286" s="1">
        <v>1921.53</v>
      </c>
      <c r="Q4286">
        <v>0.17799999999999999</v>
      </c>
      <c r="R4286">
        <v>5.9699999999999998E-4</v>
      </c>
    </row>
    <row r="4287" spans="1:18" ht="13.8" outlineLevel="2" x14ac:dyDescent="0.25">
      <c r="A4287">
        <v>103875</v>
      </c>
      <c r="B4287" t="s">
        <v>6160</v>
      </c>
      <c r="C4287" t="s">
        <v>6161</v>
      </c>
      <c r="D4287" s="14" t="s">
        <v>6162</v>
      </c>
      <c r="E4287" s="12" t="s">
        <v>28</v>
      </c>
      <c r="F4287" s="13" t="s">
        <v>29</v>
      </c>
      <c r="G4287">
        <v>1</v>
      </c>
      <c r="H4287" t="s">
        <v>30</v>
      </c>
      <c r="I4287">
        <v>1</v>
      </c>
      <c r="J4287" s="15"/>
      <c r="K4287" s="16">
        <f>IF($E$1&gt;=$Q$1%,1656.39-(1656.39*$Q$1%),1656.39-(1656.39*$E$1))</f>
        <v>1656.39</v>
      </c>
      <c r="L4287" s="16">
        <f>IF($E$1&gt;=$Q$1%,1357.7-(1357.7*$Q$1%),1357.7-(1357.7*$E$1))</f>
        <v>1357.7</v>
      </c>
      <c r="M4287" s="1">
        <v>1656.39</v>
      </c>
      <c r="N4287" s="1">
        <v>1357.7</v>
      </c>
      <c r="O4287" s="1">
        <v>1656.39</v>
      </c>
      <c r="P4287" s="1">
        <v>1357.7</v>
      </c>
      <c r="Q4287">
        <v>0.1</v>
      </c>
      <c r="R4287">
        <v>4.0499999999999998E-4</v>
      </c>
    </row>
    <row r="4288" spans="1:18" ht="13.8" outlineLevel="2" x14ac:dyDescent="0.25">
      <c r="A4288">
        <v>82073</v>
      </c>
      <c r="B4288" t="s">
        <v>6147</v>
      </c>
      <c r="C4288" t="s">
        <v>6163</v>
      </c>
      <c r="D4288" s="14" t="s">
        <v>6164</v>
      </c>
      <c r="E4288" s="12" t="s">
        <v>28</v>
      </c>
      <c r="F4288" s="13" t="s">
        <v>29</v>
      </c>
      <c r="G4288">
        <v>1</v>
      </c>
      <c r="H4288" t="s">
        <v>30</v>
      </c>
      <c r="I4288">
        <v>1</v>
      </c>
      <c r="J4288" s="15"/>
      <c r="K4288" s="16">
        <f>IF($E$1&gt;=$Q$1%,1900.64-(1900.64*$Q$1%),1900.64-(1900.64*$E$1))</f>
        <v>1900.64</v>
      </c>
      <c r="L4288" s="16">
        <f>IF($E$1&gt;=$Q$1%,1557.9-(1557.9*$Q$1%),1557.9-(1557.9*$E$1))</f>
        <v>1557.9</v>
      </c>
      <c r="M4288" s="1">
        <v>1900.64</v>
      </c>
      <c r="N4288" s="1">
        <v>1557.9</v>
      </c>
      <c r="O4288" s="1">
        <v>1900.64</v>
      </c>
      <c r="P4288" s="1">
        <v>1557.9</v>
      </c>
      <c r="Q4288">
        <v>0.19</v>
      </c>
      <c r="R4288">
        <v>2.7000000000000001E-3</v>
      </c>
    </row>
    <row r="4289" spans="1:18" ht="13.8" outlineLevel="2" x14ac:dyDescent="0.25">
      <c r="A4289">
        <v>78264</v>
      </c>
      <c r="B4289" t="s">
        <v>6165</v>
      </c>
      <c r="C4289" t="s">
        <v>6166</v>
      </c>
      <c r="D4289" s="14" t="s">
        <v>6167</v>
      </c>
      <c r="E4289" s="12" t="s">
        <v>28</v>
      </c>
      <c r="F4289" s="17" t="s">
        <v>549</v>
      </c>
      <c r="G4289">
        <v>1</v>
      </c>
      <c r="H4289" t="s">
        <v>30</v>
      </c>
      <c r="I4289">
        <v>1</v>
      </c>
      <c r="J4289" s="15"/>
      <c r="K4289" s="16">
        <f>IF($E$1&gt;=$Q$1%,403.81-(403.81*$Q$1%),403.81-(403.81*$E$1))</f>
        <v>403.81</v>
      </c>
      <c r="L4289" s="16">
        <f>IF($E$1&gt;=$Q$1%,330.99-(330.99*$Q$1%),330.99-(330.99*$E$1))</f>
        <v>330.99</v>
      </c>
      <c r="M4289" s="1">
        <v>403.81</v>
      </c>
      <c r="N4289" s="1">
        <v>330.99</v>
      </c>
      <c r="O4289" s="1">
        <v>403.81</v>
      </c>
      <c r="P4289" s="1">
        <v>330.99</v>
      </c>
      <c r="Q4289">
        <v>0.13</v>
      </c>
      <c r="R4289">
        <v>5.4000000000000001E-4</v>
      </c>
    </row>
    <row r="4290" spans="1:18" ht="13.8" outlineLevel="2" x14ac:dyDescent="0.25">
      <c r="A4290">
        <v>78259</v>
      </c>
      <c r="B4290" t="s">
        <v>6168</v>
      </c>
      <c r="C4290" t="s">
        <v>6169</v>
      </c>
      <c r="D4290" s="14" t="s">
        <v>6170</v>
      </c>
      <c r="E4290" s="12" t="s">
        <v>28</v>
      </c>
      <c r="F4290" s="13" t="s">
        <v>29</v>
      </c>
      <c r="G4290">
        <v>1</v>
      </c>
      <c r="H4290" t="s">
        <v>30</v>
      </c>
      <c r="I4290">
        <v>1</v>
      </c>
      <c r="J4290" s="15"/>
      <c r="K4290" s="16">
        <f>IF($E$1&gt;=$Q$1%,586.15-(586.15*$Q$1%),586.15-(586.15*$E$1))</f>
        <v>586.15</v>
      </c>
      <c r="L4290" s="16">
        <f>IF($E$1&gt;=$Q$1%,480.45-(480.45*$Q$1%),480.45-(480.45*$E$1))</f>
        <v>480.45</v>
      </c>
      <c r="M4290" s="1">
        <v>586.15</v>
      </c>
      <c r="N4290" s="1">
        <v>480.45</v>
      </c>
      <c r="O4290" s="1">
        <v>586.15</v>
      </c>
      <c r="P4290" s="1">
        <v>480.45</v>
      </c>
      <c r="Q4290">
        <v>0.17</v>
      </c>
      <c r="R4290">
        <v>2.8800000000000001E-4</v>
      </c>
    </row>
    <row r="4291" spans="1:18" ht="13.8" outlineLevel="2" x14ac:dyDescent="0.25">
      <c r="A4291">
        <v>78261</v>
      </c>
      <c r="B4291" t="s">
        <v>6168</v>
      </c>
      <c r="C4291" t="s">
        <v>6171</v>
      </c>
      <c r="D4291" s="14" t="s">
        <v>6172</v>
      </c>
      <c r="E4291" s="12" t="s">
        <v>28</v>
      </c>
      <c r="F4291" s="13" t="s">
        <v>29</v>
      </c>
      <c r="G4291">
        <v>1</v>
      </c>
      <c r="H4291" t="s">
        <v>30</v>
      </c>
      <c r="I4291">
        <v>1</v>
      </c>
      <c r="J4291" s="15"/>
      <c r="K4291" s="16">
        <f>IF($E$1&gt;=$Q$1%,1449.41-(1449.41*$Q$1%),1449.41-(1449.41*$E$1))</f>
        <v>1449.41</v>
      </c>
      <c r="L4291" s="16">
        <f>IF($E$1&gt;=$Q$1%,1188.04-(1188.04*$Q$1%),1188.04-(1188.04*$E$1))</f>
        <v>1188.04</v>
      </c>
      <c r="M4291" s="1">
        <v>1449.41</v>
      </c>
      <c r="N4291" s="1">
        <v>1188.04</v>
      </c>
      <c r="O4291" s="1">
        <v>1449.41</v>
      </c>
      <c r="P4291" s="1">
        <v>1188.04</v>
      </c>
      <c r="Q4291">
        <v>0.26</v>
      </c>
      <c r="R4291">
        <v>6.4800000000000003E-4</v>
      </c>
    </row>
    <row r="4292" spans="1:18" ht="13.8" outlineLevel="2" x14ac:dyDescent="0.25">
      <c r="A4292">
        <v>88898</v>
      </c>
      <c r="B4292" t="s">
        <v>6168</v>
      </c>
      <c r="C4292" t="s">
        <v>6173</v>
      </c>
      <c r="D4292" s="14" t="s">
        <v>6174</v>
      </c>
      <c r="E4292" s="12" t="s">
        <v>28</v>
      </c>
      <c r="F4292" s="13" t="s">
        <v>29</v>
      </c>
      <c r="G4292">
        <v>1</v>
      </c>
      <c r="H4292" t="s">
        <v>30</v>
      </c>
      <c r="I4292">
        <v>1</v>
      </c>
      <c r="J4292" s="15"/>
      <c r="K4292" s="16">
        <f>IF($E$1&gt;=$Q$1%,1497.95-(1497.95*$Q$1%),1497.95-(1497.95*$E$1))</f>
        <v>1497.95</v>
      </c>
      <c r="L4292" s="16">
        <f>IF($E$1&gt;=$Q$1%,1227.83-(1227.83*$Q$1%),1227.83-(1227.83*$E$1))</f>
        <v>1227.83</v>
      </c>
      <c r="M4292" s="1">
        <v>1497.95</v>
      </c>
      <c r="N4292" s="1">
        <v>1227.83</v>
      </c>
      <c r="O4292" s="1">
        <v>1497.95</v>
      </c>
      <c r="P4292" s="1">
        <v>1227.83</v>
      </c>
      <c r="Q4292">
        <v>0.222</v>
      </c>
      <c r="R4292">
        <v>5.2700000000000002E-4</v>
      </c>
    </row>
    <row r="4293" spans="1:18" ht="13.8" outlineLevel="2" x14ac:dyDescent="0.25">
      <c r="A4293">
        <v>103874</v>
      </c>
      <c r="B4293" t="s">
        <v>6175</v>
      </c>
      <c r="C4293" t="s">
        <v>6176</v>
      </c>
      <c r="D4293" s="14" t="s">
        <v>6177</v>
      </c>
      <c r="E4293" s="12" t="s">
        <v>28</v>
      </c>
      <c r="F4293" s="13" t="s">
        <v>29</v>
      </c>
      <c r="G4293">
        <v>1</v>
      </c>
      <c r="H4293" t="s">
        <v>30</v>
      </c>
      <c r="I4293">
        <v>1</v>
      </c>
      <c r="J4293" s="15"/>
      <c r="K4293" s="16">
        <f>IF($E$1&gt;=$Q$1%,1428.72-(1428.72*$Q$1%),1428.72-(1428.72*$E$1))</f>
        <v>1428.72</v>
      </c>
      <c r="L4293" s="16">
        <f>IF($E$1&gt;=$Q$1%,1171.08-(1171.08*$Q$1%),1171.08-(1171.08*$E$1))</f>
        <v>1171.08</v>
      </c>
      <c r="M4293" s="1">
        <v>1428.72</v>
      </c>
      <c r="N4293" s="1">
        <v>1171.08</v>
      </c>
      <c r="O4293" s="1">
        <v>1428.72</v>
      </c>
      <c r="P4293" s="1">
        <v>1171.08</v>
      </c>
      <c r="Q4293">
        <v>0.24199999999999999</v>
      </c>
      <c r="R4293">
        <v>7.94E-4</v>
      </c>
    </row>
    <row r="4294" spans="1:18" ht="33.75" customHeight="1" x14ac:dyDescent="0.35">
      <c r="A4294" s="9"/>
      <c r="B4294" s="10" t="s">
        <v>6178</v>
      </c>
      <c r="C4294" s="10"/>
      <c r="D4294" s="10"/>
      <c r="E4294" s="10"/>
      <c r="F4294" s="10"/>
      <c r="G4294" s="10"/>
      <c r="H4294" s="10"/>
      <c r="I4294" s="10"/>
      <c r="J4294" s="10"/>
      <c r="K4294" s="10"/>
      <c r="L4294" s="10"/>
      <c r="M4294" s="10"/>
      <c r="N4294" s="10"/>
      <c r="O4294" s="10"/>
      <c r="P4294" s="10"/>
      <c r="Q4294" s="10"/>
      <c r="R4294" s="11"/>
    </row>
    <row r="4295" spans="1:18" ht="16.5" customHeight="1" outlineLevel="1" x14ac:dyDescent="0.35">
      <c r="A4295" s="9"/>
      <c r="B4295" s="10" t="s">
        <v>6179</v>
      </c>
      <c r="C4295" s="10"/>
      <c r="D4295" s="10"/>
      <c r="E4295" s="10"/>
      <c r="F4295" s="10"/>
      <c r="G4295" s="10"/>
      <c r="H4295" s="10"/>
      <c r="I4295" s="10"/>
      <c r="J4295" s="10"/>
      <c r="K4295" s="10"/>
      <c r="L4295" s="10"/>
      <c r="M4295" s="10"/>
      <c r="N4295" s="10"/>
      <c r="O4295" s="10"/>
      <c r="P4295" s="10"/>
      <c r="Q4295" s="10"/>
      <c r="R4295" s="11"/>
    </row>
    <row r="4296" spans="1:18" ht="13.8" outlineLevel="2" x14ac:dyDescent="0.25">
      <c r="A4296">
        <v>106038</v>
      </c>
      <c r="B4296" t="s">
        <v>3605</v>
      </c>
      <c r="C4296" t="s">
        <v>6180</v>
      </c>
      <c r="D4296" s="14" t="s">
        <v>6181</v>
      </c>
      <c r="E4296" s="12" t="s">
        <v>28</v>
      </c>
      <c r="F4296" s="13" t="s">
        <v>29</v>
      </c>
      <c r="G4296">
        <v>1</v>
      </c>
      <c r="H4296" t="s">
        <v>30</v>
      </c>
      <c r="I4296">
        <v>1</v>
      </c>
      <c r="J4296" s="15"/>
      <c r="K4296" s="16">
        <f>IF($E$1&gt;=$Q$1%,144940.12-(144940.12*$Q$1%),144940.12-(144940.12*$E$1))</f>
        <v>144940.12</v>
      </c>
      <c r="L4296" s="16">
        <f>IF($E$1&gt;=$Q$1%,118803.38-(118803.38*$Q$1%),118803.38-(118803.38*$E$1))</f>
        <v>118803.38</v>
      </c>
      <c r="M4296" s="1">
        <v>144940.12</v>
      </c>
      <c r="N4296" s="1">
        <v>118803.38</v>
      </c>
      <c r="O4296" s="1">
        <v>144940.12</v>
      </c>
      <c r="P4296" s="1">
        <v>118803.38</v>
      </c>
      <c r="Q4296">
        <v>11.05</v>
      </c>
      <c r="R4296">
        <v>4.5102999999999997E-2</v>
      </c>
    </row>
    <row r="4297" spans="1:18" ht="13.8" outlineLevel="2" x14ac:dyDescent="0.25">
      <c r="A4297">
        <v>89616</v>
      </c>
      <c r="B4297" t="s">
        <v>3605</v>
      </c>
      <c r="C4297" t="s">
        <v>6182</v>
      </c>
      <c r="D4297" s="14" t="s">
        <v>6183</v>
      </c>
      <c r="E4297" s="12" t="s">
        <v>28</v>
      </c>
      <c r="F4297" s="13" t="s">
        <v>29</v>
      </c>
      <c r="G4297">
        <v>1</v>
      </c>
      <c r="H4297" t="s">
        <v>30</v>
      </c>
      <c r="I4297">
        <v>1</v>
      </c>
      <c r="J4297" s="15"/>
      <c r="K4297" s="16">
        <f>IF($E$1&gt;=$Q$1%,85797.5-(85797.5*$Q$1%),85797.5-(85797.5*$E$1))</f>
        <v>85797.5</v>
      </c>
      <c r="L4297" s="16">
        <f>IF($E$1&gt;=$Q$1%,70325.82-(70325.82*$Q$1%),70325.82-(70325.82*$E$1))</f>
        <v>70325.820000000007</v>
      </c>
      <c r="M4297" s="1">
        <v>85797.5</v>
      </c>
      <c r="N4297" s="1">
        <v>70325.820000000007</v>
      </c>
      <c r="O4297" s="1">
        <v>85797.5</v>
      </c>
      <c r="P4297" s="1">
        <v>70325.820000000007</v>
      </c>
      <c r="Q4297">
        <v>5.7</v>
      </c>
      <c r="R4297">
        <v>2.5999999999999999E-2</v>
      </c>
    </row>
    <row r="4298" spans="1:18" ht="13.8" outlineLevel="2" x14ac:dyDescent="0.25">
      <c r="A4298">
        <v>89615</v>
      </c>
      <c r="B4298" t="s">
        <v>3605</v>
      </c>
      <c r="C4298" t="s">
        <v>6184</v>
      </c>
      <c r="D4298" s="14" t="s">
        <v>6185</v>
      </c>
      <c r="E4298" s="12" t="s">
        <v>28</v>
      </c>
      <c r="F4298" s="13" t="s">
        <v>29</v>
      </c>
      <c r="G4298">
        <v>1</v>
      </c>
      <c r="H4298" t="s">
        <v>30</v>
      </c>
      <c r="I4298">
        <v>1</v>
      </c>
      <c r="J4298" s="15"/>
      <c r="K4298" s="16">
        <f>IF($E$1&gt;=$Q$1%,95365.25-(95365.25*$Q$1%),95365.25-(95365.25*$E$1))</f>
        <v>95365.25</v>
      </c>
      <c r="L4298" s="16">
        <f>IF($E$1&gt;=$Q$1%,78168.24-(78168.24*$Q$1%),78168.24-(78168.24*$E$1))</f>
        <v>78168.240000000005</v>
      </c>
      <c r="M4298" s="1">
        <v>95365.25</v>
      </c>
      <c r="N4298" s="1">
        <v>78168.240000000005</v>
      </c>
      <c r="O4298" s="1">
        <v>95365.25</v>
      </c>
      <c r="P4298" s="1">
        <v>78168.240000000005</v>
      </c>
      <c r="Q4298">
        <v>7.4</v>
      </c>
      <c r="R4298">
        <v>2.5999999999999999E-2</v>
      </c>
    </row>
    <row r="4299" spans="1:18" ht="13.8" outlineLevel="2" x14ac:dyDescent="0.25">
      <c r="A4299">
        <v>89617</v>
      </c>
      <c r="B4299" t="s">
        <v>3605</v>
      </c>
      <c r="C4299" t="s">
        <v>6186</v>
      </c>
      <c r="D4299" s="14" t="s">
        <v>6187</v>
      </c>
      <c r="E4299" s="12" t="s">
        <v>28</v>
      </c>
      <c r="F4299" s="13" t="s">
        <v>29</v>
      </c>
      <c r="G4299">
        <v>1</v>
      </c>
      <c r="H4299" t="s">
        <v>30</v>
      </c>
      <c r="I4299">
        <v>1</v>
      </c>
      <c r="J4299" s="15"/>
      <c r="K4299" s="16">
        <f>IF($E$1&gt;=$Q$1%,96322.03-(96322.03*$Q$1%),96322.03-(96322.03*$E$1))</f>
        <v>96322.03</v>
      </c>
      <c r="L4299" s="16">
        <f>IF($E$1&gt;=$Q$1%,78952.48-(78952.48*$Q$1%),78952.48-(78952.48*$E$1))</f>
        <v>78952.479999999996</v>
      </c>
      <c r="M4299" s="1">
        <v>96322.03</v>
      </c>
      <c r="N4299" s="1">
        <v>78952.479999999996</v>
      </c>
      <c r="O4299" s="1">
        <v>96322.03</v>
      </c>
      <c r="P4299" s="1">
        <v>78952.479999999996</v>
      </c>
      <c r="Q4299">
        <v>7</v>
      </c>
      <c r="R4299">
        <v>2.5999999999999999E-2</v>
      </c>
    </row>
    <row r="4300" spans="1:18" ht="13.8" outlineLevel="2" x14ac:dyDescent="0.25">
      <c r="A4300">
        <v>89618</v>
      </c>
      <c r="B4300" t="s">
        <v>6188</v>
      </c>
      <c r="C4300" t="s">
        <v>6189</v>
      </c>
      <c r="D4300" s="14" t="s">
        <v>6190</v>
      </c>
      <c r="E4300" s="12" t="s">
        <v>28</v>
      </c>
      <c r="F4300" s="13" t="s">
        <v>29</v>
      </c>
      <c r="G4300">
        <v>1</v>
      </c>
      <c r="H4300" t="s">
        <v>30</v>
      </c>
      <c r="I4300">
        <v>1</v>
      </c>
      <c r="J4300" s="15"/>
      <c r="K4300" s="16">
        <f>IF($E$1&gt;=$Q$1%,11996.93-(11996.93*$Q$1%),11996.93-(11996.93*$E$1))</f>
        <v>11996.93</v>
      </c>
      <c r="L4300" s="16">
        <f>IF($E$1&gt;=$Q$1%,9833.55-(9833.55*$Q$1%),9833.55-(9833.55*$E$1))</f>
        <v>9833.5499999999993</v>
      </c>
      <c r="M4300" s="1">
        <v>11996.93</v>
      </c>
      <c r="N4300" s="1">
        <v>9833.5499999999993</v>
      </c>
      <c r="O4300" s="1">
        <v>11996.93</v>
      </c>
      <c r="P4300" s="1">
        <v>9833.5499999999993</v>
      </c>
      <c r="Q4300">
        <v>0.81</v>
      </c>
      <c r="R4300">
        <v>2.1389999999999998E-3</v>
      </c>
    </row>
    <row r="4301" spans="1:18" ht="13.8" outlineLevel="2" x14ac:dyDescent="0.25">
      <c r="A4301">
        <v>89619</v>
      </c>
      <c r="B4301" t="s">
        <v>6188</v>
      </c>
      <c r="C4301" t="s">
        <v>6191</v>
      </c>
      <c r="D4301" s="14" t="s">
        <v>6192</v>
      </c>
      <c r="E4301" s="12" t="s">
        <v>28</v>
      </c>
      <c r="F4301" s="13" t="s">
        <v>29</v>
      </c>
      <c r="G4301">
        <v>1</v>
      </c>
      <c r="H4301" t="s">
        <v>30</v>
      </c>
      <c r="I4301">
        <v>1</v>
      </c>
      <c r="J4301" s="15"/>
      <c r="K4301" s="16">
        <f>IF($E$1&gt;=$Q$1%,11996.93-(11996.93*$Q$1%),11996.93-(11996.93*$E$1))</f>
        <v>11996.93</v>
      </c>
      <c r="L4301" s="16">
        <f>IF($E$1&gt;=$Q$1%,9833.55-(9833.55*$Q$1%),9833.55-(9833.55*$E$1))</f>
        <v>9833.5499999999993</v>
      </c>
      <c r="M4301" s="1">
        <v>11996.93</v>
      </c>
      <c r="N4301" s="1">
        <v>9833.5499999999993</v>
      </c>
      <c r="O4301" s="1">
        <v>11996.93</v>
      </c>
      <c r="P4301" s="1">
        <v>9833.5499999999993</v>
      </c>
      <c r="Q4301">
        <v>0.78200000000000003</v>
      </c>
      <c r="R4301">
        <v>2.1389999999999998E-3</v>
      </c>
    </row>
    <row r="4302" spans="1:18" ht="13.8" outlineLevel="2" x14ac:dyDescent="0.25">
      <c r="A4302">
        <v>89620</v>
      </c>
      <c r="B4302" t="s">
        <v>6193</v>
      </c>
      <c r="C4302" t="s">
        <v>6194</v>
      </c>
      <c r="D4302" s="14" t="s">
        <v>6195</v>
      </c>
      <c r="E4302" s="12" t="s">
        <v>28</v>
      </c>
      <c r="F4302" s="13" t="s">
        <v>29</v>
      </c>
      <c r="G4302">
        <v>1</v>
      </c>
      <c r="H4302" t="s">
        <v>30</v>
      </c>
      <c r="I4302">
        <v>1</v>
      </c>
      <c r="J4302" s="15"/>
      <c r="K4302" s="16">
        <f>IF($E$1&gt;=$Q$1%,7433.42-(7433.42*$Q$1%),7433.42-(7433.42*$E$1))</f>
        <v>7433.42</v>
      </c>
      <c r="L4302" s="16">
        <f>IF($E$1&gt;=$Q$1%,6092.97-(6092.97*$Q$1%),6092.97-(6092.97*$E$1))</f>
        <v>6092.97</v>
      </c>
      <c r="M4302" s="1">
        <v>7433.42</v>
      </c>
      <c r="N4302" s="1">
        <v>6092.97</v>
      </c>
      <c r="O4302" s="1">
        <v>7433.42</v>
      </c>
      <c r="P4302" s="1">
        <v>6092.97</v>
      </c>
      <c r="Q4302">
        <v>0.872</v>
      </c>
      <c r="R4302">
        <v>2.1389999999999998E-3</v>
      </c>
    </row>
    <row r="4303" spans="1:18" ht="13.8" outlineLevel="2" x14ac:dyDescent="0.25">
      <c r="A4303">
        <v>89621</v>
      </c>
      <c r="B4303" t="s">
        <v>6193</v>
      </c>
      <c r="C4303" t="s">
        <v>6196</v>
      </c>
      <c r="D4303" s="14" t="s">
        <v>6197</v>
      </c>
      <c r="E4303" s="12" t="s">
        <v>28</v>
      </c>
      <c r="F4303" s="13" t="s">
        <v>29</v>
      </c>
      <c r="G4303">
        <v>1</v>
      </c>
      <c r="H4303" t="s">
        <v>30</v>
      </c>
      <c r="I4303">
        <v>1</v>
      </c>
      <c r="J4303" s="15"/>
      <c r="K4303" s="16">
        <f>IF($E$1&gt;=$Q$1%,7430.51-(7430.51*$Q$1%),7430.51-(7430.51*$E$1))</f>
        <v>7430.51</v>
      </c>
      <c r="L4303" s="16">
        <f>IF($E$1&gt;=$Q$1%,6090.58-(6090.58*$Q$1%),6090.58-(6090.58*$E$1))</f>
        <v>6090.58</v>
      </c>
      <c r="M4303" s="1">
        <v>7430.51</v>
      </c>
      <c r="N4303" s="1">
        <v>6090.58</v>
      </c>
      <c r="O4303" s="1">
        <v>7430.51</v>
      </c>
      <c r="P4303" s="1">
        <v>6090.58</v>
      </c>
      <c r="Q4303">
        <v>0.69399999999999995</v>
      </c>
      <c r="R4303">
        <v>2.1389999999999998E-3</v>
      </c>
    </row>
    <row r="4304" spans="1:18" ht="13.8" outlineLevel="2" x14ac:dyDescent="0.25">
      <c r="A4304">
        <v>89622</v>
      </c>
      <c r="B4304" t="s">
        <v>6193</v>
      </c>
      <c r="C4304" t="s">
        <v>6198</v>
      </c>
      <c r="D4304" s="14" t="s">
        <v>6199</v>
      </c>
      <c r="E4304" s="12" t="s">
        <v>28</v>
      </c>
      <c r="F4304" s="13" t="s">
        <v>29</v>
      </c>
      <c r="G4304">
        <v>1</v>
      </c>
      <c r="H4304" t="s">
        <v>30</v>
      </c>
      <c r="I4304">
        <v>1</v>
      </c>
      <c r="J4304" s="15"/>
      <c r="K4304" s="16">
        <f>IF($E$1&gt;=$Q$1%,7431.67-(7431.67*$Q$1%),7431.67-(7431.67*$E$1))</f>
        <v>7431.67</v>
      </c>
      <c r="L4304" s="16">
        <f>IF($E$1&gt;=$Q$1%,6091.53-(6091.53*$Q$1%),6091.53-(6091.53*$E$1))</f>
        <v>6091.53</v>
      </c>
      <c r="M4304" s="1">
        <v>7431.67</v>
      </c>
      <c r="N4304" s="1">
        <v>6091.53</v>
      </c>
      <c r="O4304" s="1">
        <v>7431.67</v>
      </c>
      <c r="P4304" s="1">
        <v>6091.53</v>
      </c>
      <c r="Q4304">
        <v>0.85599999999999998</v>
      </c>
      <c r="R4304">
        <v>2.1389999999999998E-3</v>
      </c>
    </row>
    <row r="4305" spans="1:18" ht="13.8" outlineLevel="2" x14ac:dyDescent="0.25">
      <c r="A4305">
        <v>89623</v>
      </c>
      <c r="B4305" t="s">
        <v>6193</v>
      </c>
      <c r="C4305" t="s">
        <v>6200</v>
      </c>
      <c r="D4305" s="14" t="s">
        <v>6201</v>
      </c>
      <c r="E4305" s="12" t="s">
        <v>28</v>
      </c>
      <c r="F4305" s="13" t="s">
        <v>29</v>
      </c>
      <c r="G4305">
        <v>1</v>
      </c>
      <c r="H4305" t="s">
        <v>30</v>
      </c>
      <c r="I4305">
        <v>1</v>
      </c>
      <c r="J4305" s="15"/>
      <c r="K4305" s="16">
        <f>IF($E$1&gt;=$Q$1%,7430.51-(7430.51*$Q$1%),7430.51-(7430.51*$E$1))</f>
        <v>7430.51</v>
      </c>
      <c r="L4305" s="16">
        <f>IF($E$1&gt;=$Q$1%,6090.58-(6090.58*$Q$1%),6090.58-(6090.58*$E$1))</f>
        <v>6090.58</v>
      </c>
      <c r="M4305" s="1">
        <v>7430.51</v>
      </c>
      <c r="N4305" s="1">
        <v>6090.58</v>
      </c>
      <c r="O4305" s="1">
        <v>7430.51</v>
      </c>
      <c r="P4305" s="1">
        <v>6090.58</v>
      </c>
      <c r="Q4305">
        <v>0.70599999999999996</v>
      </c>
      <c r="R4305">
        <v>2.1389999999999998E-3</v>
      </c>
    </row>
    <row r="4306" spans="1:18" ht="16.5" customHeight="1" outlineLevel="1" x14ac:dyDescent="0.35">
      <c r="A4306" s="9"/>
      <c r="B4306" s="10" t="s">
        <v>6202</v>
      </c>
      <c r="C4306" s="10"/>
      <c r="D4306" s="10"/>
      <c r="E4306" s="10"/>
      <c r="F4306" s="10"/>
      <c r="G4306" s="10"/>
      <c r="H4306" s="10"/>
      <c r="I4306" s="10"/>
      <c r="J4306" s="10"/>
      <c r="K4306" s="10"/>
      <c r="L4306" s="10"/>
      <c r="M4306" s="10"/>
      <c r="N4306" s="10"/>
      <c r="O4306" s="10"/>
      <c r="P4306" s="10"/>
      <c r="Q4306" s="10"/>
      <c r="R4306" s="11"/>
    </row>
    <row r="4307" spans="1:18" ht="13.8" outlineLevel="2" x14ac:dyDescent="0.25">
      <c r="A4307">
        <v>92146</v>
      </c>
      <c r="B4307" t="s">
        <v>6203</v>
      </c>
      <c r="C4307" t="s">
        <v>6204</v>
      </c>
      <c r="D4307" s="14" t="s">
        <v>6205</v>
      </c>
      <c r="E4307" s="12" t="s">
        <v>28</v>
      </c>
      <c r="F4307" s="13" t="s">
        <v>29</v>
      </c>
      <c r="G4307">
        <v>1</v>
      </c>
      <c r="H4307" t="s">
        <v>30</v>
      </c>
      <c r="I4307">
        <v>1</v>
      </c>
      <c r="J4307" s="15"/>
      <c r="K4307" s="16">
        <f>IF($E$1&gt;=$Q$1%,426.82-(426.82*$Q$1%),426.82-(426.82*$E$1))</f>
        <v>426.82</v>
      </c>
      <c r="L4307" s="16">
        <f>IF($E$1&gt;=$Q$1%,349.85-(349.85*$Q$1%),349.85-(349.85*$E$1))</f>
        <v>349.85</v>
      </c>
      <c r="M4307" s="1">
        <v>426.82</v>
      </c>
      <c r="N4307" s="1">
        <v>349.85</v>
      </c>
      <c r="O4307" s="1">
        <v>426.82</v>
      </c>
      <c r="P4307" s="1">
        <v>349.85</v>
      </c>
      <c r="Q4307">
        <v>0.17199999999999999</v>
      </c>
      <c r="R4307">
        <v>7.0200000000000004E-4</v>
      </c>
    </row>
    <row r="4308" spans="1:18" ht="13.8" outlineLevel="2" x14ac:dyDescent="0.25">
      <c r="A4308">
        <v>79820</v>
      </c>
      <c r="B4308" t="s">
        <v>6206</v>
      </c>
      <c r="C4308" t="s">
        <v>6207</v>
      </c>
      <c r="D4308" s="14" t="s">
        <v>6208</v>
      </c>
      <c r="E4308" s="12" t="s">
        <v>28</v>
      </c>
      <c r="F4308" s="17" t="s">
        <v>549</v>
      </c>
      <c r="G4308">
        <v>1</v>
      </c>
      <c r="H4308" t="s">
        <v>30</v>
      </c>
      <c r="I4308">
        <v>1</v>
      </c>
      <c r="J4308" s="15"/>
      <c r="K4308" s="16">
        <f>IF($E$1&gt;=$Q$1%,906.74-(906.74*$Q$1%),906.74-(906.74*$E$1))</f>
        <v>906.74</v>
      </c>
      <c r="L4308" s="16">
        <f>IF($E$1&gt;=$Q$1%,743.23-(743.23*$Q$1%),743.23-(743.23*$E$1))</f>
        <v>743.23</v>
      </c>
      <c r="M4308" s="1">
        <v>906.74</v>
      </c>
      <c r="N4308" s="1">
        <v>743.23</v>
      </c>
      <c r="O4308" s="1">
        <v>906.74</v>
      </c>
      <c r="P4308" s="1">
        <v>743.23</v>
      </c>
      <c r="Q4308">
        <v>0.39</v>
      </c>
      <c r="R4308">
        <v>1.209E-3</v>
      </c>
    </row>
    <row r="4309" spans="1:18" ht="13.8" outlineLevel="2" x14ac:dyDescent="0.25">
      <c r="A4309">
        <v>104515</v>
      </c>
      <c r="B4309" t="s">
        <v>6203</v>
      </c>
      <c r="C4309" t="s">
        <v>6209</v>
      </c>
      <c r="D4309" s="14" t="s">
        <v>6210</v>
      </c>
      <c r="E4309" s="12" t="s">
        <v>28</v>
      </c>
      <c r="F4309" s="13" t="s">
        <v>29</v>
      </c>
      <c r="G4309">
        <v>1</v>
      </c>
      <c r="H4309" t="s">
        <v>30</v>
      </c>
      <c r="I4309">
        <v>1</v>
      </c>
      <c r="J4309" s="15"/>
      <c r="K4309" s="16">
        <f>IF($E$1&gt;=$Q$1%,626.91-(626.91*$Q$1%),626.91-(626.91*$E$1))</f>
        <v>626.91</v>
      </c>
      <c r="L4309" s="16">
        <f>IF($E$1&gt;=$Q$1%,513.86-(513.86*$Q$1%),513.86-(513.86*$E$1))</f>
        <v>513.86</v>
      </c>
      <c r="M4309" s="1">
        <v>626.91</v>
      </c>
      <c r="N4309" s="1">
        <v>513.86</v>
      </c>
      <c r="O4309" s="1">
        <v>626.91</v>
      </c>
      <c r="P4309" s="1">
        <v>513.86</v>
      </c>
      <c r="Q4309">
        <v>0.18</v>
      </c>
      <c r="R4309">
        <v>5.9599999999999996E-4</v>
      </c>
    </row>
    <row r="4310" spans="1:18" ht="13.8" outlineLevel="2" x14ac:dyDescent="0.25">
      <c r="A4310">
        <v>104516</v>
      </c>
      <c r="B4310" t="s">
        <v>6203</v>
      </c>
      <c r="C4310" t="s">
        <v>6211</v>
      </c>
      <c r="D4310" s="14" t="s">
        <v>6212</v>
      </c>
      <c r="E4310" s="12" t="s">
        <v>28</v>
      </c>
      <c r="F4310" s="13" t="s">
        <v>29</v>
      </c>
      <c r="G4310">
        <v>1</v>
      </c>
      <c r="H4310" t="s">
        <v>30</v>
      </c>
      <c r="I4310">
        <v>1</v>
      </c>
      <c r="J4310" s="15"/>
      <c r="K4310" s="16">
        <f>IF($E$1&gt;=$Q$1%,928.99-(928.99*$Q$1%),928.99-(928.99*$E$1))</f>
        <v>928.99</v>
      </c>
      <c r="L4310" s="16">
        <f>IF($E$1&gt;=$Q$1%,761.47-(761.47*$Q$1%),761.47-(761.47*$E$1))</f>
        <v>761.47</v>
      </c>
      <c r="M4310" s="1">
        <v>928.99</v>
      </c>
      <c r="N4310" s="1">
        <v>761.47</v>
      </c>
      <c r="O4310" s="1">
        <v>928.99</v>
      </c>
      <c r="P4310" s="1">
        <v>761.47</v>
      </c>
      <c r="Q4310">
        <v>0.28999999999999998</v>
      </c>
      <c r="R4310">
        <v>7.8700000000000005E-4</v>
      </c>
    </row>
    <row r="4311" spans="1:18" ht="13.8" outlineLevel="2" x14ac:dyDescent="0.25">
      <c r="A4311">
        <v>104517</v>
      </c>
      <c r="B4311" t="s">
        <v>6203</v>
      </c>
      <c r="C4311" t="s">
        <v>6213</v>
      </c>
      <c r="D4311" s="14" t="s">
        <v>6214</v>
      </c>
      <c r="E4311" s="12" t="s">
        <v>28</v>
      </c>
      <c r="F4311" s="13" t="s">
        <v>29</v>
      </c>
      <c r="G4311">
        <v>1</v>
      </c>
      <c r="H4311" t="s">
        <v>30</v>
      </c>
      <c r="I4311">
        <v>1</v>
      </c>
      <c r="J4311" s="15"/>
      <c r="K4311" s="16">
        <f>IF($E$1&gt;=$Q$1%,1425.42-(1425.42*$Q$1%),1425.42-(1425.42*$E$1))</f>
        <v>1425.42</v>
      </c>
      <c r="L4311" s="16">
        <f>IF($E$1&gt;=$Q$1%,1168.38-(1168.38*$Q$1%),1168.38-(1168.38*$E$1))</f>
        <v>1168.3800000000001</v>
      </c>
      <c r="M4311" s="1">
        <v>1425.42</v>
      </c>
      <c r="N4311" s="1">
        <v>1168.3800000000001</v>
      </c>
      <c r="O4311" s="1">
        <v>1425.42</v>
      </c>
      <c r="P4311" s="1">
        <v>1168.3800000000001</v>
      </c>
      <c r="Q4311">
        <v>0.44</v>
      </c>
      <c r="R4311">
        <v>1.2290000000000001E-3</v>
      </c>
    </row>
    <row r="4312" spans="1:18" ht="33.75" customHeight="1" x14ac:dyDescent="0.35">
      <c r="A4312" s="9"/>
      <c r="B4312" s="10" t="s">
        <v>6215</v>
      </c>
      <c r="C4312" s="10"/>
      <c r="D4312" s="10"/>
      <c r="E4312" s="10"/>
      <c r="F4312" s="10"/>
      <c r="G4312" s="10"/>
      <c r="H4312" s="10"/>
      <c r="I4312" s="10"/>
      <c r="J4312" s="10"/>
      <c r="K4312" s="10"/>
      <c r="L4312" s="10"/>
      <c r="M4312" s="10"/>
      <c r="N4312" s="10"/>
      <c r="O4312" s="10"/>
      <c r="P4312" s="10"/>
      <c r="Q4312" s="10"/>
      <c r="R4312" s="11"/>
    </row>
    <row r="4313" spans="1:18" ht="16.5" customHeight="1" outlineLevel="1" x14ac:dyDescent="0.35">
      <c r="A4313" s="9"/>
      <c r="B4313" s="10" t="s">
        <v>6216</v>
      </c>
      <c r="C4313" s="10"/>
      <c r="D4313" s="10"/>
      <c r="E4313" s="10"/>
      <c r="F4313" s="10"/>
      <c r="G4313" s="10"/>
      <c r="H4313" s="10"/>
      <c r="I4313" s="10"/>
      <c r="J4313" s="10"/>
      <c r="K4313" s="10"/>
      <c r="L4313" s="10"/>
      <c r="M4313" s="10"/>
      <c r="N4313" s="10"/>
      <c r="O4313" s="10"/>
      <c r="P4313" s="10"/>
      <c r="Q4313" s="10"/>
      <c r="R4313" s="11"/>
    </row>
    <row r="4314" spans="1:18" ht="13.8" outlineLevel="2" x14ac:dyDescent="0.25">
      <c r="A4314">
        <v>87396</v>
      </c>
      <c r="B4314" t="s">
        <v>6217</v>
      </c>
      <c r="C4314" t="s">
        <v>6218</v>
      </c>
      <c r="D4314" s="14" t="s">
        <v>6218</v>
      </c>
      <c r="E4314" s="12" t="s">
        <v>28</v>
      </c>
      <c r="F4314" s="17" t="s">
        <v>549</v>
      </c>
      <c r="G4314">
        <v>30</v>
      </c>
      <c r="H4314" t="s">
        <v>30</v>
      </c>
      <c r="I4314">
        <v>30</v>
      </c>
      <c r="J4314" s="15"/>
      <c r="K4314" s="16">
        <f>290.19 - (290.19 * $E$1)</f>
        <v>290.19</v>
      </c>
      <c r="L4314" s="16">
        <f>237.86 - (237.86 * $E$1)</f>
        <v>237.86</v>
      </c>
      <c r="M4314" s="1">
        <v>290.19</v>
      </c>
      <c r="N4314" s="1">
        <v>237.86</v>
      </c>
      <c r="O4314" s="1">
        <v>246.66</v>
      </c>
      <c r="P4314" s="1">
        <v>202.18</v>
      </c>
      <c r="Q4314">
        <v>0.10606666666667</v>
      </c>
      <c r="R4314">
        <v>2.0266666666667E-4</v>
      </c>
    </row>
    <row r="4315" spans="1:18" ht="13.8" outlineLevel="2" x14ac:dyDescent="0.25">
      <c r="A4315">
        <v>108657</v>
      </c>
      <c r="B4315" t="s">
        <v>6217</v>
      </c>
      <c r="C4315" t="s">
        <v>6219</v>
      </c>
      <c r="D4315" s="14" t="s">
        <v>6218</v>
      </c>
      <c r="E4315" s="12" t="s">
        <v>28</v>
      </c>
      <c r="F4315" s="13" t="s">
        <v>29</v>
      </c>
      <c r="G4315">
        <v>1</v>
      </c>
      <c r="H4315" t="s">
        <v>420</v>
      </c>
      <c r="I4315">
        <v>1</v>
      </c>
      <c r="J4315" s="15"/>
      <c r="K4315" s="16">
        <f>8705.55 - (8705.55 * $E$1)</f>
        <v>8705.5499999999993</v>
      </c>
      <c r="L4315" s="16">
        <f>7135.7 - (7135.7 * $E$1)</f>
        <v>7135.7</v>
      </c>
      <c r="M4315" s="1">
        <v>8705.5499999999993</v>
      </c>
      <c r="N4315" s="1">
        <v>7135.7</v>
      </c>
      <c r="O4315" s="1">
        <v>7399.72</v>
      </c>
      <c r="P4315" s="1">
        <v>6065.35</v>
      </c>
      <c r="Q4315">
        <v>3.1819999999999999</v>
      </c>
      <c r="R4315">
        <v>6.0800000000000003E-3</v>
      </c>
    </row>
    <row r="4316" spans="1:18" ht="13.8" outlineLevel="2" x14ac:dyDescent="0.25">
      <c r="A4316">
        <v>87397</v>
      </c>
      <c r="B4316" t="s">
        <v>6217</v>
      </c>
      <c r="C4316" t="s">
        <v>6220</v>
      </c>
      <c r="D4316" s="14" t="s">
        <v>6220</v>
      </c>
      <c r="E4316" s="12" t="s">
        <v>28</v>
      </c>
      <c r="F4316" s="17" t="s">
        <v>549</v>
      </c>
      <c r="G4316">
        <v>20</v>
      </c>
      <c r="H4316" t="s">
        <v>30</v>
      </c>
      <c r="I4316">
        <v>20</v>
      </c>
      <c r="J4316" s="15"/>
      <c r="K4316" s="16">
        <f>309.09 - (309.09 * $E$1)</f>
        <v>309.08999999999997</v>
      </c>
      <c r="L4316" s="16">
        <f>253.35 - (253.35 * $E$1)</f>
        <v>253.35</v>
      </c>
      <c r="M4316" s="1">
        <v>309.08999999999997</v>
      </c>
      <c r="N4316" s="1">
        <v>253.35</v>
      </c>
      <c r="O4316" s="1">
        <v>262.72000000000003</v>
      </c>
      <c r="P4316" s="1">
        <v>215.35</v>
      </c>
      <c r="Q4316">
        <v>0.15260000000000001</v>
      </c>
      <c r="R4316">
        <v>3.0400000000000002E-4</v>
      </c>
    </row>
    <row r="4317" spans="1:18" ht="13.8" outlineLevel="2" x14ac:dyDescent="0.25">
      <c r="A4317">
        <v>108659</v>
      </c>
      <c r="B4317" t="s">
        <v>6217</v>
      </c>
      <c r="C4317" t="s">
        <v>6221</v>
      </c>
      <c r="D4317" s="14" t="s">
        <v>6220</v>
      </c>
      <c r="E4317" s="12" t="s">
        <v>28</v>
      </c>
      <c r="F4317" s="13" t="s">
        <v>29</v>
      </c>
      <c r="G4317">
        <v>1</v>
      </c>
      <c r="H4317" t="s">
        <v>420</v>
      </c>
      <c r="I4317">
        <v>1</v>
      </c>
      <c r="J4317" s="15"/>
      <c r="K4317" s="16">
        <f>6181.85 - (6181.85 * $E$1)</f>
        <v>6181.85</v>
      </c>
      <c r="L4317" s="16">
        <f>5067.09 - (5067.09 * $E$1)</f>
        <v>5067.09</v>
      </c>
      <c r="M4317" s="1">
        <v>6181.85</v>
      </c>
      <c r="N4317" s="1">
        <v>5067.09</v>
      </c>
      <c r="O4317" s="1">
        <v>5254.57</v>
      </c>
      <c r="P4317" s="1">
        <v>4307.03</v>
      </c>
      <c r="Q4317">
        <v>3.052</v>
      </c>
      <c r="R4317">
        <v>6.0800000000000003E-3</v>
      </c>
    </row>
    <row r="4318" spans="1:18" ht="13.8" outlineLevel="2" x14ac:dyDescent="0.25">
      <c r="A4318">
        <v>87395</v>
      </c>
      <c r="B4318" t="s">
        <v>6217</v>
      </c>
      <c r="C4318" t="s">
        <v>6222</v>
      </c>
      <c r="D4318" s="14" t="s">
        <v>6222</v>
      </c>
      <c r="E4318" s="12" t="s">
        <v>28</v>
      </c>
      <c r="F4318" s="17" t="s">
        <v>549</v>
      </c>
      <c r="G4318">
        <v>20</v>
      </c>
      <c r="H4318" t="s">
        <v>30</v>
      </c>
      <c r="I4318">
        <v>20</v>
      </c>
      <c r="J4318" s="15"/>
      <c r="K4318" s="16">
        <f>222.55 - (222.55 * $E$1)</f>
        <v>222.55</v>
      </c>
      <c r="L4318" s="16">
        <f>182.42 - (182.42 * $E$1)</f>
        <v>182.42</v>
      </c>
      <c r="M4318" s="1">
        <v>222.55</v>
      </c>
      <c r="N4318" s="1">
        <v>182.42</v>
      </c>
      <c r="O4318" s="1">
        <v>189.17</v>
      </c>
      <c r="P4318" s="1">
        <v>155.06</v>
      </c>
      <c r="Q4318">
        <v>5.8099999999999999E-2</v>
      </c>
      <c r="R4318">
        <v>1.1655E-4</v>
      </c>
    </row>
    <row r="4319" spans="1:18" ht="13.8" outlineLevel="2" x14ac:dyDescent="0.25">
      <c r="A4319">
        <v>108658</v>
      </c>
      <c r="B4319" t="s">
        <v>6217</v>
      </c>
      <c r="C4319" t="s">
        <v>6223</v>
      </c>
      <c r="D4319" s="14" t="s">
        <v>6222</v>
      </c>
      <c r="E4319" s="12" t="s">
        <v>28</v>
      </c>
      <c r="F4319" s="13" t="s">
        <v>29</v>
      </c>
      <c r="G4319">
        <v>1</v>
      </c>
      <c r="H4319" t="s">
        <v>420</v>
      </c>
      <c r="I4319">
        <v>1</v>
      </c>
      <c r="J4319" s="15"/>
      <c r="K4319" s="16">
        <f>4450.96 - (4450.96 * $E$1)</f>
        <v>4450.96</v>
      </c>
      <c r="L4319" s="16">
        <f>3648.33 - (3648.33 * $E$1)</f>
        <v>3648.33</v>
      </c>
      <c r="M4319" s="1">
        <v>4450.96</v>
      </c>
      <c r="N4319" s="1">
        <v>3648.33</v>
      </c>
      <c r="O4319" s="1">
        <v>3783.32</v>
      </c>
      <c r="P4319" s="1">
        <v>3101.08</v>
      </c>
      <c r="Q4319">
        <v>1.1619999999999999</v>
      </c>
      <c r="R4319">
        <v>2.3310000000000002E-3</v>
      </c>
    </row>
    <row r="4320" spans="1:18" ht="13.8" outlineLevel="2" x14ac:dyDescent="0.25">
      <c r="A4320">
        <v>102572</v>
      </c>
      <c r="B4320" t="s">
        <v>6217</v>
      </c>
      <c r="C4320" t="s">
        <v>6224</v>
      </c>
      <c r="D4320" s="14" t="s">
        <v>6224</v>
      </c>
      <c r="E4320" s="12" t="s">
        <v>28</v>
      </c>
      <c r="F4320" s="17" t="s">
        <v>549</v>
      </c>
      <c r="G4320">
        <v>20</v>
      </c>
      <c r="H4320" t="s">
        <v>30</v>
      </c>
      <c r="I4320">
        <v>20</v>
      </c>
      <c r="J4320" s="15"/>
      <c r="K4320" s="16">
        <f>186.68 - (186.68 * $E$1)</f>
        <v>186.68</v>
      </c>
      <c r="L4320" s="16">
        <f>153.02 - (153.02 * $E$1)</f>
        <v>153.02000000000001</v>
      </c>
      <c r="M4320" s="1">
        <v>186.68</v>
      </c>
      <c r="N4320" s="1">
        <v>153.02000000000001</v>
      </c>
      <c r="O4320" s="1">
        <v>158.68</v>
      </c>
      <c r="P4320" s="1">
        <v>130.07</v>
      </c>
      <c r="Q4320">
        <v>5.5E-2</v>
      </c>
      <c r="R4320">
        <v>1.1655E-4</v>
      </c>
    </row>
    <row r="4321" spans="1:18" ht="13.8" outlineLevel="2" x14ac:dyDescent="0.25">
      <c r="A4321">
        <v>108661</v>
      </c>
      <c r="B4321" t="s">
        <v>6217</v>
      </c>
      <c r="C4321" t="s">
        <v>6225</v>
      </c>
      <c r="D4321" s="14" t="s">
        <v>6224</v>
      </c>
      <c r="E4321" s="12" t="s">
        <v>28</v>
      </c>
      <c r="F4321" s="13" t="s">
        <v>29</v>
      </c>
      <c r="G4321">
        <v>1</v>
      </c>
      <c r="H4321" t="s">
        <v>420</v>
      </c>
      <c r="I4321">
        <v>1</v>
      </c>
      <c r="J4321" s="15"/>
      <c r="K4321" s="16">
        <f>3733.86 - (3733.86 * $E$1)</f>
        <v>3733.86</v>
      </c>
      <c r="L4321" s="16">
        <f>3060.54 - (3060.54 * $E$1)</f>
        <v>3060.54</v>
      </c>
      <c r="M4321" s="1">
        <v>3733.86</v>
      </c>
      <c r="N4321" s="1">
        <v>3060.54</v>
      </c>
      <c r="O4321" s="1">
        <v>3173.78</v>
      </c>
      <c r="P4321" s="1">
        <v>2601.46</v>
      </c>
      <c r="Q4321">
        <v>1.1000000000000001</v>
      </c>
      <c r="R4321">
        <v>2.3310000000000002E-3</v>
      </c>
    </row>
    <row r="4322" spans="1:18" ht="13.8" outlineLevel="2" x14ac:dyDescent="0.25">
      <c r="A4322">
        <v>87398</v>
      </c>
      <c r="B4322" t="s">
        <v>6217</v>
      </c>
      <c r="C4322" t="s">
        <v>6226</v>
      </c>
      <c r="D4322" s="14" t="s">
        <v>6226</v>
      </c>
      <c r="E4322" s="12" t="s">
        <v>28</v>
      </c>
      <c r="F4322" s="17" t="s">
        <v>549</v>
      </c>
      <c r="G4322">
        <v>20</v>
      </c>
      <c r="H4322" t="s">
        <v>30</v>
      </c>
      <c r="I4322">
        <v>20</v>
      </c>
      <c r="J4322" s="15"/>
      <c r="K4322" s="16">
        <f>167.05 - (167.05 * $E$1)</f>
        <v>167.05</v>
      </c>
      <c r="L4322" s="16">
        <f>136.93 - (136.93 * $E$1)</f>
        <v>136.93</v>
      </c>
      <c r="M4322" s="1">
        <v>167.05</v>
      </c>
      <c r="N4322" s="1">
        <v>136.93</v>
      </c>
      <c r="O4322" s="1">
        <v>142</v>
      </c>
      <c r="P4322" s="1">
        <v>116.39</v>
      </c>
      <c r="Q4322">
        <v>5.7700000000000001E-2</v>
      </c>
      <c r="R4322">
        <v>1.172E-4</v>
      </c>
    </row>
    <row r="4323" spans="1:18" ht="13.8" outlineLevel="2" x14ac:dyDescent="0.25">
      <c r="A4323">
        <v>108660</v>
      </c>
      <c r="B4323" t="s">
        <v>6217</v>
      </c>
      <c r="C4323" t="s">
        <v>6227</v>
      </c>
      <c r="D4323" s="14" t="s">
        <v>6226</v>
      </c>
      <c r="E4323" s="12" t="s">
        <v>28</v>
      </c>
      <c r="F4323" s="13" t="s">
        <v>29</v>
      </c>
      <c r="G4323">
        <v>1</v>
      </c>
      <c r="H4323" t="s">
        <v>420</v>
      </c>
      <c r="I4323">
        <v>1</v>
      </c>
      <c r="J4323" s="15"/>
      <c r="K4323" s="16">
        <f>3341.1 - (3341.1 * $E$1)</f>
        <v>3341.1</v>
      </c>
      <c r="L4323" s="16">
        <f>2738.61 - (2738.61 * $E$1)</f>
        <v>2738.61</v>
      </c>
      <c r="M4323" s="1">
        <v>3341.1</v>
      </c>
      <c r="N4323" s="1">
        <v>2738.61</v>
      </c>
      <c r="O4323" s="1">
        <v>2839.94</v>
      </c>
      <c r="P4323" s="1">
        <v>2327.8200000000002</v>
      </c>
      <c r="Q4323">
        <v>1.1539999999999999</v>
      </c>
      <c r="R4323">
        <v>2.3440000000000002E-3</v>
      </c>
    </row>
    <row r="4324" spans="1:18" ht="13.8" outlineLevel="2" x14ac:dyDescent="0.25">
      <c r="A4324">
        <v>87399</v>
      </c>
      <c r="B4324" t="s">
        <v>6228</v>
      </c>
      <c r="C4324" t="s">
        <v>6229</v>
      </c>
      <c r="D4324" s="14" t="s">
        <v>6229</v>
      </c>
      <c r="E4324" s="12" t="s">
        <v>28</v>
      </c>
      <c r="F4324" s="17" t="s">
        <v>549</v>
      </c>
      <c r="G4324">
        <v>20</v>
      </c>
      <c r="H4324" t="s">
        <v>30</v>
      </c>
      <c r="I4324">
        <v>20</v>
      </c>
      <c r="J4324" s="15"/>
      <c r="K4324" s="16">
        <f>141.96 - (141.96 * $E$1)</f>
        <v>141.96</v>
      </c>
      <c r="L4324" s="16">
        <f>116.36 - (116.36 * $E$1)</f>
        <v>116.36</v>
      </c>
      <c r="M4324" s="1">
        <v>141.96</v>
      </c>
      <c r="N4324" s="1">
        <v>116.36</v>
      </c>
      <c r="O4324" s="1">
        <v>120.67</v>
      </c>
      <c r="P4324" s="1">
        <v>98.91</v>
      </c>
      <c r="Q4324">
        <v>5.6800000000000003E-2</v>
      </c>
      <c r="R4324">
        <v>1.1655E-4</v>
      </c>
    </row>
    <row r="4325" spans="1:18" ht="13.8" outlineLevel="2" x14ac:dyDescent="0.25">
      <c r="A4325">
        <v>108663</v>
      </c>
      <c r="B4325" t="s">
        <v>6217</v>
      </c>
      <c r="C4325" t="s">
        <v>6230</v>
      </c>
      <c r="D4325" s="14" t="s">
        <v>6229</v>
      </c>
      <c r="E4325" s="12" t="s">
        <v>28</v>
      </c>
      <c r="F4325" s="13" t="s">
        <v>29</v>
      </c>
      <c r="G4325">
        <v>1</v>
      </c>
      <c r="H4325" t="s">
        <v>420</v>
      </c>
      <c r="I4325">
        <v>1</v>
      </c>
      <c r="J4325" s="15"/>
      <c r="K4325" s="16">
        <f>2839.21 - (2839.21 * $E$1)</f>
        <v>2839.21</v>
      </c>
      <c r="L4325" s="16">
        <f>2327.22 - (2327.22 * $E$1)</f>
        <v>2327.2199999999998</v>
      </c>
      <c r="M4325" s="1">
        <v>2839.21</v>
      </c>
      <c r="N4325" s="1">
        <v>2327.2199999999998</v>
      </c>
      <c r="O4325" s="1">
        <v>2413.33</v>
      </c>
      <c r="P4325" s="1">
        <v>1978.14</v>
      </c>
      <c r="Q4325">
        <v>1.1359999999999999</v>
      </c>
      <c r="R4325">
        <v>2.3310000000000002E-3</v>
      </c>
    </row>
    <row r="4326" spans="1:18" ht="13.8" outlineLevel="2" x14ac:dyDescent="0.25">
      <c r="A4326">
        <v>87401</v>
      </c>
      <c r="B4326" t="s">
        <v>6228</v>
      </c>
      <c r="C4326" t="s">
        <v>6231</v>
      </c>
      <c r="D4326" s="14" t="s">
        <v>6231</v>
      </c>
      <c r="E4326" s="12" t="s">
        <v>28</v>
      </c>
      <c r="F4326" s="17" t="s">
        <v>549</v>
      </c>
      <c r="G4326">
        <v>20</v>
      </c>
      <c r="H4326" t="s">
        <v>30</v>
      </c>
      <c r="I4326">
        <v>20</v>
      </c>
      <c r="J4326" s="15"/>
      <c r="K4326" s="16">
        <f>411.69 - (411.69 * $E$1)</f>
        <v>411.69</v>
      </c>
      <c r="L4326" s="16">
        <f>337.45 - (337.45 * $E$1)</f>
        <v>337.45</v>
      </c>
      <c r="M4326" s="1">
        <v>411.69</v>
      </c>
      <c r="N4326" s="1">
        <v>337.45</v>
      </c>
      <c r="O4326" s="1">
        <v>349.94</v>
      </c>
      <c r="P4326" s="1">
        <v>286.83</v>
      </c>
      <c r="Q4326">
        <v>0.1837</v>
      </c>
      <c r="R4326">
        <v>2.9924999999999998E-4</v>
      </c>
    </row>
    <row r="4327" spans="1:18" ht="13.8" outlineLevel="2" x14ac:dyDescent="0.25">
      <c r="A4327">
        <v>108664</v>
      </c>
      <c r="B4327" t="s">
        <v>6217</v>
      </c>
      <c r="C4327" t="s">
        <v>6232</v>
      </c>
      <c r="D4327" s="14" t="s">
        <v>6231</v>
      </c>
      <c r="E4327" s="12" t="s">
        <v>28</v>
      </c>
      <c r="F4327" s="13" t="s">
        <v>29</v>
      </c>
      <c r="G4327">
        <v>1</v>
      </c>
      <c r="H4327" t="s">
        <v>420</v>
      </c>
      <c r="I4327">
        <v>1</v>
      </c>
      <c r="J4327" s="15"/>
      <c r="K4327" s="16">
        <f>8233.76 - (8233.76 * $E$1)</f>
        <v>8233.76</v>
      </c>
      <c r="L4327" s="16">
        <f>6748.98 - (6748.98 * $E$1)</f>
        <v>6748.98</v>
      </c>
      <c r="M4327" s="1">
        <v>8233.76</v>
      </c>
      <c r="N4327" s="1">
        <v>6748.98</v>
      </c>
      <c r="O4327" s="1">
        <v>6998.69</v>
      </c>
      <c r="P4327" s="1">
        <v>5736.63</v>
      </c>
      <c r="Q4327">
        <v>3.6739999999999999</v>
      </c>
      <c r="R4327">
        <v>5.9849999999999999E-3</v>
      </c>
    </row>
    <row r="4328" spans="1:18" ht="13.8" outlineLevel="2" x14ac:dyDescent="0.25">
      <c r="A4328">
        <v>87400</v>
      </c>
      <c r="B4328" t="s">
        <v>6228</v>
      </c>
      <c r="C4328" t="s">
        <v>6233</v>
      </c>
      <c r="D4328" s="14" t="s">
        <v>6233</v>
      </c>
      <c r="E4328" s="12" t="s">
        <v>28</v>
      </c>
      <c r="F4328" s="17" t="s">
        <v>549</v>
      </c>
      <c r="G4328">
        <v>30</v>
      </c>
      <c r="H4328" t="s">
        <v>30</v>
      </c>
      <c r="I4328">
        <v>30</v>
      </c>
      <c r="J4328" s="15"/>
      <c r="K4328" s="16">
        <f>290.19 - (290.19 * $E$1)</f>
        <v>290.19</v>
      </c>
      <c r="L4328" s="16">
        <f>237.86 - (237.86 * $E$1)</f>
        <v>237.86</v>
      </c>
      <c r="M4328" s="1">
        <v>290.19</v>
      </c>
      <c r="N4328" s="1">
        <v>237.86</v>
      </c>
      <c r="O4328" s="1">
        <v>246.66</v>
      </c>
      <c r="P4328" s="1">
        <v>202.18</v>
      </c>
      <c r="Q4328">
        <v>0.10646666666667</v>
      </c>
      <c r="R4328">
        <v>1.995E-4</v>
      </c>
    </row>
    <row r="4329" spans="1:18" ht="13.8" outlineLevel="2" x14ac:dyDescent="0.25">
      <c r="A4329">
        <v>108662</v>
      </c>
      <c r="B4329" t="s">
        <v>6217</v>
      </c>
      <c r="C4329" t="s">
        <v>6234</v>
      </c>
      <c r="D4329" s="14" t="s">
        <v>6233</v>
      </c>
      <c r="E4329" s="12" t="s">
        <v>28</v>
      </c>
      <c r="F4329" s="13" t="s">
        <v>29</v>
      </c>
      <c r="G4329">
        <v>1</v>
      </c>
      <c r="H4329" t="s">
        <v>420</v>
      </c>
      <c r="I4329">
        <v>1</v>
      </c>
      <c r="J4329" s="15"/>
      <c r="K4329" s="16">
        <f>8705.55 - (8705.55 * $E$1)</f>
        <v>8705.5499999999993</v>
      </c>
      <c r="L4329" s="16">
        <f>7135.7 - (7135.7 * $E$1)</f>
        <v>7135.7</v>
      </c>
      <c r="M4329" s="1">
        <v>8705.5499999999993</v>
      </c>
      <c r="N4329" s="1">
        <v>7135.7</v>
      </c>
      <c r="O4329" s="1">
        <v>7399.72</v>
      </c>
      <c r="P4329" s="1">
        <v>6065.35</v>
      </c>
      <c r="Q4329">
        <v>3.194</v>
      </c>
      <c r="R4329">
        <v>5.9849999999999999E-3</v>
      </c>
    </row>
    <row r="4330" spans="1:18" ht="13.8" outlineLevel="2" x14ac:dyDescent="0.25">
      <c r="A4330">
        <v>58135</v>
      </c>
      <c r="B4330" t="s">
        <v>6228</v>
      </c>
      <c r="C4330" t="s">
        <v>6235</v>
      </c>
      <c r="D4330" s="14" t="s">
        <v>6235</v>
      </c>
      <c r="E4330" s="12" t="s">
        <v>28</v>
      </c>
      <c r="F4330" s="17" t="s">
        <v>549</v>
      </c>
      <c r="G4330">
        <v>60</v>
      </c>
      <c r="H4330" t="s">
        <v>30</v>
      </c>
      <c r="I4330">
        <v>60</v>
      </c>
      <c r="J4330" s="15"/>
      <c r="K4330" s="16">
        <f>167.68 - (167.68 * $E$1)</f>
        <v>167.68</v>
      </c>
      <c r="L4330" s="16">
        <f>137.44 - (137.44 * $E$1)</f>
        <v>137.44</v>
      </c>
      <c r="M4330" s="1">
        <v>167.68</v>
      </c>
      <c r="N4330" s="1">
        <v>137.44</v>
      </c>
      <c r="O4330" s="1">
        <v>142.53</v>
      </c>
      <c r="P4330" s="1">
        <v>116.82</v>
      </c>
      <c r="Q4330">
        <v>6.6333333333332994E-2</v>
      </c>
      <c r="R4330">
        <v>1.05E-4</v>
      </c>
    </row>
    <row r="4331" spans="1:18" ht="13.8" outlineLevel="2" x14ac:dyDescent="0.25">
      <c r="A4331">
        <v>108652</v>
      </c>
      <c r="B4331" t="s">
        <v>6217</v>
      </c>
      <c r="C4331" t="s">
        <v>6236</v>
      </c>
      <c r="D4331" s="14" t="s">
        <v>6235</v>
      </c>
      <c r="E4331" s="12" t="s">
        <v>28</v>
      </c>
      <c r="F4331" s="13" t="s">
        <v>29</v>
      </c>
      <c r="G4331">
        <v>1</v>
      </c>
      <c r="H4331" t="s">
        <v>420</v>
      </c>
      <c r="I4331">
        <v>1</v>
      </c>
      <c r="J4331" s="15"/>
      <c r="K4331" s="16">
        <f>3353.4 - (3353.4 * $E$1)</f>
        <v>3353.4</v>
      </c>
      <c r="L4331" s="16">
        <f>2748.69 - (2748.69 * $E$1)</f>
        <v>2748.69</v>
      </c>
      <c r="M4331" s="1">
        <v>3353.4</v>
      </c>
      <c r="N4331" s="1">
        <v>2748.69</v>
      </c>
      <c r="O4331" s="1">
        <v>2850.39</v>
      </c>
      <c r="P4331" s="1">
        <v>2336.39</v>
      </c>
      <c r="Q4331">
        <v>1.3</v>
      </c>
      <c r="R4331">
        <v>2.5200000000000001E-3</v>
      </c>
    </row>
    <row r="4332" spans="1:18" ht="13.8" outlineLevel="2" x14ac:dyDescent="0.25">
      <c r="A4332">
        <v>58136</v>
      </c>
      <c r="B4332" t="s">
        <v>6228</v>
      </c>
      <c r="C4332" t="s">
        <v>6237</v>
      </c>
      <c r="D4332" s="14" t="s">
        <v>6237</v>
      </c>
      <c r="E4332" s="12" t="s">
        <v>28</v>
      </c>
      <c r="F4332" s="17" t="s">
        <v>549</v>
      </c>
      <c r="G4332">
        <v>24</v>
      </c>
      <c r="H4332" t="s">
        <v>30</v>
      </c>
      <c r="I4332">
        <v>24</v>
      </c>
      <c r="J4332" s="15"/>
      <c r="K4332" s="16">
        <f>266.56 - (266.56 * $E$1)</f>
        <v>266.56</v>
      </c>
      <c r="L4332" s="16">
        <f>218.49 - (218.49 * $E$1)</f>
        <v>218.49</v>
      </c>
      <c r="M4332" s="1">
        <v>266.56</v>
      </c>
      <c r="N4332" s="1">
        <v>218.49</v>
      </c>
      <c r="O4332" s="1">
        <v>226.57</v>
      </c>
      <c r="P4332" s="1">
        <v>185.72</v>
      </c>
      <c r="Q4332">
        <v>0.14583333333333001</v>
      </c>
      <c r="R4332">
        <v>2.6249999999999998E-4</v>
      </c>
    </row>
    <row r="4333" spans="1:18" ht="13.8" outlineLevel="2" x14ac:dyDescent="0.25">
      <c r="A4333">
        <v>108653</v>
      </c>
      <c r="B4333" t="s">
        <v>6217</v>
      </c>
      <c r="C4333" t="s">
        <v>6238</v>
      </c>
      <c r="D4333" s="14" t="s">
        <v>6237</v>
      </c>
      <c r="E4333" s="12" t="s">
        <v>28</v>
      </c>
      <c r="F4333" s="13" t="s">
        <v>29</v>
      </c>
      <c r="G4333">
        <v>1</v>
      </c>
      <c r="H4333" t="s">
        <v>420</v>
      </c>
      <c r="I4333">
        <v>1</v>
      </c>
      <c r="J4333" s="15"/>
      <c r="K4333" s="16">
        <f>6397.2 - (6397.2 * $E$1)</f>
        <v>6397.2</v>
      </c>
      <c r="L4333" s="16">
        <f>5243.61 - (5243.61 * $E$1)</f>
        <v>5243.61</v>
      </c>
      <c r="M4333" s="1">
        <v>6397.2</v>
      </c>
      <c r="N4333" s="1">
        <v>5243.61</v>
      </c>
      <c r="O4333" s="1">
        <v>5437.62</v>
      </c>
      <c r="P4333" s="1">
        <v>4457.07</v>
      </c>
      <c r="Q4333">
        <v>3.5</v>
      </c>
      <c r="R4333">
        <v>6.3E-3</v>
      </c>
    </row>
    <row r="4334" spans="1:18" ht="13.8" outlineLevel="2" x14ac:dyDescent="0.25">
      <c r="A4334">
        <v>58137</v>
      </c>
      <c r="B4334" t="s">
        <v>6228</v>
      </c>
      <c r="C4334" t="s">
        <v>6239</v>
      </c>
      <c r="D4334" s="14" t="s">
        <v>6239</v>
      </c>
      <c r="E4334" s="12" t="s">
        <v>28</v>
      </c>
      <c r="F4334" s="17" t="s">
        <v>549</v>
      </c>
      <c r="G4334">
        <v>24</v>
      </c>
      <c r="H4334" t="s">
        <v>30</v>
      </c>
      <c r="I4334">
        <v>24</v>
      </c>
      <c r="J4334" s="15"/>
      <c r="K4334" s="16">
        <f>277.29 - (277.29 * $E$1)</f>
        <v>277.29000000000002</v>
      </c>
      <c r="L4334" s="16">
        <f>227.29 - (227.29 * $E$1)</f>
        <v>227.29</v>
      </c>
      <c r="M4334" s="1">
        <v>277.29000000000002</v>
      </c>
      <c r="N4334" s="1">
        <v>227.29</v>
      </c>
      <c r="O4334" s="1">
        <v>235.7</v>
      </c>
      <c r="P4334" s="1">
        <v>193.2</v>
      </c>
      <c r="Q4334">
        <v>0.14499999999999999</v>
      </c>
      <c r="R4334">
        <v>2.6249999999999998E-4</v>
      </c>
    </row>
    <row r="4335" spans="1:18" ht="13.8" outlineLevel="2" x14ac:dyDescent="0.25">
      <c r="A4335">
        <v>108656</v>
      </c>
      <c r="B4335" t="s">
        <v>6217</v>
      </c>
      <c r="C4335" t="s">
        <v>6240</v>
      </c>
      <c r="D4335" s="14" t="s">
        <v>6239</v>
      </c>
      <c r="E4335" s="12" t="s">
        <v>28</v>
      </c>
      <c r="F4335" s="13" t="s">
        <v>29</v>
      </c>
      <c r="G4335">
        <v>1</v>
      </c>
      <c r="H4335" t="s">
        <v>420</v>
      </c>
      <c r="I4335">
        <v>1</v>
      </c>
      <c r="J4335" s="15"/>
      <c r="K4335" s="16">
        <f>6655.15 - (6655.15 * $E$1)</f>
        <v>6655.15</v>
      </c>
      <c r="L4335" s="16">
        <f>5455.04 - (5455.04 * $E$1)</f>
        <v>5455.04</v>
      </c>
      <c r="M4335" s="1">
        <v>6655.15</v>
      </c>
      <c r="N4335" s="1">
        <v>5455.04</v>
      </c>
      <c r="O4335" s="1">
        <v>5656.88</v>
      </c>
      <c r="P4335" s="1">
        <v>4636.78</v>
      </c>
      <c r="Q4335">
        <v>3.48</v>
      </c>
      <c r="R4335">
        <v>6.3E-3</v>
      </c>
    </row>
    <row r="4336" spans="1:18" ht="13.8" outlineLevel="2" x14ac:dyDescent="0.25">
      <c r="A4336">
        <v>58138</v>
      </c>
      <c r="B4336" t="s">
        <v>6228</v>
      </c>
      <c r="C4336" t="s">
        <v>6241</v>
      </c>
      <c r="D4336" s="14" t="s">
        <v>6241</v>
      </c>
      <c r="E4336" s="12" t="s">
        <v>28</v>
      </c>
      <c r="F4336" s="17" t="s">
        <v>549</v>
      </c>
      <c r="G4336">
        <v>20</v>
      </c>
      <c r="H4336" t="s">
        <v>30</v>
      </c>
      <c r="I4336">
        <v>20</v>
      </c>
      <c r="J4336" s="15"/>
      <c r="K4336" s="16">
        <f>303.1 - (303.1 * $E$1)</f>
        <v>303.10000000000002</v>
      </c>
      <c r="L4336" s="16">
        <f>248.44 - (248.44 * $E$1)</f>
        <v>248.44</v>
      </c>
      <c r="M4336" s="1">
        <v>303.10000000000002</v>
      </c>
      <c r="N4336" s="1">
        <v>248.44</v>
      </c>
      <c r="O4336" s="1">
        <v>257.63</v>
      </c>
      <c r="P4336" s="1">
        <v>211.17</v>
      </c>
      <c r="Q4336">
        <v>0.1835</v>
      </c>
      <c r="R4336">
        <v>3.1500000000000001E-4</v>
      </c>
    </row>
    <row r="4337" spans="1:18" ht="13.8" outlineLevel="2" x14ac:dyDescent="0.25">
      <c r="A4337">
        <v>108654</v>
      </c>
      <c r="B4337" t="s">
        <v>6217</v>
      </c>
      <c r="C4337" t="s">
        <v>6242</v>
      </c>
      <c r="D4337" s="14" t="s">
        <v>6241</v>
      </c>
      <c r="E4337" s="12" t="s">
        <v>28</v>
      </c>
      <c r="F4337" s="13" t="s">
        <v>29</v>
      </c>
      <c r="G4337">
        <v>1</v>
      </c>
      <c r="H4337" t="s">
        <v>420</v>
      </c>
      <c r="I4337">
        <v>1</v>
      </c>
      <c r="J4337" s="15"/>
      <c r="K4337" s="16">
        <f>6061.95 - (6061.95 * $E$1)</f>
        <v>6061.95</v>
      </c>
      <c r="L4337" s="16">
        <f>4968.81 - (4968.81 * $E$1)</f>
        <v>4968.8100000000004</v>
      </c>
      <c r="M4337" s="1">
        <v>6061.95</v>
      </c>
      <c r="N4337" s="1">
        <v>4968.8100000000004</v>
      </c>
      <c r="O4337" s="1">
        <v>5152.66</v>
      </c>
      <c r="P4337" s="1">
        <v>4223.49</v>
      </c>
      <c r="Q4337">
        <v>3.67</v>
      </c>
      <c r="R4337">
        <v>6.3E-3</v>
      </c>
    </row>
    <row r="4338" spans="1:18" ht="13.8" outlineLevel="2" x14ac:dyDescent="0.25">
      <c r="A4338">
        <v>61203</v>
      </c>
      <c r="B4338" t="s">
        <v>6228</v>
      </c>
      <c r="C4338" t="s">
        <v>6243</v>
      </c>
      <c r="D4338" s="14" t="s">
        <v>6243</v>
      </c>
      <c r="E4338" s="12" t="s">
        <v>28</v>
      </c>
      <c r="F4338" s="17" t="s">
        <v>549</v>
      </c>
      <c r="G4338">
        <v>20</v>
      </c>
      <c r="H4338" t="s">
        <v>30</v>
      </c>
      <c r="I4338">
        <v>20</v>
      </c>
      <c r="J4338" s="15"/>
      <c r="K4338" s="16">
        <f>483.67 - (483.67 * $E$1)</f>
        <v>483.67</v>
      </c>
      <c r="L4338" s="16">
        <f>396.45 - (396.45 * $E$1)</f>
        <v>396.45</v>
      </c>
      <c r="M4338" s="1">
        <v>483.67</v>
      </c>
      <c r="N4338" s="1">
        <v>396.45</v>
      </c>
      <c r="O4338" s="1">
        <v>411.12</v>
      </c>
      <c r="P4338" s="1">
        <v>336.98</v>
      </c>
      <c r="Q4338">
        <v>0.23599999999999999</v>
      </c>
      <c r="R4338">
        <v>3.1500000000000001E-4</v>
      </c>
    </row>
    <row r="4339" spans="1:18" ht="13.8" outlineLevel="2" x14ac:dyDescent="0.25">
      <c r="A4339">
        <v>108655</v>
      </c>
      <c r="B4339" t="s">
        <v>6217</v>
      </c>
      <c r="C4339" t="s">
        <v>6244</v>
      </c>
      <c r="D4339" s="14" t="s">
        <v>6243</v>
      </c>
      <c r="E4339" s="12" t="s">
        <v>28</v>
      </c>
      <c r="F4339" s="13" t="s">
        <v>29</v>
      </c>
      <c r="G4339">
        <v>1</v>
      </c>
      <c r="H4339" t="s">
        <v>420</v>
      </c>
      <c r="I4339">
        <v>1</v>
      </c>
      <c r="J4339" s="15"/>
      <c r="K4339" s="16">
        <f>9673.34 - (9673.34 * $E$1)</f>
        <v>9673.34</v>
      </c>
      <c r="L4339" s="16">
        <f>7928.97 - (7928.97 * $E$1)</f>
        <v>7928.97</v>
      </c>
      <c r="M4339" s="1">
        <v>9673.34</v>
      </c>
      <c r="N4339" s="1">
        <v>7928.97</v>
      </c>
      <c r="O4339" s="1">
        <v>8222.34</v>
      </c>
      <c r="P4339" s="1">
        <v>6739.62</v>
      </c>
      <c r="Q4339">
        <v>4.72</v>
      </c>
      <c r="R4339">
        <v>6.3E-3</v>
      </c>
    </row>
    <row r="4340" spans="1:18" ht="13.8" outlineLevel="2" x14ac:dyDescent="0.25">
      <c r="A4340">
        <v>59360</v>
      </c>
      <c r="B4340" t="s">
        <v>6228</v>
      </c>
      <c r="C4340" t="s">
        <v>6245</v>
      </c>
      <c r="D4340" s="14" t="s">
        <v>6246</v>
      </c>
      <c r="E4340" s="12" t="s">
        <v>28</v>
      </c>
      <c r="F4340" s="13" t="s">
        <v>29</v>
      </c>
      <c r="G4340">
        <v>1</v>
      </c>
      <c r="H4340" t="s">
        <v>30</v>
      </c>
      <c r="I4340">
        <v>10</v>
      </c>
      <c r="J4340" s="15"/>
      <c r="K4340" s="16">
        <f>346.21 - (346.21 * $E$1)</f>
        <v>346.21</v>
      </c>
      <c r="L4340" s="16">
        <f>283.78 - (283.78 * $E$1)</f>
        <v>283.77999999999997</v>
      </c>
      <c r="M4340" s="1">
        <v>346.21</v>
      </c>
      <c r="N4340" s="1">
        <v>283.77999999999997</v>
      </c>
      <c r="O4340" s="1">
        <v>294.27999999999997</v>
      </c>
      <c r="P4340" s="1">
        <v>241.21</v>
      </c>
      <c r="Q4340">
        <v>0.1</v>
      </c>
      <c r="R4340">
        <v>3.7599999999999998E-4</v>
      </c>
    </row>
    <row r="4341" spans="1:18" ht="13.8" outlineLevel="2" x14ac:dyDescent="0.25">
      <c r="A4341">
        <v>108665</v>
      </c>
      <c r="B4341" t="s">
        <v>6217</v>
      </c>
      <c r="C4341" t="s">
        <v>6247</v>
      </c>
      <c r="D4341" s="14" t="s">
        <v>6246</v>
      </c>
      <c r="E4341" s="12" t="s">
        <v>28</v>
      </c>
      <c r="F4341" s="13" t="s">
        <v>29</v>
      </c>
      <c r="G4341">
        <v>1</v>
      </c>
      <c r="H4341" t="s">
        <v>420</v>
      </c>
      <c r="I4341">
        <v>1</v>
      </c>
      <c r="J4341" s="15"/>
      <c r="K4341" s="16">
        <f>3462.03 - (3462.03 * $E$1)</f>
        <v>3462.03</v>
      </c>
      <c r="L4341" s="16">
        <f>2837.73 - (2837.73 * $E$1)</f>
        <v>2837.73</v>
      </c>
      <c r="M4341" s="1">
        <v>3462.03</v>
      </c>
      <c r="N4341" s="1">
        <v>2837.73</v>
      </c>
      <c r="O4341" s="1">
        <v>2942.73</v>
      </c>
      <c r="P4341" s="1">
        <v>2412.0700000000002</v>
      </c>
      <c r="Q4341">
        <v>1.08</v>
      </c>
      <c r="R4341">
        <v>2.9220000000000001E-3</v>
      </c>
    </row>
    <row r="4342" spans="1:18" ht="13.8" outlineLevel="2" x14ac:dyDescent="0.25">
      <c r="A4342">
        <v>66862</v>
      </c>
      <c r="B4342" t="s">
        <v>6248</v>
      </c>
      <c r="C4342" t="s">
        <v>6249</v>
      </c>
      <c r="D4342" s="14" t="s">
        <v>6249</v>
      </c>
      <c r="E4342" s="12" t="s">
        <v>28</v>
      </c>
      <c r="F4342" s="17" t="s">
        <v>549</v>
      </c>
      <c r="G4342">
        <v>1</v>
      </c>
      <c r="H4342" t="s">
        <v>30</v>
      </c>
      <c r="I4342">
        <v>12</v>
      </c>
      <c r="J4342" s="15"/>
      <c r="K4342" s="16">
        <f>122.79 - (122.79 * $E$1)</f>
        <v>122.79</v>
      </c>
      <c r="L4342" s="16">
        <f>100.65 - (100.65 * $E$1)</f>
        <v>100.65</v>
      </c>
      <c r="M4342" s="1">
        <v>122.79</v>
      </c>
      <c r="N4342" s="1">
        <v>100.65</v>
      </c>
      <c r="O4342" s="1">
        <v>104.37</v>
      </c>
      <c r="P4342" s="1">
        <v>85.55</v>
      </c>
      <c r="Q4342">
        <v>5.8000000000000003E-2</v>
      </c>
      <c r="R4342">
        <v>6.7999999999999999E-5</v>
      </c>
    </row>
    <row r="4343" spans="1:18" ht="13.8" outlineLevel="2" x14ac:dyDescent="0.25">
      <c r="A4343">
        <v>108667</v>
      </c>
      <c r="B4343" t="s">
        <v>6250</v>
      </c>
      <c r="C4343" t="s">
        <v>6251</v>
      </c>
      <c r="D4343" s="14" t="s">
        <v>6249</v>
      </c>
      <c r="E4343" s="12" t="s">
        <v>28</v>
      </c>
      <c r="F4343" s="13" t="s">
        <v>29</v>
      </c>
      <c r="G4343">
        <v>1</v>
      </c>
      <c r="H4343" t="s">
        <v>420</v>
      </c>
      <c r="I4343">
        <v>1</v>
      </c>
      <c r="J4343" s="15"/>
      <c r="K4343" s="16">
        <f>1473.41 - (1473.41 * $E$1)</f>
        <v>1473.41</v>
      </c>
      <c r="L4343" s="16">
        <f>1207.71 - (1207.71 * $E$1)</f>
        <v>1207.71</v>
      </c>
      <c r="M4343" s="1">
        <v>1473.41</v>
      </c>
      <c r="N4343" s="1">
        <v>1207.71</v>
      </c>
      <c r="O4343" s="1">
        <v>1252.4000000000001</v>
      </c>
      <c r="P4343" s="1">
        <v>1026.55</v>
      </c>
      <c r="Q4343">
        <v>0.72</v>
      </c>
      <c r="R4343">
        <v>7.6499999999999995E-4</v>
      </c>
    </row>
    <row r="4344" spans="1:18" ht="13.8" outlineLevel="2" x14ac:dyDescent="0.25">
      <c r="A4344">
        <v>59361</v>
      </c>
      <c r="B4344" t="s">
        <v>6248</v>
      </c>
      <c r="C4344" t="s">
        <v>6252</v>
      </c>
      <c r="D4344" s="14" t="s">
        <v>6252</v>
      </c>
      <c r="E4344" s="12" t="s">
        <v>28</v>
      </c>
      <c r="F4344" s="17" t="s">
        <v>549</v>
      </c>
      <c r="G4344">
        <v>1</v>
      </c>
      <c r="H4344" t="s">
        <v>30</v>
      </c>
      <c r="I4344">
        <v>10</v>
      </c>
      <c r="J4344" s="15"/>
      <c r="K4344" s="16">
        <f>247.57 - (247.57 * $E$1)</f>
        <v>247.57</v>
      </c>
      <c r="L4344" s="16">
        <f>202.93 - (202.93 * $E$1)</f>
        <v>202.93</v>
      </c>
      <c r="M4344" s="1">
        <v>247.57</v>
      </c>
      <c r="N4344" s="1">
        <v>202.93</v>
      </c>
      <c r="O4344" s="1">
        <v>210.44</v>
      </c>
      <c r="P4344" s="1">
        <v>172.49</v>
      </c>
      <c r="Q4344">
        <v>0.14000000000000001</v>
      </c>
      <c r="R4344">
        <v>1.26E-4</v>
      </c>
    </row>
    <row r="4345" spans="1:18" ht="13.8" outlineLevel="2" x14ac:dyDescent="0.25">
      <c r="A4345">
        <v>108666</v>
      </c>
      <c r="B4345" t="s">
        <v>6250</v>
      </c>
      <c r="C4345" t="s">
        <v>6253</v>
      </c>
      <c r="D4345" s="14" t="s">
        <v>6252</v>
      </c>
      <c r="E4345" s="12" t="s">
        <v>28</v>
      </c>
      <c r="F4345" s="13" t="s">
        <v>29</v>
      </c>
      <c r="G4345">
        <v>1</v>
      </c>
      <c r="H4345" t="s">
        <v>420</v>
      </c>
      <c r="I4345">
        <v>1</v>
      </c>
      <c r="J4345" s="15"/>
      <c r="K4345" s="16">
        <f>2475.78 - (2475.78 * $E$1)</f>
        <v>2475.7800000000002</v>
      </c>
      <c r="L4345" s="16">
        <f>2029.33 - (2029.33 * $E$1)</f>
        <v>2029.33</v>
      </c>
      <c r="M4345" s="1">
        <v>2475.7800000000002</v>
      </c>
      <c r="N4345" s="1">
        <v>2029.33</v>
      </c>
      <c r="O4345" s="1">
        <v>2104.42</v>
      </c>
      <c r="P4345" s="1">
        <v>1724.93</v>
      </c>
      <c r="Q4345">
        <v>1.4</v>
      </c>
      <c r="R4345">
        <v>1.0399999999999999E-3</v>
      </c>
    </row>
    <row r="4346" spans="1:18" ht="13.8" outlineLevel="2" x14ac:dyDescent="0.25">
      <c r="A4346">
        <v>102573</v>
      </c>
      <c r="B4346" t="s">
        <v>6250</v>
      </c>
      <c r="C4346" t="s">
        <v>6254</v>
      </c>
      <c r="D4346" s="14" t="s">
        <v>6254</v>
      </c>
      <c r="E4346" s="12" t="s">
        <v>28</v>
      </c>
      <c r="F4346" s="17" t="s">
        <v>549</v>
      </c>
      <c r="G4346">
        <v>8</v>
      </c>
      <c r="H4346" t="s">
        <v>30</v>
      </c>
      <c r="I4346">
        <v>8</v>
      </c>
      <c r="J4346" s="15"/>
      <c r="K4346" s="16">
        <f>473.49 - (473.49 * $E$1)</f>
        <v>473.49</v>
      </c>
      <c r="L4346" s="16">
        <f>388.11 - (388.11 * $E$1)</f>
        <v>388.11</v>
      </c>
      <c r="M4346" s="1">
        <v>473.49</v>
      </c>
      <c r="N4346" s="1">
        <v>388.11</v>
      </c>
      <c r="O4346" s="1">
        <v>402.47</v>
      </c>
      <c r="P4346" s="1">
        <v>329.89</v>
      </c>
      <c r="Q4346">
        <v>0.28125</v>
      </c>
      <c r="R4346">
        <v>1.9325000000000001E-4</v>
      </c>
    </row>
    <row r="4347" spans="1:18" ht="13.8" outlineLevel="2" x14ac:dyDescent="0.25">
      <c r="A4347">
        <v>108668</v>
      </c>
      <c r="B4347" t="s">
        <v>6250</v>
      </c>
      <c r="C4347" t="s">
        <v>6255</v>
      </c>
      <c r="D4347" s="14" t="s">
        <v>6254</v>
      </c>
      <c r="E4347" s="12" t="s">
        <v>28</v>
      </c>
      <c r="F4347" s="13" t="s">
        <v>29</v>
      </c>
      <c r="G4347">
        <v>1</v>
      </c>
      <c r="H4347" t="s">
        <v>420</v>
      </c>
      <c r="I4347">
        <v>1</v>
      </c>
      <c r="J4347" s="15"/>
      <c r="K4347" s="16">
        <f>3787.97 - (3787.97 * $E$1)</f>
        <v>3787.97</v>
      </c>
      <c r="L4347" s="16">
        <f>3104.89 - (3104.89 * $E$1)</f>
        <v>3104.89</v>
      </c>
      <c r="M4347" s="1">
        <v>3787.97</v>
      </c>
      <c r="N4347" s="1">
        <v>3104.89</v>
      </c>
      <c r="O4347" s="1">
        <v>3219.77</v>
      </c>
      <c r="P4347" s="1">
        <v>2639.16</v>
      </c>
      <c r="Q4347">
        <v>2.25</v>
      </c>
      <c r="R4347">
        <v>1.5460000000000001E-3</v>
      </c>
    </row>
    <row r="4348" spans="1:18" ht="13.8" outlineLevel="2" x14ac:dyDescent="0.25">
      <c r="A4348">
        <v>59944</v>
      </c>
      <c r="B4348" t="s">
        <v>6256</v>
      </c>
      <c r="C4348" t="s">
        <v>6257</v>
      </c>
      <c r="D4348" s="14" t="s">
        <v>6258</v>
      </c>
      <c r="E4348" s="12" t="s">
        <v>28</v>
      </c>
      <c r="F4348" s="13" t="s">
        <v>29</v>
      </c>
      <c r="G4348">
        <v>1</v>
      </c>
      <c r="H4348" t="s">
        <v>30</v>
      </c>
      <c r="I4348">
        <v>10</v>
      </c>
      <c r="J4348" s="15"/>
      <c r="K4348" s="16">
        <f>646.84 - (646.84 * $E$1)</f>
        <v>646.84</v>
      </c>
      <c r="L4348" s="16">
        <f>530.2 - (530.2 * $E$1)</f>
        <v>530.20000000000005</v>
      </c>
      <c r="M4348" s="1">
        <v>646.84</v>
      </c>
      <c r="N4348" s="1">
        <v>530.20000000000005</v>
      </c>
      <c r="O4348" s="1">
        <v>549.82000000000005</v>
      </c>
      <c r="P4348" s="1">
        <v>450.67</v>
      </c>
      <c r="Q4348">
        <v>8.8999999999999996E-2</v>
      </c>
      <c r="R4348">
        <v>1.6199999999999999E-3</v>
      </c>
    </row>
    <row r="4349" spans="1:18" ht="13.8" outlineLevel="2" x14ac:dyDescent="0.25">
      <c r="A4349">
        <v>59945</v>
      </c>
      <c r="B4349" t="s">
        <v>6259</v>
      </c>
      <c r="C4349" t="s">
        <v>6260</v>
      </c>
      <c r="D4349" s="14" t="s">
        <v>6260</v>
      </c>
      <c r="E4349" s="12" t="s">
        <v>28</v>
      </c>
      <c r="F4349" s="13" t="s">
        <v>29</v>
      </c>
      <c r="G4349">
        <v>1</v>
      </c>
      <c r="H4349" t="s">
        <v>30</v>
      </c>
      <c r="I4349">
        <v>1</v>
      </c>
      <c r="J4349" s="15"/>
      <c r="K4349" s="16">
        <f>340.62 - (340.62 * $E$1)</f>
        <v>340.62</v>
      </c>
      <c r="L4349" s="16">
        <f>279.2 - (279.2 * $E$1)</f>
        <v>279.2</v>
      </c>
      <c r="M4349" s="1">
        <v>340.62</v>
      </c>
      <c r="N4349" s="1">
        <v>279.2</v>
      </c>
      <c r="O4349" s="1">
        <v>289.52999999999997</v>
      </c>
      <c r="P4349" s="1">
        <v>237.32</v>
      </c>
      <c r="Q4349">
        <v>7.0000000000000007E-2</v>
      </c>
      <c r="R4349">
        <v>1.2600000000000001E-3</v>
      </c>
    </row>
    <row r="4350" spans="1:18" ht="13.8" outlineLevel="2" x14ac:dyDescent="0.25">
      <c r="A4350">
        <v>58133</v>
      </c>
      <c r="B4350" t="s">
        <v>6261</v>
      </c>
      <c r="C4350" t="s">
        <v>6262</v>
      </c>
      <c r="D4350" s="14" t="s">
        <v>6263</v>
      </c>
      <c r="E4350" s="12" t="s">
        <v>28</v>
      </c>
      <c r="F4350" s="13" t="s">
        <v>29</v>
      </c>
      <c r="G4350">
        <v>100</v>
      </c>
      <c r="H4350" t="s">
        <v>30</v>
      </c>
      <c r="I4350">
        <v>100</v>
      </c>
      <c r="J4350" s="15"/>
      <c r="K4350" s="16">
        <f>51.01 - (51.01 * $E$1)</f>
        <v>51.01</v>
      </c>
      <c r="L4350" s="16">
        <f>41.81 - (41.81 * $E$1)</f>
        <v>41.81</v>
      </c>
      <c r="M4350" s="1">
        <v>51.01</v>
      </c>
      <c r="N4350" s="1">
        <v>41.81</v>
      </c>
      <c r="O4350" s="1">
        <v>43.36</v>
      </c>
      <c r="P4350" s="1">
        <v>35.54</v>
      </c>
      <c r="Q4350">
        <v>3.0000000000000001E-3</v>
      </c>
      <c r="R4350">
        <v>5.7399999999999999E-5</v>
      </c>
    </row>
    <row r="4351" spans="1:18" ht="13.8" outlineLevel="2" x14ac:dyDescent="0.25">
      <c r="A4351">
        <v>58134</v>
      </c>
      <c r="B4351" t="s">
        <v>6261</v>
      </c>
      <c r="C4351" t="s">
        <v>6264</v>
      </c>
      <c r="D4351" s="14" t="s">
        <v>6263</v>
      </c>
      <c r="E4351" s="12" t="s">
        <v>28</v>
      </c>
      <c r="F4351" s="13" t="s">
        <v>29</v>
      </c>
      <c r="G4351">
        <v>100</v>
      </c>
      <c r="H4351" t="s">
        <v>30</v>
      </c>
      <c r="I4351">
        <v>100</v>
      </c>
      <c r="J4351" s="15"/>
      <c r="K4351" s="16">
        <f>63.32 - (63.32 * $E$1)</f>
        <v>63.32</v>
      </c>
      <c r="L4351" s="16">
        <f>51.9 - (51.9 * $E$1)</f>
        <v>51.9</v>
      </c>
      <c r="M4351" s="1">
        <v>63.32</v>
      </c>
      <c r="N4351" s="1">
        <v>51.9</v>
      </c>
      <c r="O4351" s="1">
        <v>53.82</v>
      </c>
      <c r="P4351" s="1">
        <v>44.12</v>
      </c>
      <c r="Q4351">
        <v>8.0000000000000002E-3</v>
      </c>
      <c r="R4351">
        <v>2.5199999999999999E-5</v>
      </c>
    </row>
    <row r="4352" spans="1:18" ht="16.5" customHeight="1" outlineLevel="1" x14ac:dyDescent="0.35">
      <c r="A4352" s="9"/>
      <c r="B4352" s="10" t="s">
        <v>6265</v>
      </c>
      <c r="C4352" s="10"/>
      <c r="D4352" s="10"/>
      <c r="E4352" s="10"/>
      <c r="F4352" s="10"/>
      <c r="G4352" s="10"/>
      <c r="H4352" s="10"/>
      <c r="I4352" s="10"/>
      <c r="J4352" s="10"/>
      <c r="K4352" s="10"/>
      <c r="L4352" s="10"/>
      <c r="M4352" s="10"/>
      <c r="N4352" s="10"/>
      <c r="O4352" s="10"/>
      <c r="P4352" s="10"/>
      <c r="Q4352" s="10"/>
      <c r="R4352" s="11"/>
    </row>
    <row r="4353" spans="1:18" ht="13.8" outlineLevel="2" x14ac:dyDescent="0.25">
      <c r="A4353">
        <v>58127</v>
      </c>
      <c r="B4353" t="s">
        <v>6266</v>
      </c>
      <c r="C4353" t="s">
        <v>6267</v>
      </c>
      <c r="D4353" s="14" t="s">
        <v>6268</v>
      </c>
      <c r="E4353" s="12" t="s">
        <v>28</v>
      </c>
      <c r="F4353" s="13" t="s">
        <v>29</v>
      </c>
      <c r="G4353">
        <v>2</v>
      </c>
      <c r="H4353" t="s">
        <v>30</v>
      </c>
      <c r="I4353">
        <v>2</v>
      </c>
      <c r="J4353" s="15"/>
      <c r="K4353" s="16">
        <f>988.68 - (988.68 * $E$1)</f>
        <v>988.68</v>
      </c>
      <c r="L4353" s="16">
        <f>810.39 - (810.39 * $E$1)</f>
        <v>810.39</v>
      </c>
      <c r="M4353" s="1">
        <v>988.68</v>
      </c>
      <c r="N4353" s="1">
        <v>810.39</v>
      </c>
      <c r="O4353" s="1">
        <v>840.37</v>
      </c>
      <c r="P4353" s="1">
        <v>688.83</v>
      </c>
      <c r="Q4353">
        <v>0.2</v>
      </c>
      <c r="R4353">
        <v>6.2399999999999999E-4</v>
      </c>
    </row>
    <row r="4354" spans="1:18" ht="13.8" outlineLevel="2" x14ac:dyDescent="0.25">
      <c r="A4354">
        <v>59427</v>
      </c>
      <c r="B4354" t="s">
        <v>6266</v>
      </c>
      <c r="C4354" t="s">
        <v>6269</v>
      </c>
      <c r="D4354" s="14" t="s">
        <v>6269</v>
      </c>
      <c r="E4354" s="12" t="s">
        <v>28</v>
      </c>
      <c r="F4354" s="13" t="s">
        <v>29</v>
      </c>
      <c r="G4354">
        <v>1</v>
      </c>
      <c r="H4354" t="s">
        <v>30</v>
      </c>
      <c r="I4354">
        <v>16</v>
      </c>
      <c r="J4354" s="15"/>
      <c r="K4354" s="16">
        <f>584.79 - (584.79 * $E$1)</f>
        <v>584.79</v>
      </c>
      <c r="L4354" s="16">
        <f>479.34 - (479.34 * $E$1)</f>
        <v>479.34</v>
      </c>
      <c r="M4354" s="1">
        <v>584.79</v>
      </c>
      <c r="N4354" s="1">
        <v>479.34</v>
      </c>
      <c r="O4354" s="1">
        <v>497.08</v>
      </c>
      <c r="P4354" s="1">
        <v>407.44</v>
      </c>
      <c r="Q4354">
        <v>0.192</v>
      </c>
      <c r="R4354">
        <v>6.9999999999999999E-4</v>
      </c>
    </row>
    <row r="4355" spans="1:18" ht="13.8" outlineLevel="2" x14ac:dyDescent="0.25">
      <c r="A4355">
        <v>58130</v>
      </c>
      <c r="B4355" t="s">
        <v>6270</v>
      </c>
      <c r="C4355" t="s">
        <v>6271</v>
      </c>
      <c r="D4355" s="14" t="s">
        <v>6272</v>
      </c>
      <c r="E4355" s="12" t="s">
        <v>28</v>
      </c>
      <c r="F4355" s="13" t="s">
        <v>29</v>
      </c>
      <c r="G4355">
        <v>2</v>
      </c>
      <c r="H4355" t="s">
        <v>30</v>
      </c>
      <c r="I4355">
        <v>2</v>
      </c>
      <c r="J4355" s="15"/>
      <c r="K4355" s="16">
        <f>458.09 - (458.09 * $E$1)</f>
        <v>458.09</v>
      </c>
      <c r="L4355" s="16">
        <f>375.48 - (375.48 * $E$1)</f>
        <v>375.48</v>
      </c>
      <c r="M4355" s="1">
        <v>458.09</v>
      </c>
      <c r="N4355" s="1">
        <v>375.48</v>
      </c>
      <c r="O4355" s="1">
        <v>389.37</v>
      </c>
      <c r="P4355" s="1">
        <v>319.16000000000003</v>
      </c>
      <c r="Q4355">
        <v>0.215</v>
      </c>
      <c r="R4355">
        <v>5.4000000000000001E-4</v>
      </c>
    </row>
    <row r="4356" spans="1:18" ht="13.8" outlineLevel="2" x14ac:dyDescent="0.25">
      <c r="A4356">
        <v>59323</v>
      </c>
      <c r="B4356" t="s">
        <v>6273</v>
      </c>
      <c r="C4356" t="s">
        <v>6274</v>
      </c>
      <c r="D4356" s="14" t="s">
        <v>6275</v>
      </c>
      <c r="E4356" s="12" t="s">
        <v>28</v>
      </c>
      <c r="F4356" s="13" t="s">
        <v>29</v>
      </c>
      <c r="G4356">
        <v>1</v>
      </c>
      <c r="H4356" t="s">
        <v>30</v>
      </c>
      <c r="I4356">
        <v>10</v>
      </c>
      <c r="J4356" s="15"/>
      <c r="K4356" s="16">
        <f>571.01 - (571.01 * $E$1)</f>
        <v>571.01</v>
      </c>
      <c r="L4356" s="16">
        <f>468.04 - (468.04 * $E$1)</f>
        <v>468.04</v>
      </c>
      <c r="M4356" s="1">
        <v>571.01</v>
      </c>
      <c r="N4356" s="1">
        <v>468.04</v>
      </c>
      <c r="O4356" s="1">
        <v>485.36</v>
      </c>
      <c r="P4356" s="1">
        <v>397.83</v>
      </c>
      <c r="Q4356">
        <v>0.2</v>
      </c>
      <c r="R4356">
        <v>6.3400000000000001E-4</v>
      </c>
    </row>
    <row r="4357" spans="1:18" ht="13.8" outlineLevel="2" x14ac:dyDescent="0.25">
      <c r="A4357">
        <v>59194</v>
      </c>
      <c r="B4357" t="s">
        <v>6276</v>
      </c>
      <c r="C4357" t="s">
        <v>6277</v>
      </c>
      <c r="D4357" s="14" t="s">
        <v>6278</v>
      </c>
      <c r="E4357" s="12" t="s">
        <v>28</v>
      </c>
      <c r="F4357" s="13" t="s">
        <v>29</v>
      </c>
      <c r="G4357">
        <v>20</v>
      </c>
      <c r="H4357" t="s">
        <v>30</v>
      </c>
      <c r="I4357">
        <v>20</v>
      </c>
      <c r="J4357" s="15"/>
      <c r="K4357" s="16">
        <f>48.34 - (48.34 * $E$1)</f>
        <v>48.34</v>
      </c>
      <c r="L4357" s="16">
        <f>39.62 - (39.62 * $E$1)</f>
        <v>39.619999999999997</v>
      </c>
      <c r="M4357" s="1">
        <v>48.34</v>
      </c>
      <c r="N4357" s="1">
        <v>39.619999999999997</v>
      </c>
      <c r="O4357" s="1">
        <v>41.09</v>
      </c>
      <c r="P4357" s="1">
        <v>33.68</v>
      </c>
      <c r="Q4357">
        <v>0.02</v>
      </c>
      <c r="R4357">
        <v>3.485E-5</v>
      </c>
    </row>
    <row r="4358" spans="1:18" ht="13.8" outlineLevel="2" x14ac:dyDescent="0.25">
      <c r="A4358">
        <v>58129</v>
      </c>
      <c r="B4358" t="s">
        <v>6279</v>
      </c>
      <c r="C4358" t="s">
        <v>6280</v>
      </c>
      <c r="D4358" s="14" t="s">
        <v>544</v>
      </c>
      <c r="E4358" s="12" t="s">
        <v>28</v>
      </c>
      <c r="F4358" s="13" t="s">
        <v>29</v>
      </c>
      <c r="G4358">
        <v>1</v>
      </c>
      <c r="H4358" t="s">
        <v>30</v>
      </c>
      <c r="I4358">
        <v>1</v>
      </c>
      <c r="J4358" s="15"/>
      <c r="K4358" s="16">
        <f>980.45 - (980.45 * $E$1)</f>
        <v>980.45</v>
      </c>
      <c r="L4358" s="16">
        <f>803.65 - (803.65 * $E$1)</f>
        <v>803.65</v>
      </c>
      <c r="M4358" s="1">
        <v>980.45</v>
      </c>
      <c r="N4358" s="1">
        <v>803.65</v>
      </c>
      <c r="O4358" s="1">
        <v>833.39</v>
      </c>
      <c r="P4358" s="1">
        <v>683.1</v>
      </c>
      <c r="Q4358">
        <v>0.43</v>
      </c>
      <c r="R4358">
        <v>1.794E-3</v>
      </c>
    </row>
    <row r="4359" spans="1:18" ht="13.8" outlineLevel="2" x14ac:dyDescent="0.25">
      <c r="A4359">
        <v>59325</v>
      </c>
      <c r="B4359" t="s">
        <v>6281</v>
      </c>
      <c r="C4359" t="s">
        <v>6282</v>
      </c>
      <c r="D4359" s="14" t="s">
        <v>6282</v>
      </c>
      <c r="E4359" s="12" t="s">
        <v>28</v>
      </c>
      <c r="F4359" s="13" t="s">
        <v>29</v>
      </c>
      <c r="G4359">
        <v>1</v>
      </c>
      <c r="H4359" t="s">
        <v>30</v>
      </c>
      <c r="I4359">
        <v>10</v>
      </c>
      <c r="J4359" s="15"/>
      <c r="K4359" s="16">
        <f>574.25 - (574.25 * $E$1)</f>
        <v>574.25</v>
      </c>
      <c r="L4359" s="16">
        <f>470.7 - (470.7 * $E$1)</f>
        <v>470.7</v>
      </c>
      <c r="M4359" s="1">
        <v>574.25</v>
      </c>
      <c r="N4359" s="1">
        <v>470.7</v>
      </c>
      <c r="O4359" s="1">
        <v>488.12</v>
      </c>
      <c r="P4359" s="1">
        <v>400.1</v>
      </c>
      <c r="Q4359">
        <v>0.2</v>
      </c>
      <c r="R4359">
        <v>7.4200000000000004E-4</v>
      </c>
    </row>
    <row r="4360" spans="1:18" ht="13.8" outlineLevel="2" x14ac:dyDescent="0.25">
      <c r="A4360">
        <v>59369</v>
      </c>
      <c r="B4360" t="s">
        <v>6281</v>
      </c>
      <c r="C4360" t="s">
        <v>6283</v>
      </c>
      <c r="D4360" s="14" t="s">
        <v>6283</v>
      </c>
      <c r="E4360" s="12" t="s">
        <v>28</v>
      </c>
      <c r="F4360" s="13" t="s">
        <v>29</v>
      </c>
      <c r="G4360">
        <v>1</v>
      </c>
      <c r="H4360" t="s">
        <v>30</v>
      </c>
      <c r="I4360">
        <v>1</v>
      </c>
      <c r="J4360" s="15"/>
      <c r="K4360" s="16">
        <f>549.06 - (549.06 * $E$1)</f>
        <v>549.05999999999995</v>
      </c>
      <c r="L4360" s="16">
        <f>450.05 - (450.05 * $E$1)</f>
        <v>450.05</v>
      </c>
      <c r="M4360" s="1">
        <v>549.05999999999995</v>
      </c>
      <c r="N4360" s="1">
        <v>450.05</v>
      </c>
      <c r="O4360" s="1">
        <v>466.7</v>
      </c>
      <c r="P4360" s="1">
        <v>382.54</v>
      </c>
      <c r="Q4360">
        <v>0.27</v>
      </c>
      <c r="R4360">
        <v>6.6200000000000005E-4</v>
      </c>
    </row>
    <row r="4361" spans="1:18" ht="13.8" outlineLevel="2" x14ac:dyDescent="0.25">
      <c r="A4361">
        <v>59370</v>
      </c>
      <c r="B4361" t="s">
        <v>6281</v>
      </c>
      <c r="C4361" t="s">
        <v>6284</v>
      </c>
      <c r="D4361" s="14" t="s">
        <v>6284</v>
      </c>
      <c r="E4361" s="12" t="s">
        <v>28</v>
      </c>
      <c r="F4361" s="13" t="s">
        <v>29</v>
      </c>
      <c r="G4361">
        <v>1</v>
      </c>
      <c r="H4361" t="s">
        <v>30</v>
      </c>
      <c r="I4361">
        <v>1</v>
      </c>
      <c r="J4361" s="15"/>
      <c r="K4361" s="16">
        <f>1056.95 - (1056.95 * $E$1)</f>
        <v>1056.95</v>
      </c>
      <c r="L4361" s="16">
        <f>866.35 - (866.35 * $E$1)</f>
        <v>866.35</v>
      </c>
      <c r="M4361" s="1">
        <v>1056.95</v>
      </c>
      <c r="N4361" s="1">
        <v>866.35</v>
      </c>
      <c r="O4361" s="1">
        <v>898.4</v>
      </c>
      <c r="P4361" s="1">
        <v>736.4</v>
      </c>
      <c r="Q4361">
        <v>0.3</v>
      </c>
      <c r="R4361">
        <v>9.5799999999999998E-4</v>
      </c>
    </row>
    <row r="4362" spans="1:18" ht="13.8" outlineLevel="2" x14ac:dyDescent="0.25">
      <c r="A4362">
        <v>58381</v>
      </c>
      <c r="B4362" t="s">
        <v>6273</v>
      </c>
      <c r="C4362" t="s">
        <v>6285</v>
      </c>
      <c r="D4362" s="14" t="s">
        <v>6128</v>
      </c>
      <c r="E4362" s="12" t="s">
        <v>28</v>
      </c>
      <c r="F4362" s="13" t="s">
        <v>29</v>
      </c>
      <c r="G4362">
        <v>1</v>
      </c>
      <c r="H4362" t="s">
        <v>30</v>
      </c>
      <c r="I4362">
        <v>1</v>
      </c>
      <c r="J4362" s="15"/>
      <c r="K4362" s="16">
        <f>1152.27 - (1152.27 * $E$1)</f>
        <v>1152.27</v>
      </c>
      <c r="L4362" s="16">
        <f>944.48 - (944.48 * $E$1)</f>
        <v>944.48</v>
      </c>
      <c r="M4362" s="1">
        <v>1152.27</v>
      </c>
      <c r="N4362" s="1">
        <v>944.48</v>
      </c>
      <c r="O4362" s="1">
        <v>979.43</v>
      </c>
      <c r="P4362" s="1">
        <v>802.81</v>
      </c>
      <c r="Q4362">
        <v>0.3</v>
      </c>
      <c r="R4362">
        <v>8.8900000000000003E-4</v>
      </c>
    </row>
    <row r="4363" spans="1:18" ht="13.8" outlineLevel="2" x14ac:dyDescent="0.25">
      <c r="A4363">
        <v>60204</v>
      </c>
      <c r="B4363" t="s">
        <v>6273</v>
      </c>
      <c r="C4363" t="s">
        <v>6286</v>
      </c>
      <c r="D4363" s="14" t="s">
        <v>6128</v>
      </c>
      <c r="E4363" s="12" t="s">
        <v>28</v>
      </c>
      <c r="F4363" s="13" t="s">
        <v>29</v>
      </c>
      <c r="G4363">
        <v>1</v>
      </c>
      <c r="H4363" t="s">
        <v>30</v>
      </c>
      <c r="I4363">
        <v>1</v>
      </c>
      <c r="J4363" s="15"/>
      <c r="K4363" s="16">
        <f>807.46 - (807.46 * $E$1)</f>
        <v>807.46</v>
      </c>
      <c r="L4363" s="16">
        <f>661.85 - (661.85 * $E$1)</f>
        <v>661.85</v>
      </c>
      <c r="M4363" s="1">
        <v>807.46</v>
      </c>
      <c r="N4363" s="1">
        <v>661.85</v>
      </c>
      <c r="O4363" s="1">
        <v>686.34</v>
      </c>
      <c r="P4363" s="1">
        <v>562.57000000000005</v>
      </c>
      <c r="Q4363">
        <v>0.5</v>
      </c>
      <c r="R4363">
        <v>1.9980000000000002E-3</v>
      </c>
    </row>
    <row r="4364" spans="1:18" ht="13.8" outlineLevel="2" x14ac:dyDescent="0.25">
      <c r="A4364">
        <v>59998</v>
      </c>
      <c r="B4364" t="s">
        <v>6287</v>
      </c>
      <c r="C4364" t="s">
        <v>6288</v>
      </c>
      <c r="D4364" s="14" t="s">
        <v>6289</v>
      </c>
      <c r="E4364" s="12" t="s">
        <v>28</v>
      </c>
      <c r="F4364" s="13" t="s">
        <v>29</v>
      </c>
      <c r="G4364">
        <v>1</v>
      </c>
      <c r="H4364" t="s">
        <v>30</v>
      </c>
      <c r="I4364">
        <v>10</v>
      </c>
      <c r="J4364" s="15"/>
      <c r="K4364" s="16">
        <f>138.75 - (138.75 * $E$1)</f>
        <v>138.75</v>
      </c>
      <c r="L4364" s="16">
        <f>113.73 - (113.73 * $E$1)</f>
        <v>113.73</v>
      </c>
      <c r="M4364" s="1">
        <v>138.75</v>
      </c>
      <c r="N4364" s="1">
        <v>113.73</v>
      </c>
      <c r="O4364" s="1">
        <v>117.94</v>
      </c>
      <c r="P4364" s="1">
        <v>96.67</v>
      </c>
      <c r="Q4364">
        <v>5.8000000000000003E-2</v>
      </c>
      <c r="R4364">
        <v>1.5679999999999999E-3</v>
      </c>
    </row>
    <row r="4365" spans="1:18" ht="16.5" customHeight="1" outlineLevel="1" x14ac:dyDescent="0.35">
      <c r="A4365" s="9"/>
      <c r="B4365" s="10" t="s">
        <v>6290</v>
      </c>
      <c r="C4365" s="10"/>
      <c r="D4365" s="10"/>
      <c r="E4365" s="10"/>
      <c r="F4365" s="10"/>
      <c r="G4365" s="10"/>
      <c r="H4365" s="10"/>
      <c r="I4365" s="10"/>
      <c r="J4365" s="10"/>
      <c r="K4365" s="10"/>
      <c r="L4365" s="10"/>
      <c r="M4365" s="10"/>
      <c r="N4365" s="10"/>
      <c r="O4365" s="10"/>
      <c r="P4365" s="10"/>
      <c r="Q4365" s="10"/>
      <c r="R4365" s="11"/>
    </row>
    <row r="4366" spans="1:18" ht="13.8" outlineLevel="2" x14ac:dyDescent="0.25">
      <c r="A4366">
        <v>103159</v>
      </c>
      <c r="B4366" t="s">
        <v>6291</v>
      </c>
      <c r="C4366" t="s">
        <v>6292</v>
      </c>
      <c r="D4366" s="14" t="s">
        <v>6293</v>
      </c>
      <c r="E4366" s="12" t="s">
        <v>28</v>
      </c>
      <c r="F4366" s="17" t="s">
        <v>549</v>
      </c>
      <c r="G4366">
        <v>10</v>
      </c>
      <c r="H4366" t="s">
        <v>30</v>
      </c>
      <c r="I4366">
        <v>10</v>
      </c>
      <c r="J4366" s="15"/>
      <c r="K4366" s="16">
        <f>217.03 - (217.03 * $E$1)</f>
        <v>217.03</v>
      </c>
      <c r="L4366" s="16">
        <f>177.89 - (177.89 * $E$1)</f>
        <v>177.89</v>
      </c>
      <c r="M4366" s="1">
        <v>217.03</v>
      </c>
      <c r="N4366" s="1">
        <v>177.89</v>
      </c>
      <c r="O4366" s="1">
        <v>184.47</v>
      </c>
      <c r="P4366" s="1">
        <v>151.21</v>
      </c>
      <c r="Q4366">
        <v>2.76E-2</v>
      </c>
      <c r="R4366">
        <v>4.6799999999999999E-5</v>
      </c>
    </row>
    <row r="4367" spans="1:18" ht="13.8" outlineLevel="2" x14ac:dyDescent="0.25">
      <c r="A4367">
        <v>109212</v>
      </c>
      <c r="B4367" t="s">
        <v>6291</v>
      </c>
      <c r="C4367" t="s">
        <v>6294</v>
      </c>
      <c r="D4367" s="14" t="s">
        <v>6293</v>
      </c>
      <c r="E4367" s="12" t="s">
        <v>28</v>
      </c>
      <c r="F4367" s="13" t="s">
        <v>29</v>
      </c>
      <c r="G4367">
        <v>1</v>
      </c>
      <c r="H4367" t="s">
        <v>420</v>
      </c>
      <c r="I4367">
        <v>1</v>
      </c>
      <c r="J4367" s="15"/>
      <c r="K4367" s="16">
        <f>2134.65 - (2134.65 * $E$1)</f>
        <v>2134.65</v>
      </c>
      <c r="L4367" s="16">
        <f>1749.71 - (1749.71 * $E$1)</f>
        <v>1749.71</v>
      </c>
      <c r="M4367" s="1">
        <v>2134.65</v>
      </c>
      <c r="N4367" s="1">
        <v>1749.71</v>
      </c>
      <c r="O4367" s="1">
        <v>1814.45</v>
      </c>
      <c r="P4367" s="1">
        <v>1487.25</v>
      </c>
      <c r="Q4367">
        <v>0.27600000000000002</v>
      </c>
      <c r="R4367">
        <v>4.6799999999999999E-4</v>
      </c>
    </row>
    <row r="4368" spans="1:18" ht="13.8" outlineLevel="2" x14ac:dyDescent="0.25">
      <c r="A4368">
        <v>103160</v>
      </c>
      <c r="B4368" t="s">
        <v>6291</v>
      </c>
      <c r="C4368" t="s">
        <v>6295</v>
      </c>
      <c r="D4368" s="14" t="s">
        <v>6296</v>
      </c>
      <c r="E4368" s="12" t="s">
        <v>28</v>
      </c>
      <c r="G4368">
        <v>10</v>
      </c>
      <c r="H4368" t="s">
        <v>30</v>
      </c>
      <c r="I4368">
        <v>10</v>
      </c>
      <c r="J4368" s="15"/>
      <c r="K4368" s="16">
        <f>217.03 - (217.03 * $E$1)</f>
        <v>217.03</v>
      </c>
      <c r="L4368" s="16">
        <f>177.89 - (177.89 * $E$1)</f>
        <v>177.89</v>
      </c>
      <c r="M4368" s="1">
        <v>217.03</v>
      </c>
      <c r="N4368" s="1">
        <v>177.89</v>
      </c>
      <c r="O4368" s="1">
        <v>184.47</v>
      </c>
      <c r="P4368" s="1">
        <v>151.21</v>
      </c>
      <c r="Q4368">
        <v>2.7199999999999998E-2</v>
      </c>
      <c r="R4368">
        <v>4.6799999999999999E-5</v>
      </c>
    </row>
    <row r="4369" spans="1:18" ht="13.8" outlineLevel="2" x14ac:dyDescent="0.25">
      <c r="A4369">
        <v>109213</v>
      </c>
      <c r="B4369" t="s">
        <v>6291</v>
      </c>
      <c r="C4369" t="s">
        <v>6297</v>
      </c>
      <c r="D4369" s="14" t="s">
        <v>6296</v>
      </c>
      <c r="E4369" s="12" t="s">
        <v>28</v>
      </c>
      <c r="F4369" s="13" t="s">
        <v>29</v>
      </c>
      <c r="G4369">
        <v>1</v>
      </c>
      <c r="H4369" t="s">
        <v>420</v>
      </c>
      <c r="I4369">
        <v>1</v>
      </c>
      <c r="J4369" s="15"/>
      <c r="K4369" s="16">
        <f>2134.65 - (2134.65 * $E$1)</f>
        <v>2134.65</v>
      </c>
      <c r="L4369" s="16">
        <f>1749.71 - (1749.71 * $E$1)</f>
        <v>1749.71</v>
      </c>
      <c r="M4369" s="1">
        <v>2134.65</v>
      </c>
      <c r="N4369" s="1">
        <v>1749.71</v>
      </c>
      <c r="O4369" s="1">
        <v>1814.45</v>
      </c>
      <c r="P4369" s="1">
        <v>1487.25</v>
      </c>
      <c r="Q4369">
        <v>0.27200000000000002</v>
      </c>
      <c r="R4369">
        <v>4.6799999999999999E-4</v>
      </c>
    </row>
    <row r="4370" spans="1:18" ht="13.8" outlineLevel="2" x14ac:dyDescent="0.25">
      <c r="A4370">
        <v>103161</v>
      </c>
      <c r="B4370" t="s">
        <v>6291</v>
      </c>
      <c r="C4370" t="s">
        <v>6298</v>
      </c>
      <c r="D4370" s="14" t="s">
        <v>6299</v>
      </c>
      <c r="E4370" s="12" t="s">
        <v>28</v>
      </c>
      <c r="G4370">
        <v>10</v>
      </c>
      <c r="H4370" t="s">
        <v>30</v>
      </c>
      <c r="I4370">
        <v>10</v>
      </c>
      <c r="J4370" s="15"/>
      <c r="K4370" s="16">
        <f>217.03 - (217.03 * $E$1)</f>
        <v>217.03</v>
      </c>
      <c r="L4370" s="16">
        <f>177.89 - (177.89 * $E$1)</f>
        <v>177.89</v>
      </c>
      <c r="M4370" s="1">
        <v>217.03</v>
      </c>
      <c r="N4370" s="1">
        <v>177.89</v>
      </c>
      <c r="O4370" s="1">
        <v>184.47</v>
      </c>
      <c r="P4370" s="1">
        <v>151.21</v>
      </c>
      <c r="Q4370">
        <v>2.6800000000000001E-2</v>
      </c>
      <c r="R4370">
        <v>4.6799999999999999E-5</v>
      </c>
    </row>
    <row r="4371" spans="1:18" ht="13.8" outlineLevel="2" x14ac:dyDescent="0.25">
      <c r="A4371">
        <v>109214</v>
      </c>
      <c r="B4371" t="s">
        <v>6291</v>
      </c>
      <c r="C4371" t="s">
        <v>6300</v>
      </c>
      <c r="D4371" s="14" t="s">
        <v>6299</v>
      </c>
      <c r="E4371" s="12" t="s">
        <v>28</v>
      </c>
      <c r="F4371" s="13" t="s">
        <v>29</v>
      </c>
      <c r="G4371">
        <v>1</v>
      </c>
      <c r="H4371" t="s">
        <v>420</v>
      </c>
      <c r="I4371">
        <v>1</v>
      </c>
      <c r="J4371" s="15"/>
      <c r="K4371" s="16">
        <f>2134.65 - (2134.65 * $E$1)</f>
        <v>2134.65</v>
      </c>
      <c r="L4371" s="16">
        <f>1749.71 - (1749.71 * $E$1)</f>
        <v>1749.71</v>
      </c>
      <c r="M4371" s="1">
        <v>2134.65</v>
      </c>
      <c r="N4371" s="1">
        <v>1749.71</v>
      </c>
      <c r="O4371" s="1">
        <v>1814.45</v>
      </c>
      <c r="P4371" s="1">
        <v>1487.25</v>
      </c>
      <c r="Q4371">
        <v>0.26800000000000002</v>
      </c>
      <c r="R4371">
        <v>4.6799999999999999E-4</v>
      </c>
    </row>
    <row r="4372" spans="1:18" ht="13.8" outlineLevel="2" x14ac:dyDescent="0.25">
      <c r="A4372">
        <v>103162</v>
      </c>
      <c r="B4372" t="s">
        <v>6291</v>
      </c>
      <c r="C4372" t="s">
        <v>6301</v>
      </c>
      <c r="D4372" s="14" t="s">
        <v>6302</v>
      </c>
      <c r="E4372" s="12" t="s">
        <v>28</v>
      </c>
      <c r="F4372" s="17" t="s">
        <v>549</v>
      </c>
      <c r="G4372">
        <v>10</v>
      </c>
      <c r="H4372" t="s">
        <v>30</v>
      </c>
      <c r="I4372">
        <v>10</v>
      </c>
      <c r="J4372" s="15"/>
      <c r="K4372" s="16">
        <f>217.03 - (217.03 * $E$1)</f>
        <v>217.03</v>
      </c>
      <c r="L4372" s="16">
        <f>177.89 - (177.89 * $E$1)</f>
        <v>177.89</v>
      </c>
      <c r="M4372" s="1">
        <v>217.03</v>
      </c>
      <c r="N4372" s="1">
        <v>177.89</v>
      </c>
      <c r="O4372" s="1">
        <v>184.47</v>
      </c>
      <c r="P4372" s="1">
        <v>151.21</v>
      </c>
      <c r="Q4372">
        <v>2.6200000000000001E-2</v>
      </c>
      <c r="R4372">
        <v>4.6799999999999999E-5</v>
      </c>
    </row>
    <row r="4373" spans="1:18" ht="13.8" outlineLevel="2" x14ac:dyDescent="0.25">
      <c r="A4373">
        <v>109215</v>
      </c>
      <c r="B4373" t="s">
        <v>6291</v>
      </c>
      <c r="C4373" t="s">
        <v>6303</v>
      </c>
      <c r="D4373" s="14" t="s">
        <v>6302</v>
      </c>
      <c r="E4373" s="12" t="s">
        <v>28</v>
      </c>
      <c r="F4373" s="13" t="s">
        <v>29</v>
      </c>
      <c r="G4373">
        <v>1</v>
      </c>
      <c r="H4373" t="s">
        <v>420</v>
      </c>
      <c r="I4373">
        <v>1</v>
      </c>
      <c r="J4373" s="15"/>
      <c r="K4373" s="16">
        <f>2134.65 - (2134.65 * $E$1)</f>
        <v>2134.65</v>
      </c>
      <c r="L4373" s="16">
        <f>1749.71 - (1749.71 * $E$1)</f>
        <v>1749.71</v>
      </c>
      <c r="M4373" s="1">
        <v>2134.65</v>
      </c>
      <c r="N4373" s="1">
        <v>1749.71</v>
      </c>
      <c r="O4373" s="1">
        <v>1814.45</v>
      </c>
      <c r="P4373" s="1">
        <v>1487.25</v>
      </c>
      <c r="Q4373">
        <v>0.26200000000000001</v>
      </c>
      <c r="R4373">
        <v>4.6799999999999999E-4</v>
      </c>
    </row>
    <row r="4374" spans="1:18" ht="13.8" outlineLevel="2" x14ac:dyDescent="0.25">
      <c r="A4374">
        <v>103148</v>
      </c>
      <c r="B4374" t="s">
        <v>6291</v>
      </c>
      <c r="C4374" t="s">
        <v>6304</v>
      </c>
      <c r="D4374" s="14" t="s">
        <v>6305</v>
      </c>
      <c r="E4374" s="12" t="s">
        <v>28</v>
      </c>
      <c r="F4374" s="17" t="s">
        <v>549</v>
      </c>
      <c r="G4374">
        <v>10</v>
      </c>
      <c r="H4374" t="s">
        <v>30</v>
      </c>
      <c r="I4374">
        <v>10</v>
      </c>
      <c r="J4374" s="15"/>
      <c r="K4374" s="16">
        <f>349.53 - (349.53 * $E$1)</f>
        <v>349.53</v>
      </c>
      <c r="L4374" s="16">
        <f>286.5 - (286.5 * $E$1)</f>
        <v>286.5</v>
      </c>
      <c r="M4374" s="1">
        <v>349.53</v>
      </c>
      <c r="N4374" s="1">
        <v>286.5</v>
      </c>
      <c r="O4374" s="1">
        <v>297.10000000000002</v>
      </c>
      <c r="P4374" s="1">
        <v>243.53</v>
      </c>
      <c r="Q4374">
        <v>6.4600000000000005E-2</v>
      </c>
      <c r="R4374">
        <v>8.3999999999999995E-5</v>
      </c>
    </row>
    <row r="4375" spans="1:18" ht="13.8" outlineLevel="2" x14ac:dyDescent="0.25">
      <c r="A4375">
        <v>109221</v>
      </c>
      <c r="B4375" t="s">
        <v>6291</v>
      </c>
      <c r="C4375" t="s">
        <v>6306</v>
      </c>
      <c r="D4375" s="14" t="s">
        <v>6305</v>
      </c>
      <c r="E4375" s="12" t="s">
        <v>28</v>
      </c>
      <c r="F4375" s="13" t="s">
        <v>29</v>
      </c>
      <c r="G4375">
        <v>1</v>
      </c>
      <c r="H4375" t="s">
        <v>420</v>
      </c>
      <c r="I4375">
        <v>1</v>
      </c>
      <c r="J4375" s="15"/>
      <c r="K4375" s="16">
        <f>3437.91 - (3437.91 * $E$1)</f>
        <v>3437.91</v>
      </c>
      <c r="L4375" s="16">
        <f>2817.96 - (2817.96 * $E$1)</f>
        <v>2817.96</v>
      </c>
      <c r="M4375" s="1">
        <v>3437.91</v>
      </c>
      <c r="N4375" s="1">
        <v>2817.96</v>
      </c>
      <c r="O4375" s="1">
        <v>2922.22</v>
      </c>
      <c r="P4375" s="1">
        <v>2395.27</v>
      </c>
      <c r="Q4375">
        <v>0.64600000000000002</v>
      </c>
      <c r="R4375">
        <v>8.4000000000000003E-4</v>
      </c>
    </row>
    <row r="4376" spans="1:18" ht="13.8" outlineLevel="2" x14ac:dyDescent="0.25">
      <c r="A4376">
        <v>103149</v>
      </c>
      <c r="B4376" t="s">
        <v>6291</v>
      </c>
      <c r="C4376" t="s">
        <v>6307</v>
      </c>
      <c r="D4376" s="14" t="s">
        <v>6308</v>
      </c>
      <c r="E4376" s="12" t="s">
        <v>28</v>
      </c>
      <c r="F4376" s="17" t="s">
        <v>549</v>
      </c>
      <c r="G4376">
        <v>10</v>
      </c>
      <c r="H4376" t="s">
        <v>30</v>
      </c>
      <c r="I4376">
        <v>10</v>
      </c>
      <c r="J4376" s="15"/>
      <c r="K4376" s="16">
        <f>348.38 - (348.38 * $E$1)</f>
        <v>348.38</v>
      </c>
      <c r="L4376" s="16">
        <f>285.56 - (285.56 * $E$1)</f>
        <v>285.56</v>
      </c>
      <c r="M4376" s="1">
        <v>348.38</v>
      </c>
      <c r="N4376" s="1">
        <v>285.56</v>
      </c>
      <c r="O4376" s="1">
        <v>296.13</v>
      </c>
      <c r="P4376" s="1">
        <v>242.73</v>
      </c>
      <c r="Q4376">
        <v>6.2799999999999995E-2</v>
      </c>
      <c r="R4376">
        <v>8.3999999999999995E-5</v>
      </c>
    </row>
    <row r="4377" spans="1:18" ht="13.8" outlineLevel="2" x14ac:dyDescent="0.25">
      <c r="A4377">
        <v>109222</v>
      </c>
      <c r="B4377" t="s">
        <v>6291</v>
      </c>
      <c r="C4377" t="s">
        <v>6309</v>
      </c>
      <c r="D4377" s="14" t="s">
        <v>6308</v>
      </c>
      <c r="E4377" s="12" t="s">
        <v>28</v>
      </c>
      <c r="F4377" s="13" t="s">
        <v>29</v>
      </c>
      <c r="G4377">
        <v>1</v>
      </c>
      <c r="H4377" t="s">
        <v>420</v>
      </c>
      <c r="I4377">
        <v>1</v>
      </c>
      <c r="J4377" s="15"/>
      <c r="K4377" s="16">
        <f>3426.68 - (3426.68 * $E$1)</f>
        <v>3426.68</v>
      </c>
      <c r="L4377" s="16">
        <f>2808.75 - (2808.75 * $E$1)</f>
        <v>2808.75</v>
      </c>
      <c r="M4377" s="1">
        <v>3426.68</v>
      </c>
      <c r="N4377" s="1">
        <v>2808.75</v>
      </c>
      <c r="O4377" s="1">
        <v>2912.67</v>
      </c>
      <c r="P4377" s="1">
        <v>2387.44</v>
      </c>
      <c r="Q4377">
        <v>0.628</v>
      </c>
      <c r="R4377">
        <v>8.4000000000000003E-4</v>
      </c>
    </row>
    <row r="4378" spans="1:18" ht="13.8" outlineLevel="2" x14ac:dyDescent="0.25">
      <c r="A4378">
        <v>103150</v>
      </c>
      <c r="B4378" t="s">
        <v>6291</v>
      </c>
      <c r="C4378" t="s">
        <v>6310</v>
      </c>
      <c r="D4378" s="14" t="s">
        <v>6311</v>
      </c>
      <c r="E4378" s="12" t="s">
        <v>28</v>
      </c>
      <c r="G4378">
        <v>10</v>
      </c>
      <c r="H4378" t="s">
        <v>30</v>
      </c>
      <c r="I4378">
        <v>10</v>
      </c>
      <c r="J4378" s="15"/>
      <c r="K4378" s="16">
        <f>366.66 - (366.66 * $E$1)</f>
        <v>366.66</v>
      </c>
      <c r="L4378" s="16">
        <f>300.54 - (300.54 * $E$1)</f>
        <v>300.54000000000002</v>
      </c>
      <c r="M4378" s="1">
        <v>366.66</v>
      </c>
      <c r="N4378" s="1">
        <v>300.54000000000002</v>
      </c>
      <c r="O4378" s="1">
        <v>311.66000000000003</v>
      </c>
      <c r="P4378" s="1">
        <v>255.46</v>
      </c>
      <c r="Q4378">
        <v>0.06</v>
      </c>
      <c r="R4378">
        <v>6.9300000000000004E-5</v>
      </c>
    </row>
    <row r="4379" spans="1:18" ht="13.8" outlineLevel="2" x14ac:dyDescent="0.25">
      <c r="A4379">
        <v>109223</v>
      </c>
      <c r="B4379" t="s">
        <v>6291</v>
      </c>
      <c r="C4379" t="s">
        <v>6312</v>
      </c>
      <c r="D4379" s="14" t="s">
        <v>6311</v>
      </c>
      <c r="E4379" s="12" t="s">
        <v>28</v>
      </c>
      <c r="F4379" s="13" t="s">
        <v>29</v>
      </c>
      <c r="G4379">
        <v>1</v>
      </c>
      <c r="H4379" t="s">
        <v>420</v>
      </c>
      <c r="I4379">
        <v>1</v>
      </c>
      <c r="J4379" s="15"/>
      <c r="K4379" s="16">
        <f>3606.43 - (3606.43 * $E$1)</f>
        <v>3606.43</v>
      </c>
      <c r="L4379" s="16">
        <f>2956.09 - (2956.09 * $E$1)</f>
        <v>2956.09</v>
      </c>
      <c r="M4379" s="1">
        <v>3606.43</v>
      </c>
      <c r="N4379" s="1">
        <v>2956.09</v>
      </c>
      <c r="O4379" s="1">
        <v>3065.47</v>
      </c>
      <c r="P4379" s="1">
        <v>2512.6799999999998</v>
      </c>
      <c r="Q4379">
        <v>0.6</v>
      </c>
      <c r="R4379">
        <v>6.9300000000000004E-4</v>
      </c>
    </row>
    <row r="4380" spans="1:18" ht="13.8" outlineLevel="2" x14ac:dyDescent="0.25">
      <c r="A4380">
        <v>103151</v>
      </c>
      <c r="B4380" t="s">
        <v>6291</v>
      </c>
      <c r="C4380" t="s">
        <v>6313</v>
      </c>
      <c r="D4380" s="14" t="s">
        <v>6314</v>
      </c>
      <c r="E4380" s="12" t="s">
        <v>28</v>
      </c>
      <c r="G4380">
        <v>10</v>
      </c>
      <c r="H4380" t="s">
        <v>30</v>
      </c>
      <c r="I4380">
        <v>10</v>
      </c>
      <c r="J4380" s="15"/>
      <c r="K4380" s="16">
        <f>366.66 - (366.66 * $E$1)</f>
        <v>366.66</v>
      </c>
      <c r="L4380" s="16">
        <f>300.54 - (300.54 * $E$1)</f>
        <v>300.54000000000002</v>
      </c>
      <c r="M4380" s="1">
        <v>366.66</v>
      </c>
      <c r="N4380" s="1">
        <v>300.54000000000002</v>
      </c>
      <c r="O4380" s="1">
        <v>311.66000000000003</v>
      </c>
      <c r="P4380" s="1">
        <v>255.46</v>
      </c>
      <c r="Q4380">
        <v>5.74E-2</v>
      </c>
      <c r="R4380">
        <v>6.9300000000000004E-5</v>
      </c>
    </row>
    <row r="4381" spans="1:18" ht="13.8" outlineLevel="2" x14ac:dyDescent="0.25">
      <c r="A4381">
        <v>109224</v>
      </c>
      <c r="B4381" t="s">
        <v>6291</v>
      </c>
      <c r="C4381" t="s">
        <v>6315</v>
      </c>
      <c r="D4381" s="14" t="s">
        <v>6314</v>
      </c>
      <c r="E4381" s="12" t="s">
        <v>28</v>
      </c>
      <c r="F4381" s="13" t="s">
        <v>29</v>
      </c>
      <c r="G4381">
        <v>1</v>
      </c>
      <c r="H4381" t="s">
        <v>420</v>
      </c>
      <c r="I4381">
        <v>1</v>
      </c>
      <c r="J4381" s="15"/>
      <c r="K4381" s="16">
        <f>3606.43 - (3606.43 * $E$1)</f>
        <v>3606.43</v>
      </c>
      <c r="L4381" s="16">
        <f>2956.09 - (2956.09 * $E$1)</f>
        <v>2956.09</v>
      </c>
      <c r="M4381" s="1">
        <v>3606.43</v>
      </c>
      <c r="N4381" s="1">
        <v>2956.09</v>
      </c>
      <c r="O4381" s="1">
        <v>3065.47</v>
      </c>
      <c r="P4381" s="1">
        <v>2512.6799999999998</v>
      </c>
      <c r="Q4381">
        <v>0.57399999999999995</v>
      </c>
      <c r="R4381">
        <v>6.9300000000000004E-4</v>
      </c>
    </row>
    <row r="4382" spans="1:18" ht="13.8" outlineLevel="2" x14ac:dyDescent="0.25">
      <c r="A4382">
        <v>103152</v>
      </c>
      <c r="B4382" t="s">
        <v>6291</v>
      </c>
      <c r="C4382" t="s">
        <v>6316</v>
      </c>
      <c r="D4382" s="14" t="s">
        <v>6317</v>
      </c>
      <c r="E4382" s="12" t="s">
        <v>28</v>
      </c>
      <c r="F4382" s="17" t="s">
        <v>549</v>
      </c>
      <c r="G4382">
        <v>10</v>
      </c>
      <c r="H4382" t="s">
        <v>30</v>
      </c>
      <c r="I4382">
        <v>10</v>
      </c>
      <c r="J4382" s="15"/>
      <c r="K4382" s="16">
        <f>365.5 - (365.5 * $E$1)</f>
        <v>365.5</v>
      </c>
      <c r="L4382" s="16">
        <f>299.59 - (299.59 * $E$1)</f>
        <v>299.58999999999997</v>
      </c>
      <c r="M4382" s="1">
        <v>365.5</v>
      </c>
      <c r="N4382" s="1">
        <v>299.58999999999997</v>
      </c>
      <c r="O4382" s="1">
        <v>310.67</v>
      </c>
      <c r="P4382" s="1">
        <v>254.65</v>
      </c>
      <c r="Q4382">
        <v>5.3199999999999997E-2</v>
      </c>
      <c r="R4382">
        <v>7.4300000000000004E-5</v>
      </c>
    </row>
    <row r="4383" spans="1:18" ht="13.8" outlineLevel="2" x14ac:dyDescent="0.25">
      <c r="A4383">
        <v>109225</v>
      </c>
      <c r="B4383" t="s">
        <v>6291</v>
      </c>
      <c r="C4383" t="s">
        <v>6318</v>
      </c>
      <c r="D4383" s="14" t="s">
        <v>6317</v>
      </c>
      <c r="E4383" s="12" t="s">
        <v>28</v>
      </c>
      <c r="F4383" s="13" t="s">
        <v>29</v>
      </c>
      <c r="G4383">
        <v>1</v>
      </c>
      <c r="H4383" t="s">
        <v>420</v>
      </c>
      <c r="I4383">
        <v>1</v>
      </c>
      <c r="J4383" s="15"/>
      <c r="K4383" s="16">
        <f>3595.21 - (3595.21 * $E$1)</f>
        <v>3595.21</v>
      </c>
      <c r="L4383" s="16">
        <f>2946.89 - (2946.89 * $E$1)</f>
        <v>2946.89</v>
      </c>
      <c r="M4383" s="1">
        <v>3595.21</v>
      </c>
      <c r="N4383" s="1">
        <v>2946.89</v>
      </c>
      <c r="O4383" s="1">
        <v>3055.92</v>
      </c>
      <c r="P4383" s="1">
        <v>2504.86</v>
      </c>
      <c r="Q4383">
        <v>0.53200000000000003</v>
      </c>
      <c r="R4383">
        <v>7.4299999999999995E-4</v>
      </c>
    </row>
    <row r="4384" spans="1:18" ht="13.8" outlineLevel="2" x14ac:dyDescent="0.25">
      <c r="A4384">
        <v>103153</v>
      </c>
      <c r="B4384" t="s">
        <v>6291</v>
      </c>
      <c r="C4384" t="s">
        <v>6319</v>
      </c>
      <c r="D4384" s="14" t="s">
        <v>6320</v>
      </c>
      <c r="E4384" s="12" t="s">
        <v>28</v>
      </c>
      <c r="G4384">
        <v>10</v>
      </c>
      <c r="H4384" t="s">
        <v>30</v>
      </c>
      <c r="I4384">
        <v>10</v>
      </c>
      <c r="J4384" s="15"/>
      <c r="K4384" s="16">
        <f>396.35 - (396.35 * $E$1)</f>
        <v>396.35</v>
      </c>
      <c r="L4384" s="16">
        <f>324.88 - (324.88 * $E$1)</f>
        <v>324.88</v>
      </c>
      <c r="M4384" s="1">
        <v>396.35</v>
      </c>
      <c r="N4384" s="1">
        <v>324.88</v>
      </c>
      <c r="O4384" s="1">
        <v>336.9</v>
      </c>
      <c r="P4384" s="1">
        <v>276.14999999999998</v>
      </c>
      <c r="Q4384">
        <v>4.4999999999999998E-2</v>
      </c>
      <c r="R4384">
        <v>6.4399999999999993E-5</v>
      </c>
    </row>
    <row r="4385" spans="1:18" ht="13.8" outlineLevel="2" x14ac:dyDescent="0.25">
      <c r="A4385">
        <v>109226</v>
      </c>
      <c r="B4385" t="s">
        <v>6291</v>
      </c>
      <c r="C4385" t="s">
        <v>6321</v>
      </c>
      <c r="D4385" s="14" t="s">
        <v>6320</v>
      </c>
      <c r="E4385" s="12" t="s">
        <v>28</v>
      </c>
      <c r="F4385" s="13" t="s">
        <v>29</v>
      </c>
      <c r="G4385">
        <v>1</v>
      </c>
      <c r="H4385" t="s">
        <v>420</v>
      </c>
      <c r="I4385">
        <v>1</v>
      </c>
      <c r="J4385" s="15"/>
      <c r="K4385" s="16">
        <f>3898.55 - (3898.55 * $E$1)</f>
        <v>3898.55</v>
      </c>
      <c r="L4385" s="16">
        <f>3195.53 - (3195.53 * $E$1)</f>
        <v>3195.53</v>
      </c>
      <c r="M4385" s="1">
        <v>3898.55</v>
      </c>
      <c r="N4385" s="1">
        <v>3195.53</v>
      </c>
      <c r="O4385" s="1">
        <v>3313.76</v>
      </c>
      <c r="P4385" s="1">
        <v>2716.2</v>
      </c>
      <c r="Q4385">
        <v>0.45</v>
      </c>
      <c r="R4385">
        <v>6.4400000000000004E-4</v>
      </c>
    </row>
    <row r="4386" spans="1:18" ht="13.8" outlineLevel="2" x14ac:dyDescent="0.25">
      <c r="A4386">
        <v>103154</v>
      </c>
      <c r="B4386" t="s">
        <v>6291</v>
      </c>
      <c r="C4386" t="s">
        <v>6322</v>
      </c>
      <c r="D4386" s="14" t="s">
        <v>6323</v>
      </c>
      <c r="E4386" s="12" t="s">
        <v>28</v>
      </c>
      <c r="G4386">
        <v>10</v>
      </c>
      <c r="H4386" t="s">
        <v>30</v>
      </c>
      <c r="I4386">
        <v>10</v>
      </c>
      <c r="J4386" s="15"/>
      <c r="K4386" s="16">
        <f>453.46 - (453.46 * $E$1)</f>
        <v>453.46</v>
      </c>
      <c r="L4386" s="16">
        <f>371.69 - (371.69 * $E$1)</f>
        <v>371.69</v>
      </c>
      <c r="M4386" s="1">
        <v>453.46</v>
      </c>
      <c r="N4386" s="1">
        <v>371.69</v>
      </c>
      <c r="O4386" s="1">
        <v>385.44</v>
      </c>
      <c r="P4386" s="1">
        <v>315.94</v>
      </c>
      <c r="Q4386">
        <v>7.5800000000000006E-2</v>
      </c>
      <c r="R4386">
        <v>1.104E-4</v>
      </c>
    </row>
    <row r="4387" spans="1:18" ht="13.8" outlineLevel="2" x14ac:dyDescent="0.25">
      <c r="A4387">
        <v>109220</v>
      </c>
      <c r="B4387" t="s">
        <v>6291</v>
      </c>
      <c r="C4387" t="s">
        <v>6324</v>
      </c>
      <c r="D4387" s="14" t="s">
        <v>6323</v>
      </c>
      <c r="E4387" s="12" t="s">
        <v>28</v>
      </c>
      <c r="F4387" s="13" t="s">
        <v>29</v>
      </c>
      <c r="G4387">
        <v>1</v>
      </c>
      <c r="H4387" t="s">
        <v>420</v>
      </c>
      <c r="I4387">
        <v>1</v>
      </c>
      <c r="J4387" s="15"/>
      <c r="K4387" s="16">
        <f>4460.3 - (4460.3 * $E$1)</f>
        <v>4460.3</v>
      </c>
      <c r="L4387" s="16">
        <f>3655.98 - (3655.98 * $E$1)</f>
        <v>3655.98</v>
      </c>
      <c r="M4387" s="1">
        <v>4460.3</v>
      </c>
      <c r="N4387" s="1">
        <v>3655.98</v>
      </c>
      <c r="O4387" s="1">
        <v>3791.25</v>
      </c>
      <c r="P4387" s="1">
        <v>3107.58</v>
      </c>
      <c r="Q4387">
        <v>0.75800000000000001</v>
      </c>
      <c r="R4387">
        <v>1.1039999999999999E-3</v>
      </c>
    </row>
    <row r="4388" spans="1:18" ht="13.8" outlineLevel="2" x14ac:dyDescent="0.25">
      <c r="A4388">
        <v>103155</v>
      </c>
      <c r="B4388" t="s">
        <v>6291</v>
      </c>
      <c r="C4388" t="s">
        <v>6325</v>
      </c>
      <c r="D4388" s="14" t="s">
        <v>6326</v>
      </c>
      <c r="E4388" s="12" t="s">
        <v>28</v>
      </c>
      <c r="F4388" s="17" t="s">
        <v>549</v>
      </c>
      <c r="G4388">
        <v>10</v>
      </c>
      <c r="H4388" t="s">
        <v>30</v>
      </c>
      <c r="I4388">
        <v>10</v>
      </c>
      <c r="J4388" s="15"/>
      <c r="K4388" s="16">
        <f>461.45 - (461.45 * $E$1)</f>
        <v>461.45</v>
      </c>
      <c r="L4388" s="16">
        <f>378.24 - (378.24 * $E$1)</f>
        <v>378.24</v>
      </c>
      <c r="M4388" s="1">
        <v>461.45</v>
      </c>
      <c r="N4388" s="1">
        <v>378.24</v>
      </c>
      <c r="O4388" s="1">
        <v>392.23</v>
      </c>
      <c r="P4388" s="1">
        <v>321.5</v>
      </c>
      <c r="Q4388">
        <v>9.7799999999999998E-2</v>
      </c>
      <c r="R4388">
        <v>1.6200000000000001E-4</v>
      </c>
    </row>
    <row r="4389" spans="1:18" ht="13.8" outlineLevel="2" x14ac:dyDescent="0.25">
      <c r="A4389">
        <v>109216</v>
      </c>
      <c r="B4389" t="s">
        <v>6291</v>
      </c>
      <c r="C4389" t="s">
        <v>6327</v>
      </c>
      <c r="D4389" s="14" t="s">
        <v>6326</v>
      </c>
      <c r="E4389" s="12" t="s">
        <v>28</v>
      </c>
      <c r="F4389" s="13" t="s">
        <v>29</v>
      </c>
      <c r="G4389">
        <v>1</v>
      </c>
      <c r="H4389" t="s">
        <v>420</v>
      </c>
      <c r="I4389">
        <v>1</v>
      </c>
      <c r="J4389" s="15"/>
      <c r="K4389" s="16">
        <f>4538.94 - (4538.94 * $E$1)</f>
        <v>4538.9399999999996</v>
      </c>
      <c r="L4389" s="16">
        <f>3720.44 - (3720.44 * $E$1)</f>
        <v>3720.44</v>
      </c>
      <c r="M4389" s="1">
        <v>4538.9399999999996</v>
      </c>
      <c r="N4389" s="1">
        <v>3720.44</v>
      </c>
      <c r="O4389" s="1">
        <v>3858.1</v>
      </c>
      <c r="P4389" s="1">
        <v>3162.37</v>
      </c>
      <c r="Q4389">
        <v>0.97799999999999998</v>
      </c>
      <c r="R4389">
        <v>1.6199999999999999E-3</v>
      </c>
    </row>
    <row r="4390" spans="1:18" ht="13.8" outlineLevel="2" x14ac:dyDescent="0.25">
      <c r="A4390">
        <v>103156</v>
      </c>
      <c r="B4390" t="s">
        <v>6291</v>
      </c>
      <c r="C4390" t="s">
        <v>6328</v>
      </c>
      <c r="D4390" s="14" t="s">
        <v>6329</v>
      </c>
      <c r="E4390" s="12" t="s">
        <v>28</v>
      </c>
      <c r="F4390" s="17" t="s">
        <v>549</v>
      </c>
      <c r="G4390">
        <v>10</v>
      </c>
      <c r="H4390" t="s">
        <v>30</v>
      </c>
      <c r="I4390">
        <v>10</v>
      </c>
      <c r="J4390" s="15"/>
      <c r="K4390" s="16">
        <f>454.6 - (454.6 * $E$1)</f>
        <v>454.6</v>
      </c>
      <c r="L4390" s="16">
        <f>372.62 - (372.62 * $E$1)</f>
        <v>372.62</v>
      </c>
      <c r="M4390" s="1">
        <v>454.6</v>
      </c>
      <c r="N4390" s="1">
        <v>372.62</v>
      </c>
      <c r="O4390" s="1">
        <v>386.41</v>
      </c>
      <c r="P4390" s="1">
        <v>316.73</v>
      </c>
      <c r="Q4390">
        <v>8.9599999999999999E-2</v>
      </c>
      <c r="R4390">
        <v>1.5300000000000001E-4</v>
      </c>
    </row>
    <row r="4391" spans="1:18" ht="13.8" outlineLevel="2" x14ac:dyDescent="0.25">
      <c r="A4391">
        <v>109217</v>
      </c>
      <c r="B4391" t="s">
        <v>6291</v>
      </c>
      <c r="C4391" t="s">
        <v>6330</v>
      </c>
      <c r="D4391" s="14" t="s">
        <v>6329</v>
      </c>
      <c r="E4391" s="12" t="s">
        <v>28</v>
      </c>
      <c r="F4391" s="13" t="s">
        <v>29</v>
      </c>
      <c r="G4391">
        <v>1</v>
      </c>
      <c r="H4391" t="s">
        <v>420</v>
      </c>
      <c r="I4391">
        <v>1</v>
      </c>
      <c r="J4391" s="15"/>
      <c r="K4391" s="16">
        <f>4471.53 - (4471.53 * $E$1)</f>
        <v>4471.53</v>
      </c>
      <c r="L4391" s="16">
        <f>3665.19 - (3665.19 * $E$1)</f>
        <v>3665.19</v>
      </c>
      <c r="M4391" s="1">
        <v>4471.53</v>
      </c>
      <c r="N4391" s="1">
        <v>3665.19</v>
      </c>
      <c r="O4391" s="1">
        <v>3800.8</v>
      </c>
      <c r="P4391" s="1">
        <v>3115.41</v>
      </c>
      <c r="Q4391">
        <v>0.89600000000000002</v>
      </c>
      <c r="R4391">
        <v>1.5299999999999999E-3</v>
      </c>
    </row>
    <row r="4392" spans="1:18" ht="13.8" outlineLevel="2" x14ac:dyDescent="0.25">
      <c r="A4392">
        <v>103157</v>
      </c>
      <c r="B4392" t="s">
        <v>6291</v>
      </c>
      <c r="C4392" t="s">
        <v>6331</v>
      </c>
      <c r="D4392" s="14" t="s">
        <v>6332</v>
      </c>
      <c r="E4392" s="12" t="s">
        <v>28</v>
      </c>
      <c r="F4392" s="13" t="s">
        <v>29</v>
      </c>
      <c r="G4392">
        <v>10</v>
      </c>
      <c r="H4392" t="s">
        <v>30</v>
      </c>
      <c r="I4392">
        <v>10</v>
      </c>
      <c r="J4392" s="15"/>
      <c r="K4392" s="16">
        <f>461.45 - (461.45 * $E$1)</f>
        <v>461.45</v>
      </c>
      <c r="L4392" s="16">
        <f>378.24 - (378.24 * $E$1)</f>
        <v>378.24</v>
      </c>
      <c r="M4392" s="1">
        <v>461.45</v>
      </c>
      <c r="N4392" s="1">
        <v>378.24</v>
      </c>
      <c r="O4392" s="1">
        <v>392.23</v>
      </c>
      <c r="P4392" s="1">
        <v>321.5</v>
      </c>
      <c r="Q4392">
        <v>8.72E-2</v>
      </c>
      <c r="R4392">
        <v>1.4540000000000001E-4</v>
      </c>
    </row>
    <row r="4393" spans="1:18" ht="13.8" outlineLevel="2" x14ac:dyDescent="0.25">
      <c r="A4393">
        <v>109218</v>
      </c>
      <c r="B4393" t="s">
        <v>6291</v>
      </c>
      <c r="C4393" t="s">
        <v>6333</v>
      </c>
      <c r="D4393" s="14" t="s">
        <v>6332</v>
      </c>
      <c r="E4393" s="12" t="s">
        <v>28</v>
      </c>
      <c r="F4393" s="13" t="s">
        <v>29</v>
      </c>
      <c r="G4393">
        <v>1</v>
      </c>
      <c r="H4393" t="s">
        <v>420</v>
      </c>
      <c r="I4393">
        <v>1</v>
      </c>
      <c r="J4393" s="15"/>
      <c r="K4393" s="16">
        <f>4538.94 - (4538.94 * $E$1)</f>
        <v>4538.9399999999996</v>
      </c>
      <c r="L4393" s="16">
        <f>3720.44 - (3720.44 * $E$1)</f>
        <v>3720.44</v>
      </c>
      <c r="M4393" s="1">
        <v>4538.9399999999996</v>
      </c>
      <c r="N4393" s="1">
        <v>3720.44</v>
      </c>
      <c r="O4393" s="1">
        <v>3858.1</v>
      </c>
      <c r="P4393" s="1">
        <v>3162.37</v>
      </c>
      <c r="Q4393">
        <v>0.872</v>
      </c>
      <c r="R4393">
        <v>1.454E-3</v>
      </c>
    </row>
    <row r="4394" spans="1:18" ht="13.8" outlineLevel="2" x14ac:dyDescent="0.25">
      <c r="A4394">
        <v>103158</v>
      </c>
      <c r="B4394" t="s">
        <v>6291</v>
      </c>
      <c r="C4394" t="s">
        <v>6334</v>
      </c>
      <c r="D4394" s="14" t="s">
        <v>6335</v>
      </c>
      <c r="E4394" s="12" t="s">
        <v>28</v>
      </c>
      <c r="F4394" s="17" t="s">
        <v>549</v>
      </c>
      <c r="G4394">
        <v>10</v>
      </c>
      <c r="H4394" t="s">
        <v>30</v>
      </c>
      <c r="I4394">
        <v>10</v>
      </c>
      <c r="J4394" s="15"/>
      <c r="K4394" s="16">
        <f>504.87 - (504.87 * $E$1)</f>
        <v>504.87</v>
      </c>
      <c r="L4394" s="16">
        <f>413.83 - (413.83 * $E$1)</f>
        <v>413.83</v>
      </c>
      <c r="M4394" s="1">
        <v>504.87</v>
      </c>
      <c r="N4394" s="1">
        <v>413.83</v>
      </c>
      <c r="O4394" s="1">
        <v>429.14</v>
      </c>
      <c r="P4394" s="1">
        <v>351.76</v>
      </c>
      <c r="Q4394">
        <v>7.6399999999999996E-2</v>
      </c>
      <c r="R4394">
        <v>1.4579999999999999E-4</v>
      </c>
    </row>
    <row r="4395" spans="1:18" ht="13.8" outlineLevel="2" x14ac:dyDescent="0.25">
      <c r="A4395">
        <v>109219</v>
      </c>
      <c r="B4395" t="s">
        <v>6291</v>
      </c>
      <c r="C4395" t="s">
        <v>6336</v>
      </c>
      <c r="D4395" s="14" t="s">
        <v>6335</v>
      </c>
      <c r="E4395" s="12" t="s">
        <v>28</v>
      </c>
      <c r="F4395" s="13" t="s">
        <v>29</v>
      </c>
      <c r="G4395">
        <v>1</v>
      </c>
      <c r="H4395" t="s">
        <v>420</v>
      </c>
      <c r="I4395">
        <v>1</v>
      </c>
      <c r="J4395" s="15"/>
      <c r="K4395" s="16">
        <f>4965.88 - (4965.88 * $E$1)</f>
        <v>4965.88</v>
      </c>
      <c r="L4395" s="16">
        <f>4070.39 - (4070.39 * $E$1)</f>
        <v>4070.39</v>
      </c>
      <c r="M4395" s="1">
        <v>4965.88</v>
      </c>
      <c r="N4395" s="1">
        <v>4070.39</v>
      </c>
      <c r="O4395" s="1">
        <v>4220.99</v>
      </c>
      <c r="P4395" s="1">
        <v>3459.83</v>
      </c>
      <c r="Q4395">
        <v>0.76400000000000001</v>
      </c>
      <c r="R4395">
        <v>1.4580000000000001E-3</v>
      </c>
    </row>
    <row r="4396" spans="1:18" ht="13.8" outlineLevel="2" x14ac:dyDescent="0.25">
      <c r="A4396">
        <v>103163</v>
      </c>
      <c r="B4396" t="s">
        <v>6337</v>
      </c>
      <c r="C4396" t="s">
        <v>6338</v>
      </c>
      <c r="D4396" s="14" t="s">
        <v>6339</v>
      </c>
      <c r="E4396" s="12" t="s">
        <v>28</v>
      </c>
      <c r="F4396" s="17" t="s">
        <v>549</v>
      </c>
      <c r="G4396">
        <v>10</v>
      </c>
      <c r="H4396" t="s">
        <v>30</v>
      </c>
      <c r="I4396">
        <v>10</v>
      </c>
      <c r="J4396" s="15"/>
      <c r="K4396" s="16">
        <f>519.72 - (519.72 * $E$1)</f>
        <v>519.72</v>
      </c>
      <c r="L4396" s="16">
        <f>426 - (426 * $E$1)</f>
        <v>426</v>
      </c>
      <c r="M4396" s="1">
        <v>519.72</v>
      </c>
      <c r="N4396" s="1">
        <v>426</v>
      </c>
      <c r="O4396" s="1">
        <v>441.76</v>
      </c>
      <c r="P4396" s="1">
        <v>362.1</v>
      </c>
      <c r="Q4396">
        <v>3.5000000000000003E-2</v>
      </c>
      <c r="R4396">
        <v>5.0399999999999999E-5</v>
      </c>
    </row>
    <row r="4397" spans="1:18" ht="13.8" outlineLevel="2" x14ac:dyDescent="0.25">
      <c r="A4397">
        <v>109228</v>
      </c>
      <c r="B4397" t="s">
        <v>6337</v>
      </c>
      <c r="C4397" t="s">
        <v>6340</v>
      </c>
      <c r="D4397" s="14" t="s">
        <v>6339</v>
      </c>
      <c r="E4397" s="12" t="s">
        <v>28</v>
      </c>
      <c r="F4397" s="13" t="s">
        <v>29</v>
      </c>
      <c r="G4397">
        <v>1</v>
      </c>
      <c r="H4397" t="s">
        <v>420</v>
      </c>
      <c r="I4397">
        <v>1</v>
      </c>
      <c r="J4397" s="15"/>
      <c r="K4397" s="16">
        <f>5111.92 - (5111.92 * $E$1)</f>
        <v>5111.92</v>
      </c>
      <c r="L4397" s="16">
        <f>4190.1 - (4190.1 * $E$1)</f>
        <v>4190.1000000000004</v>
      </c>
      <c r="M4397" s="1">
        <v>5111.92</v>
      </c>
      <c r="N4397" s="1">
        <v>4190.1000000000004</v>
      </c>
      <c r="O4397" s="1">
        <v>4345.13</v>
      </c>
      <c r="P4397" s="1">
        <v>3561.59</v>
      </c>
      <c r="Q4397">
        <v>0.35</v>
      </c>
      <c r="R4397">
        <v>5.04E-4</v>
      </c>
    </row>
    <row r="4398" spans="1:18" ht="13.8" outlineLevel="2" x14ac:dyDescent="0.25">
      <c r="A4398">
        <v>103164</v>
      </c>
      <c r="B4398" t="s">
        <v>6337</v>
      </c>
      <c r="C4398" t="s">
        <v>6341</v>
      </c>
      <c r="D4398" s="14" t="s">
        <v>6342</v>
      </c>
      <c r="E4398" s="12" t="s">
        <v>28</v>
      </c>
      <c r="F4398" s="17" t="s">
        <v>549</v>
      </c>
      <c r="G4398">
        <v>10</v>
      </c>
      <c r="H4398" t="s">
        <v>30</v>
      </c>
      <c r="I4398">
        <v>10</v>
      </c>
      <c r="J4398" s="15"/>
      <c r="K4398" s="16">
        <f>523.14 - (523.14 * $E$1)</f>
        <v>523.14</v>
      </c>
      <c r="L4398" s="16">
        <f>428.8 - (428.8 * $E$1)</f>
        <v>428.8</v>
      </c>
      <c r="M4398" s="1">
        <v>523.14</v>
      </c>
      <c r="N4398" s="1">
        <v>428.8</v>
      </c>
      <c r="O4398" s="1">
        <v>444.67</v>
      </c>
      <c r="P4398" s="1">
        <v>364.48</v>
      </c>
      <c r="Q4398">
        <v>3.4000000000000002E-2</v>
      </c>
      <c r="R4398">
        <v>5.4599999999999999E-5</v>
      </c>
    </row>
    <row r="4399" spans="1:18" ht="13.8" outlineLevel="2" x14ac:dyDescent="0.25">
      <c r="A4399">
        <v>109229</v>
      </c>
      <c r="B4399" t="s">
        <v>6337</v>
      </c>
      <c r="C4399" t="s">
        <v>6343</v>
      </c>
      <c r="D4399" s="14" t="s">
        <v>6342</v>
      </c>
      <c r="E4399" s="12" t="s">
        <v>28</v>
      </c>
      <c r="F4399" s="13" t="s">
        <v>29</v>
      </c>
      <c r="G4399">
        <v>1</v>
      </c>
      <c r="H4399" t="s">
        <v>420</v>
      </c>
      <c r="I4399">
        <v>1</v>
      </c>
      <c r="J4399" s="15"/>
      <c r="K4399" s="16">
        <f>5145.63 - (5145.63 * $E$1)</f>
        <v>5145.63</v>
      </c>
      <c r="L4399" s="16">
        <f>4217.73 - (4217.73 * $E$1)</f>
        <v>4217.7299999999996</v>
      </c>
      <c r="M4399" s="1">
        <v>5145.63</v>
      </c>
      <c r="N4399" s="1">
        <v>4217.7299999999996</v>
      </c>
      <c r="O4399" s="1">
        <v>4373.79</v>
      </c>
      <c r="P4399" s="1">
        <v>3585.07</v>
      </c>
      <c r="Q4399">
        <v>0.34</v>
      </c>
      <c r="R4399">
        <v>5.4600000000000004E-4</v>
      </c>
    </row>
    <row r="4400" spans="1:18" ht="13.8" outlineLevel="2" x14ac:dyDescent="0.25">
      <c r="A4400">
        <v>103165</v>
      </c>
      <c r="B4400" t="s">
        <v>6337</v>
      </c>
      <c r="C4400" t="s">
        <v>6344</v>
      </c>
      <c r="D4400" s="14" t="s">
        <v>6345</v>
      </c>
      <c r="E4400" s="12" t="s">
        <v>28</v>
      </c>
      <c r="F4400" s="17" t="s">
        <v>549</v>
      </c>
      <c r="G4400">
        <v>10</v>
      </c>
      <c r="H4400" t="s">
        <v>30</v>
      </c>
      <c r="I4400">
        <v>10</v>
      </c>
      <c r="J4400" s="15"/>
      <c r="K4400" s="16">
        <f>673.92 - (673.92 * $E$1)</f>
        <v>673.92</v>
      </c>
      <c r="L4400" s="16">
        <f>552.39 - (552.39 * $E$1)</f>
        <v>552.39</v>
      </c>
      <c r="M4400" s="1">
        <v>673.92</v>
      </c>
      <c r="N4400" s="1">
        <v>552.39</v>
      </c>
      <c r="O4400" s="1">
        <v>572.83000000000004</v>
      </c>
      <c r="P4400" s="1">
        <v>469.53</v>
      </c>
      <c r="Q4400">
        <v>7.8200000000000006E-2</v>
      </c>
      <c r="R4400">
        <v>8.3200000000000003E-5</v>
      </c>
    </row>
    <row r="4401" spans="1:18" ht="13.8" outlineLevel="2" x14ac:dyDescent="0.25">
      <c r="A4401">
        <v>109230</v>
      </c>
      <c r="B4401" t="s">
        <v>6337</v>
      </c>
      <c r="C4401" t="s">
        <v>6346</v>
      </c>
      <c r="D4401" s="14" t="s">
        <v>6345</v>
      </c>
      <c r="E4401" s="12" t="s">
        <v>28</v>
      </c>
      <c r="F4401" s="13" t="s">
        <v>29</v>
      </c>
      <c r="G4401">
        <v>1</v>
      </c>
      <c r="H4401" t="s">
        <v>420</v>
      </c>
      <c r="I4401">
        <v>1</v>
      </c>
      <c r="J4401" s="15"/>
      <c r="K4401" s="16">
        <f>6628.65 - (6628.65 * $E$1)</f>
        <v>6628.65</v>
      </c>
      <c r="L4401" s="16">
        <f>5433.32 - (5433.32 * $E$1)</f>
        <v>5433.32</v>
      </c>
      <c r="M4401" s="1">
        <v>6628.65</v>
      </c>
      <c r="N4401" s="1">
        <v>5433.32</v>
      </c>
      <c r="O4401" s="1">
        <v>5634.35</v>
      </c>
      <c r="P4401" s="1">
        <v>4618.32</v>
      </c>
      <c r="Q4401">
        <v>0.78200000000000003</v>
      </c>
      <c r="R4401">
        <v>8.3199999999999995E-4</v>
      </c>
    </row>
    <row r="4402" spans="1:18" ht="13.8" outlineLevel="2" x14ac:dyDescent="0.25">
      <c r="A4402">
        <v>103166</v>
      </c>
      <c r="B4402" t="s">
        <v>6337</v>
      </c>
      <c r="C4402" t="s">
        <v>6347</v>
      </c>
      <c r="D4402" s="14" t="s">
        <v>6348</v>
      </c>
      <c r="E4402" s="12" t="s">
        <v>28</v>
      </c>
      <c r="F4402" s="17" t="s">
        <v>549</v>
      </c>
      <c r="G4402">
        <v>10</v>
      </c>
      <c r="H4402" t="s">
        <v>30</v>
      </c>
      <c r="I4402">
        <v>10</v>
      </c>
      <c r="J4402" s="15"/>
      <c r="K4402" s="16">
        <f>675.06 - (675.06 * $E$1)</f>
        <v>675.06</v>
      </c>
      <c r="L4402" s="16">
        <f>553.33 - (553.33 * $E$1)</f>
        <v>553.33000000000004</v>
      </c>
      <c r="M4402" s="1">
        <v>675.06</v>
      </c>
      <c r="N4402" s="1">
        <v>553.33000000000004</v>
      </c>
      <c r="O4402" s="1">
        <v>573.79999999999995</v>
      </c>
      <c r="P4402" s="1">
        <v>470.33</v>
      </c>
      <c r="Q4402">
        <v>7.6399999999999996E-2</v>
      </c>
      <c r="R4402">
        <v>8.3200000000000003E-5</v>
      </c>
    </row>
    <row r="4403" spans="1:18" ht="13.8" outlineLevel="2" x14ac:dyDescent="0.25">
      <c r="A4403">
        <v>109231</v>
      </c>
      <c r="B4403" t="s">
        <v>6337</v>
      </c>
      <c r="C4403" t="s">
        <v>6349</v>
      </c>
      <c r="D4403" s="14" t="s">
        <v>6348</v>
      </c>
      <c r="E4403" s="12" t="s">
        <v>28</v>
      </c>
      <c r="F4403" s="13" t="s">
        <v>29</v>
      </c>
      <c r="G4403">
        <v>1</v>
      </c>
      <c r="H4403" t="s">
        <v>420</v>
      </c>
      <c r="I4403">
        <v>1</v>
      </c>
      <c r="J4403" s="15"/>
      <c r="K4403" s="16">
        <f>6639.89 - (6639.89 * $E$1)</f>
        <v>6639.89</v>
      </c>
      <c r="L4403" s="16">
        <f>5442.53 - (5442.53 * $E$1)</f>
        <v>5442.53</v>
      </c>
      <c r="M4403" s="1">
        <v>6639.89</v>
      </c>
      <c r="N4403" s="1">
        <v>5442.53</v>
      </c>
      <c r="O4403" s="1">
        <v>5643.9</v>
      </c>
      <c r="P4403" s="1">
        <v>4626.1499999999996</v>
      </c>
      <c r="Q4403">
        <v>0.76400000000000001</v>
      </c>
      <c r="R4403">
        <v>8.3199999999999995E-4</v>
      </c>
    </row>
    <row r="4404" spans="1:18" ht="13.8" outlineLevel="2" x14ac:dyDescent="0.25">
      <c r="A4404">
        <v>103167</v>
      </c>
      <c r="B4404" t="s">
        <v>6337</v>
      </c>
      <c r="C4404" t="s">
        <v>6350</v>
      </c>
      <c r="D4404" s="14" t="s">
        <v>6351</v>
      </c>
      <c r="E4404" s="12" t="s">
        <v>28</v>
      </c>
      <c r="F4404" s="17" t="s">
        <v>549</v>
      </c>
      <c r="G4404">
        <v>10</v>
      </c>
      <c r="H4404" t="s">
        <v>30</v>
      </c>
      <c r="I4404">
        <v>10</v>
      </c>
      <c r="J4404" s="15"/>
      <c r="K4404" s="16">
        <f>673.92 - (673.92 * $E$1)</f>
        <v>673.92</v>
      </c>
      <c r="L4404" s="16">
        <f>552.39 - (552.39 * $E$1)</f>
        <v>552.39</v>
      </c>
      <c r="M4404" s="1">
        <v>673.92</v>
      </c>
      <c r="N4404" s="1">
        <v>552.39</v>
      </c>
      <c r="O4404" s="1">
        <v>572.83000000000004</v>
      </c>
      <c r="P4404" s="1">
        <v>469.53</v>
      </c>
      <c r="Q4404">
        <v>7.3599999999999999E-2</v>
      </c>
      <c r="R4404">
        <v>1.08E-4</v>
      </c>
    </row>
    <row r="4405" spans="1:18" ht="13.8" outlineLevel="2" x14ac:dyDescent="0.25">
      <c r="A4405">
        <v>109232</v>
      </c>
      <c r="B4405" t="s">
        <v>6337</v>
      </c>
      <c r="C4405" t="s">
        <v>6352</v>
      </c>
      <c r="D4405" s="14" t="s">
        <v>6351</v>
      </c>
      <c r="E4405" s="12" t="s">
        <v>28</v>
      </c>
      <c r="F4405" s="13" t="s">
        <v>29</v>
      </c>
      <c r="G4405">
        <v>1</v>
      </c>
      <c r="H4405" t="s">
        <v>420</v>
      </c>
      <c r="I4405">
        <v>1</v>
      </c>
      <c r="J4405" s="15"/>
      <c r="K4405" s="16">
        <f>6628.65 - (6628.65 * $E$1)</f>
        <v>6628.65</v>
      </c>
      <c r="L4405" s="16">
        <f>5433.32 - (5433.32 * $E$1)</f>
        <v>5433.32</v>
      </c>
      <c r="M4405" s="1">
        <v>6628.65</v>
      </c>
      <c r="N4405" s="1">
        <v>5433.32</v>
      </c>
      <c r="O4405" s="1">
        <v>5634.35</v>
      </c>
      <c r="P4405" s="1">
        <v>4618.32</v>
      </c>
      <c r="Q4405">
        <v>0.73599999999999999</v>
      </c>
      <c r="R4405">
        <v>1.08E-3</v>
      </c>
    </row>
    <row r="4406" spans="1:18" ht="13.8" outlineLevel="2" x14ac:dyDescent="0.25">
      <c r="A4406">
        <v>103168</v>
      </c>
      <c r="B4406" t="s">
        <v>6337</v>
      </c>
      <c r="C4406" t="s">
        <v>6353</v>
      </c>
      <c r="D4406" s="14" t="s">
        <v>6354</v>
      </c>
      <c r="E4406" s="12" t="s">
        <v>28</v>
      </c>
      <c r="F4406" s="17" t="s">
        <v>549</v>
      </c>
      <c r="G4406">
        <v>10</v>
      </c>
      <c r="H4406" t="s">
        <v>30</v>
      </c>
      <c r="I4406">
        <v>10</v>
      </c>
      <c r="J4406" s="15"/>
      <c r="K4406" s="16">
        <f>672.77 - (672.77 * $E$1)</f>
        <v>672.77</v>
      </c>
      <c r="L4406" s="16">
        <f>551.45 - (551.45 * $E$1)</f>
        <v>551.45000000000005</v>
      </c>
      <c r="M4406" s="1">
        <v>672.77</v>
      </c>
      <c r="N4406" s="1">
        <v>551.45000000000005</v>
      </c>
      <c r="O4406" s="1">
        <v>571.85</v>
      </c>
      <c r="P4406" s="1">
        <v>468.73</v>
      </c>
      <c r="Q4406">
        <v>7.0000000000000007E-2</v>
      </c>
      <c r="R4406">
        <v>9.6000000000000002E-5</v>
      </c>
    </row>
    <row r="4407" spans="1:18" ht="13.8" outlineLevel="2" x14ac:dyDescent="0.25">
      <c r="A4407">
        <v>109233</v>
      </c>
      <c r="B4407" t="s">
        <v>6337</v>
      </c>
      <c r="C4407" t="s">
        <v>6355</v>
      </c>
      <c r="D4407" s="14" t="s">
        <v>6354</v>
      </c>
      <c r="E4407" s="12" t="s">
        <v>28</v>
      </c>
      <c r="F4407" s="13" t="s">
        <v>29</v>
      </c>
      <c r="G4407">
        <v>1</v>
      </c>
      <c r="H4407" t="s">
        <v>420</v>
      </c>
      <c r="I4407">
        <v>1</v>
      </c>
      <c r="J4407" s="15"/>
      <c r="K4407" s="16">
        <f>6617.41 - (6617.41 * $E$1)</f>
        <v>6617.41</v>
      </c>
      <c r="L4407" s="16">
        <f>5424.11 - (5424.11 * $E$1)</f>
        <v>5424.11</v>
      </c>
      <c r="M4407" s="1">
        <v>6617.41</v>
      </c>
      <c r="N4407" s="1">
        <v>5424.11</v>
      </c>
      <c r="O4407" s="1">
        <v>5624.8</v>
      </c>
      <c r="P4407" s="1">
        <v>4610.49</v>
      </c>
      <c r="Q4407">
        <v>0.7</v>
      </c>
      <c r="R4407">
        <v>9.6000000000000002E-4</v>
      </c>
    </row>
    <row r="4408" spans="1:18" ht="13.8" outlineLevel="2" x14ac:dyDescent="0.25">
      <c r="A4408">
        <v>103169</v>
      </c>
      <c r="B4408" t="s">
        <v>6337</v>
      </c>
      <c r="C4408" t="s">
        <v>6356</v>
      </c>
      <c r="D4408" s="14" t="s">
        <v>6357</v>
      </c>
      <c r="E4408" s="12" t="s">
        <v>28</v>
      </c>
      <c r="G4408">
        <v>10</v>
      </c>
      <c r="H4408" t="s">
        <v>30</v>
      </c>
      <c r="I4408">
        <v>10</v>
      </c>
      <c r="J4408" s="15"/>
      <c r="K4408" s="16">
        <f>1193.62 - (1193.62 * $E$1)</f>
        <v>1193.6199999999999</v>
      </c>
      <c r="L4408" s="16">
        <f>978.38 - (978.38 * $E$1)</f>
        <v>978.38</v>
      </c>
      <c r="M4408" s="1">
        <v>1193.6199999999999</v>
      </c>
      <c r="N4408" s="1">
        <v>978.38</v>
      </c>
      <c r="O4408" s="1">
        <v>1014.58</v>
      </c>
      <c r="P4408" s="1">
        <v>831.62</v>
      </c>
      <c r="Q4408">
        <v>0.151</v>
      </c>
      <c r="R4408">
        <v>1.785E-4</v>
      </c>
    </row>
    <row r="4409" spans="1:18" ht="13.8" outlineLevel="2" x14ac:dyDescent="0.25">
      <c r="A4409">
        <v>109227</v>
      </c>
      <c r="B4409" t="s">
        <v>6337</v>
      </c>
      <c r="C4409" t="s">
        <v>6358</v>
      </c>
      <c r="D4409" s="14" t="s">
        <v>6357</v>
      </c>
      <c r="E4409" s="12" t="s">
        <v>28</v>
      </c>
      <c r="F4409" s="13" t="s">
        <v>29</v>
      </c>
      <c r="G4409">
        <v>1</v>
      </c>
      <c r="H4409" t="s">
        <v>420</v>
      </c>
      <c r="I4409">
        <v>1</v>
      </c>
      <c r="J4409" s="15"/>
      <c r="K4409" s="16">
        <f>11740.57 - (11740.57 * $E$1)</f>
        <v>11740.57</v>
      </c>
      <c r="L4409" s="16">
        <f>9623.42 - (9623.42 * $E$1)</f>
        <v>9623.42</v>
      </c>
      <c r="M4409" s="1">
        <v>11740.57</v>
      </c>
      <c r="N4409" s="1">
        <v>9623.42</v>
      </c>
      <c r="O4409" s="1">
        <v>9979.49</v>
      </c>
      <c r="P4409" s="1">
        <v>8179.91</v>
      </c>
      <c r="Q4409">
        <v>1.51</v>
      </c>
      <c r="R4409">
        <v>1.7849999999999999E-3</v>
      </c>
    </row>
    <row r="4410" spans="1:18" ht="16.5" customHeight="1" outlineLevel="1" x14ac:dyDescent="0.35">
      <c r="A4410" s="9"/>
      <c r="B4410" s="10" t="s">
        <v>6359</v>
      </c>
      <c r="C4410" s="10"/>
      <c r="D4410" s="10"/>
      <c r="E4410" s="10"/>
      <c r="F4410" s="10"/>
      <c r="G4410" s="10"/>
      <c r="H4410" s="10"/>
      <c r="I4410" s="10"/>
      <c r="J4410" s="10"/>
      <c r="K4410" s="10"/>
      <c r="L4410" s="10"/>
      <c r="M4410" s="10"/>
      <c r="N4410" s="10"/>
      <c r="O4410" s="10"/>
      <c r="P4410" s="10"/>
      <c r="Q4410" s="10"/>
      <c r="R4410" s="11"/>
    </row>
    <row r="4411" spans="1:18" ht="13.8" outlineLevel="2" x14ac:dyDescent="0.25">
      <c r="A4411">
        <v>58744</v>
      </c>
      <c r="B4411" t="s">
        <v>6360</v>
      </c>
      <c r="C4411" t="s">
        <v>6361</v>
      </c>
      <c r="D4411" s="14" t="s">
        <v>6361</v>
      </c>
      <c r="E4411" s="12" t="s">
        <v>28</v>
      </c>
      <c r="F4411" s="13" t="s">
        <v>29</v>
      </c>
      <c r="G4411">
        <v>1</v>
      </c>
      <c r="H4411" t="s">
        <v>30</v>
      </c>
      <c r="I4411">
        <v>1</v>
      </c>
      <c r="J4411" s="15"/>
      <c r="K4411" s="16">
        <f>IF($E$1&gt;=$Q$1%,46732.77-(46732.77*$Q$1%),46732.77-(46732.77*$E$1))</f>
        <v>46732.77</v>
      </c>
      <c r="L4411" s="16">
        <f>IF($E$1&gt;=$Q$1%,38305.55-(38305.55*$Q$1%),38305.55-(38305.55*$E$1))</f>
        <v>38305.550000000003</v>
      </c>
      <c r="M4411" s="1">
        <v>46732.77</v>
      </c>
      <c r="N4411" s="1">
        <v>38305.550000000003</v>
      </c>
      <c r="O4411" s="1">
        <v>46732.77</v>
      </c>
      <c r="P4411" s="1">
        <v>38305.550000000003</v>
      </c>
      <c r="Q4411">
        <v>14.62</v>
      </c>
      <c r="R4411">
        <v>3.3534000000000001E-2</v>
      </c>
    </row>
    <row r="4412" spans="1:18" ht="13.8" outlineLevel="2" x14ac:dyDescent="0.25">
      <c r="A4412">
        <v>57740</v>
      </c>
      <c r="B4412" t="s">
        <v>6360</v>
      </c>
      <c r="C4412" t="s">
        <v>6362</v>
      </c>
      <c r="D4412" s="14" t="s">
        <v>6362</v>
      </c>
      <c r="E4412" s="12" t="s">
        <v>28</v>
      </c>
      <c r="F4412" s="13" t="s">
        <v>29</v>
      </c>
      <c r="G4412">
        <v>1</v>
      </c>
      <c r="H4412" t="s">
        <v>30</v>
      </c>
      <c r="I4412">
        <v>1</v>
      </c>
      <c r="J4412" s="15"/>
      <c r="K4412" s="16">
        <f>IF($E$1&gt;=$Q$1%,91518.48-(91518.48*$Q$1%),91518.48-(91518.48*$E$1))</f>
        <v>91518.48</v>
      </c>
      <c r="L4412" s="16">
        <f>IF($E$1&gt;=$Q$1%,75015.15-(75015.15*$Q$1%),75015.15-(75015.15*$E$1))</f>
        <v>75015.149999999994</v>
      </c>
      <c r="M4412" s="1">
        <v>91518.48</v>
      </c>
      <c r="N4412" s="1">
        <v>75015.149999999994</v>
      </c>
      <c r="O4412" s="1">
        <v>91518.48</v>
      </c>
      <c r="P4412" s="1">
        <v>75015.149999999994</v>
      </c>
      <c r="Q4412">
        <v>16.2</v>
      </c>
      <c r="R4412">
        <v>2.835E-2</v>
      </c>
    </row>
    <row r="4413" spans="1:18" ht="13.8" outlineLevel="2" x14ac:dyDescent="0.25">
      <c r="A4413">
        <v>74295</v>
      </c>
      <c r="B4413" t="s">
        <v>6360</v>
      </c>
      <c r="C4413" t="s">
        <v>6363</v>
      </c>
      <c r="D4413" s="14" t="s">
        <v>6363</v>
      </c>
      <c r="E4413" s="12" t="s">
        <v>28</v>
      </c>
      <c r="F4413" s="13" t="s">
        <v>29</v>
      </c>
      <c r="G4413">
        <v>1</v>
      </c>
      <c r="H4413" t="s">
        <v>30</v>
      </c>
      <c r="I4413">
        <v>1</v>
      </c>
      <c r="J4413" s="15"/>
      <c r="K4413" s="16">
        <f>IF($E$1&gt;=$Q$1%,53980.94-(53980.94*$Q$1%),53980.94-(53980.94*$E$1))</f>
        <v>53980.94</v>
      </c>
      <c r="L4413" s="16">
        <f>IF($E$1&gt;=$Q$1%,44246.67-(44246.67*$Q$1%),44246.67-(44246.67*$E$1))</f>
        <v>44246.67</v>
      </c>
      <c r="M4413" s="1">
        <v>53980.94</v>
      </c>
      <c r="N4413" s="1">
        <v>44246.67</v>
      </c>
      <c r="O4413" s="1">
        <v>53980.94</v>
      </c>
      <c r="P4413" s="1">
        <v>44246.67</v>
      </c>
      <c r="Q4413">
        <v>18.5</v>
      </c>
      <c r="R4413">
        <v>3.3534000000000001E-2</v>
      </c>
    </row>
    <row r="4414" spans="1:18" ht="13.8" outlineLevel="2" x14ac:dyDescent="0.25">
      <c r="A4414">
        <v>58691</v>
      </c>
      <c r="B4414" t="s">
        <v>6364</v>
      </c>
      <c r="C4414" t="s">
        <v>6365</v>
      </c>
      <c r="D4414" s="14" t="s">
        <v>6366</v>
      </c>
      <c r="E4414" s="12" t="s">
        <v>28</v>
      </c>
      <c r="F4414" s="13" t="s">
        <v>29</v>
      </c>
      <c r="G4414">
        <v>1</v>
      </c>
      <c r="H4414" t="s">
        <v>30</v>
      </c>
      <c r="I4414">
        <v>1</v>
      </c>
      <c r="J4414" s="15"/>
      <c r="K4414" s="16">
        <f>IF($E$1&gt;=$Q$1%,44785.71-(44785.71*$Q$1%),44785.71-(44785.71*$E$1))</f>
        <v>44785.71</v>
      </c>
      <c r="L4414" s="16">
        <f>IF($E$1&gt;=$Q$1%,36709.6-(36709.6*$Q$1%),36709.6-(36709.6*$E$1))</f>
        <v>36709.599999999999</v>
      </c>
      <c r="M4414" s="1">
        <v>44785.71</v>
      </c>
      <c r="N4414" s="1">
        <v>36709.599999999999</v>
      </c>
      <c r="O4414" s="1">
        <v>44785.71</v>
      </c>
      <c r="P4414" s="1">
        <v>36709.599999999999</v>
      </c>
      <c r="Q4414">
        <v>1.66</v>
      </c>
      <c r="R4414">
        <v>6.2529999999999999E-3</v>
      </c>
    </row>
    <row r="4415" spans="1:18" ht="13.8" outlineLevel="2" x14ac:dyDescent="0.25">
      <c r="A4415">
        <v>58383</v>
      </c>
      <c r="B4415" t="s">
        <v>6367</v>
      </c>
      <c r="C4415" t="s">
        <v>6368</v>
      </c>
      <c r="D4415" s="14" t="s">
        <v>6369</v>
      </c>
      <c r="E4415" s="12" t="s">
        <v>28</v>
      </c>
      <c r="F4415" s="13" t="s">
        <v>29</v>
      </c>
      <c r="G4415">
        <v>1</v>
      </c>
      <c r="H4415" t="s">
        <v>1129</v>
      </c>
      <c r="I4415">
        <v>1</v>
      </c>
      <c r="J4415" s="15"/>
      <c r="K4415" s="16">
        <f>IF($E$1&gt;=$Q$1%,435.04-(435.04*$Q$1%),435.04-(435.04*$E$1))</f>
        <v>435.04</v>
      </c>
      <c r="L4415" s="16">
        <f>IF($E$1&gt;=$Q$1%,356.59-(356.59*$Q$1%),356.59-(356.59*$E$1))</f>
        <v>356.59</v>
      </c>
      <c r="M4415" s="1">
        <v>435.04</v>
      </c>
      <c r="N4415" s="1">
        <v>356.59</v>
      </c>
      <c r="O4415" s="1">
        <v>435.04</v>
      </c>
      <c r="P4415" s="1">
        <v>356.59</v>
      </c>
      <c r="Q4415">
        <v>0.09</v>
      </c>
      <c r="R4415">
        <v>4.8000000000000001E-4</v>
      </c>
    </row>
    <row r="4416" spans="1:18" ht="13.8" outlineLevel="2" x14ac:dyDescent="0.25">
      <c r="A4416">
        <v>61845</v>
      </c>
      <c r="B4416" t="s">
        <v>6370</v>
      </c>
      <c r="C4416" t="s">
        <v>6371</v>
      </c>
      <c r="D4416" s="14" t="s">
        <v>6372</v>
      </c>
      <c r="E4416" s="12" t="s">
        <v>28</v>
      </c>
      <c r="F4416" s="13" t="s">
        <v>29</v>
      </c>
      <c r="G4416">
        <v>1</v>
      </c>
      <c r="H4416" t="s">
        <v>30</v>
      </c>
      <c r="I4416">
        <v>1</v>
      </c>
      <c r="J4416" s="15"/>
      <c r="K4416" s="16">
        <f>IF($E$1&gt;=$Q$1%,4122.4-(4122.4*$Q$1%),4122.4-(4122.4*$E$1))</f>
        <v>4122.3999999999996</v>
      </c>
      <c r="L4416" s="16">
        <f>IF($E$1&gt;=$Q$1%,3379.02-(3379.02*$Q$1%),3379.02-(3379.02*$E$1))</f>
        <v>3379.02</v>
      </c>
      <c r="M4416" s="1">
        <v>4122.3999999999996</v>
      </c>
      <c r="N4416" s="1">
        <v>3379.02</v>
      </c>
      <c r="O4416" s="1">
        <v>4122.3999999999996</v>
      </c>
      <c r="P4416" s="1">
        <v>3379.02</v>
      </c>
      <c r="Q4416">
        <v>0.7</v>
      </c>
      <c r="R4416">
        <v>7.3999999999999999E-4</v>
      </c>
    </row>
    <row r="4417" spans="1:18" ht="13.8" outlineLevel="2" x14ac:dyDescent="0.25">
      <c r="A4417">
        <v>57635</v>
      </c>
      <c r="B4417" t="s">
        <v>6370</v>
      </c>
      <c r="C4417" t="s">
        <v>6373</v>
      </c>
      <c r="D4417" s="14" t="s">
        <v>6374</v>
      </c>
      <c r="E4417" s="12" t="s">
        <v>28</v>
      </c>
      <c r="F4417" s="13" t="s">
        <v>29</v>
      </c>
      <c r="G4417">
        <v>1</v>
      </c>
      <c r="H4417" t="s">
        <v>30</v>
      </c>
      <c r="I4417">
        <v>1</v>
      </c>
      <c r="J4417" s="15"/>
      <c r="K4417" s="16">
        <f>IF($E$1&gt;=$Q$1%,5077.26-(5077.26*$Q$1%),5077.26-(5077.26*$E$1))</f>
        <v>5077.26</v>
      </c>
      <c r="L4417" s="16">
        <f>IF($E$1&gt;=$Q$1%,4161.69-(4161.69*$Q$1%),4161.69-(4161.69*$E$1))</f>
        <v>4161.6899999999996</v>
      </c>
      <c r="M4417" s="1">
        <v>5077.26</v>
      </c>
      <c r="N4417" s="1">
        <v>4161.6899999999996</v>
      </c>
      <c r="O4417" s="1">
        <v>5077.26</v>
      </c>
      <c r="P4417" s="1">
        <v>4161.6899999999996</v>
      </c>
      <c r="Q4417">
        <v>1.52</v>
      </c>
      <c r="R4417">
        <v>1.32E-3</v>
      </c>
    </row>
    <row r="4418" spans="1:18" ht="13.8" outlineLevel="2" x14ac:dyDescent="0.25">
      <c r="A4418">
        <v>61847</v>
      </c>
      <c r="B4418" t="s">
        <v>6370</v>
      </c>
      <c r="C4418" t="s">
        <v>6375</v>
      </c>
      <c r="D4418" s="14" t="s">
        <v>6376</v>
      </c>
      <c r="E4418" s="12" t="s">
        <v>28</v>
      </c>
      <c r="F4418" s="13" t="s">
        <v>29</v>
      </c>
      <c r="G4418">
        <v>1</v>
      </c>
      <c r="H4418" t="s">
        <v>30</v>
      </c>
      <c r="I4418">
        <v>1</v>
      </c>
      <c r="J4418" s="15"/>
      <c r="K4418" s="16">
        <f>IF($E$1&gt;=$Q$1%,11749.62-(11749.62*$Q$1%),11749.62-(11749.62*$E$1))</f>
        <v>11749.62</v>
      </c>
      <c r="L4418" s="16">
        <f>IF($E$1&gt;=$Q$1%,9630.84-(9630.84*$Q$1%),9630.84-(9630.84*$E$1))</f>
        <v>9630.84</v>
      </c>
      <c r="M4418" s="1">
        <v>11749.62</v>
      </c>
      <c r="N4418" s="1">
        <v>9630.84</v>
      </c>
      <c r="O4418" s="1">
        <v>11749.62</v>
      </c>
      <c r="P4418" s="1">
        <v>9630.84</v>
      </c>
      <c r="Q4418">
        <v>2.4</v>
      </c>
      <c r="R4418">
        <v>2.362E-3</v>
      </c>
    </row>
    <row r="4419" spans="1:18" ht="13.8" outlineLevel="2" x14ac:dyDescent="0.25">
      <c r="A4419">
        <v>68029</v>
      </c>
      <c r="B4419" t="s">
        <v>6370</v>
      </c>
      <c r="C4419" t="s">
        <v>6377</v>
      </c>
      <c r="D4419" s="14" t="s">
        <v>6378</v>
      </c>
      <c r="E4419" s="12" t="s">
        <v>28</v>
      </c>
      <c r="F4419" s="13" t="s">
        <v>29</v>
      </c>
      <c r="G4419">
        <v>1</v>
      </c>
      <c r="H4419" t="s">
        <v>30</v>
      </c>
      <c r="I4419">
        <v>1</v>
      </c>
      <c r="J4419" s="15"/>
      <c r="K4419" s="16">
        <f>IF($E$1&gt;=$Q$1%,10215.89-(10215.89*$Q$1%),10215.89-(10215.89*$E$1))</f>
        <v>10215.89</v>
      </c>
      <c r="L4419" s="16">
        <f>IF($E$1&gt;=$Q$1%,8373.68-(8373.68*$Q$1%),8373.68-(8373.68*$E$1))</f>
        <v>8373.68</v>
      </c>
      <c r="M4419" s="1">
        <v>10215.89</v>
      </c>
      <c r="N4419" s="1">
        <v>8373.68</v>
      </c>
      <c r="O4419" s="1">
        <v>10215.89</v>
      </c>
      <c r="P4419" s="1">
        <v>8373.68</v>
      </c>
      <c r="Q4419">
        <v>2.56</v>
      </c>
      <c r="R4419">
        <v>3.7420000000000001E-3</v>
      </c>
    </row>
    <row r="4420" spans="1:18" ht="13.8" outlineLevel="2" x14ac:dyDescent="0.25">
      <c r="A4420">
        <v>68412</v>
      </c>
      <c r="B4420" t="s">
        <v>6370</v>
      </c>
      <c r="C4420" t="s">
        <v>6379</v>
      </c>
      <c r="D4420" s="14" t="s">
        <v>6380</v>
      </c>
      <c r="E4420" s="12" t="s">
        <v>28</v>
      </c>
      <c r="F4420" s="13" t="s">
        <v>29</v>
      </c>
      <c r="G4420">
        <v>1</v>
      </c>
      <c r="H4420" t="s">
        <v>30</v>
      </c>
      <c r="I4420">
        <v>1</v>
      </c>
      <c r="J4420" s="15"/>
      <c r="K4420" s="16">
        <f>IF($E$1&gt;=$Q$1%,19403.1-(19403.1*$Q$1%),19403.1-(19403.1*$E$1))</f>
        <v>19403.099999999999</v>
      </c>
      <c r="L4420" s="16">
        <f>IF($E$1&gt;=$Q$1%,15904.18-(15904.18*$Q$1%),15904.18-(15904.18*$E$1))</f>
        <v>15904.18</v>
      </c>
      <c r="M4420" s="1">
        <v>19403.099999999999</v>
      </c>
      <c r="N4420" s="1">
        <v>15904.18</v>
      </c>
      <c r="O4420" s="1">
        <v>19403.099999999999</v>
      </c>
      <c r="P4420" s="1">
        <v>15904.18</v>
      </c>
      <c r="Q4420">
        <v>4.82</v>
      </c>
      <c r="R4420">
        <v>7.3439999999999998E-3</v>
      </c>
    </row>
    <row r="4421" spans="1:18" ht="13.8" outlineLevel="2" x14ac:dyDescent="0.25">
      <c r="A4421">
        <v>62091</v>
      </c>
      <c r="B4421" t="s">
        <v>6381</v>
      </c>
      <c r="C4421" t="s">
        <v>6382</v>
      </c>
      <c r="D4421" s="14" t="s">
        <v>6383</v>
      </c>
      <c r="E4421" s="12" t="s">
        <v>28</v>
      </c>
      <c r="F4421" s="13" t="s">
        <v>29</v>
      </c>
      <c r="G4421">
        <v>1</v>
      </c>
      <c r="H4421" t="s">
        <v>30</v>
      </c>
      <c r="I4421">
        <v>1</v>
      </c>
      <c r="J4421" s="15"/>
      <c r="K4421" s="16">
        <f>IF($E$1&gt;=$Q$1%,21667.44-(21667.44*$Q$1%),21667.44-(21667.44*$E$1))</f>
        <v>21667.439999999999</v>
      </c>
      <c r="L4421" s="16">
        <f>IF($E$1&gt;=$Q$1%,17760.2-(17760.2*$Q$1%),17760.2-(17760.2*$E$1))</f>
        <v>17760.2</v>
      </c>
      <c r="M4421" s="1">
        <v>21667.439999999999</v>
      </c>
      <c r="N4421" s="1">
        <v>17760.2</v>
      </c>
      <c r="O4421" s="1">
        <v>21667.439999999999</v>
      </c>
      <c r="P4421" s="1">
        <v>17760.2</v>
      </c>
      <c r="Q4421">
        <v>1.972</v>
      </c>
      <c r="R4421">
        <v>2.0999999999999999E-3</v>
      </c>
    </row>
    <row r="4422" spans="1:18" ht="13.8" outlineLevel="2" x14ac:dyDescent="0.25">
      <c r="A4422">
        <v>62092</v>
      </c>
      <c r="B4422" t="s">
        <v>6381</v>
      </c>
      <c r="C4422" t="s">
        <v>6384</v>
      </c>
      <c r="D4422" s="14" t="s">
        <v>6383</v>
      </c>
      <c r="E4422" s="12" t="s">
        <v>28</v>
      </c>
      <c r="F4422" s="13" t="s">
        <v>29</v>
      </c>
      <c r="G4422">
        <v>1</v>
      </c>
      <c r="H4422" t="s">
        <v>30</v>
      </c>
      <c r="I4422">
        <v>1</v>
      </c>
      <c r="J4422" s="15"/>
      <c r="K4422" s="16">
        <f>IF($E$1&gt;=$Q$1%,37491.54-(37491.54*$Q$1%),37491.54-(37491.54*$E$1))</f>
        <v>37491.54</v>
      </c>
      <c r="L4422" s="16">
        <f>IF($E$1&gt;=$Q$1%,30730.77-(30730.77*$Q$1%),30730.77-(30730.77*$E$1))</f>
        <v>30730.77</v>
      </c>
      <c r="M4422" s="1">
        <v>37491.54</v>
      </c>
      <c r="N4422" s="1">
        <v>30730.77</v>
      </c>
      <c r="O4422" s="1">
        <v>37491.54</v>
      </c>
      <c r="P4422" s="1">
        <v>30730.77</v>
      </c>
      <c r="Q4422">
        <v>4.3</v>
      </c>
      <c r="R4422">
        <v>2E-3</v>
      </c>
    </row>
    <row r="4423" spans="1:18" ht="13.8" outlineLevel="2" x14ac:dyDescent="0.25">
      <c r="A4423">
        <v>62093</v>
      </c>
      <c r="B4423" t="s">
        <v>6381</v>
      </c>
      <c r="C4423" t="s">
        <v>6385</v>
      </c>
      <c r="D4423" s="14" t="s">
        <v>6383</v>
      </c>
      <c r="E4423" s="12" t="s">
        <v>28</v>
      </c>
      <c r="F4423" s="13" t="s">
        <v>29</v>
      </c>
      <c r="G4423">
        <v>1</v>
      </c>
      <c r="H4423" t="s">
        <v>30</v>
      </c>
      <c r="I4423">
        <v>1</v>
      </c>
      <c r="J4423" s="15"/>
      <c r="K4423" s="16">
        <f>IF($E$1&gt;=$Q$1%,43594.17-(43594.17*$Q$1%),43594.17-(43594.17*$E$1))</f>
        <v>43594.17</v>
      </c>
      <c r="L4423" s="16">
        <f>IF($E$1&gt;=$Q$1%,35732.93-(35732.93*$Q$1%),35732.93-(35732.93*$E$1))</f>
        <v>35732.93</v>
      </c>
      <c r="M4423" s="1">
        <v>43594.17</v>
      </c>
      <c r="N4423" s="1">
        <v>35732.93</v>
      </c>
      <c r="O4423" s="1">
        <v>43594.17</v>
      </c>
      <c r="P4423" s="1">
        <v>35732.93</v>
      </c>
      <c r="Q4423">
        <v>7.3</v>
      </c>
      <c r="R4423">
        <v>4.725E-3</v>
      </c>
    </row>
    <row r="4424" spans="1:18" ht="13.8" outlineLevel="2" x14ac:dyDescent="0.25">
      <c r="A4424">
        <v>62094</v>
      </c>
      <c r="B4424" t="s">
        <v>6381</v>
      </c>
      <c r="C4424" t="s">
        <v>6386</v>
      </c>
      <c r="D4424" s="14" t="s">
        <v>6383</v>
      </c>
      <c r="E4424" s="12" t="s">
        <v>28</v>
      </c>
      <c r="F4424" s="13" t="s">
        <v>29</v>
      </c>
      <c r="G4424">
        <v>1</v>
      </c>
      <c r="H4424" t="s">
        <v>30</v>
      </c>
      <c r="I4424">
        <v>1</v>
      </c>
      <c r="J4424" s="15"/>
      <c r="K4424" s="16">
        <f>IF($E$1&gt;=$Q$1%,62015.25-(62015.25*$Q$1%),62015.25-(62015.25*$E$1))</f>
        <v>62015.25</v>
      </c>
      <c r="L4424" s="16">
        <f>IF($E$1&gt;=$Q$1%,50832.17-(50832.17*$Q$1%),50832.17-(50832.17*$E$1))</f>
        <v>50832.17</v>
      </c>
      <c r="M4424" s="1">
        <v>62015.25</v>
      </c>
      <c r="N4424" s="1">
        <v>50832.17</v>
      </c>
      <c r="O4424" s="1">
        <v>62015.25</v>
      </c>
      <c r="P4424" s="1">
        <v>50832.17</v>
      </c>
      <c r="Q4424">
        <v>17.7</v>
      </c>
      <c r="R4424">
        <v>1.0540000000000001E-2</v>
      </c>
    </row>
    <row r="4425" spans="1:18" ht="13.8" outlineLevel="2" x14ac:dyDescent="0.25">
      <c r="A4425">
        <v>58601</v>
      </c>
      <c r="B4425" t="s">
        <v>6387</v>
      </c>
      <c r="C4425" t="s">
        <v>6388</v>
      </c>
      <c r="D4425" s="14" t="s">
        <v>6389</v>
      </c>
      <c r="E4425" s="12" t="s">
        <v>28</v>
      </c>
      <c r="F4425" s="13" t="s">
        <v>29</v>
      </c>
      <c r="G4425">
        <v>1</v>
      </c>
      <c r="H4425" t="s">
        <v>30</v>
      </c>
      <c r="I4425">
        <v>1</v>
      </c>
      <c r="J4425" s="15"/>
      <c r="K4425" s="16">
        <f>IF($E$1&gt;=$Q$1%,2279.22-(2279.22*$Q$1%),2279.22-(2279.22*$E$1))</f>
        <v>2279.2199999999998</v>
      </c>
      <c r="L4425" s="16">
        <f>IF($E$1&gt;=$Q$1%,1868.21-(1868.21*$Q$1%),1868.21-(1868.21*$E$1))</f>
        <v>1868.21</v>
      </c>
      <c r="M4425" s="1">
        <v>2279.2199999999998</v>
      </c>
      <c r="N4425" s="1">
        <v>1868.21</v>
      </c>
      <c r="O4425" s="1">
        <v>2279.2199999999998</v>
      </c>
      <c r="P4425" s="1">
        <v>1868.21</v>
      </c>
      <c r="Q4425">
        <v>1.48</v>
      </c>
      <c r="R4425">
        <v>3.1589999999999999E-3</v>
      </c>
    </row>
    <row r="4426" spans="1:18" ht="13.8" outlineLevel="2" x14ac:dyDescent="0.25">
      <c r="A4426">
        <v>102113</v>
      </c>
      <c r="B4426" t="s">
        <v>6390</v>
      </c>
      <c r="C4426" t="s">
        <v>6391</v>
      </c>
      <c r="D4426" s="14" t="s">
        <v>6392</v>
      </c>
      <c r="E4426" s="12" t="s">
        <v>28</v>
      </c>
      <c r="F4426" s="13" t="s">
        <v>29</v>
      </c>
      <c r="G4426">
        <v>1</v>
      </c>
      <c r="H4426" t="s">
        <v>30</v>
      </c>
      <c r="I4426">
        <v>1</v>
      </c>
      <c r="J4426" s="15"/>
      <c r="K4426" s="16">
        <f>IF($E$1&gt;=$Q$1%,2987.15-(2987.15*$Q$1%),2987.15-(2987.15*$E$1))</f>
        <v>2987.15</v>
      </c>
      <c r="L4426" s="16">
        <f>IF($E$1&gt;=$Q$1%,2448.48-(2448.48*$Q$1%),2448.48-(2448.48*$E$1))</f>
        <v>2448.48</v>
      </c>
      <c r="M4426" s="1">
        <v>2987.15</v>
      </c>
      <c r="N4426" s="1">
        <v>2448.48</v>
      </c>
      <c r="O4426" s="1">
        <v>2987.15</v>
      </c>
      <c r="P4426" s="1">
        <v>2448.48</v>
      </c>
      <c r="Q4426">
        <v>1.6</v>
      </c>
      <c r="R4426">
        <v>3.5699999999999998E-3</v>
      </c>
    </row>
    <row r="4427" spans="1:18" ht="13.8" outlineLevel="2" x14ac:dyDescent="0.25">
      <c r="A4427">
        <v>57636</v>
      </c>
      <c r="B4427" t="s">
        <v>6393</v>
      </c>
      <c r="C4427" t="s">
        <v>6394</v>
      </c>
      <c r="D4427" s="14" t="s">
        <v>6395</v>
      </c>
      <c r="E4427" s="12" t="s">
        <v>28</v>
      </c>
      <c r="F4427" s="13" t="s">
        <v>29</v>
      </c>
      <c r="G4427">
        <v>1</v>
      </c>
      <c r="H4427" t="s">
        <v>30</v>
      </c>
      <c r="I4427">
        <v>1</v>
      </c>
      <c r="J4427" s="15"/>
      <c r="K4427" s="16">
        <f>IF($E$1&gt;=$Q$1%,7315.03-(7315.03*$Q$1%),7315.03-(7315.03*$E$1))</f>
        <v>7315.03</v>
      </c>
      <c r="L4427" s="16">
        <f>IF($E$1&gt;=$Q$1%,5995.93-(5995.93*$Q$1%),5995.93-(5995.93*$E$1))</f>
        <v>5995.93</v>
      </c>
      <c r="M4427" s="1">
        <v>7315.03</v>
      </c>
      <c r="N4427" s="1">
        <v>5995.93</v>
      </c>
      <c r="O4427" s="1">
        <v>7315.03</v>
      </c>
      <c r="P4427" s="1">
        <v>5995.93</v>
      </c>
      <c r="Q4427">
        <v>2.14</v>
      </c>
      <c r="R4427">
        <v>6.496E-3</v>
      </c>
    </row>
    <row r="4428" spans="1:18" ht="13.8" outlineLevel="2" x14ac:dyDescent="0.25">
      <c r="A4428">
        <v>102114</v>
      </c>
      <c r="B4428" t="s">
        <v>6390</v>
      </c>
      <c r="C4428" t="s">
        <v>6396</v>
      </c>
      <c r="D4428" s="14" t="s">
        <v>6397</v>
      </c>
      <c r="E4428" s="12" t="s">
        <v>28</v>
      </c>
      <c r="F4428" s="13" t="s">
        <v>29</v>
      </c>
      <c r="G4428">
        <v>1</v>
      </c>
      <c r="H4428" t="s">
        <v>30</v>
      </c>
      <c r="I4428">
        <v>1</v>
      </c>
      <c r="J4428" s="15"/>
      <c r="K4428" s="16">
        <f>IF($E$1&gt;=$Q$1%,7344.27-(7344.27*$Q$1%),7344.27-(7344.27*$E$1))</f>
        <v>7344.27</v>
      </c>
      <c r="L4428" s="16">
        <f>IF($E$1&gt;=$Q$1%,6019.89-(6019.89*$Q$1%),6019.89-(6019.89*$E$1))</f>
        <v>6019.89</v>
      </c>
      <c r="M4428" s="1">
        <v>7344.27</v>
      </c>
      <c r="N4428" s="1">
        <v>6019.89</v>
      </c>
      <c r="O4428" s="1">
        <v>7344.27</v>
      </c>
      <c r="P4428" s="1">
        <v>6019.89</v>
      </c>
      <c r="Q4428">
        <v>1.93</v>
      </c>
      <c r="R4428">
        <v>8.064E-3</v>
      </c>
    </row>
    <row r="4429" spans="1:18" ht="13.8" outlineLevel="2" x14ac:dyDescent="0.25">
      <c r="A4429">
        <v>110536</v>
      </c>
      <c r="B4429" t="s">
        <v>6393</v>
      </c>
      <c r="C4429" t="s">
        <v>6398</v>
      </c>
      <c r="D4429" s="14" t="s">
        <v>6399</v>
      </c>
      <c r="E4429" s="12" t="s">
        <v>28</v>
      </c>
      <c r="F4429" s="18" t="s">
        <v>1467</v>
      </c>
      <c r="H4429" t="s">
        <v>30</v>
      </c>
      <c r="I4429">
        <v>1</v>
      </c>
      <c r="J4429" s="15"/>
      <c r="K4429" s="16">
        <f>IF($E$1&gt;=$Q$1%,5787.4-(5787.4*$Q$1%),5787.4-(5787.4*$E$1))</f>
        <v>5787.4</v>
      </c>
      <c r="L4429" s="16">
        <f>IF($E$1&gt;=$Q$1%,4743.77-(4743.77*$Q$1%),4743.77-(4743.77*$E$1))</f>
        <v>4743.7700000000004</v>
      </c>
      <c r="M4429" s="1">
        <v>5787.4</v>
      </c>
      <c r="N4429" s="1">
        <v>4743.7700000000004</v>
      </c>
      <c r="O4429" s="1">
        <v>5787.4</v>
      </c>
      <c r="P4429" s="1">
        <v>4743.7700000000004</v>
      </c>
    </row>
    <row r="4430" spans="1:18" ht="13.8" outlineLevel="2" x14ac:dyDescent="0.25">
      <c r="A4430">
        <v>110324</v>
      </c>
      <c r="B4430" t="s">
        <v>6393</v>
      </c>
      <c r="C4430" t="s">
        <v>6400</v>
      </c>
      <c r="D4430" s="14" t="s">
        <v>6401</v>
      </c>
      <c r="E4430" s="12" t="s">
        <v>28</v>
      </c>
      <c r="F4430" s="18" t="s">
        <v>1467</v>
      </c>
      <c r="H4430" t="s">
        <v>30</v>
      </c>
      <c r="I4430">
        <v>1</v>
      </c>
      <c r="J4430" s="15"/>
      <c r="K4430" s="16">
        <f>IF($E$1&gt;=$Q$1%,9064.42-(9064.42*$Q$1%),9064.42-(9064.42*$E$1))</f>
        <v>9064.42</v>
      </c>
      <c r="L4430" s="16">
        <f>IF($E$1&gt;=$Q$1%,7429.85-(7429.85*$Q$1%),7429.85-(7429.85*$E$1))</f>
        <v>7429.85</v>
      </c>
      <c r="M4430" s="1">
        <v>9064.42</v>
      </c>
      <c r="N4430" s="1">
        <v>7429.85</v>
      </c>
      <c r="O4430" s="1">
        <v>9064.42</v>
      </c>
      <c r="P4430" s="1">
        <v>7429.85</v>
      </c>
    </row>
    <row r="4431" spans="1:18" ht="13.8" outlineLevel="2" x14ac:dyDescent="0.25">
      <c r="A4431">
        <v>58711</v>
      </c>
      <c r="B4431" t="s">
        <v>6402</v>
      </c>
      <c r="C4431" t="s">
        <v>6403</v>
      </c>
      <c r="D4431" s="14" t="s">
        <v>6403</v>
      </c>
      <c r="E4431" s="12" t="s">
        <v>28</v>
      </c>
      <c r="F4431" s="13" t="s">
        <v>29</v>
      </c>
      <c r="G4431">
        <v>1</v>
      </c>
      <c r="H4431" t="s">
        <v>30</v>
      </c>
      <c r="I4431">
        <v>1</v>
      </c>
      <c r="J4431" s="15"/>
      <c r="K4431" s="16">
        <f>IF($E$1&gt;=$Q$1%,7665.43-(7665.43*$Q$1%),7665.43-(7665.43*$E$1))</f>
        <v>7665.43</v>
      </c>
      <c r="L4431" s="16">
        <f>IF($E$1&gt;=$Q$1%,6283.14-(6283.14*$Q$1%),6283.14-(6283.14*$E$1))</f>
        <v>6283.14</v>
      </c>
      <c r="M4431" s="1">
        <v>7665.43</v>
      </c>
      <c r="N4431" s="1">
        <v>6283.14</v>
      </c>
      <c r="O4431" s="1">
        <v>7665.43</v>
      </c>
      <c r="P4431" s="1">
        <v>6283.14</v>
      </c>
      <c r="Q4431">
        <v>3.2</v>
      </c>
      <c r="R4431">
        <v>1.107E-2</v>
      </c>
    </row>
    <row r="4432" spans="1:18" ht="13.8" outlineLevel="2" x14ac:dyDescent="0.25">
      <c r="A4432">
        <v>58382</v>
      </c>
      <c r="B4432" t="s">
        <v>6402</v>
      </c>
      <c r="C4432" t="s">
        <v>6404</v>
      </c>
      <c r="D4432" s="14" t="s">
        <v>6404</v>
      </c>
      <c r="E4432" s="12" t="s">
        <v>28</v>
      </c>
      <c r="F4432" s="13" t="s">
        <v>29</v>
      </c>
      <c r="G4432">
        <v>1</v>
      </c>
      <c r="H4432" t="s">
        <v>30</v>
      </c>
      <c r="I4432">
        <v>1</v>
      </c>
      <c r="J4432" s="15"/>
      <c r="K4432" s="16">
        <f>IF($E$1&gt;=$Q$1%,11089.76-(11089.76*$Q$1%),11089.76-(11089.76*$E$1))</f>
        <v>11089.76</v>
      </c>
      <c r="L4432" s="16">
        <f>IF($E$1&gt;=$Q$1%,9089.97-(9089.97*$Q$1%),9089.97-(9089.97*$E$1))</f>
        <v>9089.9699999999993</v>
      </c>
      <c r="M4432" s="1">
        <v>11089.76</v>
      </c>
      <c r="N4432" s="1">
        <v>9089.9699999999993</v>
      </c>
      <c r="O4432" s="1">
        <v>11089.76</v>
      </c>
      <c r="P4432" s="1">
        <v>9089.9699999999993</v>
      </c>
      <c r="Q4432">
        <v>5.3</v>
      </c>
      <c r="R4432">
        <v>2.2537999999999999E-2</v>
      </c>
    </row>
    <row r="4433" spans="1:18" ht="13.8" outlineLevel="2" x14ac:dyDescent="0.25">
      <c r="A4433">
        <v>61077</v>
      </c>
      <c r="B4433" t="s">
        <v>6402</v>
      </c>
      <c r="C4433" t="s">
        <v>6405</v>
      </c>
      <c r="D4433" s="14" t="s">
        <v>6405</v>
      </c>
      <c r="E4433" s="12" t="s">
        <v>28</v>
      </c>
      <c r="F4433" s="13" t="s">
        <v>29</v>
      </c>
      <c r="G4433">
        <v>1</v>
      </c>
      <c r="H4433" t="s">
        <v>30</v>
      </c>
      <c r="I4433">
        <v>1</v>
      </c>
      <c r="J4433" s="15"/>
      <c r="K4433" s="16">
        <f>IF($E$1&gt;=$Q$1%,19992.1-(19992.1*$Q$1%),19992.1-(19992.1*$E$1))</f>
        <v>19992.099999999999</v>
      </c>
      <c r="L4433" s="16">
        <f>IF($E$1&gt;=$Q$1%,16386.97-(16386.97*$Q$1%),16386.97-(16386.97*$E$1))</f>
        <v>16386.97</v>
      </c>
      <c r="M4433" s="1">
        <v>19992.099999999999</v>
      </c>
      <c r="N4433" s="1">
        <v>16386.97</v>
      </c>
      <c r="O4433" s="1">
        <v>19992.099999999999</v>
      </c>
      <c r="P4433" s="1">
        <v>16386.97</v>
      </c>
      <c r="Q4433">
        <v>10.1</v>
      </c>
      <c r="R4433">
        <v>4.4032000000000002E-2</v>
      </c>
    </row>
    <row r="4434" spans="1:18" ht="13.8" outlineLevel="2" x14ac:dyDescent="0.25">
      <c r="A4434">
        <v>59396</v>
      </c>
      <c r="B4434" t="s">
        <v>6406</v>
      </c>
      <c r="C4434" t="s">
        <v>6407</v>
      </c>
      <c r="D4434" s="14" t="s">
        <v>6407</v>
      </c>
      <c r="E4434" s="12" t="s">
        <v>28</v>
      </c>
      <c r="F4434" s="13" t="s">
        <v>29</v>
      </c>
      <c r="G4434">
        <v>1</v>
      </c>
      <c r="H4434" t="s">
        <v>30</v>
      </c>
      <c r="I4434">
        <v>1</v>
      </c>
      <c r="J4434" s="15"/>
      <c r="K4434" s="16">
        <f>IF($E$1&gt;=$Q$1%,22487-(22487*$Q$1%),22487-(22487*$E$1))</f>
        <v>22487</v>
      </c>
      <c r="L4434" s="16">
        <f>IF($E$1&gt;=$Q$1%,18431.97-(18431.97*$Q$1%),18431.97-(18431.97*$E$1))</f>
        <v>18431.97</v>
      </c>
      <c r="M4434" s="1">
        <v>22487</v>
      </c>
      <c r="N4434" s="1">
        <v>18431.97</v>
      </c>
      <c r="O4434" s="1">
        <v>22487</v>
      </c>
      <c r="P4434" s="1">
        <v>18431.97</v>
      </c>
      <c r="Q4434">
        <v>7.27</v>
      </c>
      <c r="R4434">
        <v>4.7111E-2</v>
      </c>
    </row>
    <row r="4435" spans="1:18" ht="13.8" outlineLevel="2" x14ac:dyDescent="0.25">
      <c r="A4435">
        <v>59395</v>
      </c>
      <c r="B4435" t="s">
        <v>6406</v>
      </c>
      <c r="C4435" t="s">
        <v>6408</v>
      </c>
      <c r="D4435" s="14" t="s">
        <v>6408</v>
      </c>
      <c r="E4435" s="12" t="s">
        <v>28</v>
      </c>
      <c r="F4435" s="13" t="s">
        <v>29</v>
      </c>
      <c r="G4435">
        <v>1</v>
      </c>
      <c r="H4435" t="s">
        <v>30</v>
      </c>
      <c r="I4435">
        <v>1</v>
      </c>
      <c r="J4435" s="15"/>
      <c r="K4435" s="16">
        <f>IF($E$1&gt;=$Q$1%,11254.46-(11254.46*$Q$1%),11254.46-(11254.46*$E$1))</f>
        <v>11254.46</v>
      </c>
      <c r="L4435" s="16">
        <f>IF($E$1&gt;=$Q$1%,9224.97-(9224.97*$Q$1%),9224.97-(9224.97*$E$1))</f>
        <v>9224.9699999999993</v>
      </c>
      <c r="M4435" s="1">
        <v>11254.46</v>
      </c>
      <c r="N4435" s="1">
        <v>9224.9699999999993</v>
      </c>
      <c r="O4435" s="1">
        <v>11254.46</v>
      </c>
      <c r="P4435" s="1">
        <v>9224.9699999999993</v>
      </c>
      <c r="Q4435">
        <v>3.74</v>
      </c>
      <c r="R4435">
        <v>1.7732000000000001E-2</v>
      </c>
    </row>
    <row r="4436" spans="1:18" ht="13.8" outlineLevel="2" x14ac:dyDescent="0.25">
      <c r="A4436">
        <v>110325</v>
      </c>
      <c r="B4436" t="s">
        <v>6409</v>
      </c>
      <c r="C4436" t="s">
        <v>6410</v>
      </c>
      <c r="D4436" s="14" t="s">
        <v>6411</v>
      </c>
      <c r="E4436" s="12" t="s">
        <v>28</v>
      </c>
      <c r="F4436" s="18" t="s">
        <v>1467</v>
      </c>
      <c r="H4436" t="s">
        <v>30</v>
      </c>
      <c r="I4436">
        <v>1</v>
      </c>
      <c r="J4436" s="15"/>
      <c r="K4436" s="16">
        <f>IF($E$1&gt;=$Q$1%,16375.13-(16375.13*$Q$1%),16375.13-(16375.13*$E$1))</f>
        <v>16375.13</v>
      </c>
      <c r="L4436" s="16">
        <f>IF($E$1&gt;=$Q$1%,13422.24-(13422.24*$Q$1%),13422.24-(13422.24*$E$1))</f>
        <v>13422.24</v>
      </c>
      <c r="M4436" s="1">
        <v>16375.13</v>
      </c>
      <c r="N4436" s="1">
        <v>13422.24</v>
      </c>
      <c r="O4436" s="1">
        <v>16375.13</v>
      </c>
      <c r="P4436" s="1">
        <v>13422.24</v>
      </c>
    </row>
    <row r="4437" spans="1:18" ht="13.8" outlineLevel="2" x14ac:dyDescent="0.25">
      <c r="A4437">
        <v>78321</v>
      </c>
      <c r="B4437" t="s">
        <v>6412</v>
      </c>
      <c r="C4437" t="s">
        <v>6413</v>
      </c>
      <c r="D4437" s="14" t="s">
        <v>6414</v>
      </c>
      <c r="E4437" s="12" t="s">
        <v>28</v>
      </c>
      <c r="F4437" s="13" t="s">
        <v>29</v>
      </c>
      <c r="G4437">
        <v>1</v>
      </c>
      <c r="H4437" t="s">
        <v>30</v>
      </c>
      <c r="I4437">
        <v>1</v>
      </c>
      <c r="J4437" s="15"/>
      <c r="K4437" s="16">
        <f>IF($E$1&gt;=$Q$1%,40403.79-(40403.79*$Q$1%),40403.79-(40403.79*$E$1))</f>
        <v>40403.79</v>
      </c>
      <c r="L4437" s="16">
        <f>IF($E$1&gt;=$Q$1%,33117.86-(33117.86*$Q$1%),33117.86-(33117.86*$E$1))</f>
        <v>33117.86</v>
      </c>
      <c r="M4437" s="1">
        <v>40403.79</v>
      </c>
      <c r="N4437" s="1">
        <v>33117.86</v>
      </c>
      <c r="O4437" s="1">
        <v>40403.79</v>
      </c>
      <c r="P4437" s="1">
        <v>33117.86</v>
      </c>
      <c r="Q4437">
        <v>15</v>
      </c>
      <c r="R4437">
        <v>3.4507999999999997E-2</v>
      </c>
    </row>
    <row r="4438" spans="1:18" ht="13.8" outlineLevel="2" x14ac:dyDescent="0.25">
      <c r="A4438">
        <v>78806</v>
      </c>
      <c r="B4438" t="s">
        <v>6415</v>
      </c>
      <c r="C4438" t="s">
        <v>6416</v>
      </c>
      <c r="D4438" s="14" t="s">
        <v>6416</v>
      </c>
      <c r="E4438" s="12" t="s">
        <v>28</v>
      </c>
      <c r="F4438" s="13" t="s">
        <v>29</v>
      </c>
      <c r="G4438">
        <v>1</v>
      </c>
      <c r="H4438" t="s">
        <v>30</v>
      </c>
      <c r="I4438">
        <v>1</v>
      </c>
      <c r="J4438" s="15"/>
      <c r="K4438" s="16">
        <f>IF($E$1&gt;=$Q$1%,178381.49-(178381.49*$Q$1%),178381.49-(178381.49*$E$1))</f>
        <v>178381.49</v>
      </c>
      <c r="L4438" s="16">
        <f>IF($E$1&gt;=$Q$1%,146214.34-(146214.34*$Q$1%),146214.34-(146214.34*$E$1))</f>
        <v>146214.34</v>
      </c>
      <c r="M4438" s="1">
        <v>178381.49</v>
      </c>
      <c r="N4438" s="1">
        <v>146214.34</v>
      </c>
      <c r="O4438" s="1">
        <v>178381.49</v>
      </c>
      <c r="P4438" s="1">
        <v>146214.34</v>
      </c>
      <c r="Q4438">
        <v>25.6</v>
      </c>
      <c r="R4438">
        <v>3.6504000000000002E-2</v>
      </c>
    </row>
    <row r="4439" spans="1:18" ht="13.8" outlineLevel="2" x14ac:dyDescent="0.25">
      <c r="A4439">
        <v>57757</v>
      </c>
      <c r="B4439" t="s">
        <v>6417</v>
      </c>
      <c r="C4439" t="s">
        <v>6418</v>
      </c>
      <c r="D4439" s="14" t="s">
        <v>6419</v>
      </c>
      <c r="E4439" s="12" t="s">
        <v>28</v>
      </c>
      <c r="F4439" s="13" t="s">
        <v>29</v>
      </c>
      <c r="G4439">
        <v>1</v>
      </c>
      <c r="H4439" t="s">
        <v>30</v>
      </c>
      <c r="I4439">
        <v>1</v>
      </c>
      <c r="J4439" s="15"/>
      <c r="K4439" s="16">
        <f>IF($E$1&gt;=$Q$1%,6459.23-(6459.23*$Q$1%),6459.23-(6459.23*$E$1))</f>
        <v>6459.23</v>
      </c>
      <c r="L4439" s="16">
        <f>IF($E$1&gt;=$Q$1%,5294.45-(5294.45*$Q$1%),5294.45-(5294.45*$E$1))</f>
        <v>5294.45</v>
      </c>
      <c r="M4439" s="1">
        <v>6459.23</v>
      </c>
      <c r="N4439" s="1">
        <v>5294.45</v>
      </c>
      <c r="O4439" s="1">
        <v>6459.23</v>
      </c>
      <c r="P4439" s="1">
        <v>5294.45</v>
      </c>
      <c r="Q4439">
        <v>3.6</v>
      </c>
      <c r="R4439">
        <v>5.3819999999999996E-3</v>
      </c>
    </row>
    <row r="4440" spans="1:18" ht="13.8" outlineLevel="2" x14ac:dyDescent="0.25">
      <c r="A4440">
        <v>58833</v>
      </c>
      <c r="B4440" t="s">
        <v>6417</v>
      </c>
      <c r="C4440" t="s">
        <v>6420</v>
      </c>
      <c r="D4440" s="14" t="s">
        <v>6421</v>
      </c>
      <c r="E4440" s="12" t="s">
        <v>28</v>
      </c>
      <c r="F4440" s="13" t="s">
        <v>29</v>
      </c>
      <c r="G4440">
        <v>1</v>
      </c>
      <c r="H4440" t="s">
        <v>30</v>
      </c>
      <c r="I4440">
        <v>1</v>
      </c>
      <c r="J4440" s="15"/>
      <c r="K4440" s="16">
        <f>IF($E$1&gt;=$Q$1%,7626.48-(7626.48*$Q$1%),7626.48-(7626.48*$E$1))</f>
        <v>7626.48</v>
      </c>
      <c r="L4440" s="16">
        <f>IF($E$1&gt;=$Q$1%,6251.21-(6251.21*$Q$1%),6251.21-(6251.21*$E$1))</f>
        <v>6251.21</v>
      </c>
      <c r="M4440" s="1">
        <v>7626.48</v>
      </c>
      <c r="N4440" s="1">
        <v>6251.21</v>
      </c>
      <c r="O4440" s="1">
        <v>7626.48</v>
      </c>
      <c r="P4440" s="1">
        <v>6251.21</v>
      </c>
      <c r="Q4440">
        <v>4.8</v>
      </c>
      <c r="R4440">
        <v>7.2189999999999997E-3</v>
      </c>
    </row>
    <row r="4441" spans="1:18" ht="13.8" outlineLevel="2" x14ac:dyDescent="0.25">
      <c r="A4441">
        <v>73576</v>
      </c>
      <c r="B4441" t="s">
        <v>6422</v>
      </c>
      <c r="C4441" t="s">
        <v>6423</v>
      </c>
      <c r="D4441" s="14" t="s">
        <v>6424</v>
      </c>
      <c r="E4441" s="12" t="s">
        <v>28</v>
      </c>
      <c r="F4441" s="13" t="s">
        <v>29</v>
      </c>
      <c r="G4441">
        <v>1</v>
      </c>
      <c r="H4441" t="s">
        <v>30</v>
      </c>
      <c r="I4441">
        <v>1</v>
      </c>
      <c r="J4441" s="15"/>
      <c r="K4441" s="16">
        <f>IF($E$1&gt;=$Q$1%,8517.87-(8517.87*$Q$1%),8517.87-(8517.87*$E$1))</f>
        <v>8517.8700000000008</v>
      </c>
      <c r="L4441" s="16">
        <f>IF($E$1&gt;=$Q$1%,6981.86-(6981.86*$Q$1%),6981.86-(6981.86*$E$1))</f>
        <v>6981.86</v>
      </c>
      <c r="M4441" s="1">
        <v>8517.8700000000008</v>
      </c>
      <c r="N4441" s="1">
        <v>6981.86</v>
      </c>
      <c r="O4441" s="1">
        <v>8517.8700000000008</v>
      </c>
      <c r="P4441" s="1">
        <v>6981.86</v>
      </c>
      <c r="Q4441">
        <v>6.5</v>
      </c>
      <c r="R4441">
        <v>1.1995E-2</v>
      </c>
    </row>
    <row r="4442" spans="1:18" ht="33.75" customHeight="1" x14ac:dyDescent="0.35">
      <c r="A4442" s="9"/>
      <c r="B4442" s="10" t="s">
        <v>6425</v>
      </c>
      <c r="C4442" s="10"/>
      <c r="D4442" s="10"/>
      <c r="E4442" s="10"/>
      <c r="F4442" s="10"/>
      <c r="G4442" s="10"/>
      <c r="H4442" s="10"/>
      <c r="I4442" s="10"/>
      <c r="J4442" s="10"/>
      <c r="K4442" s="10"/>
      <c r="L4442" s="10"/>
      <c r="M4442" s="10"/>
      <c r="N4442" s="10"/>
      <c r="O4442" s="10"/>
      <c r="P4442" s="10"/>
      <c r="Q4442" s="10"/>
      <c r="R4442" s="11"/>
    </row>
    <row r="4443" spans="1:18" ht="16.5" customHeight="1" outlineLevel="1" x14ac:dyDescent="0.35">
      <c r="A4443" s="9"/>
      <c r="B4443" s="10" t="s">
        <v>6426</v>
      </c>
      <c r="C4443" s="10"/>
      <c r="D4443" s="10"/>
      <c r="E4443" s="10"/>
      <c r="F4443" s="10"/>
      <c r="G4443" s="10"/>
      <c r="H4443" s="10"/>
      <c r="I4443" s="10"/>
      <c r="J4443" s="10"/>
      <c r="K4443" s="10"/>
      <c r="L4443" s="10"/>
      <c r="M4443" s="10"/>
      <c r="N4443" s="10"/>
      <c r="O4443" s="10"/>
      <c r="P4443" s="10"/>
      <c r="Q4443" s="10"/>
      <c r="R4443" s="11"/>
    </row>
    <row r="4444" spans="1:18" ht="13.8" outlineLevel="2" x14ac:dyDescent="0.25">
      <c r="A4444">
        <v>91916</v>
      </c>
      <c r="B4444" t="s">
        <v>6427</v>
      </c>
      <c r="C4444" t="s">
        <v>6428</v>
      </c>
      <c r="D4444" s="14" t="s">
        <v>6429</v>
      </c>
      <c r="E4444" s="12" t="s">
        <v>28</v>
      </c>
      <c r="F4444" s="13" t="s">
        <v>29</v>
      </c>
      <c r="G4444">
        <v>1</v>
      </c>
      <c r="H4444" t="s">
        <v>30</v>
      </c>
      <c r="I4444">
        <v>1</v>
      </c>
      <c r="J4444" s="15"/>
      <c r="K4444" s="16">
        <f>1374.6 - (1374.6 * $E$1)</f>
        <v>1374.6</v>
      </c>
      <c r="L4444" s="16">
        <f>1126.72 - (1126.72 * $E$1)</f>
        <v>1126.72</v>
      </c>
      <c r="M4444" s="1">
        <v>1374.6</v>
      </c>
      <c r="N4444" s="1">
        <v>1126.72</v>
      </c>
      <c r="O4444" s="1">
        <v>1168.4100000000001</v>
      </c>
      <c r="P4444" s="1">
        <v>957.71</v>
      </c>
      <c r="Q4444">
        <v>0.17</v>
      </c>
      <c r="R4444">
        <v>9.3499999999999996E-4</v>
      </c>
    </row>
    <row r="4445" spans="1:18" ht="13.8" outlineLevel="2" x14ac:dyDescent="0.25">
      <c r="A4445">
        <v>86324</v>
      </c>
      <c r="B4445" t="s">
        <v>6430</v>
      </c>
      <c r="C4445" t="s">
        <v>6431</v>
      </c>
      <c r="D4445" s="14" t="s">
        <v>6432</v>
      </c>
      <c r="E4445" s="12" t="s">
        <v>28</v>
      </c>
      <c r="F4445" s="13" t="s">
        <v>29</v>
      </c>
      <c r="G4445">
        <v>1</v>
      </c>
      <c r="H4445" t="s">
        <v>30</v>
      </c>
      <c r="I4445">
        <v>1</v>
      </c>
      <c r="J4445" s="15"/>
      <c r="K4445" s="16">
        <f>1442.48 - (1442.48 * $E$1)</f>
        <v>1442.48</v>
      </c>
      <c r="L4445" s="16">
        <f>1182.36 - (1182.36 * $E$1)</f>
        <v>1182.3599999999999</v>
      </c>
      <c r="M4445" s="1">
        <v>1442.48</v>
      </c>
      <c r="N4445" s="1">
        <v>1182.3599999999999</v>
      </c>
      <c r="O4445" s="1">
        <v>1226.1099999999999</v>
      </c>
      <c r="P4445" s="1">
        <v>1005.01</v>
      </c>
      <c r="Q4445">
        <v>0.20200000000000001</v>
      </c>
      <c r="R4445">
        <v>5.9999999999999995E-4</v>
      </c>
    </row>
    <row r="4446" spans="1:18" ht="13.8" outlineLevel="2" x14ac:dyDescent="0.25">
      <c r="A4446">
        <v>86326</v>
      </c>
      <c r="B4446" t="s">
        <v>6427</v>
      </c>
      <c r="C4446" t="s">
        <v>6433</v>
      </c>
      <c r="D4446" s="14" t="s">
        <v>6434</v>
      </c>
      <c r="E4446" s="12" t="s">
        <v>28</v>
      </c>
      <c r="F4446" s="13" t="s">
        <v>29</v>
      </c>
      <c r="G4446">
        <v>1</v>
      </c>
      <c r="H4446" t="s">
        <v>30</v>
      </c>
      <c r="I4446">
        <v>1</v>
      </c>
      <c r="J4446" s="15"/>
      <c r="K4446" s="16">
        <f>4298.02 - (4298.02 * $E$1)</f>
        <v>4298.0200000000004</v>
      </c>
      <c r="L4446" s="16">
        <f>3522.97 - (3522.97 * $E$1)</f>
        <v>3522.97</v>
      </c>
      <c r="M4446" s="1">
        <v>4298.0200000000004</v>
      </c>
      <c r="N4446" s="1">
        <v>3522.97</v>
      </c>
      <c r="O4446" s="1">
        <v>3653.32</v>
      </c>
      <c r="P4446" s="1">
        <v>2994.52</v>
      </c>
      <c r="Q4446">
        <v>0.28199999999999997</v>
      </c>
      <c r="R4446">
        <v>8.4999999999999995E-4</v>
      </c>
    </row>
    <row r="4447" spans="1:18" ht="13.8" outlineLevel="2" x14ac:dyDescent="0.25">
      <c r="A4447">
        <v>79125</v>
      </c>
      <c r="B4447" t="s">
        <v>6430</v>
      </c>
      <c r="C4447" t="s">
        <v>6435</v>
      </c>
      <c r="D4447" s="14" t="s">
        <v>6436</v>
      </c>
      <c r="E4447" s="12" t="s">
        <v>28</v>
      </c>
      <c r="F4447" s="13" t="s">
        <v>29</v>
      </c>
      <c r="G4447">
        <v>1</v>
      </c>
      <c r="H4447" t="s">
        <v>30</v>
      </c>
      <c r="I4447">
        <v>1</v>
      </c>
      <c r="J4447" s="15"/>
      <c r="K4447" s="16">
        <f>2517.41 - (2517.41 * $E$1)</f>
        <v>2517.41</v>
      </c>
      <c r="L4447" s="16">
        <f>2063.45 - (2063.45 * $E$1)</f>
        <v>2063.4499999999998</v>
      </c>
      <c r="M4447" s="1">
        <v>2517.41</v>
      </c>
      <c r="N4447" s="1">
        <v>2063.4499999999998</v>
      </c>
      <c r="O4447" s="1">
        <v>2139.8000000000002</v>
      </c>
      <c r="P4447" s="1">
        <v>1753.93</v>
      </c>
      <c r="Q4447">
        <v>0.32600000000000001</v>
      </c>
      <c r="R4447">
        <v>9.3700000000000001E-4</v>
      </c>
    </row>
    <row r="4448" spans="1:18" ht="13.8" outlineLevel="2" x14ac:dyDescent="0.25">
      <c r="A4448">
        <v>91918</v>
      </c>
      <c r="B4448" t="s">
        <v>6427</v>
      </c>
      <c r="C4448" t="s">
        <v>6437</v>
      </c>
      <c r="D4448" s="14" t="s">
        <v>6438</v>
      </c>
      <c r="E4448" s="12" t="s">
        <v>28</v>
      </c>
      <c r="F4448" s="13" t="s">
        <v>29</v>
      </c>
      <c r="G4448">
        <v>1</v>
      </c>
      <c r="H4448" t="s">
        <v>30</v>
      </c>
      <c r="I4448">
        <v>1</v>
      </c>
      <c r="J4448" s="15"/>
      <c r="K4448" s="16">
        <f>3150.31 - (3150.31 * $E$1)</f>
        <v>3150.31</v>
      </c>
      <c r="L4448" s="16">
        <f>2582.22 - (2582.22 * $E$1)</f>
        <v>2582.2199999999998</v>
      </c>
      <c r="M4448" s="1">
        <v>3150.31</v>
      </c>
      <c r="N4448" s="1">
        <v>2582.2199999999998</v>
      </c>
      <c r="O4448" s="1">
        <v>2677.76</v>
      </c>
      <c r="P4448" s="1">
        <v>2194.89</v>
      </c>
      <c r="Q4448">
        <v>0.35</v>
      </c>
      <c r="R4448">
        <v>1.119E-3</v>
      </c>
    </row>
    <row r="4449" spans="1:18" ht="13.8" outlineLevel="2" x14ac:dyDescent="0.25">
      <c r="A4449">
        <v>87248</v>
      </c>
      <c r="B4449" t="s">
        <v>6427</v>
      </c>
      <c r="C4449" t="s">
        <v>6439</v>
      </c>
      <c r="D4449" s="14" t="s">
        <v>6440</v>
      </c>
      <c r="E4449" s="12" t="s">
        <v>28</v>
      </c>
      <c r="F4449" s="13" t="s">
        <v>29</v>
      </c>
      <c r="G4449">
        <v>1</v>
      </c>
      <c r="H4449" t="s">
        <v>30</v>
      </c>
      <c r="I4449">
        <v>1</v>
      </c>
      <c r="J4449" s="15"/>
      <c r="K4449" s="16">
        <f>6551.56 - (6551.56 * $E$1)</f>
        <v>6551.56</v>
      </c>
      <c r="L4449" s="16">
        <f>5370.13 - (5370.13 * $E$1)</f>
        <v>5370.13</v>
      </c>
      <c r="M4449" s="1">
        <v>6551.56</v>
      </c>
      <c r="N4449" s="1">
        <v>5370.13</v>
      </c>
      <c r="O4449" s="1">
        <v>5568.82</v>
      </c>
      <c r="P4449" s="1">
        <v>4564.6099999999997</v>
      </c>
      <c r="Q4449">
        <v>0.53</v>
      </c>
      <c r="R4449">
        <v>1.5790000000000001E-3</v>
      </c>
    </row>
    <row r="4450" spans="1:18" ht="13.8" outlineLevel="2" x14ac:dyDescent="0.25">
      <c r="A4450">
        <v>79126</v>
      </c>
      <c r="B4450" t="s">
        <v>6430</v>
      </c>
      <c r="C4450" t="s">
        <v>6441</v>
      </c>
      <c r="D4450" s="14" t="s">
        <v>6442</v>
      </c>
      <c r="E4450" s="12" t="s">
        <v>28</v>
      </c>
      <c r="F4450" s="13" t="s">
        <v>29</v>
      </c>
      <c r="G4450">
        <v>1</v>
      </c>
      <c r="H4450" t="s">
        <v>30</v>
      </c>
      <c r="I4450">
        <v>1</v>
      </c>
      <c r="J4450" s="15"/>
      <c r="K4450" s="16">
        <f>5061 - (5061 * $E$1)</f>
        <v>5061</v>
      </c>
      <c r="L4450" s="16">
        <f>4148.36 - (4148.36 * $E$1)</f>
        <v>4148.3599999999997</v>
      </c>
      <c r="M4450" s="1">
        <v>5061</v>
      </c>
      <c r="N4450" s="1">
        <v>4148.3599999999997</v>
      </c>
      <c r="O4450" s="1">
        <v>4301.8500000000004</v>
      </c>
      <c r="P4450" s="1">
        <v>3526.11</v>
      </c>
      <c r="Q4450">
        <v>0.51400000000000001</v>
      </c>
      <c r="R4450">
        <v>1.5870000000000001E-3</v>
      </c>
    </row>
    <row r="4451" spans="1:18" ht="13.8" outlineLevel="2" x14ac:dyDescent="0.25">
      <c r="A4451">
        <v>88548</v>
      </c>
      <c r="B4451" t="s">
        <v>6427</v>
      </c>
      <c r="C4451" t="s">
        <v>6443</v>
      </c>
      <c r="D4451" s="14" t="s">
        <v>6444</v>
      </c>
      <c r="E4451" s="12" t="s">
        <v>28</v>
      </c>
      <c r="F4451" s="13" t="s">
        <v>29</v>
      </c>
      <c r="G4451">
        <v>1</v>
      </c>
      <c r="H4451" t="s">
        <v>30</v>
      </c>
      <c r="I4451">
        <v>1</v>
      </c>
      <c r="J4451" s="15"/>
      <c r="K4451" s="16">
        <f>6630.19 - (6630.19 * $E$1)</f>
        <v>6630.19</v>
      </c>
      <c r="L4451" s="16">
        <f>5434.58 - (5434.58 * $E$1)</f>
        <v>5434.58</v>
      </c>
      <c r="M4451" s="1">
        <v>6630.19</v>
      </c>
      <c r="N4451" s="1">
        <v>5434.58</v>
      </c>
      <c r="O4451" s="1">
        <v>5635.66</v>
      </c>
      <c r="P4451" s="1">
        <v>4619.3900000000003</v>
      </c>
      <c r="Q4451">
        <v>0.56999999999999995</v>
      </c>
      <c r="R4451">
        <v>1.884E-3</v>
      </c>
    </row>
    <row r="4452" spans="1:18" ht="13.8" outlineLevel="2" x14ac:dyDescent="0.25">
      <c r="A4452">
        <v>87249</v>
      </c>
      <c r="B4452" t="s">
        <v>6427</v>
      </c>
      <c r="C4452" t="s">
        <v>6445</v>
      </c>
      <c r="D4452" s="14" t="s">
        <v>6446</v>
      </c>
      <c r="E4452" s="12" t="s">
        <v>28</v>
      </c>
      <c r="F4452" s="13" t="s">
        <v>29</v>
      </c>
      <c r="G4452">
        <v>1</v>
      </c>
      <c r="H4452" t="s">
        <v>30</v>
      </c>
      <c r="I4452">
        <v>1</v>
      </c>
      <c r="J4452" s="15"/>
      <c r="K4452" s="16">
        <f>2372.79 - (2372.79 * $E$1)</f>
        <v>2372.79</v>
      </c>
      <c r="L4452" s="16">
        <f>1944.91 - (1944.91 * $E$1)</f>
        <v>1944.91</v>
      </c>
      <c r="M4452" s="1">
        <v>2372.79</v>
      </c>
      <c r="N4452" s="1">
        <v>1944.91</v>
      </c>
      <c r="O4452" s="1">
        <v>2016.87</v>
      </c>
      <c r="P4452" s="1">
        <v>1653.17</v>
      </c>
      <c r="Q4452">
        <v>0.14799999999999999</v>
      </c>
      <c r="R4452">
        <v>1.323E-3</v>
      </c>
    </row>
    <row r="4453" spans="1:18" ht="13.8" outlineLevel="2" x14ac:dyDescent="0.25">
      <c r="A4453">
        <v>87250</v>
      </c>
      <c r="B4453" t="s">
        <v>6427</v>
      </c>
      <c r="C4453" t="s">
        <v>6447</v>
      </c>
      <c r="D4453" s="14" t="s">
        <v>6448</v>
      </c>
      <c r="E4453" s="12" t="s">
        <v>28</v>
      </c>
      <c r="F4453" s="13" t="s">
        <v>29</v>
      </c>
      <c r="G4453">
        <v>1</v>
      </c>
      <c r="H4453" t="s">
        <v>30</v>
      </c>
      <c r="I4453">
        <v>1</v>
      </c>
      <c r="J4453" s="15"/>
      <c r="K4453" s="16">
        <f>2362.63 - (2362.63 * $E$1)</f>
        <v>2362.63</v>
      </c>
      <c r="L4453" s="16">
        <f>1936.58 - (1936.58 * $E$1)</f>
        <v>1936.58</v>
      </c>
      <c r="M4453" s="1">
        <v>2362.63</v>
      </c>
      <c r="N4453" s="1">
        <v>1936.58</v>
      </c>
      <c r="O4453" s="1">
        <v>2008.23</v>
      </c>
      <c r="P4453" s="1">
        <v>1646.09</v>
      </c>
      <c r="Q4453">
        <v>0.19</v>
      </c>
      <c r="R4453">
        <v>1.2960000000000001E-3</v>
      </c>
    </row>
    <row r="4454" spans="1:18" ht="13.8" outlineLevel="2" x14ac:dyDescent="0.25">
      <c r="A4454">
        <v>88550</v>
      </c>
      <c r="B4454" t="s">
        <v>6427</v>
      </c>
      <c r="C4454" t="s">
        <v>6449</v>
      </c>
      <c r="D4454" s="14" t="s">
        <v>6450</v>
      </c>
      <c r="E4454" s="12" t="s">
        <v>28</v>
      </c>
      <c r="F4454" s="13" t="s">
        <v>29</v>
      </c>
      <c r="G4454">
        <v>1</v>
      </c>
      <c r="H4454" t="s">
        <v>30</v>
      </c>
      <c r="I4454">
        <v>1</v>
      </c>
      <c r="J4454" s="15"/>
      <c r="K4454" s="16">
        <f>1400.07 - (1400.07 * $E$1)</f>
        <v>1400.07</v>
      </c>
      <c r="L4454" s="16">
        <f>1147.6 - (1147.6 * $E$1)</f>
        <v>1147.5999999999999</v>
      </c>
      <c r="M4454" s="1">
        <v>1400.07</v>
      </c>
      <c r="N4454" s="1">
        <v>1147.5999999999999</v>
      </c>
      <c r="O4454" s="1">
        <v>1190.06</v>
      </c>
      <c r="P4454" s="1">
        <v>975.46</v>
      </c>
      <c r="Q4454">
        <v>0.184</v>
      </c>
      <c r="R4454">
        <v>1.0449999999999999E-3</v>
      </c>
    </row>
    <row r="4455" spans="1:18" ht="13.8" outlineLevel="2" x14ac:dyDescent="0.25">
      <c r="A4455">
        <v>86325</v>
      </c>
      <c r="B4455" t="s">
        <v>6427</v>
      </c>
      <c r="C4455" t="s">
        <v>6451</v>
      </c>
      <c r="D4455" s="14" t="s">
        <v>6452</v>
      </c>
      <c r="E4455" s="12" t="s">
        <v>28</v>
      </c>
      <c r="F4455" s="13" t="s">
        <v>29</v>
      </c>
      <c r="G4455">
        <v>1</v>
      </c>
      <c r="H4455" t="s">
        <v>30</v>
      </c>
      <c r="I4455">
        <v>1</v>
      </c>
      <c r="J4455" s="15"/>
      <c r="K4455" s="16">
        <f>2857.52 - (2857.52 * $E$1)</f>
        <v>2857.52</v>
      </c>
      <c r="L4455" s="16">
        <f>2342.23 - (2342.23 * $E$1)</f>
        <v>2342.23</v>
      </c>
      <c r="M4455" s="1">
        <v>2857.52</v>
      </c>
      <c r="N4455" s="1">
        <v>2342.23</v>
      </c>
      <c r="O4455" s="1">
        <v>2428.89</v>
      </c>
      <c r="P4455" s="1">
        <v>1990.9</v>
      </c>
      <c r="Q4455">
        <v>0.24399999999999999</v>
      </c>
      <c r="R4455">
        <v>8.4999999999999995E-4</v>
      </c>
    </row>
    <row r="4456" spans="1:18" ht="13.8" outlineLevel="2" x14ac:dyDescent="0.25">
      <c r="A4456">
        <v>86329</v>
      </c>
      <c r="B4456" t="s">
        <v>6427</v>
      </c>
      <c r="C4456" t="s">
        <v>6453</v>
      </c>
      <c r="D4456" s="14" t="s">
        <v>6454</v>
      </c>
      <c r="E4456" s="12" t="s">
        <v>28</v>
      </c>
      <c r="F4456" s="13" t="s">
        <v>29</v>
      </c>
      <c r="G4456">
        <v>1</v>
      </c>
      <c r="H4456" t="s">
        <v>30</v>
      </c>
      <c r="I4456">
        <v>1</v>
      </c>
      <c r="J4456" s="15"/>
      <c r="K4456" s="16">
        <f>5106.86 - (5106.86 * $E$1)</f>
        <v>5106.8599999999997</v>
      </c>
      <c r="L4456" s="16">
        <f>4185.95 - (4185.95 * $E$1)</f>
        <v>4185.95</v>
      </c>
      <c r="M4456" s="1">
        <v>5106.8599999999997</v>
      </c>
      <c r="N4456" s="1">
        <v>4185.95</v>
      </c>
      <c r="O4456" s="1">
        <v>4340.83</v>
      </c>
      <c r="P4456" s="1">
        <v>3558.06</v>
      </c>
      <c r="Q4456">
        <v>0.40600000000000003</v>
      </c>
      <c r="R4456">
        <v>1.08E-3</v>
      </c>
    </row>
    <row r="4457" spans="1:18" ht="13.8" outlineLevel="2" x14ac:dyDescent="0.25">
      <c r="A4457">
        <v>88549</v>
      </c>
      <c r="B4457" t="s">
        <v>6427</v>
      </c>
      <c r="C4457" t="s">
        <v>6455</v>
      </c>
      <c r="D4457" s="14" t="s">
        <v>6456</v>
      </c>
      <c r="E4457" s="12" t="s">
        <v>28</v>
      </c>
      <c r="F4457" s="13" t="s">
        <v>29</v>
      </c>
      <c r="G4457">
        <v>1</v>
      </c>
      <c r="H4457" t="s">
        <v>30</v>
      </c>
      <c r="I4457">
        <v>1</v>
      </c>
      <c r="J4457" s="15"/>
      <c r="K4457" s="16">
        <f>2412.54 - (2412.54 * $E$1)</f>
        <v>2412.54</v>
      </c>
      <c r="L4457" s="16">
        <f>1977.49 - (1977.49 * $E$1)</f>
        <v>1977.49</v>
      </c>
      <c r="M4457" s="1">
        <v>2412.54</v>
      </c>
      <c r="N4457" s="1">
        <v>1977.49</v>
      </c>
      <c r="O4457" s="1">
        <v>2050.66</v>
      </c>
      <c r="P4457" s="1">
        <v>1680.87</v>
      </c>
      <c r="Q4457">
        <v>0.312</v>
      </c>
      <c r="R4457">
        <v>1.049E-3</v>
      </c>
    </row>
    <row r="4458" spans="1:18" ht="13.8" outlineLevel="2" x14ac:dyDescent="0.25">
      <c r="A4458">
        <v>91917</v>
      </c>
      <c r="B4458" t="s">
        <v>6427</v>
      </c>
      <c r="C4458" t="s">
        <v>6457</v>
      </c>
      <c r="D4458" s="14" t="s">
        <v>6458</v>
      </c>
      <c r="E4458" s="12" t="s">
        <v>28</v>
      </c>
      <c r="F4458" s="13" t="s">
        <v>29</v>
      </c>
      <c r="G4458">
        <v>1</v>
      </c>
      <c r="H4458" t="s">
        <v>30</v>
      </c>
      <c r="I4458">
        <v>1</v>
      </c>
      <c r="J4458" s="15"/>
      <c r="K4458" s="16">
        <f>5036.57 - (5036.57 * $E$1)</f>
        <v>5036.57</v>
      </c>
      <c r="L4458" s="16">
        <f>4128.34 - (4128.34 * $E$1)</f>
        <v>4128.34</v>
      </c>
      <c r="M4458" s="1">
        <v>5036.57</v>
      </c>
      <c r="N4458" s="1">
        <v>4128.34</v>
      </c>
      <c r="O4458" s="1">
        <v>4281.09</v>
      </c>
      <c r="P4458" s="1">
        <v>3509.09</v>
      </c>
      <c r="Q4458">
        <v>0.52</v>
      </c>
      <c r="R4458">
        <v>1.944E-3</v>
      </c>
    </row>
    <row r="4459" spans="1:18" ht="13.8" outlineLevel="2" x14ac:dyDescent="0.25">
      <c r="A4459">
        <v>101562</v>
      </c>
      <c r="B4459" t="s">
        <v>6427</v>
      </c>
      <c r="C4459" t="s">
        <v>6459</v>
      </c>
      <c r="D4459" s="14" t="s">
        <v>6460</v>
      </c>
      <c r="E4459" s="12" t="s">
        <v>28</v>
      </c>
      <c r="F4459" s="13" t="s">
        <v>29</v>
      </c>
      <c r="G4459">
        <v>1</v>
      </c>
      <c r="H4459" t="s">
        <v>30</v>
      </c>
      <c r="I4459">
        <v>1</v>
      </c>
      <c r="J4459" s="15"/>
      <c r="K4459" s="16">
        <f>4290.76 - (4290.76 * $E$1)</f>
        <v>4290.76</v>
      </c>
      <c r="L4459" s="16">
        <f>3517.02 - (3517.02 * $E$1)</f>
        <v>3517.02</v>
      </c>
      <c r="M4459" s="1">
        <v>4290.76</v>
      </c>
      <c r="N4459" s="1">
        <v>3517.02</v>
      </c>
      <c r="O4459" s="1">
        <v>3647.15</v>
      </c>
      <c r="P4459" s="1">
        <v>2989.47</v>
      </c>
      <c r="Q4459">
        <v>0.45</v>
      </c>
      <c r="R4459">
        <v>1.446E-3</v>
      </c>
    </row>
    <row r="4460" spans="1:18" ht="13.8" outlineLevel="2" x14ac:dyDescent="0.25">
      <c r="A4460">
        <v>79127</v>
      </c>
      <c r="B4460" t="s">
        <v>6430</v>
      </c>
      <c r="C4460" t="s">
        <v>6461</v>
      </c>
      <c r="D4460" s="14" t="s">
        <v>6462</v>
      </c>
      <c r="E4460" s="12" t="s">
        <v>28</v>
      </c>
      <c r="F4460" s="13" t="s">
        <v>29</v>
      </c>
      <c r="G4460">
        <v>1</v>
      </c>
      <c r="H4460" t="s">
        <v>30</v>
      </c>
      <c r="I4460">
        <v>1</v>
      </c>
      <c r="J4460" s="15"/>
      <c r="K4460" s="16">
        <f>1971.68 - (1971.68 * $E$1)</f>
        <v>1971.68</v>
      </c>
      <c r="L4460" s="16">
        <f>1616.13 - (1616.13 * $E$1)</f>
        <v>1616.13</v>
      </c>
      <c r="M4460" s="1">
        <v>1971.68</v>
      </c>
      <c r="N4460" s="1">
        <v>1616.13</v>
      </c>
      <c r="O4460" s="1">
        <v>1675.93</v>
      </c>
      <c r="P4460" s="1">
        <v>1373.71</v>
      </c>
      <c r="Q4460">
        <v>0.31</v>
      </c>
      <c r="R4460">
        <v>9.6299999999999999E-4</v>
      </c>
    </row>
    <row r="4461" spans="1:18" ht="13.8" outlineLevel="2" x14ac:dyDescent="0.25">
      <c r="A4461">
        <v>79128</v>
      </c>
      <c r="B4461" t="s">
        <v>6430</v>
      </c>
      <c r="C4461" t="s">
        <v>6463</v>
      </c>
      <c r="D4461" s="14" t="s">
        <v>6464</v>
      </c>
      <c r="E4461" s="12" t="s">
        <v>28</v>
      </c>
      <c r="F4461" s="13" t="s">
        <v>29</v>
      </c>
      <c r="G4461">
        <v>1</v>
      </c>
      <c r="H4461" t="s">
        <v>30</v>
      </c>
      <c r="I4461">
        <v>1</v>
      </c>
      <c r="J4461" s="15"/>
      <c r="K4461" s="16">
        <f>2181.48 - (2181.48 * $E$1)</f>
        <v>2181.48</v>
      </c>
      <c r="L4461" s="16">
        <f>1788.1 - (1788.1 * $E$1)</f>
        <v>1788.1</v>
      </c>
      <c r="M4461" s="1">
        <v>2181.48</v>
      </c>
      <c r="N4461" s="1">
        <v>1788.1</v>
      </c>
      <c r="O4461" s="1">
        <v>1854.26</v>
      </c>
      <c r="P4461" s="1">
        <v>1519.89</v>
      </c>
      <c r="Q4461">
        <v>0.34399999999999997</v>
      </c>
      <c r="R4461">
        <v>9.3800000000000003E-4</v>
      </c>
    </row>
    <row r="4462" spans="1:18" ht="13.8" outlineLevel="2" x14ac:dyDescent="0.25">
      <c r="A4462">
        <v>79129</v>
      </c>
      <c r="B4462" t="s">
        <v>6465</v>
      </c>
      <c r="C4462" t="s">
        <v>6466</v>
      </c>
      <c r="D4462" s="14" t="s">
        <v>6467</v>
      </c>
      <c r="E4462" s="12" t="s">
        <v>28</v>
      </c>
      <c r="F4462" s="13" t="s">
        <v>29</v>
      </c>
      <c r="G4462">
        <v>1</v>
      </c>
      <c r="H4462" t="s">
        <v>30</v>
      </c>
      <c r="I4462">
        <v>1</v>
      </c>
      <c r="J4462" s="15"/>
      <c r="K4462" s="16">
        <f>2478.87 - (2478.87 * $E$1)</f>
        <v>2478.87</v>
      </c>
      <c r="L4462" s="16">
        <f>2031.86 - (2031.86 * $E$1)</f>
        <v>2031.86</v>
      </c>
      <c r="M4462" s="1">
        <v>2478.87</v>
      </c>
      <c r="N4462" s="1">
        <v>2031.86</v>
      </c>
      <c r="O4462" s="1">
        <v>2107.04</v>
      </c>
      <c r="P4462" s="1">
        <v>1727.08</v>
      </c>
      <c r="Q4462">
        <v>0.23</v>
      </c>
      <c r="R4462">
        <v>1.2099999999999999E-3</v>
      </c>
    </row>
    <row r="4463" spans="1:18" ht="13.8" outlineLevel="2" x14ac:dyDescent="0.25">
      <c r="A4463">
        <v>101563</v>
      </c>
      <c r="B4463" t="s">
        <v>6468</v>
      </c>
      <c r="C4463" t="s">
        <v>6469</v>
      </c>
      <c r="D4463" s="14" t="s">
        <v>6470</v>
      </c>
      <c r="E4463" s="12" t="s">
        <v>28</v>
      </c>
      <c r="F4463" s="13" t="s">
        <v>29</v>
      </c>
      <c r="G4463">
        <v>1</v>
      </c>
      <c r="H4463" t="s">
        <v>30</v>
      </c>
      <c r="I4463">
        <v>1</v>
      </c>
      <c r="J4463" s="15"/>
      <c r="K4463" s="16">
        <f>4907.86 - (4907.86 * $E$1)</f>
        <v>4907.8599999999997</v>
      </c>
      <c r="L4463" s="16">
        <f>4022.84 - (4022.84 * $E$1)</f>
        <v>4022.84</v>
      </c>
      <c r="M4463" s="1">
        <v>4907.8599999999997</v>
      </c>
      <c r="N4463" s="1">
        <v>4022.84</v>
      </c>
      <c r="O4463" s="1">
        <v>4171.6899999999996</v>
      </c>
      <c r="P4463" s="1">
        <v>3419.41</v>
      </c>
      <c r="Q4463">
        <v>0.23</v>
      </c>
      <c r="R4463">
        <v>8.1899999999999996E-4</v>
      </c>
    </row>
    <row r="4464" spans="1:18" ht="13.8" outlineLevel="2" x14ac:dyDescent="0.25">
      <c r="A4464">
        <v>90385</v>
      </c>
      <c r="B4464" t="s">
        <v>6468</v>
      </c>
      <c r="C4464" t="s">
        <v>6471</v>
      </c>
      <c r="D4464" s="14" t="s">
        <v>6472</v>
      </c>
      <c r="E4464" s="12" t="s">
        <v>28</v>
      </c>
      <c r="F4464" s="13" t="s">
        <v>29</v>
      </c>
      <c r="G4464">
        <v>1</v>
      </c>
      <c r="H4464" t="s">
        <v>30</v>
      </c>
      <c r="I4464">
        <v>1</v>
      </c>
      <c r="J4464" s="15"/>
      <c r="K4464" s="16">
        <f>5121.26 - (5121.26 * $E$1)</f>
        <v>5121.26</v>
      </c>
      <c r="L4464" s="16">
        <f>4197.75 - (4197.75 * $E$1)</f>
        <v>4197.75</v>
      </c>
      <c r="M4464" s="1">
        <v>5121.26</v>
      </c>
      <c r="N4464" s="1">
        <v>4197.75</v>
      </c>
      <c r="O4464" s="1">
        <v>4353.07</v>
      </c>
      <c r="P4464" s="1">
        <v>3568.09</v>
      </c>
      <c r="Q4464">
        <v>0.436</v>
      </c>
      <c r="R4464">
        <v>1.3240000000000001E-3</v>
      </c>
    </row>
    <row r="4465" spans="1:18" ht="13.8" outlineLevel="2" x14ac:dyDescent="0.25">
      <c r="A4465">
        <v>90386</v>
      </c>
      <c r="B4465" t="s">
        <v>6468</v>
      </c>
      <c r="C4465" t="s">
        <v>6473</v>
      </c>
      <c r="D4465" s="14" t="s">
        <v>6474</v>
      </c>
      <c r="E4465" s="12" t="s">
        <v>28</v>
      </c>
      <c r="F4465" s="13" t="s">
        <v>29</v>
      </c>
      <c r="G4465">
        <v>1</v>
      </c>
      <c r="H4465" t="s">
        <v>30</v>
      </c>
      <c r="I4465">
        <v>1</v>
      </c>
      <c r="J4465" s="15"/>
      <c r="K4465" s="16">
        <f>7644.74 - (7644.74 * $E$1)</f>
        <v>7644.74</v>
      </c>
      <c r="L4465" s="16">
        <f>6266.18 - (6266.18 * $E$1)</f>
        <v>6266.18</v>
      </c>
      <c r="M4465" s="1">
        <v>7644.74</v>
      </c>
      <c r="N4465" s="1">
        <v>6266.18</v>
      </c>
      <c r="O4465" s="1">
        <v>6498.03</v>
      </c>
      <c r="P4465" s="1">
        <v>5326.25</v>
      </c>
      <c r="Q4465">
        <v>0.44400000000000001</v>
      </c>
      <c r="R4465">
        <v>1.3240000000000001E-3</v>
      </c>
    </row>
    <row r="4466" spans="1:18" ht="13.8" outlineLevel="2" x14ac:dyDescent="0.25">
      <c r="A4466">
        <v>79130</v>
      </c>
      <c r="B4466" t="s">
        <v>6465</v>
      </c>
      <c r="C4466" t="s">
        <v>6475</v>
      </c>
      <c r="D4466" s="14" t="s">
        <v>6476</v>
      </c>
      <c r="E4466" s="12" t="s">
        <v>28</v>
      </c>
      <c r="F4466" s="13" t="s">
        <v>29</v>
      </c>
      <c r="G4466">
        <v>1</v>
      </c>
      <c r="H4466" t="s">
        <v>30</v>
      </c>
      <c r="I4466">
        <v>1</v>
      </c>
      <c r="J4466" s="15"/>
      <c r="K4466" s="16">
        <f>4332.01 - (4332.01 * $E$1)</f>
        <v>4332.01</v>
      </c>
      <c r="L4466" s="16">
        <f>3550.83 - (3550.83 * $E$1)</f>
        <v>3550.83</v>
      </c>
      <c r="M4466" s="1">
        <v>4332.01</v>
      </c>
      <c r="N4466" s="1">
        <v>3550.83</v>
      </c>
      <c r="O4466" s="1">
        <v>3682.21</v>
      </c>
      <c r="P4466" s="1">
        <v>3018.21</v>
      </c>
      <c r="Q4466">
        <v>0.39</v>
      </c>
      <c r="R4466">
        <v>1.0349999999999999E-3</v>
      </c>
    </row>
    <row r="4467" spans="1:18" ht="13.8" outlineLevel="2" x14ac:dyDescent="0.25">
      <c r="A4467">
        <v>80753</v>
      </c>
      <c r="B4467" t="s">
        <v>6465</v>
      </c>
      <c r="C4467" t="s">
        <v>6477</v>
      </c>
      <c r="D4467" s="14" t="s">
        <v>6478</v>
      </c>
      <c r="E4467" s="12" t="s">
        <v>28</v>
      </c>
      <c r="F4467" s="13" t="s">
        <v>29</v>
      </c>
      <c r="G4467">
        <v>1</v>
      </c>
      <c r="H4467" t="s">
        <v>30</v>
      </c>
      <c r="I4467">
        <v>1</v>
      </c>
      <c r="J4467" s="15"/>
      <c r="K4467" s="16">
        <f>6598.61 - (6598.61 * $E$1)</f>
        <v>6598.61</v>
      </c>
      <c r="L4467" s="16">
        <f>5408.7 - (5408.7 * $E$1)</f>
        <v>5408.7</v>
      </c>
      <c r="M4467" s="1">
        <v>6598.61</v>
      </c>
      <c r="N4467" s="1">
        <v>5408.7</v>
      </c>
      <c r="O4467" s="1">
        <v>5608.82</v>
      </c>
      <c r="P4467" s="1">
        <v>4597.3999999999996</v>
      </c>
      <c r="Q4467">
        <v>0.4</v>
      </c>
      <c r="R4467">
        <v>7.2000000000000005E-4</v>
      </c>
    </row>
    <row r="4468" spans="1:18" ht="13.8" outlineLevel="2" x14ac:dyDescent="0.25">
      <c r="A4468">
        <v>91919</v>
      </c>
      <c r="B4468" t="s">
        <v>6468</v>
      </c>
      <c r="C4468" t="s">
        <v>6479</v>
      </c>
      <c r="D4468" s="14" t="s">
        <v>6480</v>
      </c>
      <c r="E4468" s="12" t="s">
        <v>28</v>
      </c>
      <c r="F4468" s="13" t="s">
        <v>29</v>
      </c>
      <c r="G4468">
        <v>1</v>
      </c>
      <c r="H4468" t="s">
        <v>30</v>
      </c>
      <c r="I4468">
        <v>1</v>
      </c>
      <c r="J4468" s="15"/>
      <c r="K4468" s="16">
        <f>3026.42 - (3026.42 * $E$1)</f>
        <v>3026.42</v>
      </c>
      <c r="L4468" s="16">
        <f>2480.67 - (2480.67 * $E$1)</f>
        <v>2480.67</v>
      </c>
      <c r="M4468" s="1">
        <v>3026.42</v>
      </c>
      <c r="N4468" s="1">
        <v>2480.67</v>
      </c>
      <c r="O4468" s="1">
        <v>2572.4499999999998</v>
      </c>
      <c r="P4468" s="1">
        <v>2108.5700000000002</v>
      </c>
      <c r="Q4468">
        <v>0.38</v>
      </c>
      <c r="R4468">
        <v>1.268E-3</v>
      </c>
    </row>
    <row r="4469" spans="1:18" ht="13.8" outlineLevel="2" x14ac:dyDescent="0.25">
      <c r="A4469">
        <v>91920</v>
      </c>
      <c r="B4469" t="s">
        <v>6468</v>
      </c>
      <c r="C4469" t="s">
        <v>6481</v>
      </c>
      <c r="D4469" s="14" t="s">
        <v>6482</v>
      </c>
      <c r="E4469" s="12" t="s">
        <v>28</v>
      </c>
      <c r="F4469" s="13" t="s">
        <v>29</v>
      </c>
      <c r="G4469">
        <v>1</v>
      </c>
      <c r="H4469" t="s">
        <v>30</v>
      </c>
      <c r="I4469">
        <v>1</v>
      </c>
      <c r="J4469" s="15"/>
      <c r="K4469" s="16">
        <f>6223.49 - (6223.49 * $E$1)</f>
        <v>6223.49</v>
      </c>
      <c r="L4469" s="16">
        <f>5101.22 - (5101.22 * $E$1)</f>
        <v>5101.22</v>
      </c>
      <c r="M4469" s="1">
        <v>6223.49</v>
      </c>
      <c r="N4469" s="1">
        <v>5101.22</v>
      </c>
      <c r="O4469" s="1">
        <v>5289.97</v>
      </c>
      <c r="P4469" s="1">
        <v>4336.04</v>
      </c>
      <c r="Q4469">
        <v>0.4</v>
      </c>
      <c r="R4469">
        <v>1.268E-3</v>
      </c>
    </row>
    <row r="4470" spans="1:18" ht="13.8" outlineLevel="2" x14ac:dyDescent="0.25">
      <c r="A4470">
        <v>79131</v>
      </c>
      <c r="B4470" t="s">
        <v>6465</v>
      </c>
      <c r="C4470" t="s">
        <v>6483</v>
      </c>
      <c r="D4470" s="14" t="s">
        <v>6484</v>
      </c>
      <c r="E4470" s="12" t="s">
        <v>28</v>
      </c>
      <c r="F4470" s="13" t="s">
        <v>29</v>
      </c>
      <c r="G4470">
        <v>1</v>
      </c>
      <c r="H4470" t="s">
        <v>30</v>
      </c>
      <c r="I4470">
        <v>1</v>
      </c>
      <c r="J4470" s="15"/>
      <c r="K4470" s="16">
        <f>6858.88 - (6858.88 * $E$1)</f>
        <v>6858.88</v>
      </c>
      <c r="L4470" s="16">
        <f>5622.03 - (5622.03 * $E$1)</f>
        <v>5622.03</v>
      </c>
      <c r="M4470" s="1">
        <v>6858.88</v>
      </c>
      <c r="N4470" s="1">
        <v>5622.03</v>
      </c>
      <c r="O4470" s="1">
        <v>5830.05</v>
      </c>
      <c r="P4470" s="1">
        <v>4778.7299999999996</v>
      </c>
      <c r="Q4470">
        <v>0.64600000000000002</v>
      </c>
      <c r="R4470">
        <v>2.552E-3</v>
      </c>
    </row>
    <row r="4471" spans="1:18" ht="13.8" outlineLevel="2" x14ac:dyDescent="0.25">
      <c r="A4471">
        <v>79132</v>
      </c>
      <c r="B4471" t="s">
        <v>6465</v>
      </c>
      <c r="C4471" t="s">
        <v>6485</v>
      </c>
      <c r="D4471" s="14" t="s">
        <v>6486</v>
      </c>
      <c r="E4471" s="12" t="s">
        <v>28</v>
      </c>
      <c r="F4471" s="13" t="s">
        <v>29</v>
      </c>
      <c r="G4471">
        <v>1</v>
      </c>
      <c r="H4471" t="s">
        <v>30</v>
      </c>
      <c r="I4471">
        <v>1</v>
      </c>
      <c r="J4471" s="15"/>
      <c r="K4471" s="16">
        <f>3455.65 - (3455.65 * $E$1)</f>
        <v>3455.65</v>
      </c>
      <c r="L4471" s="16">
        <f>2832.5 - (2832.5 * $E$1)</f>
        <v>2832.5</v>
      </c>
      <c r="M4471" s="1">
        <v>3455.65</v>
      </c>
      <c r="N4471" s="1">
        <v>2832.5</v>
      </c>
      <c r="O4471" s="1">
        <v>2937.3</v>
      </c>
      <c r="P4471" s="1">
        <v>2407.63</v>
      </c>
      <c r="Q4471">
        <v>0.53200000000000003</v>
      </c>
      <c r="R4471">
        <v>1.7880000000000001E-3</v>
      </c>
    </row>
    <row r="4472" spans="1:18" ht="13.8" outlineLevel="2" x14ac:dyDescent="0.25">
      <c r="A4472">
        <v>79133</v>
      </c>
      <c r="B4472" t="s">
        <v>6465</v>
      </c>
      <c r="C4472" t="s">
        <v>6487</v>
      </c>
      <c r="D4472" s="14" t="s">
        <v>6488</v>
      </c>
      <c r="E4472" s="12" t="s">
        <v>28</v>
      </c>
      <c r="F4472" s="13" t="s">
        <v>29</v>
      </c>
      <c r="G4472">
        <v>1</v>
      </c>
      <c r="H4472" t="s">
        <v>30</v>
      </c>
      <c r="I4472">
        <v>1</v>
      </c>
      <c r="J4472" s="15"/>
      <c r="K4472" s="16">
        <f>3747.41 - (3747.41 * $E$1)</f>
        <v>3747.41</v>
      </c>
      <c r="L4472" s="16">
        <f>3071.65 - (3071.65 * $E$1)</f>
        <v>3071.65</v>
      </c>
      <c r="M4472" s="1">
        <v>3747.41</v>
      </c>
      <c r="N4472" s="1">
        <v>3071.65</v>
      </c>
      <c r="O4472" s="1">
        <v>3185.3</v>
      </c>
      <c r="P4472" s="1">
        <v>2610.9</v>
      </c>
      <c r="Q4472">
        <v>0.52600000000000002</v>
      </c>
      <c r="R4472">
        <v>1.9499999999999999E-3</v>
      </c>
    </row>
    <row r="4473" spans="1:18" ht="16.5" customHeight="1" outlineLevel="1" x14ac:dyDescent="0.35">
      <c r="A4473" s="9"/>
      <c r="B4473" s="10" t="s">
        <v>6489</v>
      </c>
      <c r="C4473" s="10"/>
      <c r="D4473" s="10"/>
      <c r="E4473" s="10"/>
      <c r="F4473" s="10"/>
      <c r="G4473" s="10"/>
      <c r="H4473" s="10"/>
      <c r="I4473" s="10"/>
      <c r="J4473" s="10"/>
      <c r="K4473" s="10"/>
      <c r="L4473" s="10"/>
      <c r="M4473" s="10"/>
      <c r="N4473" s="10"/>
      <c r="O4473" s="10"/>
      <c r="P4473" s="10"/>
      <c r="Q4473" s="10"/>
      <c r="R4473" s="11"/>
    </row>
    <row r="4474" spans="1:18" ht="13.8" outlineLevel="2" x14ac:dyDescent="0.25">
      <c r="A4474">
        <v>87240</v>
      </c>
      <c r="B4474" t="s">
        <v>6490</v>
      </c>
      <c r="C4474" t="s">
        <v>6491</v>
      </c>
      <c r="D4474" s="14" t="s">
        <v>6492</v>
      </c>
      <c r="E4474" s="12" t="s">
        <v>28</v>
      </c>
      <c r="F4474" s="13" t="s">
        <v>29</v>
      </c>
      <c r="G4474">
        <v>1</v>
      </c>
      <c r="H4474" t="s">
        <v>30</v>
      </c>
      <c r="I4474">
        <v>1</v>
      </c>
      <c r="J4474" s="15"/>
      <c r="K4474" s="16">
        <f>23126.44 - (23126.44 * $E$1)</f>
        <v>23126.44</v>
      </c>
      <c r="L4474" s="16">
        <f>18956.1 - (18956.1 * $E$1)</f>
        <v>18956.099999999999</v>
      </c>
      <c r="M4474" s="1">
        <v>23126.44</v>
      </c>
      <c r="N4474" s="1">
        <v>18956.099999999999</v>
      </c>
      <c r="O4474" s="1">
        <v>19657.48</v>
      </c>
      <c r="P4474" s="1">
        <v>16112.69</v>
      </c>
      <c r="Q4474">
        <v>2.3340000000000001</v>
      </c>
      <c r="R4474">
        <v>8.1410000000000007E-3</v>
      </c>
    </row>
    <row r="4475" spans="1:18" ht="13.8" outlineLevel="2" x14ac:dyDescent="0.25">
      <c r="A4475">
        <v>89638</v>
      </c>
      <c r="B4475" t="s">
        <v>6493</v>
      </c>
      <c r="C4475" t="s">
        <v>6494</v>
      </c>
      <c r="D4475" s="14" t="s">
        <v>6495</v>
      </c>
      <c r="E4475" s="12" t="s">
        <v>28</v>
      </c>
      <c r="F4475" s="13" t="s">
        <v>29</v>
      </c>
      <c r="G4475">
        <v>1</v>
      </c>
      <c r="H4475" t="s">
        <v>30</v>
      </c>
      <c r="I4475">
        <v>1</v>
      </c>
      <c r="J4475" s="15"/>
      <c r="K4475" s="16">
        <f>18012.04 - (18012.04 * $E$1)</f>
        <v>18012.04</v>
      </c>
      <c r="L4475" s="16">
        <f>14763.97 - (14763.97 * $E$1)</f>
        <v>14763.97</v>
      </c>
      <c r="M4475" s="1">
        <v>18012.04</v>
      </c>
      <c r="N4475" s="1">
        <v>14763.97</v>
      </c>
      <c r="O4475" s="1">
        <v>15310.24</v>
      </c>
      <c r="P4475" s="1">
        <v>12549.37</v>
      </c>
      <c r="Q4475">
        <v>1.72</v>
      </c>
      <c r="R4475">
        <v>8.0190000000000001E-3</v>
      </c>
    </row>
    <row r="4476" spans="1:18" ht="13.8" outlineLevel="2" x14ac:dyDescent="0.25">
      <c r="A4476">
        <v>89639</v>
      </c>
      <c r="B4476" t="s">
        <v>6493</v>
      </c>
      <c r="C4476" t="s">
        <v>6496</v>
      </c>
      <c r="D4476" s="14" t="s">
        <v>6497</v>
      </c>
      <c r="E4476" s="12" t="s">
        <v>28</v>
      </c>
      <c r="F4476" s="13" t="s">
        <v>29</v>
      </c>
      <c r="G4476">
        <v>1</v>
      </c>
      <c r="H4476" t="s">
        <v>30</v>
      </c>
      <c r="I4476">
        <v>1</v>
      </c>
      <c r="J4476" s="15"/>
      <c r="K4476" s="16">
        <f>21266.66 - (21266.66 * $E$1)</f>
        <v>21266.66</v>
      </c>
      <c r="L4476" s="16">
        <f>17431.69 - (17431.69 * $E$1)</f>
        <v>17431.689999999999</v>
      </c>
      <c r="M4476" s="1">
        <v>21266.66</v>
      </c>
      <c r="N4476" s="1">
        <v>17431.689999999999</v>
      </c>
      <c r="O4476" s="1">
        <v>18076.66</v>
      </c>
      <c r="P4476" s="1">
        <v>14816.94</v>
      </c>
      <c r="Q4476">
        <v>1.72</v>
      </c>
      <c r="R4476">
        <v>8.0190000000000001E-3</v>
      </c>
    </row>
    <row r="4477" spans="1:18" ht="13.8" outlineLevel="2" x14ac:dyDescent="0.25">
      <c r="A4477">
        <v>87241</v>
      </c>
      <c r="B4477" t="s">
        <v>6498</v>
      </c>
      <c r="C4477" t="s">
        <v>6499</v>
      </c>
      <c r="D4477" s="14" t="s">
        <v>6500</v>
      </c>
      <c r="E4477" s="12" t="s">
        <v>28</v>
      </c>
      <c r="F4477" s="13" t="s">
        <v>29</v>
      </c>
      <c r="G4477">
        <v>1</v>
      </c>
      <c r="H4477" t="s">
        <v>30</v>
      </c>
      <c r="I4477">
        <v>1</v>
      </c>
      <c r="J4477" s="15"/>
      <c r="K4477" s="16">
        <f>23707.63 - (23707.63 * $E$1)</f>
        <v>23707.63</v>
      </c>
      <c r="L4477" s="16">
        <f>19432.48 - (19432.48 * $E$1)</f>
        <v>19432.48</v>
      </c>
      <c r="M4477" s="1">
        <v>23707.63</v>
      </c>
      <c r="N4477" s="1">
        <v>19432.48</v>
      </c>
      <c r="O4477" s="1">
        <v>20151.48</v>
      </c>
      <c r="P4477" s="1">
        <v>16517.61</v>
      </c>
      <c r="Q4477">
        <v>1.718</v>
      </c>
      <c r="R4477">
        <v>8.0190000000000001E-3</v>
      </c>
    </row>
    <row r="4478" spans="1:18" ht="13.8" outlineLevel="2" x14ac:dyDescent="0.25">
      <c r="A4478">
        <v>91921</v>
      </c>
      <c r="B4478" t="s">
        <v>6501</v>
      </c>
      <c r="C4478" t="s">
        <v>6502</v>
      </c>
      <c r="D4478" s="14" t="s">
        <v>6503</v>
      </c>
      <c r="E4478" s="12" t="s">
        <v>28</v>
      </c>
      <c r="F4478" s="13" t="s">
        <v>29</v>
      </c>
      <c r="G4478">
        <v>1</v>
      </c>
      <c r="H4478" t="s">
        <v>30</v>
      </c>
      <c r="I4478">
        <v>1</v>
      </c>
      <c r="J4478" s="15"/>
      <c r="K4478" s="16">
        <f>1952.23 - (1952.23 * $E$1)</f>
        <v>1952.23</v>
      </c>
      <c r="L4478" s="16">
        <f>1600.19 - (1600.19 * $E$1)</f>
        <v>1600.19</v>
      </c>
      <c r="M4478" s="1">
        <v>1952.23</v>
      </c>
      <c r="N4478" s="1">
        <v>1600.19</v>
      </c>
      <c r="O4478" s="1">
        <v>1659.4</v>
      </c>
      <c r="P4478" s="1">
        <v>1360.16</v>
      </c>
      <c r="Q4478">
        <v>0.15</v>
      </c>
      <c r="R4478">
        <v>1.4959999999999999E-3</v>
      </c>
    </row>
    <row r="4479" spans="1:18" ht="13.8" outlineLevel="2" x14ac:dyDescent="0.25">
      <c r="A4479">
        <v>79135</v>
      </c>
      <c r="B4479" t="s">
        <v>6504</v>
      </c>
      <c r="C4479" t="s">
        <v>6505</v>
      </c>
      <c r="D4479" s="14" t="s">
        <v>6506</v>
      </c>
      <c r="E4479" s="12" t="s">
        <v>28</v>
      </c>
      <c r="F4479" s="13" t="s">
        <v>29</v>
      </c>
      <c r="G4479">
        <v>1</v>
      </c>
      <c r="H4479" t="s">
        <v>30</v>
      </c>
      <c r="I4479">
        <v>1</v>
      </c>
      <c r="J4479" s="15"/>
      <c r="K4479" s="16">
        <f>1135.92 - (1135.92 * $E$1)</f>
        <v>1135.92</v>
      </c>
      <c r="L4479" s="16">
        <f>931.08 - (931.08 * $E$1)</f>
        <v>931.08</v>
      </c>
      <c r="M4479" s="1">
        <v>1135.92</v>
      </c>
      <c r="N4479" s="1">
        <v>931.08</v>
      </c>
      <c r="O4479" s="1">
        <v>965.53</v>
      </c>
      <c r="P4479" s="1">
        <v>791.42</v>
      </c>
      <c r="Q4479">
        <v>8.3000000000000004E-2</v>
      </c>
      <c r="R4479">
        <v>8.1899999999999996E-4</v>
      </c>
    </row>
    <row r="4480" spans="1:18" ht="13.8" outlineLevel="2" x14ac:dyDescent="0.25">
      <c r="A4480">
        <v>79136</v>
      </c>
      <c r="B4480" t="s">
        <v>6504</v>
      </c>
      <c r="C4480" t="s">
        <v>6507</v>
      </c>
      <c r="D4480" s="14" t="s">
        <v>6508</v>
      </c>
      <c r="E4480" s="12" t="s">
        <v>28</v>
      </c>
      <c r="F4480" s="13" t="s">
        <v>29</v>
      </c>
      <c r="G4480">
        <v>1</v>
      </c>
      <c r="H4480" t="s">
        <v>30</v>
      </c>
      <c r="I4480">
        <v>1</v>
      </c>
      <c r="J4480" s="15"/>
      <c r="K4480" s="16">
        <f>1438.15 - (1438.15 * $E$1)</f>
        <v>1438.15</v>
      </c>
      <c r="L4480" s="16">
        <f>1178.81 - (1178.81 * $E$1)</f>
        <v>1178.81</v>
      </c>
      <c r="M4480" s="1">
        <v>1438.15</v>
      </c>
      <c r="N4480" s="1">
        <v>1178.81</v>
      </c>
      <c r="O4480" s="1">
        <v>1222.43</v>
      </c>
      <c r="P4480" s="1">
        <v>1001.99</v>
      </c>
      <c r="Q4480">
        <v>8.3000000000000004E-2</v>
      </c>
      <c r="R4480">
        <v>8.1899999999999996E-4</v>
      </c>
    </row>
    <row r="4481" spans="1:18" ht="13.8" outlineLevel="2" x14ac:dyDescent="0.25">
      <c r="A4481">
        <v>86321</v>
      </c>
      <c r="B4481" t="s">
        <v>6504</v>
      </c>
      <c r="C4481" t="s">
        <v>6509</v>
      </c>
      <c r="D4481" s="14" t="s">
        <v>6510</v>
      </c>
      <c r="E4481" s="12" t="s">
        <v>28</v>
      </c>
      <c r="F4481" s="13" t="s">
        <v>29</v>
      </c>
      <c r="G4481">
        <v>1</v>
      </c>
      <c r="H4481" t="s">
        <v>30</v>
      </c>
      <c r="I4481">
        <v>1</v>
      </c>
      <c r="J4481" s="15"/>
      <c r="K4481" s="16">
        <f>1732.57 - (1732.57 * $E$1)</f>
        <v>1732.57</v>
      </c>
      <c r="L4481" s="16">
        <f>1420.14 - (1420.14 * $E$1)</f>
        <v>1420.14</v>
      </c>
      <c r="M4481" s="1">
        <v>1732.57</v>
      </c>
      <c r="N4481" s="1">
        <v>1420.14</v>
      </c>
      <c r="O4481" s="1">
        <v>1472.69</v>
      </c>
      <c r="P4481" s="1">
        <v>1207.1199999999999</v>
      </c>
      <c r="Q4481">
        <v>9.1999999999999998E-2</v>
      </c>
      <c r="R4481">
        <v>8.8199999999999997E-4</v>
      </c>
    </row>
    <row r="4482" spans="1:18" ht="13.8" outlineLevel="2" x14ac:dyDescent="0.25">
      <c r="A4482">
        <v>89640</v>
      </c>
      <c r="B4482" t="s">
        <v>6511</v>
      </c>
      <c r="C4482" t="s">
        <v>6512</v>
      </c>
      <c r="D4482" s="14" t="s">
        <v>6513</v>
      </c>
      <c r="E4482" s="12" t="s">
        <v>28</v>
      </c>
      <c r="F4482" s="13" t="s">
        <v>29</v>
      </c>
      <c r="G4482">
        <v>1</v>
      </c>
      <c r="H4482" t="s">
        <v>30</v>
      </c>
      <c r="I4482">
        <v>1</v>
      </c>
      <c r="J4482" s="15"/>
      <c r="K4482" s="16">
        <f>1676.95 - (1676.95 * $E$1)</f>
        <v>1676.95</v>
      </c>
      <c r="L4482" s="16">
        <f>1374.55 - (1374.55 * $E$1)</f>
        <v>1374.55</v>
      </c>
      <c r="M4482" s="1">
        <v>1676.95</v>
      </c>
      <c r="N4482" s="1">
        <v>1374.55</v>
      </c>
      <c r="O4482" s="1">
        <v>1425.41</v>
      </c>
      <c r="P4482" s="1">
        <v>1168.3699999999999</v>
      </c>
      <c r="Q4482">
        <v>0.126</v>
      </c>
      <c r="R4482">
        <v>1.2099999999999999E-3</v>
      </c>
    </row>
    <row r="4483" spans="1:18" ht="13.8" outlineLevel="2" x14ac:dyDescent="0.25">
      <c r="A4483">
        <v>87242</v>
      </c>
      <c r="B4483" t="s">
        <v>6514</v>
      </c>
      <c r="C4483" t="s">
        <v>6515</v>
      </c>
      <c r="D4483" s="14" t="s">
        <v>6516</v>
      </c>
      <c r="E4483" s="12" t="s">
        <v>28</v>
      </c>
      <c r="F4483" s="13" t="s">
        <v>29</v>
      </c>
      <c r="G4483">
        <v>1</v>
      </c>
      <c r="H4483" t="s">
        <v>30</v>
      </c>
      <c r="I4483">
        <v>1</v>
      </c>
      <c r="J4483" s="15"/>
      <c r="K4483" s="16">
        <f>860.92 - (860.92 * $E$1)</f>
        <v>860.92</v>
      </c>
      <c r="L4483" s="16">
        <f>705.67 - (705.67 * $E$1)</f>
        <v>705.67</v>
      </c>
      <c r="M4483" s="1">
        <v>860.92</v>
      </c>
      <c r="N4483" s="1">
        <v>705.67</v>
      </c>
      <c r="O4483" s="1">
        <v>731.78</v>
      </c>
      <c r="P4483" s="1">
        <v>599.82000000000005</v>
      </c>
      <c r="Q4483">
        <v>7.3999999999999996E-2</v>
      </c>
      <c r="R4483">
        <v>7.0399999999999998E-4</v>
      </c>
    </row>
    <row r="4484" spans="1:18" ht="13.8" outlineLevel="2" x14ac:dyDescent="0.25">
      <c r="A4484">
        <v>101564</v>
      </c>
      <c r="B4484" t="s">
        <v>6517</v>
      </c>
      <c r="C4484" t="s">
        <v>6518</v>
      </c>
      <c r="D4484" s="14" t="s">
        <v>6519</v>
      </c>
      <c r="E4484" s="12" t="s">
        <v>28</v>
      </c>
      <c r="F4484" s="13" t="s">
        <v>29</v>
      </c>
      <c r="G4484">
        <v>1</v>
      </c>
      <c r="H4484" t="s">
        <v>30</v>
      </c>
      <c r="I4484">
        <v>1</v>
      </c>
      <c r="J4484" s="15"/>
      <c r="K4484" s="16">
        <f>1080.35 - (1080.35 * $E$1)</f>
        <v>1080.3499999999999</v>
      </c>
      <c r="L4484" s="16">
        <f>885.53 - (885.53 * $E$1)</f>
        <v>885.53</v>
      </c>
      <c r="M4484" s="1">
        <v>1080.3499999999999</v>
      </c>
      <c r="N4484" s="1">
        <v>885.53</v>
      </c>
      <c r="O4484" s="1">
        <v>918.29</v>
      </c>
      <c r="P4484" s="1">
        <v>752.7</v>
      </c>
      <c r="Q4484">
        <v>0.09</v>
      </c>
      <c r="R4484">
        <v>7.7099999999999998E-4</v>
      </c>
    </row>
    <row r="4485" spans="1:18" ht="13.8" outlineLevel="2" x14ac:dyDescent="0.25">
      <c r="A4485">
        <v>79134</v>
      </c>
      <c r="B4485" t="s">
        <v>6514</v>
      </c>
      <c r="C4485" t="s">
        <v>6520</v>
      </c>
      <c r="D4485" s="14" t="s">
        <v>6521</v>
      </c>
      <c r="E4485" s="12" t="s">
        <v>28</v>
      </c>
      <c r="F4485" s="13" t="s">
        <v>29</v>
      </c>
      <c r="G4485">
        <v>1</v>
      </c>
      <c r="H4485" t="s">
        <v>30</v>
      </c>
      <c r="I4485">
        <v>1</v>
      </c>
      <c r="J4485" s="15"/>
      <c r="K4485" s="16">
        <f>1124.9 - (1124.9 * $E$1)</f>
        <v>1124.9000000000001</v>
      </c>
      <c r="L4485" s="16">
        <f>922.05 - (922.05 * $E$1)</f>
        <v>922.05</v>
      </c>
      <c r="M4485" s="1">
        <v>1124.9000000000001</v>
      </c>
      <c r="N4485" s="1">
        <v>922.05</v>
      </c>
      <c r="O4485" s="1">
        <v>956.17</v>
      </c>
      <c r="P4485" s="1">
        <v>783.74</v>
      </c>
      <c r="Q4485">
        <v>7.5999999999999998E-2</v>
      </c>
      <c r="R4485">
        <v>7.36E-4</v>
      </c>
    </row>
    <row r="4486" spans="1:18" ht="13.8" outlineLevel="2" x14ac:dyDescent="0.25">
      <c r="A4486">
        <v>86322</v>
      </c>
      <c r="B4486" t="s">
        <v>6514</v>
      </c>
      <c r="C4486" t="s">
        <v>6522</v>
      </c>
      <c r="D4486" s="14" t="s">
        <v>6523</v>
      </c>
      <c r="E4486" s="12" t="s">
        <v>28</v>
      </c>
      <c r="F4486" s="13" t="s">
        <v>29</v>
      </c>
      <c r="G4486">
        <v>1</v>
      </c>
      <c r="H4486" t="s">
        <v>30</v>
      </c>
      <c r="I4486">
        <v>1</v>
      </c>
      <c r="J4486" s="15"/>
      <c r="K4486" s="16">
        <f>1622.47 - (1622.47 * $E$1)</f>
        <v>1622.47</v>
      </c>
      <c r="L4486" s="16">
        <f>1329.89 - (1329.89 * $E$1)</f>
        <v>1329.89</v>
      </c>
      <c r="M4486" s="1">
        <v>1622.47</v>
      </c>
      <c r="N4486" s="1">
        <v>1329.89</v>
      </c>
      <c r="O4486" s="1">
        <v>1379.1</v>
      </c>
      <c r="P4486" s="1">
        <v>1130.4100000000001</v>
      </c>
      <c r="Q4486">
        <v>8.6999999999999994E-2</v>
      </c>
      <c r="R4486">
        <v>7.36E-4</v>
      </c>
    </row>
    <row r="4487" spans="1:18" ht="13.8" outlineLevel="2" x14ac:dyDescent="0.25">
      <c r="A4487">
        <v>90951</v>
      </c>
      <c r="B4487" t="s">
        <v>6517</v>
      </c>
      <c r="C4487" t="s">
        <v>6524</v>
      </c>
      <c r="D4487" s="14" t="s">
        <v>6525</v>
      </c>
      <c r="E4487" s="12" t="s">
        <v>28</v>
      </c>
      <c r="F4487" s="13" t="s">
        <v>29</v>
      </c>
      <c r="G4487">
        <v>1</v>
      </c>
      <c r="H4487" t="s">
        <v>30</v>
      </c>
      <c r="I4487">
        <v>1</v>
      </c>
      <c r="J4487" s="15"/>
      <c r="K4487" s="16">
        <f>1358.27 - (1358.27 * $E$1)</f>
        <v>1358.27</v>
      </c>
      <c r="L4487" s="16">
        <f>1113.34 - (1113.34 * $E$1)</f>
        <v>1113.3399999999999</v>
      </c>
      <c r="M4487" s="1">
        <v>1358.27</v>
      </c>
      <c r="N4487" s="1">
        <v>1113.3399999999999</v>
      </c>
      <c r="O4487" s="1">
        <v>1154.53</v>
      </c>
      <c r="P4487" s="1">
        <v>946.34</v>
      </c>
      <c r="Q4487">
        <v>8.5999999999999993E-2</v>
      </c>
      <c r="R4487">
        <v>7.2599999999999997E-4</v>
      </c>
    </row>
    <row r="4488" spans="1:18" ht="13.8" outlineLevel="2" x14ac:dyDescent="0.25">
      <c r="A4488">
        <v>89641</v>
      </c>
      <c r="B4488" t="s">
        <v>6526</v>
      </c>
      <c r="C4488" t="s">
        <v>6527</v>
      </c>
      <c r="D4488" s="14" t="s">
        <v>6528</v>
      </c>
      <c r="E4488" s="12" t="s">
        <v>28</v>
      </c>
      <c r="F4488" s="13" t="s">
        <v>29</v>
      </c>
      <c r="G4488">
        <v>1</v>
      </c>
      <c r="H4488" t="s">
        <v>30</v>
      </c>
      <c r="I4488">
        <v>1</v>
      </c>
      <c r="J4488" s="15"/>
      <c r="K4488" s="16">
        <f>IF($E$1&gt;=$Q$1%,732.65-(732.65*$Q$1%),732.65-(732.65*$E$1))</f>
        <v>732.65</v>
      </c>
      <c r="L4488" s="16">
        <f>IF($E$1&gt;=$Q$1%,600.53-(600.53*$Q$1%),600.53-(600.53*$E$1))</f>
        <v>600.53</v>
      </c>
      <c r="M4488" s="1">
        <v>732.65</v>
      </c>
      <c r="N4488" s="1">
        <v>600.53</v>
      </c>
      <c r="O4488" s="1">
        <v>732.65</v>
      </c>
      <c r="P4488" s="1">
        <v>600.53</v>
      </c>
      <c r="Q4488">
        <v>8.5999999999999993E-2</v>
      </c>
      <c r="R4488">
        <v>8.0000000000000004E-4</v>
      </c>
    </row>
    <row r="4489" spans="1:18" ht="13.8" outlineLevel="2" x14ac:dyDescent="0.25">
      <c r="A4489">
        <v>86209</v>
      </c>
      <c r="B4489" t="s">
        <v>6529</v>
      </c>
      <c r="C4489" t="s">
        <v>6530</v>
      </c>
      <c r="D4489" s="14" t="s">
        <v>6531</v>
      </c>
      <c r="E4489" s="12" t="s">
        <v>28</v>
      </c>
      <c r="F4489" s="13" t="s">
        <v>29</v>
      </c>
      <c r="G4489">
        <v>1</v>
      </c>
      <c r="H4489" t="s">
        <v>30</v>
      </c>
      <c r="I4489">
        <v>1</v>
      </c>
      <c r="J4489" s="15"/>
      <c r="K4489" s="16">
        <f>IF($E$1&gt;=$Q$1%,3429.21-(3429.21*$Q$1%),3429.21-(3429.21*$E$1))</f>
        <v>3429.21</v>
      </c>
      <c r="L4489" s="16">
        <f>IF($E$1&gt;=$Q$1%,2810.83-(2810.83*$Q$1%),2810.83-(2810.83*$E$1))</f>
        <v>2810.83</v>
      </c>
      <c r="M4489" s="1">
        <v>3429.21</v>
      </c>
      <c r="N4489" s="1">
        <v>2810.83</v>
      </c>
      <c r="O4489" s="1">
        <v>3429.21</v>
      </c>
      <c r="P4489" s="1">
        <v>2810.83</v>
      </c>
      <c r="Q4489">
        <v>0.2717</v>
      </c>
      <c r="R4489">
        <v>6.8400000000000004E-4</v>
      </c>
    </row>
    <row r="4490" spans="1:18" ht="13.8" outlineLevel="2" x14ac:dyDescent="0.25">
      <c r="A4490">
        <v>86214</v>
      </c>
      <c r="B4490" t="s">
        <v>6532</v>
      </c>
      <c r="C4490" t="s">
        <v>6533</v>
      </c>
      <c r="D4490" s="14" t="s">
        <v>6534</v>
      </c>
      <c r="E4490" s="12" t="s">
        <v>28</v>
      </c>
      <c r="F4490" s="13" t="s">
        <v>29</v>
      </c>
      <c r="G4490">
        <v>1</v>
      </c>
      <c r="H4490" t="s">
        <v>30</v>
      </c>
      <c r="I4490">
        <v>1</v>
      </c>
      <c r="J4490" s="15"/>
      <c r="K4490" s="16">
        <f>32262.33 - (32262.33 * $E$1)</f>
        <v>32262.33</v>
      </c>
      <c r="L4490" s="16">
        <f>26444.53 - (26444.53 * $E$1)</f>
        <v>26444.53</v>
      </c>
      <c r="M4490" s="1">
        <v>32262.33</v>
      </c>
      <c r="N4490" s="1">
        <v>26444.53</v>
      </c>
      <c r="O4490" s="1">
        <v>27422.98</v>
      </c>
      <c r="P4490" s="1">
        <v>22477.85</v>
      </c>
      <c r="Q4490">
        <v>1.45</v>
      </c>
      <c r="R4490">
        <v>5.5799999999999999E-3</v>
      </c>
    </row>
    <row r="4491" spans="1:18" ht="16.5" customHeight="1" outlineLevel="1" x14ac:dyDescent="0.35">
      <c r="A4491" s="9"/>
      <c r="B4491" s="10" t="s">
        <v>6535</v>
      </c>
      <c r="C4491" s="10"/>
      <c r="D4491" s="10"/>
      <c r="E4491" s="10"/>
      <c r="F4491" s="10"/>
      <c r="G4491" s="10"/>
      <c r="H4491" s="10"/>
      <c r="I4491" s="10"/>
      <c r="J4491" s="10"/>
      <c r="K4491" s="10"/>
      <c r="L4491" s="10"/>
      <c r="M4491" s="10"/>
      <c r="N4491" s="10"/>
      <c r="O4491" s="10"/>
      <c r="P4491" s="10"/>
      <c r="Q4491" s="10"/>
      <c r="R4491" s="11"/>
    </row>
    <row r="4492" spans="1:18" ht="13.8" outlineLevel="2" x14ac:dyDescent="0.25">
      <c r="A4492">
        <v>87244</v>
      </c>
      <c r="B4492" t="s">
        <v>6536</v>
      </c>
      <c r="C4492" t="s">
        <v>6537</v>
      </c>
      <c r="D4492" s="14" t="s">
        <v>6538</v>
      </c>
      <c r="E4492" s="12" t="s">
        <v>28</v>
      </c>
      <c r="F4492" s="13" t="s">
        <v>29</v>
      </c>
      <c r="G4492">
        <v>1</v>
      </c>
      <c r="H4492" t="s">
        <v>30</v>
      </c>
      <c r="I4492">
        <v>1</v>
      </c>
      <c r="J4492" s="15"/>
      <c r="K4492" s="16">
        <f>IF($E$1&gt;=$Q$1%,1578.99-(1578.99*$Q$1%),1578.99-(1578.99*$E$1))</f>
        <v>1578.99</v>
      </c>
      <c r="L4492" s="16">
        <f>IF($E$1&gt;=$Q$1%,1294.25-(1294.25*$Q$1%),1294.25-(1294.25*$E$1))</f>
        <v>1294.25</v>
      </c>
      <c r="M4492" s="1">
        <v>1578.99</v>
      </c>
      <c r="N4492" s="1">
        <v>1294.25</v>
      </c>
      <c r="O4492" s="1">
        <v>1578.99</v>
      </c>
      <c r="P4492" s="1">
        <v>1294.25</v>
      </c>
      <c r="Q4492">
        <v>0.182</v>
      </c>
      <c r="R4492">
        <v>1.31E-3</v>
      </c>
    </row>
    <row r="4493" spans="1:18" ht="13.8" outlineLevel="2" x14ac:dyDescent="0.25">
      <c r="A4493">
        <v>87245</v>
      </c>
      <c r="B4493" t="s">
        <v>6536</v>
      </c>
      <c r="C4493" t="s">
        <v>6539</v>
      </c>
      <c r="D4493" s="14" t="s">
        <v>6540</v>
      </c>
      <c r="E4493" s="12" t="s">
        <v>28</v>
      </c>
      <c r="F4493" s="13" t="s">
        <v>29</v>
      </c>
      <c r="G4493">
        <v>1</v>
      </c>
      <c r="H4493" t="s">
        <v>30</v>
      </c>
      <c r="I4493">
        <v>1</v>
      </c>
      <c r="J4493" s="15"/>
      <c r="K4493" s="16">
        <f>IF($E$1&gt;=$Q$1%,1727.85-(1727.85*$Q$1%),1727.85-(1727.85*$E$1))</f>
        <v>1727.85</v>
      </c>
      <c r="L4493" s="16">
        <f>IF($E$1&gt;=$Q$1%,1416.27-(1416.27*$Q$1%),1416.27-(1416.27*$E$1))</f>
        <v>1416.27</v>
      </c>
      <c r="M4493" s="1">
        <v>1727.85</v>
      </c>
      <c r="N4493" s="1">
        <v>1416.27</v>
      </c>
      <c r="O4493" s="1">
        <v>1727.85</v>
      </c>
      <c r="P4493" s="1">
        <v>1416.27</v>
      </c>
      <c r="Q4493">
        <v>0.182</v>
      </c>
      <c r="R4493">
        <v>1.31E-3</v>
      </c>
    </row>
    <row r="4494" spans="1:18" ht="13.8" outlineLevel="2" x14ac:dyDescent="0.25">
      <c r="A4494">
        <v>79137</v>
      </c>
      <c r="B4494" t="s">
        <v>6536</v>
      </c>
      <c r="C4494" t="s">
        <v>6541</v>
      </c>
      <c r="D4494" s="14" t="s">
        <v>6542</v>
      </c>
      <c r="E4494" s="12" t="s">
        <v>28</v>
      </c>
      <c r="F4494" s="13" t="s">
        <v>29</v>
      </c>
      <c r="G4494">
        <v>1</v>
      </c>
      <c r="H4494" t="s">
        <v>30</v>
      </c>
      <c r="I4494">
        <v>1</v>
      </c>
      <c r="J4494" s="15"/>
      <c r="K4494" s="16">
        <f>IF($E$1&gt;=$Q$1%,2131.27-(2131.27*$Q$1%),2131.27-(2131.27*$E$1))</f>
        <v>2131.27</v>
      </c>
      <c r="L4494" s="16">
        <f>IF($E$1&gt;=$Q$1%,1746.94-(1746.94*$Q$1%),1746.94-(1746.94*$E$1))</f>
        <v>1746.94</v>
      </c>
      <c r="M4494" s="1">
        <v>2131.27</v>
      </c>
      <c r="N4494" s="1">
        <v>1746.94</v>
      </c>
      <c r="O4494" s="1">
        <v>2131.27</v>
      </c>
      <c r="P4494" s="1">
        <v>1746.94</v>
      </c>
      <c r="Q4494">
        <v>0.20799999999999999</v>
      </c>
      <c r="R4494">
        <v>1.2210000000000001E-3</v>
      </c>
    </row>
    <row r="4495" spans="1:18" ht="13.8" outlineLevel="2" x14ac:dyDescent="0.25">
      <c r="A4495">
        <v>79138</v>
      </c>
      <c r="B4495" t="s">
        <v>6536</v>
      </c>
      <c r="C4495" t="s">
        <v>6543</v>
      </c>
      <c r="D4495" s="14" t="s">
        <v>6544</v>
      </c>
      <c r="E4495" s="12" t="s">
        <v>28</v>
      </c>
      <c r="F4495" s="13" t="s">
        <v>29</v>
      </c>
      <c r="G4495">
        <v>1</v>
      </c>
      <c r="H4495" t="s">
        <v>30</v>
      </c>
      <c r="I4495">
        <v>1</v>
      </c>
      <c r="J4495" s="15"/>
      <c r="K4495" s="16">
        <f>IF($E$1&gt;=$Q$1%,2699.79-(2699.79*$Q$1%),2699.79-(2699.79*$E$1))</f>
        <v>2699.79</v>
      </c>
      <c r="L4495" s="16">
        <f>IF($E$1&gt;=$Q$1%,2212.94-(2212.94*$Q$1%),2212.94-(2212.94*$E$1))</f>
        <v>2212.94</v>
      </c>
      <c r="M4495" s="1">
        <v>2699.79</v>
      </c>
      <c r="N4495" s="1">
        <v>2212.94</v>
      </c>
      <c r="O4495" s="1">
        <v>2699.79</v>
      </c>
      <c r="P4495" s="1">
        <v>2212.94</v>
      </c>
      <c r="Q4495">
        <v>0.20799999999999999</v>
      </c>
      <c r="R4495">
        <v>1.1540000000000001E-3</v>
      </c>
    </row>
    <row r="4496" spans="1:18" ht="13.8" outlineLevel="2" x14ac:dyDescent="0.25">
      <c r="A4496">
        <v>87243</v>
      </c>
      <c r="B4496" t="s">
        <v>6536</v>
      </c>
      <c r="C4496" t="s">
        <v>6545</v>
      </c>
      <c r="D4496" s="14" t="s">
        <v>6546</v>
      </c>
      <c r="E4496" s="12" t="s">
        <v>28</v>
      </c>
      <c r="F4496" s="13" t="s">
        <v>29</v>
      </c>
      <c r="G4496">
        <v>1</v>
      </c>
      <c r="H4496" t="s">
        <v>30</v>
      </c>
      <c r="I4496">
        <v>1</v>
      </c>
      <c r="J4496" s="15"/>
      <c r="K4496" s="16">
        <f>IF($E$1&gt;=$Q$1%,2901.86-(2901.86*$Q$1%),2901.86-(2901.86*$E$1))</f>
        <v>2901.86</v>
      </c>
      <c r="L4496" s="16">
        <f>IF($E$1&gt;=$Q$1%,2378.57-(2378.57*$Q$1%),2378.57-(2378.57*$E$1))</f>
        <v>2378.5700000000002</v>
      </c>
      <c r="M4496" s="1">
        <v>2901.86</v>
      </c>
      <c r="N4496" s="1">
        <v>2378.5700000000002</v>
      </c>
      <c r="O4496" s="1">
        <v>2901.86</v>
      </c>
      <c r="P4496" s="1">
        <v>2378.5700000000002</v>
      </c>
      <c r="Q4496">
        <v>0.2</v>
      </c>
      <c r="R4496">
        <v>1.3669999999999999E-3</v>
      </c>
    </row>
    <row r="4497" spans="1:18" ht="13.8" outlineLevel="2" x14ac:dyDescent="0.25">
      <c r="A4497">
        <v>87246</v>
      </c>
      <c r="B4497" t="s">
        <v>6536</v>
      </c>
      <c r="C4497" t="s">
        <v>6547</v>
      </c>
      <c r="D4497" s="14" t="s">
        <v>6548</v>
      </c>
      <c r="E4497" s="12" t="s">
        <v>28</v>
      </c>
      <c r="F4497" s="13" t="s">
        <v>29</v>
      </c>
      <c r="G4497">
        <v>1</v>
      </c>
      <c r="H4497" t="s">
        <v>30</v>
      </c>
      <c r="I4497">
        <v>1</v>
      </c>
      <c r="J4497" s="15"/>
      <c r="K4497" s="16">
        <f>IF($E$1&gt;=$Q$1%,13723.26-(13723.26*$Q$1%),13723.26-(13723.26*$E$1))</f>
        <v>13723.26</v>
      </c>
      <c r="L4497" s="16">
        <f>IF($E$1&gt;=$Q$1%,11248.57-(11248.57*$Q$1%),11248.57-(11248.57*$E$1))</f>
        <v>11248.57</v>
      </c>
      <c r="M4497" s="1">
        <v>13723.26</v>
      </c>
      <c r="N4497" s="1">
        <v>11248.57</v>
      </c>
      <c r="O4497" s="1">
        <v>13723.26</v>
      </c>
      <c r="P4497" s="1">
        <v>11248.57</v>
      </c>
      <c r="Q4497">
        <v>0.79600000000000004</v>
      </c>
      <c r="R4497">
        <v>5.7419999999999997E-3</v>
      </c>
    </row>
    <row r="4498" spans="1:18" ht="13.8" outlineLevel="2" x14ac:dyDescent="0.25">
      <c r="A4498">
        <v>87247</v>
      </c>
      <c r="B4498" t="s">
        <v>6536</v>
      </c>
      <c r="C4498" t="s">
        <v>6549</v>
      </c>
      <c r="D4498" s="14" t="s">
        <v>6550</v>
      </c>
      <c r="E4498" s="12" t="s">
        <v>28</v>
      </c>
      <c r="F4498" s="13" t="s">
        <v>29</v>
      </c>
      <c r="G4498">
        <v>1</v>
      </c>
      <c r="H4498" t="s">
        <v>30</v>
      </c>
      <c r="I4498">
        <v>1</v>
      </c>
      <c r="J4498" s="15"/>
      <c r="K4498" s="16">
        <f>IF($E$1&gt;=$Q$1%,17289.63-(17289.63*$Q$1%),17289.63-(17289.63*$E$1))</f>
        <v>17289.63</v>
      </c>
      <c r="L4498" s="16">
        <f>IF($E$1&gt;=$Q$1%,14171.83-(14171.83*$Q$1%),14171.83-(14171.83*$E$1))</f>
        <v>14171.83</v>
      </c>
      <c r="M4498" s="1">
        <v>17289.63</v>
      </c>
      <c r="N4498" s="1">
        <v>14171.83</v>
      </c>
      <c r="O4498" s="1">
        <v>17289.63</v>
      </c>
      <c r="P4498" s="1">
        <v>14171.83</v>
      </c>
      <c r="Q4498">
        <v>0.79400000000000004</v>
      </c>
      <c r="R4498">
        <v>5.8199999999999997E-3</v>
      </c>
    </row>
    <row r="4499" spans="1:18" ht="16.5" customHeight="1" outlineLevel="1" x14ac:dyDescent="0.35">
      <c r="A4499" s="9"/>
      <c r="B4499" s="10" t="s">
        <v>6551</v>
      </c>
      <c r="C4499" s="10"/>
      <c r="D4499" s="10"/>
      <c r="E4499" s="10"/>
      <c r="F4499" s="10"/>
      <c r="G4499" s="10"/>
      <c r="H4499" s="10"/>
      <c r="I4499" s="10"/>
      <c r="J4499" s="10"/>
      <c r="K4499" s="10"/>
      <c r="L4499" s="10"/>
      <c r="M4499" s="10"/>
      <c r="N4499" s="10"/>
      <c r="O4499" s="10"/>
      <c r="P4499" s="10"/>
      <c r="Q4499" s="10"/>
      <c r="R4499" s="11"/>
    </row>
    <row r="4500" spans="1:18" ht="13.8" outlineLevel="2" x14ac:dyDescent="0.25">
      <c r="A4500">
        <v>86208</v>
      </c>
      <c r="B4500" t="s">
        <v>6552</v>
      </c>
      <c r="C4500" t="s">
        <v>6553</v>
      </c>
      <c r="D4500" s="14" t="s">
        <v>6554</v>
      </c>
      <c r="E4500" s="12" t="s">
        <v>28</v>
      </c>
      <c r="F4500" s="13" t="s">
        <v>29</v>
      </c>
      <c r="G4500">
        <v>1</v>
      </c>
      <c r="H4500" t="s">
        <v>30</v>
      </c>
      <c r="I4500">
        <v>1</v>
      </c>
      <c r="J4500" s="15"/>
      <c r="K4500" s="16">
        <f>13454.82 - (13454.82 * $E$1)</f>
        <v>13454.82</v>
      </c>
      <c r="L4500" s="16">
        <f>11028.54 - (11028.54 * $E$1)</f>
        <v>11028.54</v>
      </c>
      <c r="M4500" s="1">
        <v>13454.82</v>
      </c>
      <c r="N4500" s="1">
        <v>11028.54</v>
      </c>
      <c r="O4500" s="1">
        <v>11436.6</v>
      </c>
      <c r="P4500" s="1">
        <v>9374.26</v>
      </c>
      <c r="Q4500">
        <v>0.52249999999999996</v>
      </c>
      <c r="R4500">
        <v>2.3800000000000002E-3</v>
      </c>
    </row>
    <row r="4501" spans="1:18" ht="13.8" outlineLevel="2" x14ac:dyDescent="0.25">
      <c r="A4501">
        <v>88552</v>
      </c>
      <c r="B4501" t="s">
        <v>6555</v>
      </c>
      <c r="C4501" t="s">
        <v>6556</v>
      </c>
      <c r="D4501" s="14" t="s">
        <v>6557</v>
      </c>
      <c r="E4501" s="12" t="s">
        <v>28</v>
      </c>
      <c r="F4501" s="13" t="s">
        <v>29</v>
      </c>
      <c r="G4501">
        <v>1</v>
      </c>
      <c r="H4501" t="s">
        <v>30</v>
      </c>
      <c r="I4501">
        <v>1</v>
      </c>
      <c r="J4501" s="15"/>
      <c r="K4501" s="16">
        <f>1119.02 - (1119.02 * $E$1)</f>
        <v>1119.02</v>
      </c>
      <c r="L4501" s="16">
        <f>917.23 - (917.23 * $E$1)</f>
        <v>917.23</v>
      </c>
      <c r="M4501" s="1">
        <v>1119.02</v>
      </c>
      <c r="N4501" s="1">
        <v>917.23</v>
      </c>
      <c r="O4501" s="1">
        <v>951.17</v>
      </c>
      <c r="P4501" s="1">
        <v>779.65</v>
      </c>
      <c r="Q4501">
        <v>0.104</v>
      </c>
      <c r="R4501">
        <v>5.7799999999999995E-4</v>
      </c>
    </row>
    <row r="4502" spans="1:18" ht="13.8" outlineLevel="2" x14ac:dyDescent="0.25">
      <c r="A4502">
        <v>86210</v>
      </c>
      <c r="B4502" t="s">
        <v>6558</v>
      </c>
      <c r="C4502" t="s">
        <v>6559</v>
      </c>
      <c r="D4502" s="14" t="s">
        <v>6560</v>
      </c>
      <c r="E4502" s="12" t="s">
        <v>28</v>
      </c>
      <c r="F4502" s="13" t="s">
        <v>29</v>
      </c>
      <c r="G4502">
        <v>1</v>
      </c>
      <c r="H4502" t="s">
        <v>30</v>
      </c>
      <c r="I4502">
        <v>1</v>
      </c>
      <c r="J4502" s="15"/>
      <c r="K4502" s="16">
        <f>18176.4 - (18176.4 * $E$1)</f>
        <v>18176.400000000001</v>
      </c>
      <c r="L4502" s="16">
        <f>14898.69 - (14898.69 * $E$1)</f>
        <v>14898.69</v>
      </c>
      <c r="M4502" s="1">
        <v>18176.400000000001</v>
      </c>
      <c r="N4502" s="1">
        <v>14898.69</v>
      </c>
      <c r="O4502" s="1">
        <v>15449.94</v>
      </c>
      <c r="P4502" s="1">
        <v>12663.89</v>
      </c>
      <c r="Q4502">
        <v>0.9</v>
      </c>
      <c r="R4502">
        <v>3.5839999999999999E-3</v>
      </c>
    </row>
    <row r="4503" spans="1:18" ht="13.8" outlineLevel="2" x14ac:dyDescent="0.25">
      <c r="A4503">
        <v>86213</v>
      </c>
      <c r="B4503" t="s">
        <v>6561</v>
      </c>
      <c r="C4503" t="s">
        <v>6562</v>
      </c>
      <c r="D4503" s="14" t="s">
        <v>6563</v>
      </c>
      <c r="E4503" s="12" t="s">
        <v>28</v>
      </c>
      <c r="F4503" s="13" t="s">
        <v>29</v>
      </c>
      <c r="G4503">
        <v>1</v>
      </c>
      <c r="H4503" t="s">
        <v>30</v>
      </c>
      <c r="I4503">
        <v>1</v>
      </c>
      <c r="J4503" s="15"/>
      <c r="K4503" s="16">
        <f>5943.46 - (5943.46 * $E$1)</f>
        <v>5943.46</v>
      </c>
      <c r="L4503" s="16">
        <f>4871.69 - (4871.69 * $E$1)</f>
        <v>4871.6899999999996</v>
      </c>
      <c r="M4503" s="1">
        <v>5943.46</v>
      </c>
      <c r="N4503" s="1">
        <v>4871.6899999999996</v>
      </c>
      <c r="O4503" s="1">
        <v>5051.9399999999996</v>
      </c>
      <c r="P4503" s="1">
        <v>4140.9399999999996</v>
      </c>
      <c r="Q4503">
        <v>0.40500000000000003</v>
      </c>
      <c r="R4503">
        <v>1.8749999999999999E-3</v>
      </c>
    </row>
    <row r="4504" spans="1:18" ht="16.5" customHeight="1" outlineLevel="1" x14ac:dyDescent="0.35">
      <c r="A4504" s="9"/>
      <c r="B4504" s="10" t="s">
        <v>6564</v>
      </c>
      <c r="C4504" s="10"/>
      <c r="D4504" s="10"/>
      <c r="E4504" s="10"/>
      <c r="F4504" s="10"/>
      <c r="G4504" s="10"/>
      <c r="H4504" s="10"/>
      <c r="I4504" s="10"/>
      <c r="J4504" s="10"/>
      <c r="K4504" s="10"/>
      <c r="L4504" s="10"/>
      <c r="M4504" s="10"/>
      <c r="N4504" s="10"/>
      <c r="O4504" s="10"/>
      <c r="P4504" s="10"/>
      <c r="Q4504" s="10"/>
      <c r="R4504" s="11"/>
    </row>
    <row r="4505" spans="1:18" ht="13.8" outlineLevel="2" x14ac:dyDescent="0.25">
      <c r="A4505">
        <v>79141</v>
      </c>
      <c r="B4505" t="s">
        <v>6565</v>
      </c>
      <c r="C4505" t="s">
        <v>6566</v>
      </c>
      <c r="D4505" s="14" t="s">
        <v>6567</v>
      </c>
      <c r="E4505" s="12" t="s">
        <v>28</v>
      </c>
      <c r="F4505" s="13" t="s">
        <v>29</v>
      </c>
      <c r="G4505">
        <v>1</v>
      </c>
      <c r="H4505" t="s">
        <v>30</v>
      </c>
      <c r="I4505">
        <v>1</v>
      </c>
      <c r="J4505" s="15"/>
      <c r="K4505" s="16">
        <f>IF($E$1&gt;=$Q$1%,25895.85-(25895.85*$Q$1%),25895.85-(25895.85*$E$1))</f>
        <v>25895.85</v>
      </c>
      <c r="L4505" s="16">
        <f>IF($E$1&gt;=$Q$1%,21226.11-(21226.11*$Q$1%),21226.11-(21226.11*$E$1))</f>
        <v>21226.11</v>
      </c>
      <c r="M4505" s="1">
        <v>25895.85</v>
      </c>
      <c r="N4505" s="1">
        <v>21226.11</v>
      </c>
      <c r="O4505" s="1">
        <v>25895.85</v>
      </c>
      <c r="P4505" s="1">
        <v>21226.11</v>
      </c>
      <c r="Q4505">
        <v>0.58199999999999996</v>
      </c>
      <c r="R4505">
        <v>2.0179999999999998E-3</v>
      </c>
    </row>
    <row r="4506" spans="1:18" ht="13.8" outlineLevel="2" x14ac:dyDescent="0.25">
      <c r="A4506">
        <v>79140</v>
      </c>
      <c r="B4506" t="s">
        <v>6565</v>
      </c>
      <c r="C4506" t="s">
        <v>6568</v>
      </c>
      <c r="D4506" s="14" t="s">
        <v>6569</v>
      </c>
      <c r="E4506" s="12" t="s">
        <v>28</v>
      </c>
      <c r="F4506" s="13" t="s">
        <v>29</v>
      </c>
      <c r="G4506">
        <v>1</v>
      </c>
      <c r="H4506" t="s">
        <v>30</v>
      </c>
      <c r="I4506">
        <v>1</v>
      </c>
      <c r="J4506" s="15"/>
      <c r="K4506" s="16">
        <f>IF($E$1&gt;=$Q$1%,20805.15-(20805.15*$Q$1%),20805.15-(20805.15*$E$1))</f>
        <v>20805.150000000001</v>
      </c>
      <c r="L4506" s="16">
        <f>IF($E$1&gt;=$Q$1%,17053.4-(17053.4*$Q$1%),17053.4-(17053.4*$E$1))</f>
        <v>17053.400000000001</v>
      </c>
      <c r="M4506" s="1">
        <v>20805.150000000001</v>
      </c>
      <c r="N4506" s="1">
        <v>17053.400000000001</v>
      </c>
      <c r="O4506" s="1">
        <v>20805.150000000001</v>
      </c>
      <c r="P4506" s="1">
        <v>17053.400000000001</v>
      </c>
      <c r="Q4506">
        <v>0.56799999999999995</v>
      </c>
      <c r="R4506">
        <v>2.0179999999999998E-3</v>
      </c>
    </row>
    <row r="4507" spans="1:18" ht="13.8" outlineLevel="2" x14ac:dyDescent="0.25">
      <c r="A4507">
        <v>79142</v>
      </c>
      <c r="B4507" t="s">
        <v>6565</v>
      </c>
      <c r="C4507" t="s">
        <v>6570</v>
      </c>
      <c r="D4507" s="14" t="s">
        <v>6571</v>
      </c>
      <c r="E4507" s="12" t="s">
        <v>28</v>
      </c>
      <c r="F4507" s="13" t="s">
        <v>29</v>
      </c>
      <c r="G4507">
        <v>1</v>
      </c>
      <c r="H4507" t="s">
        <v>30</v>
      </c>
      <c r="I4507">
        <v>1</v>
      </c>
      <c r="J4507" s="15"/>
      <c r="K4507" s="16">
        <f>IF($E$1&gt;=$Q$1%,38668.88-(38668.88*$Q$1%),38668.88-(38668.88*$E$1))</f>
        <v>38668.879999999997</v>
      </c>
      <c r="L4507" s="16">
        <f>IF($E$1&gt;=$Q$1%,31695.8-(31695.8*$Q$1%),31695.8-(31695.8*$E$1))</f>
        <v>31695.8</v>
      </c>
      <c r="M4507" s="1">
        <v>38668.879999999997</v>
      </c>
      <c r="N4507" s="1">
        <v>31695.8</v>
      </c>
      <c r="O4507" s="1">
        <v>38668.879999999997</v>
      </c>
      <c r="P4507" s="1">
        <v>31695.8</v>
      </c>
      <c r="Q4507">
        <v>0.6</v>
      </c>
      <c r="R4507">
        <v>2.036E-3</v>
      </c>
    </row>
    <row r="4508" spans="1:18" ht="13.8" outlineLevel="2" x14ac:dyDescent="0.25">
      <c r="A4508">
        <v>101567</v>
      </c>
      <c r="B4508" t="s">
        <v>6572</v>
      </c>
      <c r="C4508" t="s">
        <v>6573</v>
      </c>
      <c r="D4508" s="14" t="s">
        <v>6574</v>
      </c>
      <c r="E4508" s="12" t="s">
        <v>28</v>
      </c>
      <c r="F4508" s="13" t="s">
        <v>29</v>
      </c>
      <c r="G4508">
        <v>1</v>
      </c>
      <c r="H4508" t="s">
        <v>30</v>
      </c>
      <c r="I4508">
        <v>1</v>
      </c>
      <c r="J4508" s="15"/>
      <c r="K4508" s="16">
        <f>IF($E$1&gt;=$Q$1%,3879.7-(3879.7*$Q$1%),3879.7-(3879.7*$E$1))</f>
        <v>3879.7</v>
      </c>
      <c r="L4508" s="16">
        <f>IF($E$1&gt;=$Q$1%,3180.08-(3180.08*$Q$1%),3180.08-(3180.08*$E$1))</f>
        <v>3180.08</v>
      </c>
      <c r="M4508" s="1">
        <v>3879.7</v>
      </c>
      <c r="N4508" s="1">
        <v>3180.08</v>
      </c>
      <c r="O4508" s="1">
        <v>3879.7</v>
      </c>
      <c r="P4508" s="1">
        <v>3180.08</v>
      </c>
      <c r="Q4508">
        <v>0.24</v>
      </c>
      <c r="R4508">
        <v>8.8800000000000001E-4</v>
      </c>
    </row>
    <row r="4509" spans="1:18" ht="13.8" outlineLevel="2" x14ac:dyDescent="0.25">
      <c r="A4509">
        <v>86327</v>
      </c>
      <c r="B4509" t="s">
        <v>6575</v>
      </c>
      <c r="C4509" t="s">
        <v>6576</v>
      </c>
      <c r="D4509" s="14" t="s">
        <v>6577</v>
      </c>
      <c r="E4509" s="12" t="s">
        <v>28</v>
      </c>
      <c r="F4509" s="13" t="s">
        <v>29</v>
      </c>
      <c r="G4509">
        <v>1</v>
      </c>
      <c r="H4509" t="s">
        <v>30</v>
      </c>
      <c r="I4509">
        <v>1</v>
      </c>
      <c r="J4509" s="15"/>
      <c r="K4509" s="16">
        <f>IF($E$1&gt;=$Q$1%,2061.7-(2061.7*$Q$1%),2061.7-(2061.7*$E$1))</f>
        <v>2061.6999999999998</v>
      </c>
      <c r="L4509" s="16">
        <f>IF($E$1&gt;=$Q$1%,1689.92-(1689.92*$Q$1%),1689.92-(1689.92*$E$1))</f>
        <v>1689.92</v>
      </c>
      <c r="M4509" s="1">
        <v>2061.6999999999998</v>
      </c>
      <c r="N4509" s="1">
        <v>1689.92</v>
      </c>
      <c r="O4509" s="1">
        <v>2061.6999999999998</v>
      </c>
      <c r="P4509" s="1">
        <v>1689.92</v>
      </c>
      <c r="Q4509">
        <v>0.108</v>
      </c>
      <c r="R4509">
        <v>9.6599999999999995E-4</v>
      </c>
    </row>
    <row r="4510" spans="1:18" ht="13.8" outlineLevel="2" x14ac:dyDescent="0.25">
      <c r="A4510">
        <v>79143</v>
      </c>
      <c r="B4510" t="s">
        <v>6575</v>
      </c>
      <c r="C4510" t="s">
        <v>6578</v>
      </c>
      <c r="D4510" s="14" t="s">
        <v>6579</v>
      </c>
      <c r="E4510" s="12" t="s">
        <v>28</v>
      </c>
      <c r="F4510" s="13" t="s">
        <v>29</v>
      </c>
      <c r="G4510">
        <v>1</v>
      </c>
      <c r="H4510" t="s">
        <v>30</v>
      </c>
      <c r="I4510">
        <v>1</v>
      </c>
      <c r="J4510" s="15"/>
      <c r="K4510" s="16">
        <f>IF($E$1&gt;=$Q$1%,6580.25-(6580.25*$Q$1%),6580.25-(6580.25*$E$1))</f>
        <v>6580.25</v>
      </c>
      <c r="L4510" s="16">
        <f>IF($E$1&gt;=$Q$1%,5393.65-(5393.65*$Q$1%),5393.65-(5393.65*$E$1))</f>
        <v>5393.65</v>
      </c>
      <c r="M4510" s="1">
        <v>6580.25</v>
      </c>
      <c r="N4510" s="1">
        <v>5393.65</v>
      </c>
      <c r="O4510" s="1">
        <v>6580.25</v>
      </c>
      <c r="P4510" s="1">
        <v>5393.65</v>
      </c>
      <c r="Q4510">
        <v>0.4</v>
      </c>
      <c r="R4510">
        <v>1.74E-3</v>
      </c>
    </row>
    <row r="4511" spans="1:18" ht="13.8" outlineLevel="2" x14ac:dyDescent="0.25">
      <c r="A4511">
        <v>101568</v>
      </c>
      <c r="B4511" t="s">
        <v>6580</v>
      </c>
      <c r="C4511" t="s">
        <v>6581</v>
      </c>
      <c r="D4511" s="14" t="s">
        <v>6582</v>
      </c>
      <c r="E4511" s="12" t="s">
        <v>28</v>
      </c>
      <c r="F4511" s="18" t="s">
        <v>1467</v>
      </c>
      <c r="G4511">
        <v>1</v>
      </c>
      <c r="H4511" t="s">
        <v>30</v>
      </c>
      <c r="I4511">
        <v>1</v>
      </c>
      <c r="J4511" s="15"/>
      <c r="K4511" s="16">
        <f>IF($E$1&gt;=$Q$1%,5272.4-(5272.4*$Q$1%),5272.4-(5272.4*$E$1))</f>
        <v>5272.4</v>
      </c>
      <c r="L4511" s="16">
        <f>IF($E$1&gt;=$Q$1%,4321.64-(4321.64*$Q$1%),4321.64-(4321.64*$E$1))</f>
        <v>4321.6400000000003</v>
      </c>
      <c r="M4511" s="1">
        <v>5272.4</v>
      </c>
      <c r="N4511" s="1">
        <v>4321.6400000000003</v>
      </c>
      <c r="O4511" s="1">
        <v>5272.4</v>
      </c>
      <c r="P4511" s="1">
        <v>4321.6400000000003</v>
      </c>
      <c r="Q4511">
        <v>0.27</v>
      </c>
      <c r="R4511">
        <v>1.5299999999999999E-3</v>
      </c>
    </row>
    <row r="4512" spans="1:18" ht="13.8" outlineLevel="2" x14ac:dyDescent="0.25">
      <c r="A4512">
        <v>91922</v>
      </c>
      <c r="B4512" t="s">
        <v>6583</v>
      </c>
      <c r="C4512" t="s">
        <v>6584</v>
      </c>
      <c r="D4512" s="14" t="s">
        <v>6585</v>
      </c>
      <c r="E4512" s="12" t="s">
        <v>28</v>
      </c>
      <c r="F4512" s="13" t="s">
        <v>29</v>
      </c>
      <c r="G4512">
        <v>1</v>
      </c>
      <c r="H4512" t="s">
        <v>30</v>
      </c>
      <c r="I4512">
        <v>1</v>
      </c>
      <c r="J4512" s="15"/>
      <c r="K4512" s="16">
        <f>IF($E$1&gt;=$Q$1%,2585.99-(2585.99*$Q$1%),2585.99-(2585.99*$E$1))</f>
        <v>2585.9899999999998</v>
      </c>
      <c r="L4512" s="16">
        <f>IF($E$1&gt;=$Q$1%,2119.66-(2119.66*$Q$1%),2119.66-(2119.66*$E$1))</f>
        <v>2119.66</v>
      </c>
      <c r="M4512" s="1">
        <v>2585.9899999999998</v>
      </c>
      <c r="N4512" s="1">
        <v>2119.66</v>
      </c>
      <c r="O4512" s="1">
        <v>2585.9899999999998</v>
      </c>
      <c r="P4512" s="1">
        <v>2119.66</v>
      </c>
      <c r="Q4512">
        <v>0.2</v>
      </c>
      <c r="R4512">
        <v>9.8999999999999999E-4</v>
      </c>
    </row>
    <row r="4513" spans="1:18" ht="13.8" outlineLevel="2" x14ac:dyDescent="0.25">
      <c r="A4513">
        <v>79144</v>
      </c>
      <c r="B4513" t="s">
        <v>6586</v>
      </c>
      <c r="C4513" t="s">
        <v>6587</v>
      </c>
      <c r="D4513" s="14" t="s">
        <v>6588</v>
      </c>
      <c r="E4513" s="12" t="s">
        <v>28</v>
      </c>
      <c r="F4513" s="13" t="s">
        <v>29</v>
      </c>
      <c r="G4513">
        <v>1</v>
      </c>
      <c r="H4513" t="s">
        <v>30</v>
      </c>
      <c r="I4513">
        <v>1</v>
      </c>
      <c r="J4513" s="15"/>
      <c r="K4513" s="16">
        <f>IF($E$1&gt;=$Q$1%,4022.56-(4022.56*$Q$1%),4022.56-(4022.56*$E$1))</f>
        <v>4022.56</v>
      </c>
      <c r="L4513" s="16">
        <f>IF($E$1&gt;=$Q$1%,3297.18-(3297.18*$Q$1%),3297.18-(3297.18*$E$1))</f>
        <v>3297.18</v>
      </c>
      <c r="M4513" s="1">
        <v>4022.56</v>
      </c>
      <c r="N4513" s="1">
        <v>3297.18</v>
      </c>
      <c r="O4513" s="1">
        <v>4022.56</v>
      </c>
      <c r="P4513" s="1">
        <v>3297.18</v>
      </c>
      <c r="Q4513">
        <v>0.3</v>
      </c>
      <c r="R4513">
        <v>1.297E-3</v>
      </c>
    </row>
    <row r="4514" spans="1:18" ht="13.8" outlineLevel="2" x14ac:dyDescent="0.25">
      <c r="A4514">
        <v>79146</v>
      </c>
      <c r="B4514" t="s">
        <v>6589</v>
      </c>
      <c r="C4514" t="s">
        <v>6590</v>
      </c>
      <c r="D4514" s="14" t="s">
        <v>6591</v>
      </c>
      <c r="E4514" s="12" t="s">
        <v>28</v>
      </c>
      <c r="F4514" s="13" t="s">
        <v>29</v>
      </c>
      <c r="G4514">
        <v>1</v>
      </c>
      <c r="H4514" t="s">
        <v>30</v>
      </c>
      <c r="I4514">
        <v>1</v>
      </c>
      <c r="J4514" s="15"/>
      <c r="K4514" s="16">
        <f>IF($E$1&gt;=$Q$1%,4195.67-(4195.67*$Q$1%),4195.67-(4195.67*$E$1))</f>
        <v>4195.67</v>
      </c>
      <c r="L4514" s="16">
        <f>IF($E$1&gt;=$Q$1%,3439.07-(3439.07*$Q$1%),3439.07-(3439.07*$E$1))</f>
        <v>3439.07</v>
      </c>
      <c r="M4514" s="1">
        <v>4195.67</v>
      </c>
      <c r="N4514" s="1">
        <v>3439.07</v>
      </c>
      <c r="O4514" s="1">
        <v>4195.67</v>
      </c>
      <c r="P4514" s="1">
        <v>3439.07</v>
      </c>
      <c r="Q4514">
        <v>0.3</v>
      </c>
      <c r="R4514">
        <v>1.297E-3</v>
      </c>
    </row>
    <row r="4515" spans="1:18" ht="13.8" outlineLevel="2" x14ac:dyDescent="0.25">
      <c r="A4515">
        <v>79147</v>
      </c>
      <c r="B4515" t="s">
        <v>6592</v>
      </c>
      <c r="C4515" t="s">
        <v>6593</v>
      </c>
      <c r="D4515" s="14" t="s">
        <v>6594</v>
      </c>
      <c r="E4515" s="12" t="s">
        <v>28</v>
      </c>
      <c r="F4515" s="13" t="s">
        <v>29</v>
      </c>
      <c r="G4515">
        <v>1</v>
      </c>
      <c r="H4515" t="s">
        <v>30</v>
      </c>
      <c r="I4515">
        <v>1</v>
      </c>
      <c r="J4515" s="15"/>
      <c r="K4515" s="16">
        <f>IF($E$1&gt;=$Q$1%,4115.21-(4115.21*$Q$1%),4115.21-(4115.21*$E$1))</f>
        <v>4115.21</v>
      </c>
      <c r="L4515" s="16">
        <f>IF($E$1&gt;=$Q$1%,3373.12-(3373.12*$Q$1%),3373.12-(3373.12*$E$1))</f>
        <v>3373.12</v>
      </c>
      <c r="M4515" s="1">
        <v>4115.21</v>
      </c>
      <c r="N4515" s="1">
        <v>3373.12</v>
      </c>
      <c r="O4515" s="1">
        <v>4115.21</v>
      </c>
      <c r="P4515" s="1">
        <v>3373.12</v>
      </c>
      <c r="Q4515">
        <v>0.3</v>
      </c>
      <c r="R4515">
        <v>1.297E-3</v>
      </c>
    </row>
    <row r="4516" spans="1:18" ht="13.8" outlineLevel="2" x14ac:dyDescent="0.25">
      <c r="A4516">
        <v>90384</v>
      </c>
      <c r="B4516" t="s">
        <v>6595</v>
      </c>
      <c r="C4516" t="s">
        <v>6596</v>
      </c>
      <c r="D4516" s="14" t="s">
        <v>6597</v>
      </c>
      <c r="E4516" s="12" t="s">
        <v>28</v>
      </c>
      <c r="F4516" s="13" t="s">
        <v>29</v>
      </c>
      <c r="G4516">
        <v>1</v>
      </c>
      <c r="H4516" t="s">
        <v>30</v>
      </c>
      <c r="I4516">
        <v>1</v>
      </c>
      <c r="J4516" s="15"/>
      <c r="K4516" s="16">
        <f>IF($E$1&gt;=$Q$1%,4527.07-(4527.07*$Q$1%),4527.07-(4527.07*$E$1))</f>
        <v>4527.07</v>
      </c>
      <c r="L4516" s="16">
        <f>IF($E$1&gt;=$Q$1%,3710.71-(3710.71*$Q$1%),3710.71-(3710.71*$E$1))</f>
        <v>3710.71</v>
      </c>
      <c r="M4516" s="1">
        <v>4527.07</v>
      </c>
      <c r="N4516" s="1">
        <v>3710.71</v>
      </c>
      <c r="O4516" s="1">
        <v>4527.07</v>
      </c>
      <c r="P4516" s="1">
        <v>3710.71</v>
      </c>
      <c r="Q4516">
        <v>0.24399999999999999</v>
      </c>
      <c r="R4516">
        <v>9.8999999999999999E-4</v>
      </c>
    </row>
    <row r="4517" spans="1:18" ht="13.8" outlineLevel="2" x14ac:dyDescent="0.25">
      <c r="A4517">
        <v>91923</v>
      </c>
      <c r="B4517" t="s">
        <v>6598</v>
      </c>
      <c r="C4517" t="s">
        <v>6599</v>
      </c>
      <c r="D4517" s="14" t="s">
        <v>6600</v>
      </c>
      <c r="E4517" s="12" t="s">
        <v>28</v>
      </c>
      <c r="F4517" s="13" t="s">
        <v>29</v>
      </c>
      <c r="G4517">
        <v>1</v>
      </c>
      <c r="H4517" t="s">
        <v>30</v>
      </c>
      <c r="I4517">
        <v>1</v>
      </c>
      <c r="J4517" s="15"/>
      <c r="K4517" s="16">
        <f>IF($E$1&gt;=$Q$1%,8228.25-(8228.25*$Q$1%),8228.25-(8228.25*$E$1))</f>
        <v>8228.25</v>
      </c>
      <c r="L4517" s="16">
        <f>IF($E$1&gt;=$Q$1%,6744.47-(6744.47*$Q$1%),6744.47-(6744.47*$E$1))</f>
        <v>6744.47</v>
      </c>
      <c r="M4517" s="1">
        <v>8228.25</v>
      </c>
      <c r="N4517" s="1">
        <v>6744.47</v>
      </c>
      <c r="O4517" s="1">
        <v>8228.25</v>
      </c>
      <c r="P4517" s="1">
        <v>6744.47</v>
      </c>
      <c r="Q4517">
        <v>0.24</v>
      </c>
      <c r="R4517">
        <v>9.8999999999999999E-4</v>
      </c>
    </row>
    <row r="4518" spans="1:18" ht="13.8" outlineLevel="2" x14ac:dyDescent="0.25">
      <c r="A4518">
        <v>87251</v>
      </c>
      <c r="B4518" t="s">
        <v>6601</v>
      </c>
      <c r="C4518" t="s">
        <v>6602</v>
      </c>
      <c r="D4518" s="14" t="s">
        <v>6603</v>
      </c>
      <c r="E4518" s="12" t="s">
        <v>28</v>
      </c>
      <c r="F4518" s="13" t="s">
        <v>29</v>
      </c>
      <c r="G4518">
        <v>1</v>
      </c>
      <c r="H4518" t="s">
        <v>30</v>
      </c>
      <c r="I4518">
        <v>1</v>
      </c>
      <c r="J4518" s="15"/>
      <c r="K4518" s="16">
        <f>IF($E$1&gt;=$Q$1%,1448.97-(1448.97*$Q$1%),1448.97-(1448.97*$E$1))</f>
        <v>1448.97</v>
      </c>
      <c r="L4518" s="16">
        <f>IF($E$1&gt;=$Q$1%,1187.68-(1187.68*$Q$1%),1187.68-(1187.68*$E$1))</f>
        <v>1187.68</v>
      </c>
      <c r="M4518" s="1">
        <v>1448.97</v>
      </c>
      <c r="N4518" s="1">
        <v>1187.68</v>
      </c>
      <c r="O4518" s="1">
        <v>1448.97</v>
      </c>
      <c r="P4518" s="1">
        <v>1187.68</v>
      </c>
      <c r="Q4518">
        <v>0.10199999999999999</v>
      </c>
      <c r="R4518">
        <v>1.0870000000000001E-3</v>
      </c>
    </row>
    <row r="4519" spans="1:18" ht="13.8" outlineLevel="2" x14ac:dyDescent="0.25">
      <c r="A4519">
        <v>87282</v>
      </c>
      <c r="B4519" t="s">
        <v>6601</v>
      </c>
      <c r="C4519" t="s">
        <v>6604</v>
      </c>
      <c r="D4519" s="14" t="s">
        <v>6605</v>
      </c>
      <c r="E4519" s="12" t="s">
        <v>28</v>
      </c>
      <c r="F4519" s="13" t="s">
        <v>29</v>
      </c>
      <c r="G4519">
        <v>1</v>
      </c>
      <c r="H4519" t="s">
        <v>30</v>
      </c>
      <c r="I4519">
        <v>1</v>
      </c>
      <c r="J4519" s="15"/>
      <c r="K4519" s="16">
        <f>IF($E$1&gt;=$Q$1%,3464.19-(3464.19*$Q$1%),3464.19-(3464.19*$E$1))</f>
        <v>3464.19</v>
      </c>
      <c r="L4519" s="16">
        <f>IF($E$1&gt;=$Q$1%,2839.5-(2839.5*$Q$1%),2839.5-(2839.5*$E$1))</f>
        <v>2839.5</v>
      </c>
      <c r="M4519" s="1">
        <v>3464.19</v>
      </c>
      <c r="N4519" s="1">
        <v>2839.5</v>
      </c>
      <c r="O4519" s="1">
        <v>3464.19</v>
      </c>
      <c r="P4519" s="1">
        <v>2839.5</v>
      </c>
      <c r="Q4519">
        <v>0.27200000000000002</v>
      </c>
      <c r="R4519">
        <v>1.32E-3</v>
      </c>
    </row>
    <row r="4520" spans="1:18" ht="13.8" outlineLevel="2" x14ac:dyDescent="0.25">
      <c r="A4520">
        <v>101565</v>
      </c>
      <c r="B4520" t="s">
        <v>6606</v>
      </c>
      <c r="C4520" t="s">
        <v>6607</v>
      </c>
      <c r="D4520" s="14" t="s">
        <v>6608</v>
      </c>
      <c r="E4520" s="12" t="s">
        <v>28</v>
      </c>
      <c r="F4520" s="13" t="s">
        <v>29</v>
      </c>
      <c r="G4520">
        <v>1</v>
      </c>
      <c r="H4520" t="s">
        <v>30</v>
      </c>
      <c r="I4520">
        <v>1</v>
      </c>
      <c r="J4520" s="15"/>
      <c r="K4520" s="16">
        <f>IF($E$1&gt;=$Q$1%,38309.39-(38309.39*$Q$1%),38309.39-(38309.39*$E$1))</f>
        <v>38309.39</v>
      </c>
      <c r="L4520" s="16">
        <f>IF($E$1&gt;=$Q$1%,31401.14-(31401.14*$Q$1%),31401.14-(31401.14*$E$1))</f>
        <v>31401.14</v>
      </c>
      <c r="M4520" s="1">
        <v>38309.39</v>
      </c>
      <c r="N4520" s="1">
        <v>31401.14</v>
      </c>
      <c r="O4520" s="1">
        <v>38309.39</v>
      </c>
      <c r="P4520" s="1">
        <v>31401.14</v>
      </c>
      <c r="Q4520">
        <v>0.18</v>
      </c>
      <c r="R4520">
        <v>6.7000000000000002E-4</v>
      </c>
    </row>
    <row r="4521" spans="1:18" ht="13.8" outlineLevel="2" x14ac:dyDescent="0.25">
      <c r="A4521">
        <v>101566</v>
      </c>
      <c r="B4521" t="s">
        <v>6609</v>
      </c>
      <c r="C4521" t="s">
        <v>6610</v>
      </c>
      <c r="D4521" s="14" t="s">
        <v>6611</v>
      </c>
      <c r="E4521" s="12" t="s">
        <v>28</v>
      </c>
      <c r="F4521" s="18" t="s">
        <v>1467</v>
      </c>
      <c r="G4521">
        <v>1</v>
      </c>
      <c r="H4521" t="s">
        <v>30</v>
      </c>
      <c r="I4521">
        <v>1</v>
      </c>
      <c r="J4521" s="15"/>
      <c r="K4521" s="16">
        <f>IF($E$1&gt;=$Q$1%,12269.49-(12269.49*$Q$1%),12269.49-(12269.49*$E$1))</f>
        <v>12269.49</v>
      </c>
      <c r="L4521" s="16">
        <f>IF($E$1&gt;=$Q$1%,10056.96-(10056.96*$Q$1%),10056.96-(10056.96*$E$1))</f>
        <v>10056.959999999999</v>
      </c>
      <c r="M4521" s="1">
        <v>12269.49</v>
      </c>
      <c r="N4521" s="1">
        <v>10056.959999999999</v>
      </c>
      <c r="O4521" s="1">
        <v>12269.49</v>
      </c>
      <c r="P4521" s="1">
        <v>10056.959999999999</v>
      </c>
      <c r="Q4521">
        <v>0.66</v>
      </c>
      <c r="R4521">
        <v>2.9399999999999999E-3</v>
      </c>
    </row>
    <row r="4522" spans="1:18" ht="16.5" customHeight="1" outlineLevel="1" x14ac:dyDescent="0.35">
      <c r="A4522" s="9"/>
      <c r="B4522" s="10" t="s">
        <v>6612</v>
      </c>
      <c r="C4522" s="10"/>
      <c r="D4522" s="10"/>
      <c r="E4522" s="10"/>
      <c r="F4522" s="10"/>
      <c r="G4522" s="10"/>
      <c r="H4522" s="10"/>
      <c r="I4522" s="10"/>
      <c r="J4522" s="10"/>
      <c r="K4522" s="10"/>
      <c r="L4522" s="10"/>
      <c r="M4522" s="10"/>
      <c r="N4522" s="10"/>
      <c r="O4522" s="10"/>
      <c r="P4522" s="10"/>
      <c r="Q4522" s="10"/>
      <c r="R4522" s="11"/>
    </row>
    <row r="4523" spans="1:18" ht="13.8" outlineLevel="2" x14ac:dyDescent="0.25">
      <c r="A4523">
        <v>89656</v>
      </c>
      <c r="B4523" t="s">
        <v>6613</v>
      </c>
      <c r="C4523" t="s">
        <v>6614</v>
      </c>
      <c r="D4523" s="14" t="s">
        <v>6615</v>
      </c>
      <c r="E4523" s="12" t="s">
        <v>28</v>
      </c>
      <c r="F4523" s="13" t="s">
        <v>29</v>
      </c>
      <c r="G4523">
        <v>1</v>
      </c>
      <c r="H4523" t="s">
        <v>30</v>
      </c>
      <c r="I4523">
        <v>1</v>
      </c>
      <c r="J4523" s="15"/>
      <c r="K4523" s="16">
        <f>619.76 - (619.76 * $E$1)</f>
        <v>619.76</v>
      </c>
      <c r="L4523" s="16">
        <f>508 - (508 * $E$1)</f>
        <v>508</v>
      </c>
      <c r="M4523" s="1">
        <v>619.76</v>
      </c>
      <c r="N4523" s="1">
        <v>508</v>
      </c>
      <c r="O4523" s="1">
        <v>526.79999999999995</v>
      </c>
      <c r="P4523" s="1">
        <v>431.8</v>
      </c>
      <c r="Q4523">
        <v>0.08</v>
      </c>
      <c r="R4523">
        <v>5.5099999999999995E-4</v>
      </c>
    </row>
    <row r="4524" spans="1:18" ht="13.8" outlineLevel="2" x14ac:dyDescent="0.25">
      <c r="A4524">
        <v>91914</v>
      </c>
      <c r="B4524" t="s">
        <v>6613</v>
      </c>
      <c r="C4524" t="s">
        <v>6616</v>
      </c>
      <c r="D4524" s="14" t="s">
        <v>6617</v>
      </c>
      <c r="E4524" s="12" t="s">
        <v>28</v>
      </c>
      <c r="F4524" s="13" t="s">
        <v>29</v>
      </c>
      <c r="G4524">
        <v>1</v>
      </c>
      <c r="H4524" t="s">
        <v>30</v>
      </c>
      <c r="I4524">
        <v>1</v>
      </c>
      <c r="J4524" s="15"/>
      <c r="K4524" s="16">
        <f>893.96 - (893.96 * $E$1)</f>
        <v>893.96</v>
      </c>
      <c r="L4524" s="16">
        <f>732.75 - (732.75 * $E$1)</f>
        <v>732.75</v>
      </c>
      <c r="M4524" s="1">
        <v>893.96</v>
      </c>
      <c r="N4524" s="1">
        <v>732.75</v>
      </c>
      <c r="O4524" s="1">
        <v>759.86</v>
      </c>
      <c r="P4524" s="1">
        <v>622.84</v>
      </c>
      <c r="Q4524">
        <v>0.08</v>
      </c>
      <c r="R4524">
        <v>5.5099999999999995E-4</v>
      </c>
    </row>
    <row r="4525" spans="1:18" ht="13.8" outlineLevel="2" x14ac:dyDescent="0.25">
      <c r="A4525">
        <v>91915</v>
      </c>
      <c r="B4525" t="s">
        <v>6613</v>
      </c>
      <c r="C4525" t="s">
        <v>6618</v>
      </c>
      <c r="D4525" s="14" t="s">
        <v>6619</v>
      </c>
      <c r="E4525" s="12" t="s">
        <v>28</v>
      </c>
      <c r="F4525" s="13" t="s">
        <v>29</v>
      </c>
      <c r="G4525">
        <v>1</v>
      </c>
      <c r="H4525" t="s">
        <v>30</v>
      </c>
      <c r="I4525">
        <v>1</v>
      </c>
      <c r="J4525" s="15"/>
      <c r="K4525" s="16">
        <f>482.92 - (482.92 * $E$1)</f>
        <v>482.92</v>
      </c>
      <c r="L4525" s="16">
        <f>395.84 - (395.84 * $E$1)</f>
        <v>395.84</v>
      </c>
      <c r="M4525" s="1">
        <v>482.92</v>
      </c>
      <c r="N4525" s="1">
        <v>395.84</v>
      </c>
      <c r="O4525" s="1">
        <v>410.49</v>
      </c>
      <c r="P4525" s="1">
        <v>336.46</v>
      </c>
      <c r="Q4525">
        <v>0.09</v>
      </c>
      <c r="R4525">
        <v>6.3000000000000003E-4</v>
      </c>
    </row>
    <row r="4526" spans="1:18" ht="13.8" outlineLevel="2" x14ac:dyDescent="0.25">
      <c r="A4526">
        <v>79139</v>
      </c>
      <c r="B4526" t="s">
        <v>6620</v>
      </c>
      <c r="C4526" t="s">
        <v>6621</v>
      </c>
      <c r="D4526" s="14" t="s">
        <v>6622</v>
      </c>
      <c r="E4526" s="12" t="s">
        <v>28</v>
      </c>
      <c r="F4526" s="13" t="s">
        <v>29</v>
      </c>
      <c r="G4526">
        <v>1</v>
      </c>
      <c r="H4526" t="s">
        <v>30</v>
      </c>
      <c r="I4526">
        <v>1</v>
      </c>
      <c r="J4526" s="15"/>
      <c r="K4526" s="16">
        <f>451.06 - (451.06 * $E$1)</f>
        <v>451.06</v>
      </c>
      <c r="L4526" s="16">
        <f>369.72 - (369.72 * $E$1)</f>
        <v>369.72</v>
      </c>
      <c r="M4526" s="1">
        <v>451.06</v>
      </c>
      <c r="N4526" s="1">
        <v>369.72</v>
      </c>
      <c r="O4526" s="1">
        <v>383.4</v>
      </c>
      <c r="P4526" s="1">
        <v>314.26</v>
      </c>
      <c r="Q4526">
        <v>6.2E-2</v>
      </c>
      <c r="R4526">
        <v>4.4099999999999999E-4</v>
      </c>
    </row>
    <row r="4527" spans="1:18" ht="13.8" outlineLevel="2" x14ac:dyDescent="0.25">
      <c r="A4527">
        <v>80750</v>
      </c>
      <c r="B4527" t="s">
        <v>6620</v>
      </c>
      <c r="C4527" t="s">
        <v>6623</v>
      </c>
      <c r="D4527" s="14" t="s">
        <v>6624</v>
      </c>
      <c r="E4527" s="12" t="s">
        <v>28</v>
      </c>
      <c r="F4527" s="13" t="s">
        <v>29</v>
      </c>
      <c r="G4527">
        <v>1</v>
      </c>
      <c r="H4527" t="s">
        <v>30</v>
      </c>
      <c r="I4527">
        <v>1</v>
      </c>
      <c r="J4527" s="15"/>
      <c r="K4527" s="16">
        <f>1095.15 - (1095.15 * $E$1)</f>
        <v>1095.1500000000001</v>
      </c>
      <c r="L4527" s="16">
        <f>897.66 - (897.66 * $E$1)</f>
        <v>897.66</v>
      </c>
      <c r="M4527" s="1">
        <v>1095.1500000000001</v>
      </c>
      <c r="N4527" s="1">
        <v>897.66</v>
      </c>
      <c r="O4527" s="1">
        <v>930.87</v>
      </c>
      <c r="P4527" s="1">
        <v>763.01</v>
      </c>
      <c r="Q4527">
        <v>0.112</v>
      </c>
      <c r="R4527">
        <v>5.7600000000000001E-4</v>
      </c>
    </row>
    <row r="4528" spans="1:18" ht="13.8" outlineLevel="2" x14ac:dyDescent="0.25">
      <c r="A4528">
        <v>80752</v>
      </c>
      <c r="B4528" t="s">
        <v>6625</v>
      </c>
      <c r="C4528" t="s">
        <v>6626</v>
      </c>
      <c r="D4528" s="14" t="s">
        <v>6627</v>
      </c>
      <c r="E4528" s="12" t="s">
        <v>28</v>
      </c>
      <c r="F4528" s="13" t="s">
        <v>29</v>
      </c>
      <c r="G4528">
        <v>1</v>
      </c>
      <c r="H4528" t="s">
        <v>30</v>
      </c>
      <c r="I4528">
        <v>1</v>
      </c>
      <c r="J4528" s="15"/>
      <c r="K4528" s="16">
        <f>1093.21 - (1093.21 * $E$1)</f>
        <v>1093.21</v>
      </c>
      <c r="L4528" s="16">
        <f>896.07 - (896.07 * $E$1)</f>
        <v>896.07</v>
      </c>
      <c r="M4528" s="1">
        <v>1093.21</v>
      </c>
      <c r="N4528" s="1">
        <v>896.07</v>
      </c>
      <c r="O4528" s="1">
        <v>929.22</v>
      </c>
      <c r="P4528" s="1">
        <v>761.66</v>
      </c>
      <c r="Q4528">
        <v>3.2000000000000001E-2</v>
      </c>
      <c r="R4528">
        <v>1.65E-4</v>
      </c>
    </row>
    <row r="4529" spans="1:18" ht="13.8" outlineLevel="2" x14ac:dyDescent="0.25">
      <c r="A4529">
        <v>91913</v>
      </c>
      <c r="B4529" t="s">
        <v>6628</v>
      </c>
      <c r="C4529" t="s">
        <v>6629</v>
      </c>
      <c r="D4529" s="14" t="s">
        <v>6630</v>
      </c>
      <c r="E4529" s="12" t="s">
        <v>28</v>
      </c>
      <c r="F4529" s="13" t="s">
        <v>29</v>
      </c>
      <c r="G4529">
        <v>1</v>
      </c>
      <c r="H4529" t="s">
        <v>30</v>
      </c>
      <c r="I4529">
        <v>1</v>
      </c>
      <c r="J4529" s="15"/>
      <c r="K4529" s="16">
        <f>1082.52 - (1082.52 * $E$1)</f>
        <v>1082.52</v>
      </c>
      <c r="L4529" s="16">
        <f>887.31 - (887.31 * $E$1)</f>
        <v>887.31</v>
      </c>
      <c r="M4529" s="1">
        <v>1082.52</v>
      </c>
      <c r="N4529" s="1">
        <v>887.31</v>
      </c>
      <c r="O4529" s="1">
        <v>920.14</v>
      </c>
      <c r="P4529" s="1">
        <v>754.21</v>
      </c>
      <c r="Q4529">
        <v>7.0000000000000007E-2</v>
      </c>
      <c r="R4529">
        <v>5.5099999999999995E-4</v>
      </c>
    </row>
    <row r="4530" spans="1:18" ht="16.5" customHeight="1" outlineLevel="1" x14ac:dyDescent="0.35">
      <c r="A4530" s="9"/>
      <c r="B4530" s="10" t="s">
        <v>6631</v>
      </c>
      <c r="C4530" s="10"/>
      <c r="D4530" s="10"/>
      <c r="E4530" s="10"/>
      <c r="F4530" s="10"/>
      <c r="G4530" s="10"/>
      <c r="H4530" s="10"/>
      <c r="I4530" s="10"/>
      <c r="J4530" s="10"/>
      <c r="K4530" s="10"/>
      <c r="L4530" s="10"/>
      <c r="M4530" s="10"/>
      <c r="N4530" s="10"/>
      <c r="O4530" s="10"/>
      <c r="P4530" s="10"/>
      <c r="Q4530" s="10"/>
      <c r="R4530" s="11"/>
    </row>
    <row r="4531" spans="1:18" ht="13.8" outlineLevel="2" x14ac:dyDescent="0.25">
      <c r="A4531">
        <v>87578</v>
      </c>
      <c r="B4531" t="s">
        <v>6632</v>
      </c>
      <c r="C4531" t="s">
        <v>6633</v>
      </c>
      <c r="D4531" s="14" t="s">
        <v>6634</v>
      </c>
      <c r="E4531" s="12" t="s">
        <v>28</v>
      </c>
      <c r="F4531" s="13" t="s">
        <v>29</v>
      </c>
      <c r="G4531">
        <v>1</v>
      </c>
      <c r="H4531" t="s">
        <v>30</v>
      </c>
      <c r="I4531">
        <v>1</v>
      </c>
      <c r="J4531" s="15"/>
      <c r="K4531" s="16">
        <f>IF($E$1&gt;=$Q$1%,729.01-(729.01*$Q$1%),729.01-(729.01*$E$1))</f>
        <v>729.01</v>
      </c>
      <c r="L4531" s="16">
        <f>IF($E$1&gt;=$Q$1%,597.55-(597.55*$Q$1%),597.55-(597.55*$E$1))</f>
        <v>597.54999999999995</v>
      </c>
      <c r="M4531" s="1">
        <v>729.01</v>
      </c>
      <c r="N4531" s="1">
        <v>597.54999999999995</v>
      </c>
      <c r="O4531" s="1">
        <v>729.01</v>
      </c>
      <c r="P4531" s="1">
        <v>597.54999999999995</v>
      </c>
      <c r="Q4531">
        <v>0.47599999999999998</v>
      </c>
      <c r="R4531">
        <v>9.3000000000000005E-4</v>
      </c>
    </row>
    <row r="4532" spans="1:18" ht="33.75" customHeight="1" x14ac:dyDescent="0.35">
      <c r="A4532" s="9"/>
      <c r="B4532" s="10" t="s">
        <v>6635</v>
      </c>
      <c r="C4532" s="10"/>
      <c r="D4532" s="10"/>
      <c r="E4532" s="10"/>
      <c r="F4532" s="10"/>
      <c r="G4532" s="10"/>
      <c r="H4532" s="10"/>
      <c r="I4532" s="10"/>
      <c r="J4532" s="10"/>
      <c r="K4532" s="10"/>
      <c r="L4532" s="10"/>
      <c r="M4532" s="10"/>
      <c r="N4532" s="10"/>
      <c r="O4532" s="10"/>
      <c r="P4532" s="10"/>
      <c r="Q4532" s="10"/>
      <c r="R4532" s="11"/>
    </row>
    <row r="4533" spans="1:18" ht="16.5" customHeight="1" outlineLevel="1" x14ac:dyDescent="0.35">
      <c r="A4533" s="9"/>
      <c r="B4533" s="10" t="s">
        <v>6636</v>
      </c>
      <c r="C4533" s="10"/>
      <c r="D4533" s="10"/>
      <c r="E4533" s="10"/>
      <c r="F4533" s="10"/>
      <c r="G4533" s="10"/>
      <c r="H4533" s="10"/>
      <c r="I4533" s="10"/>
      <c r="J4533" s="10"/>
      <c r="K4533" s="10"/>
      <c r="L4533" s="10"/>
      <c r="M4533" s="10"/>
      <c r="N4533" s="10"/>
      <c r="O4533" s="10"/>
      <c r="P4533" s="10"/>
      <c r="Q4533" s="10"/>
      <c r="R4533" s="11"/>
    </row>
    <row r="4534" spans="1:18" ht="13.8" outlineLevel="2" x14ac:dyDescent="0.25">
      <c r="A4534">
        <v>49391</v>
      </c>
      <c r="B4534" t="s">
        <v>6637</v>
      </c>
      <c r="C4534" t="s">
        <v>6638</v>
      </c>
      <c r="D4534" s="14" t="s">
        <v>6639</v>
      </c>
      <c r="E4534" s="12" t="s">
        <v>28</v>
      </c>
      <c r="F4534" s="13" t="s">
        <v>29</v>
      </c>
      <c r="G4534">
        <v>1</v>
      </c>
      <c r="H4534" t="s">
        <v>420</v>
      </c>
      <c r="I4534">
        <v>1</v>
      </c>
      <c r="J4534" s="15"/>
      <c r="K4534" s="16">
        <f>50.43 - (50.43 * $E$1)</f>
        <v>50.43</v>
      </c>
      <c r="L4534" s="16">
        <f>41.34 - (41.34 * $E$1)</f>
        <v>41.34</v>
      </c>
      <c r="M4534" s="1">
        <v>50.43</v>
      </c>
      <c r="N4534" s="1">
        <v>41.34</v>
      </c>
      <c r="O4534" s="1">
        <v>42.87</v>
      </c>
      <c r="P4534" s="1">
        <v>35.14</v>
      </c>
      <c r="Q4534">
        <v>0.03</v>
      </c>
      <c r="R4534">
        <v>9.6000000000000002E-5</v>
      </c>
    </row>
    <row r="4535" spans="1:18" ht="13.8" outlineLevel="2" x14ac:dyDescent="0.25">
      <c r="A4535">
        <v>49392</v>
      </c>
      <c r="B4535" t="s">
        <v>6637</v>
      </c>
      <c r="C4535" t="s">
        <v>6640</v>
      </c>
      <c r="D4535" s="14" t="s">
        <v>6639</v>
      </c>
      <c r="E4535" s="12" t="s">
        <v>28</v>
      </c>
      <c r="F4535" s="13" t="s">
        <v>29</v>
      </c>
      <c r="G4535">
        <v>1</v>
      </c>
      <c r="H4535" t="s">
        <v>420</v>
      </c>
      <c r="I4535">
        <v>1</v>
      </c>
      <c r="J4535" s="15"/>
      <c r="K4535" s="16">
        <f>57.95 - (57.95 * $E$1)</f>
        <v>57.95</v>
      </c>
      <c r="L4535" s="16">
        <f>47.5 - (47.5 * $E$1)</f>
        <v>47.5</v>
      </c>
      <c r="M4535" s="1">
        <v>57.95</v>
      </c>
      <c r="N4535" s="1">
        <v>47.5</v>
      </c>
      <c r="O4535" s="1">
        <v>49.26</v>
      </c>
      <c r="P4535" s="1">
        <v>40.380000000000003</v>
      </c>
      <c r="Q4535">
        <v>0.04</v>
      </c>
      <c r="R4535">
        <v>1E-4</v>
      </c>
    </row>
    <row r="4536" spans="1:18" ht="13.8" outlineLevel="2" x14ac:dyDescent="0.25">
      <c r="A4536">
        <v>49393</v>
      </c>
      <c r="B4536" t="s">
        <v>6637</v>
      </c>
      <c r="C4536" t="s">
        <v>6641</v>
      </c>
      <c r="D4536" s="14" t="s">
        <v>6639</v>
      </c>
      <c r="E4536" s="12" t="s">
        <v>28</v>
      </c>
      <c r="F4536" s="13" t="s">
        <v>29</v>
      </c>
      <c r="G4536">
        <v>1</v>
      </c>
      <c r="H4536" t="s">
        <v>420</v>
      </c>
      <c r="I4536">
        <v>1</v>
      </c>
      <c r="J4536" s="15"/>
      <c r="K4536" s="16">
        <f>71.98 - (71.98 * $E$1)</f>
        <v>71.98</v>
      </c>
      <c r="L4536" s="16">
        <f>59 - (59 * $E$1)</f>
        <v>59</v>
      </c>
      <c r="M4536" s="1">
        <v>71.98</v>
      </c>
      <c r="N4536" s="1">
        <v>59</v>
      </c>
      <c r="O4536" s="1">
        <v>61.18</v>
      </c>
      <c r="P4536" s="1">
        <v>50.15</v>
      </c>
      <c r="Q4536">
        <v>0.04</v>
      </c>
      <c r="R4536">
        <v>1.3999999999999999E-4</v>
      </c>
    </row>
    <row r="4537" spans="1:18" ht="13.8" outlineLevel="2" x14ac:dyDescent="0.25">
      <c r="A4537">
        <v>49394</v>
      </c>
      <c r="B4537" t="s">
        <v>6637</v>
      </c>
      <c r="C4537" t="s">
        <v>6642</v>
      </c>
      <c r="D4537" s="14" t="s">
        <v>6639</v>
      </c>
      <c r="E4537" s="12" t="s">
        <v>28</v>
      </c>
      <c r="F4537" s="13" t="s">
        <v>29</v>
      </c>
      <c r="G4537">
        <v>1</v>
      </c>
      <c r="H4537" t="s">
        <v>420</v>
      </c>
      <c r="I4537">
        <v>1</v>
      </c>
      <c r="J4537" s="15"/>
      <c r="K4537" s="16">
        <f>98.86 - (98.86 * $E$1)</f>
        <v>98.86</v>
      </c>
      <c r="L4537" s="16">
        <f>81.03 - (81.03 * $E$1)</f>
        <v>81.03</v>
      </c>
      <c r="M4537" s="1">
        <v>98.86</v>
      </c>
      <c r="N4537" s="1">
        <v>81.03</v>
      </c>
      <c r="O4537" s="1">
        <v>84.03</v>
      </c>
      <c r="P4537" s="1">
        <v>68.88</v>
      </c>
      <c r="Q4537">
        <v>0.05</v>
      </c>
      <c r="R4537">
        <v>2.32E-4</v>
      </c>
    </row>
    <row r="4538" spans="1:18" ht="13.8" outlineLevel="2" x14ac:dyDescent="0.25">
      <c r="A4538">
        <v>89893</v>
      </c>
      <c r="B4538" t="s">
        <v>6637</v>
      </c>
      <c r="C4538" t="s">
        <v>6643</v>
      </c>
      <c r="D4538" s="14" t="s">
        <v>6639</v>
      </c>
      <c r="E4538" s="12" t="s">
        <v>28</v>
      </c>
      <c r="F4538" s="13" t="s">
        <v>29</v>
      </c>
      <c r="G4538">
        <v>1</v>
      </c>
      <c r="H4538" t="s">
        <v>420</v>
      </c>
      <c r="I4538">
        <v>1</v>
      </c>
      <c r="J4538" s="15"/>
      <c r="K4538" s="16">
        <f>156.2 - (156.2 * $E$1)</f>
        <v>156.19999999999999</v>
      </c>
      <c r="L4538" s="16">
        <f>128.03 - (128.03 * $E$1)</f>
        <v>128.03</v>
      </c>
      <c r="M4538" s="1">
        <v>156.19999999999999</v>
      </c>
      <c r="N4538" s="1">
        <v>128.03</v>
      </c>
      <c r="O4538" s="1">
        <v>132.77000000000001</v>
      </c>
      <c r="P4538" s="1">
        <v>108.83</v>
      </c>
      <c r="Q4538">
        <v>9.5000000000000001E-2</v>
      </c>
      <c r="R4538">
        <v>5.0699999999999996E-4</v>
      </c>
    </row>
    <row r="4539" spans="1:18" ht="13.8" outlineLevel="2" x14ac:dyDescent="0.25">
      <c r="A4539">
        <v>89894</v>
      </c>
      <c r="B4539" t="s">
        <v>6637</v>
      </c>
      <c r="C4539" t="s">
        <v>6644</v>
      </c>
      <c r="D4539" s="14" t="s">
        <v>6639</v>
      </c>
      <c r="E4539" s="12" t="s">
        <v>28</v>
      </c>
      <c r="F4539" s="13" t="s">
        <v>29</v>
      </c>
      <c r="G4539">
        <v>1</v>
      </c>
      <c r="H4539" t="s">
        <v>420</v>
      </c>
      <c r="I4539">
        <v>1</v>
      </c>
      <c r="J4539" s="15"/>
      <c r="K4539" s="16">
        <f>85.03 - (85.03 * $E$1)</f>
        <v>85.03</v>
      </c>
      <c r="L4539" s="16">
        <f>69.7 - (69.7 * $E$1)</f>
        <v>69.7</v>
      </c>
      <c r="M4539" s="1">
        <v>85.03</v>
      </c>
      <c r="N4539" s="1">
        <v>69.7</v>
      </c>
      <c r="O4539" s="1">
        <v>72.28</v>
      </c>
      <c r="P4539" s="1">
        <v>59.25</v>
      </c>
      <c r="Q4539">
        <v>9.4E-2</v>
      </c>
      <c r="R4539">
        <v>3.7800000000000003E-4</v>
      </c>
    </row>
    <row r="4540" spans="1:18" ht="13.8" outlineLevel="2" x14ac:dyDescent="0.25">
      <c r="A4540">
        <v>49395</v>
      </c>
      <c r="B4540" t="s">
        <v>6637</v>
      </c>
      <c r="C4540" t="s">
        <v>6645</v>
      </c>
      <c r="D4540" s="14" t="s">
        <v>6639</v>
      </c>
      <c r="E4540" s="12" t="s">
        <v>28</v>
      </c>
      <c r="F4540" s="13" t="s">
        <v>29</v>
      </c>
      <c r="G4540">
        <v>1</v>
      </c>
      <c r="H4540" t="s">
        <v>420</v>
      </c>
      <c r="I4540">
        <v>1</v>
      </c>
      <c r="J4540" s="15"/>
      <c r="K4540" s="16">
        <f>112.39 - (112.39 * $E$1)</f>
        <v>112.39</v>
      </c>
      <c r="L4540" s="16">
        <f>92.12 - (92.12 * $E$1)</f>
        <v>92.12</v>
      </c>
      <c r="M4540" s="1">
        <v>112.39</v>
      </c>
      <c r="N4540" s="1">
        <v>92.12</v>
      </c>
      <c r="O4540" s="1">
        <v>95.53</v>
      </c>
      <c r="P4540" s="1">
        <v>78.3</v>
      </c>
      <c r="Q4540">
        <v>7.0000000000000007E-2</v>
      </c>
      <c r="R4540">
        <v>3.4000000000000002E-4</v>
      </c>
    </row>
    <row r="4541" spans="1:18" ht="13.8" outlineLevel="2" x14ac:dyDescent="0.25">
      <c r="A4541">
        <v>49397</v>
      </c>
      <c r="B4541" t="s">
        <v>6637</v>
      </c>
      <c r="C4541" t="s">
        <v>6646</v>
      </c>
      <c r="D4541" s="14" t="s">
        <v>6639</v>
      </c>
      <c r="E4541" s="12" t="s">
        <v>28</v>
      </c>
      <c r="F4541" s="13" t="s">
        <v>29</v>
      </c>
      <c r="G4541">
        <v>1</v>
      </c>
      <c r="H4541" t="s">
        <v>420</v>
      </c>
      <c r="I4541">
        <v>1</v>
      </c>
      <c r="J4541" s="15"/>
      <c r="K4541" s="16">
        <f>156.47 - (156.47 * $E$1)</f>
        <v>156.47</v>
      </c>
      <c r="L4541" s="16">
        <f>128.25 - (128.25 * $E$1)</f>
        <v>128.25</v>
      </c>
      <c r="M4541" s="1">
        <v>156.47</v>
      </c>
      <c r="N4541" s="1">
        <v>128.25</v>
      </c>
      <c r="O4541" s="1">
        <v>133</v>
      </c>
      <c r="P4541" s="1">
        <v>109.01</v>
      </c>
      <c r="Q4541">
        <v>0.09</v>
      </c>
      <c r="R4541">
        <v>4.6200000000000001E-4</v>
      </c>
    </row>
    <row r="4542" spans="1:18" ht="13.8" outlineLevel="2" x14ac:dyDescent="0.25">
      <c r="A4542">
        <v>49398</v>
      </c>
      <c r="B4542" t="s">
        <v>6637</v>
      </c>
      <c r="C4542" t="s">
        <v>6647</v>
      </c>
      <c r="D4542" s="14" t="s">
        <v>6639</v>
      </c>
      <c r="E4542" s="12" t="s">
        <v>28</v>
      </c>
      <c r="F4542" s="13" t="s">
        <v>29</v>
      </c>
      <c r="G4542">
        <v>1</v>
      </c>
      <c r="H4542" t="s">
        <v>420</v>
      </c>
      <c r="I4542">
        <v>1</v>
      </c>
      <c r="J4542" s="15"/>
      <c r="K4542" s="16">
        <f>202.11 - (202.11 * $E$1)</f>
        <v>202.11</v>
      </c>
      <c r="L4542" s="16">
        <f>165.66 - (165.66 * $E$1)</f>
        <v>165.66</v>
      </c>
      <c r="M4542" s="1">
        <v>202.11</v>
      </c>
      <c r="N4542" s="1">
        <v>165.66</v>
      </c>
      <c r="O4542" s="1">
        <v>171.79</v>
      </c>
      <c r="P4542" s="1">
        <v>140.81</v>
      </c>
      <c r="Q4542">
        <v>0.11</v>
      </c>
      <c r="R4542">
        <v>5.5999999999999995E-4</v>
      </c>
    </row>
    <row r="4543" spans="1:18" ht="13.8" outlineLevel="2" x14ac:dyDescent="0.25">
      <c r="A4543">
        <v>49399</v>
      </c>
      <c r="B4543" t="s">
        <v>6637</v>
      </c>
      <c r="C4543" t="s">
        <v>6648</v>
      </c>
      <c r="D4543" s="14" t="s">
        <v>6639</v>
      </c>
      <c r="E4543" s="12" t="s">
        <v>28</v>
      </c>
      <c r="F4543" s="13" t="s">
        <v>29</v>
      </c>
      <c r="G4543">
        <v>1</v>
      </c>
      <c r="H4543" t="s">
        <v>420</v>
      </c>
      <c r="I4543">
        <v>1</v>
      </c>
      <c r="J4543" s="15"/>
      <c r="K4543" s="16">
        <f>235.75 - (235.75 * $E$1)</f>
        <v>235.75</v>
      </c>
      <c r="L4543" s="16">
        <f>193.24 - (193.24 * $E$1)</f>
        <v>193.24</v>
      </c>
      <c r="M4543" s="1">
        <v>235.75</v>
      </c>
      <c r="N4543" s="1">
        <v>193.24</v>
      </c>
      <c r="O4543" s="1">
        <v>200.39</v>
      </c>
      <c r="P4543" s="1">
        <v>164.25</v>
      </c>
      <c r="Q4543">
        <v>0.14000000000000001</v>
      </c>
      <c r="R4543">
        <v>6.4000000000000005E-4</v>
      </c>
    </row>
    <row r="4544" spans="1:18" ht="13.8" outlineLevel="2" x14ac:dyDescent="0.25">
      <c r="A4544">
        <v>49400</v>
      </c>
      <c r="B4544" t="s">
        <v>6637</v>
      </c>
      <c r="C4544" t="s">
        <v>6649</v>
      </c>
      <c r="D4544" s="14" t="s">
        <v>6639</v>
      </c>
      <c r="E4544" s="12" t="s">
        <v>28</v>
      </c>
      <c r="F4544" s="13" t="s">
        <v>29</v>
      </c>
      <c r="G4544">
        <v>1</v>
      </c>
      <c r="H4544" t="s">
        <v>420</v>
      </c>
      <c r="I4544">
        <v>1</v>
      </c>
      <c r="J4544" s="15"/>
      <c r="K4544" s="16">
        <f>291.02 - (291.02 * $E$1)</f>
        <v>291.02</v>
      </c>
      <c r="L4544" s="16">
        <f>238.54 - (238.54 * $E$1)</f>
        <v>238.54</v>
      </c>
      <c r="M4544" s="1">
        <v>291.02</v>
      </c>
      <c r="N4544" s="1">
        <v>238.54</v>
      </c>
      <c r="O4544" s="1">
        <v>247.37</v>
      </c>
      <c r="P4544" s="1">
        <v>202.76</v>
      </c>
      <c r="Q4544">
        <v>0.16</v>
      </c>
      <c r="R4544">
        <v>9.1100000000000003E-4</v>
      </c>
    </row>
    <row r="4545" spans="1:18" ht="13.8" outlineLevel="2" x14ac:dyDescent="0.25">
      <c r="A4545">
        <v>89895</v>
      </c>
      <c r="B4545" t="s">
        <v>6637</v>
      </c>
      <c r="C4545" t="s">
        <v>6650</v>
      </c>
      <c r="D4545" s="14" t="s">
        <v>6639</v>
      </c>
      <c r="E4545" s="12" t="s">
        <v>28</v>
      </c>
      <c r="F4545" s="13" t="s">
        <v>29</v>
      </c>
      <c r="G4545">
        <v>1</v>
      </c>
      <c r="H4545" t="s">
        <v>420</v>
      </c>
      <c r="I4545">
        <v>1</v>
      </c>
      <c r="J4545" s="15"/>
      <c r="K4545" s="16">
        <f>172 - (172 * $E$1)</f>
        <v>172</v>
      </c>
      <c r="L4545" s="16">
        <f>140.98 - (140.98 * $E$1)</f>
        <v>140.97999999999999</v>
      </c>
      <c r="M4545" s="1">
        <v>172</v>
      </c>
      <c r="N4545" s="1">
        <v>140.97999999999999</v>
      </c>
      <c r="O4545" s="1">
        <v>146.19999999999999</v>
      </c>
      <c r="P4545" s="1">
        <v>119.83</v>
      </c>
      <c r="Q4545">
        <v>0.1</v>
      </c>
      <c r="R4545">
        <v>7.2000000000000005E-4</v>
      </c>
    </row>
    <row r="4546" spans="1:18" ht="13.8" outlineLevel="2" x14ac:dyDescent="0.25">
      <c r="A4546">
        <v>49401</v>
      </c>
      <c r="B4546" t="s">
        <v>6637</v>
      </c>
      <c r="C4546" t="s">
        <v>6651</v>
      </c>
      <c r="D4546" s="14" t="s">
        <v>6639</v>
      </c>
      <c r="E4546" s="12" t="s">
        <v>28</v>
      </c>
      <c r="F4546" s="13" t="s">
        <v>29</v>
      </c>
      <c r="G4546">
        <v>1</v>
      </c>
      <c r="H4546" t="s">
        <v>420</v>
      </c>
      <c r="I4546">
        <v>1</v>
      </c>
      <c r="J4546" s="15"/>
      <c r="K4546" s="16">
        <f>206.17 - (206.17 * $E$1)</f>
        <v>206.17</v>
      </c>
      <c r="L4546" s="16">
        <f>168.99 - (168.99 * $E$1)</f>
        <v>168.99</v>
      </c>
      <c r="M4546" s="1">
        <v>206.17</v>
      </c>
      <c r="N4546" s="1">
        <v>168.99</v>
      </c>
      <c r="O4546" s="1">
        <v>175.24</v>
      </c>
      <c r="P4546" s="1">
        <v>143.63999999999999</v>
      </c>
      <c r="Q4546">
        <v>0.11</v>
      </c>
      <c r="R4546">
        <v>6.6699999999999995E-4</v>
      </c>
    </row>
    <row r="4547" spans="1:18" ht="13.8" outlineLevel="2" x14ac:dyDescent="0.25">
      <c r="A4547">
        <v>49402</v>
      </c>
      <c r="B4547" t="s">
        <v>6637</v>
      </c>
      <c r="C4547" t="s">
        <v>6652</v>
      </c>
      <c r="D4547" s="14" t="s">
        <v>6639</v>
      </c>
      <c r="E4547" s="12" t="s">
        <v>28</v>
      </c>
      <c r="F4547" s="13" t="s">
        <v>29</v>
      </c>
      <c r="G4547">
        <v>1</v>
      </c>
      <c r="H4547" t="s">
        <v>420</v>
      </c>
      <c r="I4547">
        <v>1</v>
      </c>
      <c r="J4547" s="15"/>
      <c r="K4547" s="16">
        <f>259.38 - (259.38 * $E$1)</f>
        <v>259.38</v>
      </c>
      <c r="L4547" s="16">
        <f>212.61 - (212.61 * $E$1)</f>
        <v>212.61</v>
      </c>
      <c r="M4547" s="1">
        <v>259.38</v>
      </c>
      <c r="N4547" s="1">
        <v>212.61</v>
      </c>
      <c r="O4547" s="1">
        <v>220.48</v>
      </c>
      <c r="P4547" s="1">
        <v>180.72</v>
      </c>
      <c r="Q4547">
        <v>0.15</v>
      </c>
      <c r="R4547">
        <v>8.2200000000000003E-4</v>
      </c>
    </row>
    <row r="4548" spans="1:18" ht="13.8" outlineLevel="2" x14ac:dyDescent="0.25">
      <c r="A4548">
        <v>49404</v>
      </c>
      <c r="B4548" t="s">
        <v>6637</v>
      </c>
      <c r="C4548" t="s">
        <v>6653</v>
      </c>
      <c r="D4548" s="14" t="s">
        <v>6639</v>
      </c>
      <c r="E4548" s="12" t="s">
        <v>28</v>
      </c>
      <c r="F4548" s="13" t="s">
        <v>29</v>
      </c>
      <c r="G4548">
        <v>1</v>
      </c>
      <c r="H4548" t="s">
        <v>420</v>
      </c>
      <c r="I4548">
        <v>1</v>
      </c>
      <c r="J4548" s="15"/>
      <c r="K4548" s="16">
        <f>318.71 - (318.71 * $E$1)</f>
        <v>318.70999999999998</v>
      </c>
      <c r="L4548" s="16">
        <f>261.24 - (261.24 * $E$1)</f>
        <v>261.24</v>
      </c>
      <c r="M4548" s="1">
        <v>318.70999999999998</v>
      </c>
      <c r="N4548" s="1">
        <v>261.24</v>
      </c>
      <c r="O4548" s="1">
        <v>270.91000000000003</v>
      </c>
      <c r="P4548" s="1">
        <v>222.05</v>
      </c>
      <c r="Q4548">
        <v>0.17</v>
      </c>
      <c r="R4548">
        <v>1.176E-3</v>
      </c>
    </row>
    <row r="4549" spans="1:18" ht="13.8" outlineLevel="2" x14ac:dyDescent="0.25">
      <c r="A4549">
        <v>49405</v>
      </c>
      <c r="B4549" t="s">
        <v>6637</v>
      </c>
      <c r="C4549" t="s">
        <v>6654</v>
      </c>
      <c r="D4549" s="14" t="s">
        <v>6639</v>
      </c>
      <c r="E4549" s="12" t="s">
        <v>28</v>
      </c>
      <c r="F4549" s="13" t="s">
        <v>29</v>
      </c>
      <c r="G4549">
        <v>1</v>
      </c>
      <c r="H4549" t="s">
        <v>420</v>
      </c>
      <c r="I4549">
        <v>1</v>
      </c>
      <c r="J4549" s="15"/>
      <c r="K4549" s="16">
        <f>382.93 - (382.93 * $E$1)</f>
        <v>382.93</v>
      </c>
      <c r="L4549" s="16">
        <f>313.88 - (313.88 * $E$1)</f>
        <v>313.88</v>
      </c>
      <c r="M4549" s="1">
        <v>382.93</v>
      </c>
      <c r="N4549" s="1">
        <v>313.88</v>
      </c>
      <c r="O4549" s="1">
        <v>325.49</v>
      </c>
      <c r="P4549" s="1">
        <v>266.8</v>
      </c>
      <c r="Q4549">
        <v>0.22</v>
      </c>
      <c r="R4549">
        <v>1.1659999999999999E-3</v>
      </c>
    </row>
    <row r="4550" spans="1:18" ht="13.8" outlineLevel="2" x14ac:dyDescent="0.25">
      <c r="A4550">
        <v>49787</v>
      </c>
      <c r="B4550" t="s">
        <v>6637</v>
      </c>
      <c r="C4550" t="s">
        <v>6655</v>
      </c>
      <c r="D4550" s="14" t="s">
        <v>6639</v>
      </c>
      <c r="E4550" s="12" t="s">
        <v>28</v>
      </c>
      <c r="F4550" s="13" t="s">
        <v>29</v>
      </c>
      <c r="G4550">
        <v>1</v>
      </c>
      <c r="H4550" t="s">
        <v>420</v>
      </c>
      <c r="I4550">
        <v>1</v>
      </c>
      <c r="J4550" s="15"/>
      <c r="K4550" s="16">
        <f>455.58 - (455.58 * $E$1)</f>
        <v>455.58</v>
      </c>
      <c r="L4550" s="16">
        <f>373.43 - (373.43 * $E$1)</f>
        <v>373.43</v>
      </c>
      <c r="M4550" s="1">
        <v>455.58</v>
      </c>
      <c r="N4550" s="1">
        <v>373.43</v>
      </c>
      <c r="O4550" s="1">
        <v>387.25</v>
      </c>
      <c r="P4550" s="1">
        <v>317.42</v>
      </c>
      <c r="Q4550">
        <v>0.26</v>
      </c>
      <c r="R4550">
        <v>1.307E-3</v>
      </c>
    </row>
    <row r="4551" spans="1:18" ht="13.8" outlineLevel="2" x14ac:dyDescent="0.25">
      <c r="A4551">
        <v>49788</v>
      </c>
      <c r="B4551" t="s">
        <v>6637</v>
      </c>
      <c r="C4551" t="s">
        <v>6656</v>
      </c>
      <c r="D4551" s="14" t="s">
        <v>6639</v>
      </c>
      <c r="E4551" s="12" t="s">
        <v>28</v>
      </c>
      <c r="F4551" s="13" t="s">
        <v>29</v>
      </c>
      <c r="G4551">
        <v>1</v>
      </c>
      <c r="H4551" t="s">
        <v>420</v>
      </c>
      <c r="I4551">
        <v>1</v>
      </c>
      <c r="J4551" s="15"/>
      <c r="K4551" s="16">
        <f>529.27 - (529.27 * $E$1)</f>
        <v>529.27</v>
      </c>
      <c r="L4551" s="16">
        <f>433.83 - (433.83 * $E$1)</f>
        <v>433.83</v>
      </c>
      <c r="M4551" s="1">
        <v>529.27</v>
      </c>
      <c r="N4551" s="1">
        <v>433.83</v>
      </c>
      <c r="O4551" s="1">
        <v>449.88</v>
      </c>
      <c r="P4551" s="1">
        <v>368.76</v>
      </c>
      <c r="Q4551">
        <v>0.3</v>
      </c>
      <c r="R4551">
        <v>1.3799999999999999E-3</v>
      </c>
    </row>
    <row r="4552" spans="1:18" ht="13.8" outlineLevel="2" x14ac:dyDescent="0.25">
      <c r="A4552">
        <v>59155</v>
      </c>
      <c r="B4552" t="s">
        <v>6637</v>
      </c>
      <c r="C4552" t="s">
        <v>6657</v>
      </c>
      <c r="D4552" s="14" t="s">
        <v>6639</v>
      </c>
      <c r="E4552" s="12" t="s">
        <v>28</v>
      </c>
      <c r="F4552" s="13" t="s">
        <v>29</v>
      </c>
      <c r="G4552">
        <v>1</v>
      </c>
      <c r="H4552" t="s">
        <v>420</v>
      </c>
      <c r="I4552">
        <v>1</v>
      </c>
      <c r="J4552" s="15"/>
      <c r="K4552" s="16">
        <f>594.98 - (594.98 * $E$1)</f>
        <v>594.98</v>
      </c>
      <c r="L4552" s="16">
        <f>487.69 - (487.69 * $E$1)</f>
        <v>487.69</v>
      </c>
      <c r="M4552" s="1">
        <v>594.98</v>
      </c>
      <c r="N4552" s="1">
        <v>487.69</v>
      </c>
      <c r="O4552" s="1">
        <v>505.73</v>
      </c>
      <c r="P4552" s="1">
        <v>414.54</v>
      </c>
      <c r="Q4552">
        <v>0.33</v>
      </c>
      <c r="R4552">
        <v>1.9480000000000001E-3</v>
      </c>
    </row>
    <row r="4553" spans="1:18" ht="13.8" outlineLevel="2" x14ac:dyDescent="0.25">
      <c r="A4553">
        <v>50007</v>
      </c>
      <c r="B4553" t="s">
        <v>6637</v>
      </c>
      <c r="C4553" t="s">
        <v>6658</v>
      </c>
      <c r="D4553" s="14" t="s">
        <v>6639</v>
      </c>
      <c r="E4553" s="12" t="s">
        <v>28</v>
      </c>
      <c r="F4553" s="13" t="s">
        <v>29</v>
      </c>
      <c r="G4553">
        <v>1</v>
      </c>
      <c r="H4553" t="s">
        <v>420</v>
      </c>
      <c r="I4553">
        <v>1</v>
      </c>
      <c r="J4553" s="15"/>
      <c r="K4553" s="16">
        <f>442.85 - (442.85 * $E$1)</f>
        <v>442.85</v>
      </c>
      <c r="L4553" s="16">
        <f>362.99 - (362.99 * $E$1)</f>
        <v>362.99</v>
      </c>
      <c r="M4553" s="1">
        <v>442.85</v>
      </c>
      <c r="N4553" s="1">
        <v>362.99</v>
      </c>
      <c r="O4553" s="1">
        <v>376.42</v>
      </c>
      <c r="P4553" s="1">
        <v>308.54000000000002</v>
      </c>
      <c r="Q4553">
        <v>0.27</v>
      </c>
      <c r="R4553">
        <v>8.9999999999999998E-4</v>
      </c>
    </row>
    <row r="4554" spans="1:18" ht="13.8" outlineLevel="2" x14ac:dyDescent="0.25">
      <c r="A4554">
        <v>50008</v>
      </c>
      <c r="B4554" t="s">
        <v>6637</v>
      </c>
      <c r="C4554" t="s">
        <v>6659</v>
      </c>
      <c r="D4554" s="14" t="s">
        <v>6639</v>
      </c>
      <c r="E4554" s="12" t="s">
        <v>28</v>
      </c>
      <c r="F4554" s="13" t="s">
        <v>29</v>
      </c>
      <c r="G4554">
        <v>1</v>
      </c>
      <c r="H4554" t="s">
        <v>420</v>
      </c>
      <c r="I4554">
        <v>1</v>
      </c>
      <c r="J4554" s="15"/>
      <c r="K4554" s="16">
        <f>552.22 - (552.22 * $E$1)</f>
        <v>552.22</v>
      </c>
      <c r="L4554" s="16">
        <f>452.64 - (452.64 * $E$1)</f>
        <v>452.64</v>
      </c>
      <c r="M4554" s="1">
        <v>552.22</v>
      </c>
      <c r="N4554" s="1">
        <v>452.64</v>
      </c>
      <c r="O4554" s="1">
        <v>469.39</v>
      </c>
      <c r="P4554" s="1">
        <v>384.74</v>
      </c>
      <c r="Q4554">
        <v>0.32</v>
      </c>
      <c r="R4554">
        <v>8.9999999999999998E-4</v>
      </c>
    </row>
    <row r="4555" spans="1:18" ht="13.8" outlineLevel="2" x14ac:dyDescent="0.25">
      <c r="A4555">
        <v>50009</v>
      </c>
      <c r="B4555" t="s">
        <v>6637</v>
      </c>
      <c r="C4555" t="s">
        <v>6660</v>
      </c>
      <c r="D4555" s="14" t="s">
        <v>6639</v>
      </c>
      <c r="E4555" s="12" t="s">
        <v>28</v>
      </c>
      <c r="F4555" s="13" t="s">
        <v>29</v>
      </c>
      <c r="G4555">
        <v>1</v>
      </c>
      <c r="H4555" t="s">
        <v>420</v>
      </c>
      <c r="I4555">
        <v>1</v>
      </c>
      <c r="J4555" s="15"/>
      <c r="K4555" s="16">
        <f>602.8 - (602.8 * $E$1)</f>
        <v>602.79999999999995</v>
      </c>
      <c r="L4555" s="16">
        <f>494.1 - (494.1 * $E$1)</f>
        <v>494.1</v>
      </c>
      <c r="M4555" s="1">
        <v>602.79999999999995</v>
      </c>
      <c r="N4555" s="1">
        <v>494.1</v>
      </c>
      <c r="O4555" s="1">
        <v>512.38</v>
      </c>
      <c r="P4555" s="1">
        <v>419.99</v>
      </c>
      <c r="Q4555">
        <v>0.37</v>
      </c>
      <c r="R4555">
        <v>1.224E-3</v>
      </c>
    </row>
    <row r="4556" spans="1:18" ht="13.8" outlineLevel="2" x14ac:dyDescent="0.25">
      <c r="A4556">
        <v>50010</v>
      </c>
      <c r="B4556" t="s">
        <v>6637</v>
      </c>
      <c r="C4556" t="s">
        <v>6661</v>
      </c>
      <c r="D4556" s="14" t="s">
        <v>6639</v>
      </c>
      <c r="E4556" s="12" t="s">
        <v>28</v>
      </c>
      <c r="F4556" s="13" t="s">
        <v>29</v>
      </c>
      <c r="G4556">
        <v>1</v>
      </c>
      <c r="H4556" t="s">
        <v>420</v>
      </c>
      <c r="I4556">
        <v>1</v>
      </c>
      <c r="J4556" s="15"/>
      <c r="K4556" s="16">
        <f>756.1 - (756.1 * $E$1)</f>
        <v>756.1</v>
      </c>
      <c r="L4556" s="16">
        <f>619.75 - (619.75 * $E$1)</f>
        <v>619.75</v>
      </c>
      <c r="M4556" s="1">
        <v>756.1</v>
      </c>
      <c r="N4556" s="1">
        <v>619.75</v>
      </c>
      <c r="O4556" s="1">
        <v>642.67999999999995</v>
      </c>
      <c r="P4556" s="1">
        <v>526.79</v>
      </c>
      <c r="Q4556">
        <v>0.41</v>
      </c>
      <c r="R4556">
        <v>2.0799999999999998E-3</v>
      </c>
    </row>
    <row r="4557" spans="1:18" ht="13.8" outlineLevel="2" x14ac:dyDescent="0.25">
      <c r="A4557">
        <v>50011</v>
      </c>
      <c r="B4557" t="s">
        <v>6637</v>
      </c>
      <c r="C4557" t="s">
        <v>6662</v>
      </c>
      <c r="D4557" s="14" t="s">
        <v>6639</v>
      </c>
      <c r="E4557" s="12" t="s">
        <v>28</v>
      </c>
      <c r="F4557" s="13" t="s">
        <v>29</v>
      </c>
      <c r="G4557">
        <v>1</v>
      </c>
      <c r="H4557" t="s">
        <v>420</v>
      </c>
      <c r="I4557">
        <v>1</v>
      </c>
      <c r="J4557" s="15"/>
      <c r="K4557" s="16">
        <f>830.47 - (830.47 * $E$1)</f>
        <v>830.47</v>
      </c>
      <c r="L4557" s="16">
        <f>680.71 - (680.71 * $E$1)</f>
        <v>680.71</v>
      </c>
      <c r="M4557" s="1">
        <v>830.47</v>
      </c>
      <c r="N4557" s="1">
        <v>680.71</v>
      </c>
      <c r="O4557" s="1">
        <v>705.9</v>
      </c>
      <c r="P4557" s="1">
        <v>578.6</v>
      </c>
      <c r="Q4557">
        <v>0.51</v>
      </c>
      <c r="R4557">
        <v>1.4519999999999999E-3</v>
      </c>
    </row>
    <row r="4558" spans="1:18" ht="13.8" outlineLevel="2" x14ac:dyDescent="0.25">
      <c r="A4558">
        <v>50012</v>
      </c>
      <c r="B4558" t="s">
        <v>6637</v>
      </c>
      <c r="C4558" t="s">
        <v>6663</v>
      </c>
      <c r="D4558" s="14" t="s">
        <v>6639</v>
      </c>
      <c r="E4558" s="12" t="s">
        <v>28</v>
      </c>
      <c r="F4558" s="13" t="s">
        <v>29</v>
      </c>
      <c r="G4558">
        <v>1</v>
      </c>
      <c r="H4558" t="s">
        <v>420</v>
      </c>
      <c r="I4558">
        <v>1</v>
      </c>
      <c r="J4558" s="15"/>
      <c r="K4558" s="16">
        <f>910.28 - (910.28 * $E$1)</f>
        <v>910.28</v>
      </c>
      <c r="L4558" s="16">
        <f>746.13 - (746.13 * $E$1)</f>
        <v>746.13</v>
      </c>
      <c r="M4558" s="1">
        <v>910.28</v>
      </c>
      <c r="N4558" s="1">
        <v>746.13</v>
      </c>
      <c r="O4558" s="1">
        <v>773.74</v>
      </c>
      <c r="P4558" s="1">
        <v>634.21</v>
      </c>
      <c r="Q4558">
        <v>0.56000000000000005</v>
      </c>
      <c r="R4558">
        <v>2.3999999999999998E-3</v>
      </c>
    </row>
    <row r="4559" spans="1:18" ht="13.8" outlineLevel="2" x14ac:dyDescent="0.25">
      <c r="A4559">
        <v>50013</v>
      </c>
      <c r="B4559" t="s">
        <v>6637</v>
      </c>
      <c r="C4559" t="s">
        <v>6664</v>
      </c>
      <c r="D4559" s="14" t="s">
        <v>6639</v>
      </c>
      <c r="E4559" s="12" t="s">
        <v>28</v>
      </c>
      <c r="F4559" s="13" t="s">
        <v>29</v>
      </c>
      <c r="G4559">
        <v>1</v>
      </c>
      <c r="H4559" t="s">
        <v>420</v>
      </c>
      <c r="I4559">
        <v>1</v>
      </c>
      <c r="J4559" s="15"/>
      <c r="K4559" s="16">
        <f>1000.53 - (1000.53 * $E$1)</f>
        <v>1000.53</v>
      </c>
      <c r="L4559" s="16">
        <f>820.11 - (820.11 * $E$1)</f>
        <v>820.11</v>
      </c>
      <c r="M4559" s="1">
        <v>1000.53</v>
      </c>
      <c r="N4559" s="1">
        <v>820.11</v>
      </c>
      <c r="O4559" s="1">
        <v>850.45</v>
      </c>
      <c r="P4559" s="1">
        <v>697.09</v>
      </c>
      <c r="Q4559">
        <v>0.66</v>
      </c>
      <c r="R4559">
        <v>4.8799999999999998E-3</v>
      </c>
    </row>
    <row r="4560" spans="1:18" ht="13.8" outlineLevel="2" x14ac:dyDescent="0.25">
      <c r="A4560">
        <v>89896</v>
      </c>
      <c r="B4560" t="s">
        <v>6637</v>
      </c>
      <c r="C4560" t="s">
        <v>6665</v>
      </c>
      <c r="D4560" s="14" t="s">
        <v>6639</v>
      </c>
      <c r="E4560" s="12" t="s">
        <v>28</v>
      </c>
      <c r="F4560" s="13" t="s">
        <v>29</v>
      </c>
      <c r="G4560">
        <v>1</v>
      </c>
      <c r="H4560" t="s">
        <v>420</v>
      </c>
      <c r="I4560">
        <v>1</v>
      </c>
      <c r="J4560" s="15"/>
      <c r="K4560" s="16">
        <f>1483.65 - (1483.65 * $E$1)</f>
        <v>1483.65</v>
      </c>
      <c r="L4560" s="16">
        <f>1216.11 - (1216.11 * $E$1)</f>
        <v>1216.1099999999999</v>
      </c>
      <c r="M4560" s="1">
        <v>1483.65</v>
      </c>
      <c r="N4560" s="1">
        <v>1216.1099999999999</v>
      </c>
      <c r="O4560" s="1">
        <v>1261.1099999999999</v>
      </c>
      <c r="P4560" s="1">
        <v>1033.69</v>
      </c>
      <c r="Q4560">
        <v>0.84</v>
      </c>
      <c r="R4560">
        <v>4.875E-3</v>
      </c>
    </row>
    <row r="4561" spans="1:18" ht="13.8" outlineLevel="2" x14ac:dyDescent="0.25">
      <c r="A4561">
        <v>89897</v>
      </c>
      <c r="B4561" t="s">
        <v>6637</v>
      </c>
      <c r="C4561" t="s">
        <v>6666</v>
      </c>
      <c r="D4561" s="14" t="s">
        <v>6639</v>
      </c>
      <c r="E4561" s="12" t="s">
        <v>28</v>
      </c>
      <c r="F4561" s="13" t="s">
        <v>29</v>
      </c>
      <c r="G4561">
        <v>1</v>
      </c>
      <c r="H4561" t="s">
        <v>420</v>
      </c>
      <c r="I4561">
        <v>1</v>
      </c>
      <c r="J4561" s="15"/>
      <c r="K4561" s="16">
        <f>1781.18 - (1781.18 * $E$1)</f>
        <v>1781.18</v>
      </c>
      <c r="L4561" s="16">
        <f>1459.98 - (1459.98 * $E$1)</f>
        <v>1459.98</v>
      </c>
      <c r="M4561" s="1">
        <v>1781.18</v>
      </c>
      <c r="N4561" s="1">
        <v>1459.98</v>
      </c>
      <c r="O4561" s="1">
        <v>1514</v>
      </c>
      <c r="P4561" s="1">
        <v>1240.98</v>
      </c>
      <c r="Q4561">
        <v>1.05</v>
      </c>
      <c r="R4561">
        <v>5.9249999999999997E-3</v>
      </c>
    </row>
    <row r="4562" spans="1:18" ht="13.8" outlineLevel="2" x14ac:dyDescent="0.25">
      <c r="A4562">
        <v>89898</v>
      </c>
      <c r="B4562" t="s">
        <v>6637</v>
      </c>
      <c r="C4562" t="s">
        <v>6667</v>
      </c>
      <c r="D4562" s="14" t="s">
        <v>6639</v>
      </c>
      <c r="E4562" s="12" t="s">
        <v>28</v>
      </c>
      <c r="F4562" s="13" t="s">
        <v>29</v>
      </c>
      <c r="G4562">
        <v>1</v>
      </c>
      <c r="H4562" t="s">
        <v>420</v>
      </c>
      <c r="I4562">
        <v>1</v>
      </c>
      <c r="J4562" s="15"/>
      <c r="K4562" s="16">
        <f>1349.02 - (1349.02 * $E$1)</f>
        <v>1349.02</v>
      </c>
      <c r="L4562" s="16">
        <f>1105.75 - (1105.75 * $E$1)</f>
        <v>1105.75</v>
      </c>
      <c r="M4562" s="1">
        <v>1349.02</v>
      </c>
      <c r="N4562" s="1">
        <v>1105.75</v>
      </c>
      <c r="O4562" s="1">
        <v>1146.6600000000001</v>
      </c>
      <c r="P4562" s="1">
        <v>939.89</v>
      </c>
      <c r="Q4562">
        <v>0.79</v>
      </c>
      <c r="R4562">
        <v>3.375E-3</v>
      </c>
    </row>
    <row r="4563" spans="1:18" ht="13.8" outlineLevel="2" x14ac:dyDescent="0.25">
      <c r="A4563">
        <v>89899</v>
      </c>
      <c r="B4563" t="s">
        <v>6637</v>
      </c>
      <c r="C4563" t="s">
        <v>6668</v>
      </c>
      <c r="D4563" s="14" t="s">
        <v>6639</v>
      </c>
      <c r="E4563" s="12" t="s">
        <v>28</v>
      </c>
      <c r="F4563" s="13" t="s">
        <v>29</v>
      </c>
      <c r="G4563">
        <v>1</v>
      </c>
      <c r="H4563" t="s">
        <v>420</v>
      </c>
      <c r="I4563">
        <v>1</v>
      </c>
      <c r="J4563" s="15"/>
      <c r="K4563" s="16">
        <f>1582.33 - (1582.33 * $E$1)</f>
        <v>1582.33</v>
      </c>
      <c r="L4563" s="16">
        <f>1296.99 - (1296.99 * $E$1)</f>
        <v>1296.99</v>
      </c>
      <c r="M4563" s="1">
        <v>1582.33</v>
      </c>
      <c r="N4563" s="1">
        <v>1296.99</v>
      </c>
      <c r="O4563" s="1">
        <v>1344.98</v>
      </c>
      <c r="P4563" s="1">
        <v>1102.44</v>
      </c>
      <c r="Q4563">
        <v>0.97</v>
      </c>
      <c r="R4563">
        <v>4.1250000000000002E-3</v>
      </c>
    </row>
    <row r="4564" spans="1:18" ht="13.8" outlineLevel="2" x14ac:dyDescent="0.25">
      <c r="A4564">
        <v>50015</v>
      </c>
      <c r="B4564" t="s">
        <v>6637</v>
      </c>
      <c r="C4564" t="s">
        <v>6669</v>
      </c>
      <c r="D4564" s="14" t="s">
        <v>6639</v>
      </c>
      <c r="E4564" s="12" t="s">
        <v>28</v>
      </c>
      <c r="F4564" s="13" t="s">
        <v>29</v>
      </c>
      <c r="G4564">
        <v>1</v>
      </c>
      <c r="H4564" t="s">
        <v>420</v>
      </c>
      <c r="I4564">
        <v>1</v>
      </c>
      <c r="J4564" s="15"/>
      <c r="K4564" s="16">
        <f>2072.98 - (2072.98 * $E$1)</f>
        <v>2072.98</v>
      </c>
      <c r="L4564" s="16">
        <f>1699.16 - (1699.16 * $E$1)</f>
        <v>1699.16</v>
      </c>
      <c r="M4564" s="1">
        <v>2072.98</v>
      </c>
      <c r="N4564" s="1">
        <v>1699.16</v>
      </c>
      <c r="O4564" s="1">
        <v>1762.03</v>
      </c>
      <c r="P4564" s="1">
        <v>1444.29</v>
      </c>
      <c r="Q4564">
        <v>1.1599999999999999</v>
      </c>
      <c r="R4564">
        <v>6.7499999999999999E-3</v>
      </c>
    </row>
    <row r="4565" spans="1:18" ht="13.8" outlineLevel="2" x14ac:dyDescent="0.25">
      <c r="A4565">
        <v>50016</v>
      </c>
      <c r="B4565" t="s">
        <v>6637</v>
      </c>
      <c r="C4565" t="s">
        <v>6670</v>
      </c>
      <c r="D4565" s="14" t="s">
        <v>6639</v>
      </c>
      <c r="E4565" s="12" t="s">
        <v>28</v>
      </c>
      <c r="F4565" s="13" t="s">
        <v>29</v>
      </c>
      <c r="G4565">
        <v>1</v>
      </c>
      <c r="H4565" t="s">
        <v>420</v>
      </c>
      <c r="I4565">
        <v>1</v>
      </c>
      <c r="J4565" s="15"/>
      <c r="K4565" s="16">
        <f>2369.68 - (2369.68 * $E$1)</f>
        <v>2369.6799999999998</v>
      </c>
      <c r="L4565" s="16">
        <f>1942.36 - (1942.36 * $E$1)</f>
        <v>1942.36</v>
      </c>
      <c r="M4565" s="1">
        <v>2369.6799999999998</v>
      </c>
      <c r="N4565" s="1">
        <v>1942.36</v>
      </c>
      <c r="O4565" s="1">
        <v>2014.23</v>
      </c>
      <c r="P4565" s="1">
        <v>1651.01</v>
      </c>
      <c r="Q4565">
        <v>1.3</v>
      </c>
      <c r="R4565">
        <v>8.8739999999999999E-3</v>
      </c>
    </row>
    <row r="4566" spans="1:18" ht="13.8" outlineLevel="2" x14ac:dyDescent="0.25">
      <c r="A4566">
        <v>50017</v>
      </c>
      <c r="B4566" t="s">
        <v>6637</v>
      </c>
      <c r="C4566" t="s">
        <v>6671</v>
      </c>
      <c r="D4566" s="14" t="s">
        <v>6639</v>
      </c>
      <c r="E4566" s="12" t="s">
        <v>28</v>
      </c>
      <c r="F4566" s="13" t="s">
        <v>29</v>
      </c>
      <c r="G4566">
        <v>1</v>
      </c>
      <c r="H4566" t="s">
        <v>420</v>
      </c>
      <c r="I4566">
        <v>1</v>
      </c>
      <c r="J4566" s="15"/>
      <c r="K4566" s="16">
        <f>2879.72 - (2879.72 * $E$1)</f>
        <v>2879.72</v>
      </c>
      <c r="L4566" s="16">
        <f>2360.43 - (2360.43 * $E$1)</f>
        <v>2360.4299999999998</v>
      </c>
      <c r="M4566" s="1">
        <v>2879.72</v>
      </c>
      <c r="N4566" s="1">
        <v>2360.4299999999998</v>
      </c>
      <c r="O4566" s="1">
        <v>2447.77</v>
      </c>
      <c r="P4566" s="1">
        <v>2006.37</v>
      </c>
      <c r="Q4566">
        <v>1.6</v>
      </c>
      <c r="R4566">
        <v>1.0710000000000001E-2</v>
      </c>
    </row>
    <row r="4567" spans="1:18" ht="13.8" outlineLevel="2" x14ac:dyDescent="0.25">
      <c r="A4567">
        <v>50018</v>
      </c>
      <c r="B4567" t="s">
        <v>6637</v>
      </c>
      <c r="C4567" t="s">
        <v>6672</v>
      </c>
      <c r="D4567" s="14" t="s">
        <v>6639</v>
      </c>
      <c r="E4567" s="12" t="s">
        <v>28</v>
      </c>
      <c r="F4567" s="13" t="s">
        <v>29</v>
      </c>
      <c r="G4567">
        <v>1</v>
      </c>
      <c r="H4567" t="s">
        <v>420</v>
      </c>
      <c r="I4567">
        <v>1</v>
      </c>
      <c r="J4567" s="15"/>
      <c r="K4567" s="16">
        <f>3218.71 - (3218.71 * $E$1)</f>
        <v>3218.71</v>
      </c>
      <c r="L4567" s="16">
        <f>2638.29 - (2638.29 * $E$1)</f>
        <v>2638.29</v>
      </c>
      <c r="M4567" s="1">
        <v>3218.71</v>
      </c>
      <c r="N4567" s="1">
        <v>2638.29</v>
      </c>
      <c r="O4567" s="1">
        <v>2735.91</v>
      </c>
      <c r="P4567" s="1">
        <v>2242.5500000000002</v>
      </c>
      <c r="Q4567">
        <v>1.7</v>
      </c>
      <c r="R4567">
        <v>1.0026E-2</v>
      </c>
    </row>
    <row r="4568" spans="1:18" ht="13.8" outlineLevel="2" x14ac:dyDescent="0.25">
      <c r="A4568">
        <v>89900</v>
      </c>
      <c r="B4568" t="s">
        <v>6637</v>
      </c>
      <c r="C4568" t="s">
        <v>6673</v>
      </c>
      <c r="D4568" s="14" t="s">
        <v>6639</v>
      </c>
      <c r="E4568" s="12" t="s">
        <v>28</v>
      </c>
      <c r="F4568" s="13" t="s">
        <v>29</v>
      </c>
      <c r="G4568">
        <v>1</v>
      </c>
      <c r="H4568" t="s">
        <v>420</v>
      </c>
      <c r="I4568">
        <v>1</v>
      </c>
      <c r="J4568" s="15"/>
      <c r="K4568" s="16">
        <f>3867 - (3867 * $E$1)</f>
        <v>3867</v>
      </c>
      <c r="L4568" s="16">
        <f>3169.67 - (3169.67 * $E$1)</f>
        <v>3169.67</v>
      </c>
      <c r="M4568" s="1">
        <v>3867</v>
      </c>
      <c r="N4568" s="1">
        <v>3169.67</v>
      </c>
      <c r="O4568" s="1">
        <v>3286.95</v>
      </c>
      <c r="P4568" s="1">
        <v>2694.22</v>
      </c>
      <c r="Q4568">
        <v>2.8</v>
      </c>
      <c r="R4568">
        <v>1.404E-2</v>
      </c>
    </row>
    <row r="4569" spans="1:18" ht="13.8" outlineLevel="2" x14ac:dyDescent="0.25">
      <c r="A4569">
        <v>89901</v>
      </c>
      <c r="B4569" t="s">
        <v>6637</v>
      </c>
      <c r="C4569" t="s">
        <v>6674</v>
      </c>
      <c r="D4569" s="14" t="s">
        <v>6639</v>
      </c>
      <c r="E4569" s="12" t="s">
        <v>28</v>
      </c>
      <c r="F4569" s="13" t="s">
        <v>29</v>
      </c>
      <c r="G4569">
        <v>1</v>
      </c>
      <c r="H4569" t="s">
        <v>420</v>
      </c>
      <c r="I4569">
        <v>1</v>
      </c>
      <c r="J4569" s="15"/>
      <c r="K4569" s="16">
        <f>2311.84 - (2311.84 * $E$1)</f>
        <v>2311.84</v>
      </c>
      <c r="L4569" s="16">
        <f>1894.95 - (1894.95 * $E$1)</f>
        <v>1894.95</v>
      </c>
      <c r="M4569" s="1">
        <v>2311.84</v>
      </c>
      <c r="N4569" s="1">
        <v>1894.95</v>
      </c>
      <c r="O4569" s="1">
        <v>1965.06</v>
      </c>
      <c r="P4569" s="1">
        <v>1610.71</v>
      </c>
      <c r="Q4569">
        <v>1.25</v>
      </c>
      <c r="R4569">
        <v>4.1250000000000002E-3</v>
      </c>
    </row>
    <row r="4570" spans="1:18" ht="13.8" outlineLevel="2" x14ac:dyDescent="0.25">
      <c r="A4570">
        <v>50023</v>
      </c>
      <c r="B4570" t="s">
        <v>6637</v>
      </c>
      <c r="C4570" t="s">
        <v>6675</v>
      </c>
      <c r="D4570" s="14" t="s">
        <v>6639</v>
      </c>
      <c r="E4570" s="12" t="s">
        <v>28</v>
      </c>
      <c r="F4570" s="13" t="s">
        <v>29</v>
      </c>
      <c r="G4570">
        <v>1</v>
      </c>
      <c r="H4570" t="s">
        <v>420</v>
      </c>
      <c r="I4570">
        <v>1</v>
      </c>
      <c r="J4570" s="15"/>
      <c r="K4570" s="16">
        <f>3183.99 - (3183.99 * $E$1)</f>
        <v>3183.99</v>
      </c>
      <c r="L4570" s="16">
        <f>2609.83 - (2609.83 * $E$1)</f>
        <v>2609.83</v>
      </c>
      <c r="M4570" s="1">
        <v>3183.99</v>
      </c>
      <c r="N4570" s="1">
        <v>2609.83</v>
      </c>
      <c r="O4570" s="1">
        <v>2706.39</v>
      </c>
      <c r="P4570" s="1">
        <v>2218.36</v>
      </c>
      <c r="Q4570">
        <v>1.6</v>
      </c>
      <c r="R4570">
        <v>8.4239999999999992E-3</v>
      </c>
    </row>
    <row r="4571" spans="1:18" ht="13.8" outlineLevel="2" x14ac:dyDescent="0.25">
      <c r="A4571">
        <v>50024</v>
      </c>
      <c r="B4571" t="s">
        <v>6637</v>
      </c>
      <c r="C4571" t="s">
        <v>6676</v>
      </c>
      <c r="D4571" s="14" t="s">
        <v>6639</v>
      </c>
      <c r="E4571" s="12" t="s">
        <v>28</v>
      </c>
      <c r="F4571" s="13" t="s">
        <v>29</v>
      </c>
      <c r="G4571">
        <v>1</v>
      </c>
      <c r="H4571" t="s">
        <v>420</v>
      </c>
      <c r="I4571">
        <v>1</v>
      </c>
      <c r="J4571" s="15"/>
      <c r="K4571" s="16">
        <f>3708.39 - (3708.39 * $E$1)</f>
        <v>3708.39</v>
      </c>
      <c r="L4571" s="16">
        <f>3039.66 - (3039.66 * $E$1)</f>
        <v>3039.66</v>
      </c>
      <c r="M4571" s="1">
        <v>3708.39</v>
      </c>
      <c r="N4571" s="1">
        <v>3039.66</v>
      </c>
      <c r="O4571" s="1">
        <v>3152.13</v>
      </c>
      <c r="P4571" s="1">
        <v>2583.71</v>
      </c>
      <c r="Q4571">
        <v>2</v>
      </c>
      <c r="R4571">
        <v>7.11E-3</v>
      </c>
    </row>
    <row r="4572" spans="1:18" ht="13.8" outlineLevel="2" x14ac:dyDescent="0.25">
      <c r="A4572">
        <v>89902</v>
      </c>
      <c r="B4572" t="s">
        <v>6637</v>
      </c>
      <c r="C4572" t="s">
        <v>6677</v>
      </c>
      <c r="D4572" s="14" t="s">
        <v>6639</v>
      </c>
      <c r="E4572" s="12" t="s">
        <v>28</v>
      </c>
      <c r="F4572" s="13" t="s">
        <v>29</v>
      </c>
      <c r="G4572">
        <v>1</v>
      </c>
      <c r="H4572" t="s">
        <v>420</v>
      </c>
      <c r="I4572">
        <v>1</v>
      </c>
      <c r="J4572" s="15"/>
      <c r="K4572" s="16">
        <f>4872.06 - (4872.06 * $E$1)</f>
        <v>4872.0600000000004</v>
      </c>
      <c r="L4572" s="16">
        <f>3993.49 - (3993.49 * $E$1)</f>
        <v>3993.49</v>
      </c>
      <c r="M4572" s="1">
        <v>4872.0600000000004</v>
      </c>
      <c r="N4572" s="1">
        <v>3993.49</v>
      </c>
      <c r="O4572" s="1">
        <v>4141.25</v>
      </c>
      <c r="P4572" s="1">
        <v>3394.47</v>
      </c>
      <c r="Q4572">
        <v>2.7</v>
      </c>
      <c r="R4572">
        <v>1.1025E-2</v>
      </c>
    </row>
    <row r="4573" spans="1:18" ht="13.8" outlineLevel="2" x14ac:dyDescent="0.25">
      <c r="A4573">
        <v>102301</v>
      </c>
      <c r="B4573" t="s">
        <v>6637</v>
      </c>
      <c r="C4573" t="s">
        <v>6678</v>
      </c>
      <c r="D4573" s="14" t="s">
        <v>6679</v>
      </c>
      <c r="E4573" s="12" t="s">
        <v>28</v>
      </c>
      <c r="F4573" s="13" t="s">
        <v>29</v>
      </c>
      <c r="G4573">
        <v>1</v>
      </c>
      <c r="H4573" t="s">
        <v>420</v>
      </c>
      <c r="I4573">
        <v>1</v>
      </c>
      <c r="J4573" s="15"/>
      <c r="K4573" s="16">
        <f>139.76 - (139.76 * $E$1)</f>
        <v>139.76</v>
      </c>
      <c r="L4573" s="16">
        <f>114.56 - (114.56 * $E$1)</f>
        <v>114.56</v>
      </c>
      <c r="M4573" s="1">
        <v>139.76</v>
      </c>
      <c r="N4573" s="1">
        <v>114.56</v>
      </c>
      <c r="O4573" s="1">
        <v>118.8</v>
      </c>
      <c r="P4573" s="1">
        <v>97.38</v>
      </c>
      <c r="Q4573">
        <v>7.6999999999999999E-2</v>
      </c>
      <c r="R4573">
        <v>4.6200000000000001E-4</v>
      </c>
    </row>
    <row r="4574" spans="1:18" ht="13.8" outlineLevel="2" x14ac:dyDescent="0.25">
      <c r="A4574">
        <v>102302</v>
      </c>
      <c r="B4574" t="s">
        <v>6637</v>
      </c>
      <c r="C4574" t="s">
        <v>6680</v>
      </c>
      <c r="D4574" s="14" t="s">
        <v>6679</v>
      </c>
      <c r="E4574" s="12" t="s">
        <v>28</v>
      </c>
      <c r="F4574" s="13" t="s">
        <v>29</v>
      </c>
      <c r="G4574">
        <v>1</v>
      </c>
      <c r="H4574" t="s">
        <v>420</v>
      </c>
      <c r="I4574">
        <v>1</v>
      </c>
      <c r="J4574" s="15"/>
      <c r="K4574" s="16">
        <f>180.72 - (180.72 * $E$1)</f>
        <v>180.72</v>
      </c>
      <c r="L4574" s="16">
        <f>148.13 - (148.13 * $E$1)</f>
        <v>148.13</v>
      </c>
      <c r="M4574" s="1">
        <v>180.72</v>
      </c>
      <c r="N4574" s="1">
        <v>148.13</v>
      </c>
      <c r="O4574" s="1">
        <v>153.61000000000001</v>
      </c>
      <c r="P4574" s="1">
        <v>125.91</v>
      </c>
      <c r="Q4574">
        <v>9.7000000000000003E-2</v>
      </c>
      <c r="R4574">
        <v>7.5000000000000002E-4</v>
      </c>
    </row>
    <row r="4575" spans="1:18" ht="13.8" outlineLevel="2" x14ac:dyDescent="0.25">
      <c r="A4575">
        <v>102303</v>
      </c>
      <c r="B4575" t="s">
        <v>6637</v>
      </c>
      <c r="C4575" t="s">
        <v>6681</v>
      </c>
      <c r="D4575" s="14" t="s">
        <v>6679</v>
      </c>
      <c r="E4575" s="12" t="s">
        <v>28</v>
      </c>
      <c r="F4575" s="13" t="s">
        <v>29</v>
      </c>
      <c r="G4575">
        <v>1</v>
      </c>
      <c r="H4575" t="s">
        <v>420</v>
      </c>
      <c r="I4575">
        <v>1</v>
      </c>
      <c r="J4575" s="15"/>
      <c r="K4575" s="16">
        <f>222.25 - (222.25 * $E$1)</f>
        <v>222.25</v>
      </c>
      <c r="L4575" s="16">
        <f>182.17 - (182.17 * $E$1)</f>
        <v>182.17</v>
      </c>
      <c r="M4575" s="1">
        <v>222.25</v>
      </c>
      <c r="N4575" s="1">
        <v>182.17</v>
      </c>
      <c r="O4575" s="1">
        <v>188.91</v>
      </c>
      <c r="P4575" s="1">
        <v>154.84</v>
      </c>
      <c r="Q4575">
        <v>0.14000000000000001</v>
      </c>
      <c r="R4575">
        <v>8.9999999999999998E-4</v>
      </c>
    </row>
    <row r="4576" spans="1:18" ht="13.8" outlineLevel="2" x14ac:dyDescent="0.25">
      <c r="A4576">
        <v>102304</v>
      </c>
      <c r="B4576" t="s">
        <v>6637</v>
      </c>
      <c r="C4576" t="s">
        <v>6682</v>
      </c>
      <c r="D4576" s="14" t="s">
        <v>6679</v>
      </c>
      <c r="E4576" s="12" t="s">
        <v>28</v>
      </c>
      <c r="F4576" s="13" t="s">
        <v>29</v>
      </c>
      <c r="G4576">
        <v>1</v>
      </c>
      <c r="H4576" t="s">
        <v>420</v>
      </c>
      <c r="I4576">
        <v>1</v>
      </c>
      <c r="J4576" s="15"/>
      <c r="K4576" s="16">
        <f>262.82 - (262.82 * $E$1)</f>
        <v>262.82</v>
      </c>
      <c r="L4576" s="16">
        <f>215.43 - (215.43 * $E$1)</f>
        <v>215.43</v>
      </c>
      <c r="M4576" s="1">
        <v>262.82</v>
      </c>
      <c r="N4576" s="1">
        <v>215.43</v>
      </c>
      <c r="O4576" s="1">
        <v>223.4</v>
      </c>
      <c r="P4576" s="1">
        <v>183.12</v>
      </c>
      <c r="Q4576">
        <v>0.16</v>
      </c>
      <c r="R4576">
        <v>1.0560000000000001E-3</v>
      </c>
    </row>
    <row r="4577" spans="1:18" ht="13.8" outlineLevel="2" x14ac:dyDescent="0.25">
      <c r="A4577">
        <v>102305</v>
      </c>
      <c r="B4577" t="s">
        <v>6637</v>
      </c>
      <c r="C4577" t="s">
        <v>6683</v>
      </c>
      <c r="D4577" s="14" t="s">
        <v>6679</v>
      </c>
      <c r="E4577" s="12" t="s">
        <v>28</v>
      </c>
      <c r="F4577" s="13" t="s">
        <v>29</v>
      </c>
      <c r="G4577">
        <v>1</v>
      </c>
      <c r="H4577" t="s">
        <v>420</v>
      </c>
      <c r="I4577">
        <v>1</v>
      </c>
      <c r="J4577" s="15"/>
      <c r="K4577" s="16">
        <f>271.78 - (271.78 * $E$1)</f>
        <v>271.77999999999997</v>
      </c>
      <c r="L4577" s="16">
        <f>222.77 - (222.77 * $E$1)</f>
        <v>222.77</v>
      </c>
      <c r="M4577" s="1">
        <v>271.77999999999997</v>
      </c>
      <c r="N4577" s="1">
        <v>222.77</v>
      </c>
      <c r="O4577" s="1">
        <v>231.01</v>
      </c>
      <c r="P4577" s="1">
        <v>189.35</v>
      </c>
      <c r="Q4577">
        <v>0.16</v>
      </c>
      <c r="R4577">
        <v>7.9199999999999995E-4</v>
      </c>
    </row>
    <row r="4578" spans="1:18" ht="13.8" outlineLevel="2" x14ac:dyDescent="0.25">
      <c r="A4578">
        <v>102306</v>
      </c>
      <c r="B4578" t="s">
        <v>6637</v>
      </c>
      <c r="C4578" t="s">
        <v>6684</v>
      </c>
      <c r="D4578" s="14" t="s">
        <v>6679</v>
      </c>
      <c r="E4578" s="12" t="s">
        <v>28</v>
      </c>
      <c r="F4578" s="13" t="s">
        <v>29</v>
      </c>
      <c r="G4578">
        <v>1</v>
      </c>
      <c r="H4578" t="s">
        <v>420</v>
      </c>
      <c r="I4578">
        <v>1</v>
      </c>
      <c r="J4578" s="15"/>
      <c r="K4578" s="16">
        <f>310.97 - (310.97 * $E$1)</f>
        <v>310.97000000000003</v>
      </c>
      <c r="L4578" s="16">
        <f>254.89 - (254.89 * $E$1)</f>
        <v>254.89</v>
      </c>
      <c r="M4578" s="1">
        <v>310.97000000000003</v>
      </c>
      <c r="N4578" s="1">
        <v>254.89</v>
      </c>
      <c r="O4578" s="1">
        <v>264.32</v>
      </c>
      <c r="P4578" s="1">
        <v>216.66</v>
      </c>
      <c r="Q4578">
        <v>0.19500000000000001</v>
      </c>
      <c r="R4578">
        <v>8.9999999999999998E-4</v>
      </c>
    </row>
    <row r="4579" spans="1:18" ht="13.8" outlineLevel="2" x14ac:dyDescent="0.25">
      <c r="A4579">
        <v>102307</v>
      </c>
      <c r="B4579" t="s">
        <v>6637</v>
      </c>
      <c r="C4579" t="s">
        <v>6685</v>
      </c>
      <c r="D4579" s="14" t="s">
        <v>6679</v>
      </c>
      <c r="E4579" s="12" t="s">
        <v>28</v>
      </c>
      <c r="F4579" s="13" t="s">
        <v>29</v>
      </c>
      <c r="G4579">
        <v>1</v>
      </c>
      <c r="H4579" t="s">
        <v>420</v>
      </c>
      <c r="I4579">
        <v>1</v>
      </c>
      <c r="J4579" s="15"/>
      <c r="K4579" s="16">
        <f>384.67 - (384.67 * $E$1)</f>
        <v>384.67</v>
      </c>
      <c r="L4579" s="16">
        <f>315.3 - (315.3 * $E$1)</f>
        <v>315.3</v>
      </c>
      <c r="M4579" s="1">
        <v>384.67</v>
      </c>
      <c r="N4579" s="1">
        <v>315.3</v>
      </c>
      <c r="O4579" s="1">
        <v>326.97000000000003</v>
      </c>
      <c r="P4579" s="1">
        <v>268.01</v>
      </c>
      <c r="Q4579">
        <v>0.23</v>
      </c>
      <c r="R4579">
        <v>1.5399999999999999E-3</v>
      </c>
    </row>
    <row r="4580" spans="1:18" ht="13.8" outlineLevel="2" x14ac:dyDescent="0.25">
      <c r="A4580">
        <v>102308</v>
      </c>
      <c r="B4580" t="s">
        <v>6637</v>
      </c>
      <c r="C4580" t="s">
        <v>6686</v>
      </c>
      <c r="D4580" s="14" t="s">
        <v>6679</v>
      </c>
      <c r="E4580" s="12" t="s">
        <v>28</v>
      </c>
      <c r="F4580" s="13" t="s">
        <v>29</v>
      </c>
      <c r="G4580">
        <v>1</v>
      </c>
      <c r="H4580" t="s">
        <v>420</v>
      </c>
      <c r="I4580">
        <v>1</v>
      </c>
      <c r="J4580" s="15"/>
      <c r="K4580" s="16">
        <f>445.06 - (445.06 * $E$1)</f>
        <v>445.06</v>
      </c>
      <c r="L4580" s="16">
        <f>364.8 - (364.8 * $E$1)</f>
        <v>364.8</v>
      </c>
      <c r="M4580" s="1">
        <v>445.06</v>
      </c>
      <c r="N4580" s="1">
        <v>364.8</v>
      </c>
      <c r="O4580" s="1">
        <v>378.3</v>
      </c>
      <c r="P4580" s="1">
        <v>310.08</v>
      </c>
      <c r="Q4580">
        <v>0.27</v>
      </c>
      <c r="R4580">
        <v>1.6000000000000001E-3</v>
      </c>
    </row>
    <row r="4581" spans="1:18" ht="13.8" outlineLevel="2" x14ac:dyDescent="0.25">
      <c r="A4581">
        <v>102309</v>
      </c>
      <c r="B4581" t="s">
        <v>6637</v>
      </c>
      <c r="C4581" t="s">
        <v>6687</v>
      </c>
      <c r="D4581" s="14" t="s">
        <v>6679</v>
      </c>
      <c r="E4581" s="12" t="s">
        <v>28</v>
      </c>
      <c r="F4581" s="13" t="s">
        <v>29</v>
      </c>
      <c r="G4581">
        <v>1</v>
      </c>
      <c r="H4581" t="s">
        <v>420</v>
      </c>
      <c r="I4581">
        <v>1</v>
      </c>
      <c r="J4581" s="15"/>
      <c r="K4581" s="16">
        <f>521.16 - (521.16 * $E$1)</f>
        <v>521.16</v>
      </c>
      <c r="L4581" s="16">
        <f>427.18 - (427.18 * $E$1)</f>
        <v>427.18</v>
      </c>
      <c r="M4581" s="1">
        <v>521.16</v>
      </c>
      <c r="N4581" s="1">
        <v>427.18</v>
      </c>
      <c r="O4581" s="1">
        <v>442.99</v>
      </c>
      <c r="P4581" s="1">
        <v>363.1</v>
      </c>
      <c r="Q4581">
        <v>0.3</v>
      </c>
      <c r="R4581">
        <v>1.98E-3</v>
      </c>
    </row>
    <row r="4582" spans="1:18" ht="13.8" outlineLevel="2" x14ac:dyDescent="0.25">
      <c r="A4582">
        <v>102310</v>
      </c>
      <c r="B4582" t="s">
        <v>6637</v>
      </c>
      <c r="C4582" t="s">
        <v>6688</v>
      </c>
      <c r="D4582" s="14" t="s">
        <v>6679</v>
      </c>
      <c r="E4582" s="12" t="s">
        <v>28</v>
      </c>
      <c r="F4582" s="13" t="s">
        <v>29</v>
      </c>
      <c r="G4582">
        <v>1</v>
      </c>
      <c r="H4582" t="s">
        <v>420</v>
      </c>
      <c r="I4582">
        <v>1</v>
      </c>
      <c r="J4582" s="15"/>
      <c r="K4582" s="16">
        <f>658.4 - (658.4 * $E$1)</f>
        <v>658.4</v>
      </c>
      <c r="L4582" s="16">
        <f>539.67 - (539.67 * $E$1)</f>
        <v>539.66999999999996</v>
      </c>
      <c r="M4582" s="1">
        <v>658.4</v>
      </c>
      <c r="N4582" s="1">
        <v>539.66999999999996</v>
      </c>
      <c r="O4582" s="1">
        <v>559.64</v>
      </c>
      <c r="P4582" s="1">
        <v>458.72</v>
      </c>
      <c r="Q4582">
        <v>0.38</v>
      </c>
      <c r="R4582">
        <v>2.2000000000000001E-3</v>
      </c>
    </row>
    <row r="4583" spans="1:18" ht="13.8" outlineLevel="2" x14ac:dyDescent="0.25">
      <c r="A4583">
        <v>102311</v>
      </c>
      <c r="B4583" t="s">
        <v>6637</v>
      </c>
      <c r="C4583" t="s">
        <v>6689</v>
      </c>
      <c r="D4583" s="14" t="s">
        <v>6679</v>
      </c>
      <c r="E4583" s="12" t="s">
        <v>28</v>
      </c>
      <c r="F4583" s="13" t="s">
        <v>29</v>
      </c>
      <c r="G4583">
        <v>1</v>
      </c>
      <c r="H4583" t="s">
        <v>420</v>
      </c>
      <c r="I4583">
        <v>1</v>
      </c>
      <c r="J4583" s="15"/>
      <c r="K4583" s="16">
        <f>529.08 - (529.08 * $E$1)</f>
        <v>529.08000000000004</v>
      </c>
      <c r="L4583" s="16">
        <f>433.67 - (433.67 * $E$1)</f>
        <v>433.67</v>
      </c>
      <c r="M4583" s="1">
        <v>529.08000000000004</v>
      </c>
      <c r="N4583" s="1">
        <v>433.67</v>
      </c>
      <c r="O4583" s="1">
        <v>449.72</v>
      </c>
      <c r="P4583" s="1">
        <v>368.62</v>
      </c>
      <c r="Q4583">
        <v>0.28999999999999998</v>
      </c>
      <c r="R4583">
        <v>1.4040000000000001E-3</v>
      </c>
    </row>
    <row r="4584" spans="1:18" ht="13.8" outlineLevel="2" x14ac:dyDescent="0.25">
      <c r="A4584">
        <v>102312</v>
      </c>
      <c r="B4584" t="s">
        <v>6637</v>
      </c>
      <c r="C4584" t="s">
        <v>6690</v>
      </c>
      <c r="D4584" s="14" t="s">
        <v>6679</v>
      </c>
      <c r="E4584" s="12" t="s">
        <v>28</v>
      </c>
      <c r="F4584" s="13" t="s">
        <v>29</v>
      </c>
      <c r="G4584">
        <v>1</v>
      </c>
      <c r="H4584" t="s">
        <v>420</v>
      </c>
      <c r="I4584">
        <v>1</v>
      </c>
      <c r="J4584" s="15"/>
      <c r="K4584" s="16">
        <f>760.91 - (760.91 * $E$1)</f>
        <v>760.91</v>
      </c>
      <c r="L4584" s="16">
        <f>623.7 - (623.7 * $E$1)</f>
        <v>623.70000000000005</v>
      </c>
      <c r="M4584" s="1">
        <v>760.91</v>
      </c>
      <c r="N4584" s="1">
        <v>623.70000000000005</v>
      </c>
      <c r="O4584" s="1">
        <v>646.78</v>
      </c>
      <c r="P4584" s="1">
        <v>530.15</v>
      </c>
      <c r="Q4584">
        <v>0.42</v>
      </c>
      <c r="R4584">
        <v>2.4979999999999998E-3</v>
      </c>
    </row>
    <row r="4585" spans="1:18" ht="13.8" outlineLevel="2" x14ac:dyDescent="0.25">
      <c r="A4585">
        <v>102313</v>
      </c>
      <c r="B4585" t="s">
        <v>6637</v>
      </c>
      <c r="C4585" t="s">
        <v>6691</v>
      </c>
      <c r="D4585" s="14" t="s">
        <v>6679</v>
      </c>
      <c r="E4585" s="12" t="s">
        <v>28</v>
      </c>
      <c r="F4585" s="13" t="s">
        <v>29</v>
      </c>
      <c r="G4585">
        <v>1</v>
      </c>
      <c r="H4585" t="s">
        <v>420</v>
      </c>
      <c r="I4585">
        <v>1</v>
      </c>
      <c r="J4585" s="15"/>
      <c r="K4585" s="16">
        <f>953.45 - (953.45 * $E$1)</f>
        <v>953.45</v>
      </c>
      <c r="L4585" s="16">
        <f>781.52 - (781.52 * $E$1)</f>
        <v>781.52</v>
      </c>
      <c r="M4585" s="1">
        <v>953.45</v>
      </c>
      <c r="N4585" s="1">
        <v>781.52</v>
      </c>
      <c r="O4585" s="1">
        <v>810.44</v>
      </c>
      <c r="P4585" s="1">
        <v>664.29</v>
      </c>
      <c r="Q4585">
        <v>0.55000000000000004</v>
      </c>
      <c r="R4585">
        <v>2.898E-3</v>
      </c>
    </row>
    <row r="4586" spans="1:18" ht="13.8" outlineLevel="2" x14ac:dyDescent="0.25">
      <c r="A4586">
        <v>102314</v>
      </c>
      <c r="B4586" t="s">
        <v>6637</v>
      </c>
      <c r="C4586" t="s">
        <v>6692</v>
      </c>
      <c r="D4586" s="14" t="s">
        <v>6679</v>
      </c>
      <c r="E4586" s="12" t="s">
        <v>28</v>
      </c>
      <c r="F4586" s="13" t="s">
        <v>29</v>
      </c>
      <c r="G4586">
        <v>1</v>
      </c>
      <c r="H4586" t="s">
        <v>420</v>
      </c>
      <c r="I4586">
        <v>1</v>
      </c>
      <c r="J4586" s="15"/>
      <c r="K4586" s="16">
        <f>1235.09 - (1235.09 * $E$1)</f>
        <v>1235.0899999999999</v>
      </c>
      <c r="L4586" s="16">
        <f>1012.37 - (1012.37 * $E$1)</f>
        <v>1012.37</v>
      </c>
      <c r="M4586" s="1">
        <v>1235.0899999999999</v>
      </c>
      <c r="N4586" s="1">
        <v>1012.37</v>
      </c>
      <c r="O4586" s="1">
        <v>1049.83</v>
      </c>
      <c r="P4586" s="1">
        <v>860.51</v>
      </c>
      <c r="Q4586">
        <v>0.66</v>
      </c>
      <c r="R4586">
        <v>4.3680000000000004E-3</v>
      </c>
    </row>
    <row r="4587" spans="1:18" ht="13.8" outlineLevel="2" x14ac:dyDescent="0.25">
      <c r="A4587">
        <v>111514</v>
      </c>
      <c r="B4587" t="s">
        <v>6637</v>
      </c>
      <c r="C4587" t="s">
        <v>6693</v>
      </c>
      <c r="D4587" s="14" t="s">
        <v>6694</v>
      </c>
      <c r="E4587" s="12" t="s">
        <v>28</v>
      </c>
      <c r="F4587" s="18" t="s">
        <v>1467</v>
      </c>
      <c r="G4587">
        <v>1</v>
      </c>
      <c r="H4587" t="s">
        <v>6695</v>
      </c>
      <c r="I4587">
        <v>1</v>
      </c>
      <c r="J4587" s="15"/>
      <c r="K4587" s="16">
        <f>405.71 - (405.71 * $E$1)</f>
        <v>405.71</v>
      </c>
      <c r="L4587" s="16">
        <f>332.55 - (332.55 * $E$1)</f>
        <v>332.55</v>
      </c>
      <c r="M4587" s="1">
        <v>405.71</v>
      </c>
      <c r="N4587" s="1">
        <v>332.55</v>
      </c>
      <c r="O4587" s="1">
        <v>344.85</v>
      </c>
      <c r="P4587" s="1">
        <v>282.67</v>
      </c>
      <c r="Q4587">
        <v>0.105</v>
      </c>
      <c r="R4587">
        <v>7.2599999999999997E-4</v>
      </c>
    </row>
    <row r="4588" spans="1:18" ht="13.8" outlineLevel="2" x14ac:dyDescent="0.25">
      <c r="A4588">
        <v>111517</v>
      </c>
      <c r="B4588" t="s">
        <v>6637</v>
      </c>
      <c r="C4588" t="s">
        <v>6696</v>
      </c>
      <c r="D4588" s="14" t="s">
        <v>6694</v>
      </c>
      <c r="E4588" s="12" t="s">
        <v>28</v>
      </c>
      <c r="F4588" s="18" t="s">
        <v>1467</v>
      </c>
      <c r="G4588">
        <v>1</v>
      </c>
      <c r="H4588" t="s">
        <v>6695</v>
      </c>
      <c r="I4588">
        <v>1</v>
      </c>
      <c r="J4588" s="15"/>
      <c r="K4588" s="16">
        <f>493.25 - (493.25 * $E$1)</f>
        <v>493.25</v>
      </c>
      <c r="L4588" s="16">
        <f>404.3 - (404.3 * $E$1)</f>
        <v>404.3</v>
      </c>
      <c r="M4588" s="1">
        <v>493.25</v>
      </c>
      <c r="N4588" s="1">
        <v>404.3</v>
      </c>
      <c r="O4588" s="1">
        <v>419.26</v>
      </c>
      <c r="P4588" s="1">
        <v>343.66</v>
      </c>
      <c r="Q4588">
        <v>0.13</v>
      </c>
      <c r="R4588">
        <v>1.0399999999999999E-3</v>
      </c>
    </row>
    <row r="4589" spans="1:18" ht="13.8" outlineLevel="2" x14ac:dyDescent="0.25">
      <c r="A4589">
        <v>111518</v>
      </c>
      <c r="B4589" t="s">
        <v>6637</v>
      </c>
      <c r="C4589" t="s">
        <v>6697</v>
      </c>
      <c r="D4589" s="14" t="s">
        <v>6694</v>
      </c>
      <c r="E4589" s="12" t="s">
        <v>28</v>
      </c>
      <c r="F4589" s="18" t="s">
        <v>1467</v>
      </c>
      <c r="G4589">
        <v>1</v>
      </c>
      <c r="H4589" t="s">
        <v>6695</v>
      </c>
      <c r="I4589">
        <v>1</v>
      </c>
      <c r="J4589" s="15"/>
      <c r="K4589" s="16">
        <f>555.31 - (555.31 * $E$1)</f>
        <v>555.30999999999995</v>
      </c>
      <c r="L4589" s="16">
        <f>455.17 - (455.17 * $E$1)</f>
        <v>455.17</v>
      </c>
      <c r="M4589" s="1">
        <v>555.30999999999995</v>
      </c>
      <c r="N4589" s="1">
        <v>455.17</v>
      </c>
      <c r="O4589" s="1">
        <v>472.01</v>
      </c>
      <c r="P4589" s="1">
        <v>386.89</v>
      </c>
      <c r="Q4589">
        <v>0.16500000000000001</v>
      </c>
      <c r="R4589">
        <v>1.023E-3</v>
      </c>
    </row>
    <row r="4590" spans="1:18" ht="13.8" outlineLevel="2" x14ac:dyDescent="0.25">
      <c r="A4590">
        <v>84799</v>
      </c>
      <c r="B4590" t="s">
        <v>6637</v>
      </c>
      <c r="C4590" t="s">
        <v>6698</v>
      </c>
      <c r="D4590" s="14" t="s">
        <v>6699</v>
      </c>
      <c r="E4590" s="12" t="s">
        <v>28</v>
      </c>
      <c r="F4590" s="13" t="s">
        <v>29</v>
      </c>
      <c r="G4590">
        <v>1</v>
      </c>
      <c r="H4590" t="s">
        <v>420</v>
      </c>
      <c r="I4590">
        <v>1</v>
      </c>
      <c r="J4590" s="15"/>
      <c r="K4590" s="16">
        <f>38.2 - (38.2 * $E$1)</f>
        <v>38.200000000000003</v>
      </c>
      <c r="L4590" s="16">
        <f>31.31 - (31.31 * $E$1)</f>
        <v>31.31</v>
      </c>
      <c r="M4590" s="1">
        <v>38.200000000000003</v>
      </c>
      <c r="N4590" s="1">
        <v>31.31</v>
      </c>
      <c r="O4590" s="1">
        <v>32.47</v>
      </c>
      <c r="P4590" s="1">
        <v>26.61</v>
      </c>
      <c r="Q4590">
        <v>0.03</v>
      </c>
      <c r="R4590">
        <v>9.6000000000000002E-5</v>
      </c>
    </row>
    <row r="4591" spans="1:18" ht="13.8" outlineLevel="2" x14ac:dyDescent="0.25">
      <c r="A4591">
        <v>84800</v>
      </c>
      <c r="B4591" t="s">
        <v>6637</v>
      </c>
      <c r="C4591" t="s">
        <v>6700</v>
      </c>
      <c r="D4591" s="14" t="s">
        <v>6699</v>
      </c>
      <c r="E4591" s="12" t="s">
        <v>28</v>
      </c>
      <c r="F4591" s="13" t="s">
        <v>29</v>
      </c>
      <c r="G4591">
        <v>1</v>
      </c>
      <c r="H4591" t="s">
        <v>420</v>
      </c>
      <c r="I4591">
        <v>1</v>
      </c>
      <c r="J4591" s="15"/>
      <c r="K4591" s="16">
        <f>56.3 - (56.3 * $E$1)</f>
        <v>56.3</v>
      </c>
      <c r="L4591" s="16">
        <f>46.15 - (46.15 * $E$1)</f>
        <v>46.15</v>
      </c>
      <c r="M4591" s="1">
        <v>56.3</v>
      </c>
      <c r="N4591" s="1">
        <v>46.15</v>
      </c>
      <c r="O4591" s="1">
        <v>47.86</v>
      </c>
      <c r="P4591" s="1">
        <v>39.229999999999997</v>
      </c>
      <c r="Q4591">
        <v>0.04</v>
      </c>
      <c r="R4591">
        <v>1.3999999999999999E-4</v>
      </c>
    </row>
    <row r="4592" spans="1:18" ht="13.8" outlineLevel="2" x14ac:dyDescent="0.25">
      <c r="A4592">
        <v>84801</v>
      </c>
      <c r="B4592" t="s">
        <v>6637</v>
      </c>
      <c r="C4592" t="s">
        <v>6701</v>
      </c>
      <c r="D4592" s="14" t="s">
        <v>6699</v>
      </c>
      <c r="E4592" s="12" t="s">
        <v>28</v>
      </c>
      <c r="F4592" s="13" t="s">
        <v>29</v>
      </c>
      <c r="G4592">
        <v>1</v>
      </c>
      <c r="H4592" t="s">
        <v>420</v>
      </c>
      <c r="I4592">
        <v>1</v>
      </c>
      <c r="J4592" s="15"/>
      <c r="K4592" s="16">
        <f>72.2 - (72.2 * $E$1)</f>
        <v>72.2</v>
      </c>
      <c r="L4592" s="16">
        <f>59.18 - (59.18 * $E$1)</f>
        <v>59.18</v>
      </c>
      <c r="M4592" s="1">
        <v>72.2</v>
      </c>
      <c r="N4592" s="1">
        <v>59.18</v>
      </c>
      <c r="O4592" s="1">
        <v>61.37</v>
      </c>
      <c r="P4592" s="1">
        <v>50.3</v>
      </c>
      <c r="Q4592">
        <v>0.05</v>
      </c>
      <c r="R4592">
        <v>2.32E-4</v>
      </c>
    </row>
    <row r="4593" spans="1:18" ht="13.8" outlineLevel="2" x14ac:dyDescent="0.25">
      <c r="A4593">
        <v>89913</v>
      </c>
      <c r="B4593" t="s">
        <v>6637</v>
      </c>
      <c r="C4593" t="s">
        <v>6702</v>
      </c>
      <c r="D4593" s="14" t="s">
        <v>6699</v>
      </c>
      <c r="E4593" s="12" t="s">
        <v>28</v>
      </c>
      <c r="F4593" s="13" t="s">
        <v>29</v>
      </c>
      <c r="G4593">
        <v>1</v>
      </c>
      <c r="H4593" t="s">
        <v>420</v>
      </c>
      <c r="I4593">
        <v>1</v>
      </c>
      <c r="J4593" s="15"/>
      <c r="K4593" s="16">
        <f>108.06 - (108.06 * $E$1)</f>
        <v>108.06</v>
      </c>
      <c r="L4593" s="16">
        <f>88.57 - (88.57 * $E$1)</f>
        <v>88.57</v>
      </c>
      <c r="M4593" s="1">
        <v>108.06</v>
      </c>
      <c r="N4593" s="1">
        <v>88.57</v>
      </c>
      <c r="O4593" s="1">
        <v>91.85</v>
      </c>
      <c r="P4593" s="1">
        <v>75.28</v>
      </c>
      <c r="Q4593">
        <v>9.5000000000000001E-2</v>
      </c>
      <c r="R4593">
        <v>5.0699999999999996E-4</v>
      </c>
    </row>
    <row r="4594" spans="1:18" ht="13.8" outlineLevel="2" x14ac:dyDescent="0.25">
      <c r="A4594">
        <v>89914</v>
      </c>
      <c r="B4594" t="s">
        <v>6637</v>
      </c>
      <c r="C4594" t="s">
        <v>6703</v>
      </c>
      <c r="D4594" s="14" t="s">
        <v>6699</v>
      </c>
      <c r="E4594" s="12" t="s">
        <v>28</v>
      </c>
      <c r="F4594" s="13" t="s">
        <v>29</v>
      </c>
      <c r="G4594">
        <v>1</v>
      </c>
      <c r="H4594" t="s">
        <v>420</v>
      </c>
      <c r="I4594">
        <v>1</v>
      </c>
      <c r="J4594" s="15"/>
      <c r="K4594" s="16">
        <f>52.22 - (52.22 * $E$1)</f>
        <v>52.22</v>
      </c>
      <c r="L4594" s="16">
        <f>42.8 - (42.8 * $E$1)</f>
        <v>42.8</v>
      </c>
      <c r="M4594" s="1">
        <v>52.22</v>
      </c>
      <c r="N4594" s="1">
        <v>42.8</v>
      </c>
      <c r="O4594" s="1">
        <v>44.38</v>
      </c>
      <c r="P4594" s="1">
        <v>36.380000000000003</v>
      </c>
      <c r="Q4594">
        <v>9.4E-2</v>
      </c>
      <c r="R4594">
        <v>3.7800000000000003E-4</v>
      </c>
    </row>
    <row r="4595" spans="1:18" ht="13.8" outlineLevel="2" x14ac:dyDescent="0.25">
      <c r="A4595">
        <v>87776</v>
      </c>
      <c r="B4595" t="s">
        <v>6637</v>
      </c>
      <c r="C4595" t="s">
        <v>6704</v>
      </c>
      <c r="D4595" s="14" t="s">
        <v>6699</v>
      </c>
      <c r="E4595" s="12" t="s">
        <v>28</v>
      </c>
      <c r="F4595" s="13" t="s">
        <v>29</v>
      </c>
      <c r="G4595">
        <v>1</v>
      </c>
      <c r="H4595" t="s">
        <v>420</v>
      </c>
      <c r="I4595">
        <v>1</v>
      </c>
      <c r="J4595" s="15"/>
      <c r="K4595" s="16">
        <f>80.93 - (80.93 * $E$1)</f>
        <v>80.930000000000007</v>
      </c>
      <c r="L4595" s="16">
        <f>66.34 - (66.34 * $E$1)</f>
        <v>66.34</v>
      </c>
      <c r="M4595" s="1">
        <v>80.930000000000007</v>
      </c>
      <c r="N4595" s="1">
        <v>66.34</v>
      </c>
      <c r="O4595" s="1">
        <v>68.790000000000006</v>
      </c>
      <c r="P4595" s="1">
        <v>56.39</v>
      </c>
      <c r="Q4595">
        <v>7.0000000000000007E-2</v>
      </c>
      <c r="R4595">
        <v>3.4000000000000002E-4</v>
      </c>
    </row>
    <row r="4596" spans="1:18" ht="13.8" outlineLevel="2" x14ac:dyDescent="0.25">
      <c r="A4596">
        <v>84802</v>
      </c>
      <c r="B4596" t="s">
        <v>6637</v>
      </c>
      <c r="C4596" t="s">
        <v>6705</v>
      </c>
      <c r="D4596" s="14" t="s">
        <v>6699</v>
      </c>
      <c r="E4596" s="12" t="s">
        <v>28</v>
      </c>
      <c r="F4596" s="13" t="s">
        <v>29</v>
      </c>
      <c r="G4596">
        <v>1</v>
      </c>
      <c r="H4596" t="s">
        <v>420</v>
      </c>
      <c r="I4596">
        <v>1</v>
      </c>
      <c r="J4596" s="15"/>
      <c r="K4596" s="16">
        <f>110 - (110 * $E$1)</f>
        <v>110</v>
      </c>
      <c r="L4596" s="16">
        <f>90.16 - (90.16 * $E$1)</f>
        <v>90.16</v>
      </c>
      <c r="M4596" s="1">
        <v>110</v>
      </c>
      <c r="N4596" s="1">
        <v>90.16</v>
      </c>
      <c r="O4596" s="1">
        <v>93.5</v>
      </c>
      <c r="P4596" s="1">
        <v>76.64</v>
      </c>
      <c r="Q4596">
        <v>0.09</v>
      </c>
      <c r="R4596">
        <v>4.6200000000000001E-4</v>
      </c>
    </row>
    <row r="4597" spans="1:18" ht="13.8" outlineLevel="2" x14ac:dyDescent="0.25">
      <c r="A4597">
        <v>84803</v>
      </c>
      <c r="B4597" t="s">
        <v>6637</v>
      </c>
      <c r="C4597" t="s">
        <v>6706</v>
      </c>
      <c r="D4597" s="14" t="s">
        <v>6699</v>
      </c>
      <c r="E4597" s="12" t="s">
        <v>28</v>
      </c>
      <c r="F4597" s="13" t="s">
        <v>29</v>
      </c>
      <c r="G4597">
        <v>1</v>
      </c>
      <c r="H4597" t="s">
        <v>420</v>
      </c>
      <c r="I4597">
        <v>1</v>
      </c>
      <c r="J4597" s="15"/>
      <c r="K4597" s="16">
        <f>142.02 - (142.02 * $E$1)</f>
        <v>142.02000000000001</v>
      </c>
      <c r="L4597" s="16">
        <f>116.41 - (116.41 * $E$1)</f>
        <v>116.41</v>
      </c>
      <c r="M4597" s="1">
        <v>142.02000000000001</v>
      </c>
      <c r="N4597" s="1">
        <v>116.41</v>
      </c>
      <c r="O4597" s="1">
        <v>120.72</v>
      </c>
      <c r="P4597" s="1">
        <v>98.95</v>
      </c>
      <c r="Q4597">
        <v>0.11</v>
      </c>
      <c r="R4597">
        <v>5.5999999999999995E-4</v>
      </c>
    </row>
    <row r="4598" spans="1:18" ht="13.8" outlineLevel="2" x14ac:dyDescent="0.25">
      <c r="A4598">
        <v>84804</v>
      </c>
      <c r="B4598" t="s">
        <v>6637</v>
      </c>
      <c r="C4598" t="s">
        <v>6707</v>
      </c>
      <c r="D4598" s="14" t="s">
        <v>6699</v>
      </c>
      <c r="E4598" s="12" t="s">
        <v>28</v>
      </c>
      <c r="F4598" s="13" t="s">
        <v>29</v>
      </c>
      <c r="G4598">
        <v>1</v>
      </c>
      <c r="H4598" t="s">
        <v>420</v>
      </c>
      <c r="I4598">
        <v>1</v>
      </c>
      <c r="J4598" s="15"/>
      <c r="K4598" s="16">
        <f>170.15 - (170.15 * $E$1)</f>
        <v>170.15</v>
      </c>
      <c r="L4598" s="16">
        <f>139.47 - (139.47 * $E$1)</f>
        <v>139.47</v>
      </c>
      <c r="M4598" s="1">
        <v>170.15</v>
      </c>
      <c r="N4598" s="1">
        <v>139.47</v>
      </c>
      <c r="O4598" s="1">
        <v>144.63</v>
      </c>
      <c r="P4598" s="1">
        <v>118.55</v>
      </c>
      <c r="Q4598">
        <v>0.14000000000000001</v>
      </c>
      <c r="R4598">
        <v>6.4000000000000005E-4</v>
      </c>
    </row>
    <row r="4599" spans="1:18" ht="13.8" outlineLevel="2" x14ac:dyDescent="0.25">
      <c r="A4599">
        <v>89915</v>
      </c>
      <c r="B4599" t="s">
        <v>6637</v>
      </c>
      <c r="C4599" t="s">
        <v>6708</v>
      </c>
      <c r="D4599" s="14" t="s">
        <v>6699</v>
      </c>
      <c r="E4599" s="12" t="s">
        <v>28</v>
      </c>
      <c r="F4599" s="13" t="s">
        <v>29</v>
      </c>
      <c r="G4599">
        <v>1</v>
      </c>
      <c r="H4599" t="s">
        <v>420</v>
      </c>
      <c r="I4599">
        <v>1</v>
      </c>
      <c r="J4599" s="15"/>
      <c r="K4599" s="16">
        <f>216.62 - (216.62 * $E$1)</f>
        <v>216.62</v>
      </c>
      <c r="L4599" s="16">
        <f>177.56 - (177.56 * $E$1)</f>
        <v>177.56</v>
      </c>
      <c r="M4599" s="1">
        <v>216.62</v>
      </c>
      <c r="N4599" s="1">
        <v>177.56</v>
      </c>
      <c r="O4599" s="1">
        <v>184.13</v>
      </c>
      <c r="P4599" s="1">
        <v>150.93</v>
      </c>
      <c r="Q4599">
        <v>0.16</v>
      </c>
      <c r="R4599">
        <v>9.1100000000000003E-4</v>
      </c>
    </row>
    <row r="4600" spans="1:18" ht="13.8" outlineLevel="2" x14ac:dyDescent="0.25">
      <c r="A4600">
        <v>89916</v>
      </c>
      <c r="B4600" t="s">
        <v>6637</v>
      </c>
      <c r="C4600" t="s">
        <v>6709</v>
      </c>
      <c r="D4600" s="14" t="s">
        <v>6699</v>
      </c>
      <c r="E4600" s="12" t="s">
        <v>28</v>
      </c>
      <c r="F4600" s="13" t="s">
        <v>29</v>
      </c>
      <c r="G4600">
        <v>1</v>
      </c>
      <c r="H4600" t="s">
        <v>420</v>
      </c>
      <c r="I4600">
        <v>1</v>
      </c>
      <c r="J4600" s="15"/>
      <c r="K4600" s="16">
        <f>118.36 - (118.36 * $E$1)</f>
        <v>118.36</v>
      </c>
      <c r="L4600" s="16">
        <f>97.02 - (97.02 * $E$1)</f>
        <v>97.02</v>
      </c>
      <c r="M4600" s="1">
        <v>118.36</v>
      </c>
      <c r="N4600" s="1">
        <v>97.02</v>
      </c>
      <c r="O4600" s="1">
        <v>100.61</v>
      </c>
      <c r="P4600" s="1">
        <v>82.47</v>
      </c>
      <c r="Q4600">
        <v>0.1</v>
      </c>
      <c r="R4600">
        <v>7.2000000000000005E-4</v>
      </c>
    </row>
    <row r="4601" spans="1:18" ht="13.8" outlineLevel="2" x14ac:dyDescent="0.25">
      <c r="A4601">
        <v>84805</v>
      </c>
      <c r="B4601" t="s">
        <v>6637</v>
      </c>
      <c r="C4601" t="s">
        <v>6710</v>
      </c>
      <c r="D4601" s="14" t="s">
        <v>6699</v>
      </c>
      <c r="E4601" s="12" t="s">
        <v>28</v>
      </c>
      <c r="F4601" s="13" t="s">
        <v>29</v>
      </c>
      <c r="G4601">
        <v>1</v>
      </c>
      <c r="H4601" t="s">
        <v>420</v>
      </c>
      <c r="I4601">
        <v>1</v>
      </c>
      <c r="J4601" s="15"/>
      <c r="K4601" s="16">
        <f>146.45 - (146.45 * $E$1)</f>
        <v>146.44999999999999</v>
      </c>
      <c r="L4601" s="16">
        <f>120.04 - (120.04 * $E$1)</f>
        <v>120.04</v>
      </c>
      <c r="M4601" s="1">
        <v>146.44999999999999</v>
      </c>
      <c r="N4601" s="1">
        <v>120.04</v>
      </c>
      <c r="O4601" s="1">
        <v>124.48</v>
      </c>
      <c r="P4601" s="1">
        <v>102.03</v>
      </c>
      <c r="Q4601">
        <v>0.11</v>
      </c>
      <c r="R4601">
        <v>6.6699999999999995E-4</v>
      </c>
    </row>
    <row r="4602" spans="1:18" ht="13.8" outlineLevel="2" x14ac:dyDescent="0.25">
      <c r="A4602">
        <v>87777</v>
      </c>
      <c r="B4602" t="s">
        <v>6637</v>
      </c>
      <c r="C4602" t="s">
        <v>6711</v>
      </c>
      <c r="D4602" s="14" t="s">
        <v>6699</v>
      </c>
      <c r="E4602" s="12" t="s">
        <v>28</v>
      </c>
      <c r="F4602" s="13" t="s">
        <v>29</v>
      </c>
      <c r="G4602">
        <v>1</v>
      </c>
      <c r="H4602" t="s">
        <v>420</v>
      </c>
      <c r="I4602">
        <v>1</v>
      </c>
      <c r="J4602" s="15"/>
      <c r="K4602" s="16">
        <f>179.82 - (179.82 * $E$1)</f>
        <v>179.82</v>
      </c>
      <c r="L4602" s="16">
        <f>147.39 - (147.39 * $E$1)</f>
        <v>147.38999999999999</v>
      </c>
      <c r="M4602" s="1">
        <v>179.82</v>
      </c>
      <c r="N4602" s="1">
        <v>147.38999999999999</v>
      </c>
      <c r="O4602" s="1">
        <v>152.84</v>
      </c>
      <c r="P4602" s="1">
        <v>125.28</v>
      </c>
      <c r="Q4602">
        <v>0.15</v>
      </c>
      <c r="R4602">
        <v>8.9099999999999997E-4</v>
      </c>
    </row>
    <row r="4603" spans="1:18" ht="13.8" outlineLevel="2" x14ac:dyDescent="0.25">
      <c r="A4603">
        <v>84806</v>
      </c>
      <c r="B4603" t="s">
        <v>6637</v>
      </c>
      <c r="C4603" t="s">
        <v>6712</v>
      </c>
      <c r="D4603" s="14" t="s">
        <v>6699</v>
      </c>
      <c r="E4603" s="12" t="s">
        <v>28</v>
      </c>
      <c r="F4603" s="13" t="s">
        <v>29</v>
      </c>
      <c r="G4603">
        <v>1</v>
      </c>
      <c r="H4603" t="s">
        <v>420</v>
      </c>
      <c r="I4603">
        <v>1</v>
      </c>
      <c r="J4603" s="15"/>
      <c r="K4603" s="16">
        <f>218.22 - (218.22 * $E$1)</f>
        <v>218.22</v>
      </c>
      <c r="L4603" s="16">
        <f>178.87 - (178.87 * $E$1)</f>
        <v>178.87</v>
      </c>
      <c r="M4603" s="1">
        <v>218.22</v>
      </c>
      <c r="N4603" s="1">
        <v>178.87</v>
      </c>
      <c r="O4603" s="1">
        <v>185.49</v>
      </c>
      <c r="P4603" s="1">
        <v>152.04</v>
      </c>
      <c r="Q4603">
        <v>0.17</v>
      </c>
      <c r="R4603">
        <v>1.176E-3</v>
      </c>
    </row>
    <row r="4604" spans="1:18" ht="13.8" outlineLevel="2" x14ac:dyDescent="0.25">
      <c r="A4604">
        <v>87778</v>
      </c>
      <c r="B4604" t="s">
        <v>6637</v>
      </c>
      <c r="C4604" t="s">
        <v>6713</v>
      </c>
      <c r="D4604" s="14" t="s">
        <v>6699</v>
      </c>
      <c r="E4604" s="12" t="s">
        <v>28</v>
      </c>
      <c r="F4604" s="13" t="s">
        <v>29</v>
      </c>
      <c r="G4604">
        <v>1</v>
      </c>
      <c r="H4604" t="s">
        <v>420</v>
      </c>
      <c r="I4604">
        <v>1</v>
      </c>
      <c r="J4604" s="15"/>
      <c r="K4604" s="16">
        <f>264.87 - (264.87 * $E$1)</f>
        <v>264.87</v>
      </c>
      <c r="L4604" s="16">
        <f>217.11 - (217.11 * $E$1)</f>
        <v>217.11</v>
      </c>
      <c r="M4604" s="1">
        <v>264.87</v>
      </c>
      <c r="N4604" s="1">
        <v>217.11</v>
      </c>
      <c r="O4604" s="1">
        <v>225.14</v>
      </c>
      <c r="P4604" s="1">
        <v>184.54</v>
      </c>
      <c r="Q4604">
        <v>0.22</v>
      </c>
      <c r="R4604">
        <v>1.7600000000000001E-3</v>
      </c>
    </row>
    <row r="4605" spans="1:18" ht="13.8" outlineLevel="2" x14ac:dyDescent="0.25">
      <c r="A4605">
        <v>84807</v>
      </c>
      <c r="B4605" t="s">
        <v>6637</v>
      </c>
      <c r="C4605" t="s">
        <v>6714</v>
      </c>
      <c r="D4605" s="14" t="s">
        <v>6699</v>
      </c>
      <c r="E4605" s="12" t="s">
        <v>28</v>
      </c>
      <c r="F4605" s="13" t="s">
        <v>29</v>
      </c>
      <c r="G4605">
        <v>1</v>
      </c>
      <c r="H4605" t="s">
        <v>420</v>
      </c>
      <c r="I4605">
        <v>1</v>
      </c>
      <c r="J4605" s="15"/>
      <c r="K4605" s="16">
        <f>322.65 - (322.65 * $E$1)</f>
        <v>322.64999999999998</v>
      </c>
      <c r="L4605" s="16">
        <f>264.47 - (264.47 * $E$1)</f>
        <v>264.47000000000003</v>
      </c>
      <c r="M4605" s="1">
        <v>322.64999999999998</v>
      </c>
      <c r="N4605" s="1">
        <v>264.47000000000003</v>
      </c>
      <c r="O4605" s="1">
        <v>274.26</v>
      </c>
      <c r="P4605" s="1">
        <v>224.8</v>
      </c>
      <c r="Q4605">
        <v>0.26</v>
      </c>
      <c r="R4605">
        <v>1.307E-3</v>
      </c>
    </row>
    <row r="4606" spans="1:18" ht="13.8" outlineLevel="2" x14ac:dyDescent="0.25">
      <c r="A4606">
        <v>87779</v>
      </c>
      <c r="B4606" t="s">
        <v>6637</v>
      </c>
      <c r="C4606" t="s">
        <v>6715</v>
      </c>
      <c r="D4606" s="14" t="s">
        <v>6699</v>
      </c>
      <c r="E4606" s="12" t="s">
        <v>28</v>
      </c>
      <c r="F4606" s="13" t="s">
        <v>29</v>
      </c>
      <c r="G4606">
        <v>1</v>
      </c>
      <c r="H4606" t="s">
        <v>420</v>
      </c>
      <c r="I4606">
        <v>1</v>
      </c>
      <c r="J4606" s="15"/>
      <c r="K4606" s="16">
        <f>368.81 - (368.81 * $E$1)</f>
        <v>368.81</v>
      </c>
      <c r="L4606" s="16">
        <f>302.3 - (302.3 * $E$1)</f>
        <v>302.3</v>
      </c>
      <c r="M4606" s="1">
        <v>368.81</v>
      </c>
      <c r="N4606" s="1">
        <v>302.3</v>
      </c>
      <c r="O4606" s="1">
        <v>313.49</v>
      </c>
      <c r="P4606" s="1">
        <v>256.95999999999998</v>
      </c>
      <c r="Q4606">
        <v>0.3</v>
      </c>
      <c r="R4606">
        <v>1.3799999999999999E-3</v>
      </c>
    </row>
    <row r="4607" spans="1:18" ht="13.8" outlineLevel="2" x14ac:dyDescent="0.25">
      <c r="A4607">
        <v>87780</v>
      </c>
      <c r="B4607" t="s">
        <v>6637</v>
      </c>
      <c r="C4607" t="s">
        <v>6716</v>
      </c>
      <c r="D4607" s="14" t="s">
        <v>6699</v>
      </c>
      <c r="E4607" s="12" t="s">
        <v>28</v>
      </c>
      <c r="F4607" s="13" t="s">
        <v>29</v>
      </c>
      <c r="G4607">
        <v>1</v>
      </c>
      <c r="H4607" t="s">
        <v>420</v>
      </c>
      <c r="I4607">
        <v>1</v>
      </c>
      <c r="J4607" s="15"/>
      <c r="K4607" s="16">
        <f>408 - (408 * $E$1)</f>
        <v>408</v>
      </c>
      <c r="L4607" s="16">
        <f>334.43 - (334.43 * $E$1)</f>
        <v>334.43</v>
      </c>
      <c r="M4607" s="1">
        <v>408</v>
      </c>
      <c r="N4607" s="1">
        <v>334.43</v>
      </c>
      <c r="O4607" s="1">
        <v>346.8</v>
      </c>
      <c r="P4607" s="1">
        <v>284.27</v>
      </c>
      <c r="Q4607">
        <v>0.33</v>
      </c>
      <c r="R4607">
        <v>2.3319999999999999E-3</v>
      </c>
    </row>
    <row r="4608" spans="1:18" ht="13.8" outlineLevel="2" x14ac:dyDescent="0.25">
      <c r="A4608">
        <v>85707</v>
      </c>
      <c r="B4608" t="s">
        <v>6637</v>
      </c>
      <c r="C4608" t="s">
        <v>6717</v>
      </c>
      <c r="D4608" s="14" t="s">
        <v>6699</v>
      </c>
      <c r="E4608" s="12" t="s">
        <v>28</v>
      </c>
      <c r="F4608" s="13" t="s">
        <v>29</v>
      </c>
      <c r="G4608">
        <v>1</v>
      </c>
      <c r="H4608" t="s">
        <v>420</v>
      </c>
      <c r="I4608">
        <v>1</v>
      </c>
      <c r="J4608" s="15"/>
      <c r="K4608" s="16">
        <f>432.22 - (432.22 * $E$1)</f>
        <v>432.22</v>
      </c>
      <c r="L4608" s="16">
        <f>354.28 - (354.28 * $E$1)</f>
        <v>354.28</v>
      </c>
      <c r="M4608" s="1">
        <v>432.22</v>
      </c>
      <c r="N4608" s="1">
        <v>354.28</v>
      </c>
      <c r="O4608" s="1">
        <v>367.39</v>
      </c>
      <c r="P4608" s="1">
        <v>301.14</v>
      </c>
      <c r="Q4608">
        <v>0.37</v>
      </c>
      <c r="R4608">
        <v>1.224E-3</v>
      </c>
    </row>
    <row r="4609" spans="1:18" ht="13.8" outlineLevel="2" x14ac:dyDescent="0.25">
      <c r="A4609">
        <v>89917</v>
      </c>
      <c r="B4609" t="s">
        <v>6637</v>
      </c>
      <c r="C4609" t="s">
        <v>6718</v>
      </c>
      <c r="D4609" s="14" t="s">
        <v>6699</v>
      </c>
      <c r="E4609" s="12" t="s">
        <v>28</v>
      </c>
      <c r="F4609" s="13" t="s">
        <v>29</v>
      </c>
      <c r="G4609">
        <v>1</v>
      </c>
      <c r="H4609" t="s">
        <v>420</v>
      </c>
      <c r="I4609">
        <v>1</v>
      </c>
      <c r="J4609" s="15"/>
      <c r="K4609" s="16">
        <f>527.69 - (527.69 * $E$1)</f>
        <v>527.69000000000005</v>
      </c>
      <c r="L4609" s="16">
        <f>432.53 - (432.53 * $E$1)</f>
        <v>432.53</v>
      </c>
      <c r="M4609" s="1">
        <v>527.69000000000005</v>
      </c>
      <c r="N4609" s="1">
        <v>432.53</v>
      </c>
      <c r="O4609" s="1">
        <v>448.53</v>
      </c>
      <c r="P4609" s="1">
        <v>367.65</v>
      </c>
      <c r="Q4609">
        <v>0.41</v>
      </c>
      <c r="R4609">
        <v>2.0799999999999998E-3</v>
      </c>
    </row>
    <row r="4610" spans="1:18" ht="13.8" outlineLevel="2" x14ac:dyDescent="0.25">
      <c r="A4610">
        <v>84808</v>
      </c>
      <c r="B4610" t="s">
        <v>6637</v>
      </c>
      <c r="C4610" t="s">
        <v>6719</v>
      </c>
      <c r="D4610" s="14" t="s">
        <v>6699</v>
      </c>
      <c r="E4610" s="12" t="s">
        <v>28</v>
      </c>
      <c r="F4610" s="13" t="s">
        <v>29</v>
      </c>
      <c r="G4610">
        <v>1</v>
      </c>
      <c r="H4610" t="s">
        <v>420</v>
      </c>
      <c r="I4610">
        <v>1</v>
      </c>
      <c r="J4610" s="15"/>
      <c r="K4610" s="16">
        <f>610.83 - (610.83 * $E$1)</f>
        <v>610.83000000000004</v>
      </c>
      <c r="L4610" s="16">
        <f>500.68 - (500.68 * $E$1)</f>
        <v>500.68</v>
      </c>
      <c r="M4610" s="1">
        <v>610.83000000000004</v>
      </c>
      <c r="N4610" s="1">
        <v>500.68</v>
      </c>
      <c r="O4610" s="1">
        <v>519.21</v>
      </c>
      <c r="P4610" s="1">
        <v>425.58</v>
      </c>
      <c r="Q4610">
        <v>0.51</v>
      </c>
      <c r="R4610">
        <v>1.4519999999999999E-3</v>
      </c>
    </row>
    <row r="4611" spans="1:18" ht="13.8" outlineLevel="2" x14ac:dyDescent="0.25">
      <c r="A4611">
        <v>89918</v>
      </c>
      <c r="B4611" t="s">
        <v>6637</v>
      </c>
      <c r="C4611" t="s">
        <v>6720</v>
      </c>
      <c r="D4611" s="14" t="s">
        <v>6699</v>
      </c>
      <c r="E4611" s="12" t="s">
        <v>28</v>
      </c>
      <c r="F4611" s="13" t="s">
        <v>29</v>
      </c>
      <c r="G4611">
        <v>1</v>
      </c>
      <c r="H4611" t="s">
        <v>420</v>
      </c>
      <c r="I4611">
        <v>1</v>
      </c>
      <c r="J4611" s="15"/>
      <c r="K4611" s="16">
        <f>711.92 - (711.92 * $E$1)</f>
        <v>711.92</v>
      </c>
      <c r="L4611" s="16">
        <f>583.54 - (583.54 * $E$1)</f>
        <v>583.54</v>
      </c>
      <c r="M4611" s="1">
        <v>711.92</v>
      </c>
      <c r="N4611" s="1">
        <v>583.54</v>
      </c>
      <c r="O4611" s="1">
        <v>605.13</v>
      </c>
      <c r="P4611" s="1">
        <v>496.01</v>
      </c>
      <c r="Q4611">
        <v>0.59</v>
      </c>
      <c r="R4611">
        <v>4.3200000000000001E-3</v>
      </c>
    </row>
    <row r="4612" spans="1:18" ht="13.8" outlineLevel="2" x14ac:dyDescent="0.25">
      <c r="A4612">
        <v>84809</v>
      </c>
      <c r="B4612" t="s">
        <v>6637</v>
      </c>
      <c r="C4612" t="s">
        <v>6721</v>
      </c>
      <c r="D4612" s="14" t="s">
        <v>6699</v>
      </c>
      <c r="E4612" s="12" t="s">
        <v>28</v>
      </c>
      <c r="F4612" s="13" t="s">
        <v>29</v>
      </c>
      <c r="G4612">
        <v>1</v>
      </c>
      <c r="H4612" t="s">
        <v>420</v>
      </c>
      <c r="I4612">
        <v>1</v>
      </c>
      <c r="J4612" s="15"/>
      <c r="K4612" s="16">
        <f>738.65 - (738.65 * $E$1)</f>
        <v>738.65</v>
      </c>
      <c r="L4612" s="16">
        <f>605.45 - (605.45 * $E$1)</f>
        <v>605.45000000000005</v>
      </c>
      <c r="M4612" s="1">
        <v>738.65</v>
      </c>
      <c r="N4612" s="1">
        <v>605.45000000000005</v>
      </c>
      <c r="O4612" s="1">
        <v>627.85</v>
      </c>
      <c r="P4612" s="1">
        <v>514.63</v>
      </c>
      <c r="Q4612">
        <v>0.66</v>
      </c>
      <c r="R4612">
        <v>4.8799999999999998E-3</v>
      </c>
    </row>
    <row r="4613" spans="1:18" ht="13.8" outlineLevel="2" x14ac:dyDescent="0.25">
      <c r="A4613">
        <v>89919</v>
      </c>
      <c r="B4613" t="s">
        <v>6637</v>
      </c>
      <c r="C4613" t="s">
        <v>6722</v>
      </c>
      <c r="D4613" s="14" t="s">
        <v>6699</v>
      </c>
      <c r="E4613" s="12" t="s">
        <v>28</v>
      </c>
      <c r="F4613" s="13" t="s">
        <v>29</v>
      </c>
      <c r="G4613">
        <v>1</v>
      </c>
      <c r="H4613" t="s">
        <v>420</v>
      </c>
      <c r="I4613">
        <v>1</v>
      </c>
      <c r="J4613" s="15"/>
      <c r="K4613" s="16">
        <f>1267.4 - (1267.4 * $E$1)</f>
        <v>1267.4000000000001</v>
      </c>
      <c r="L4613" s="16">
        <f>1038.85 - (1038.85 * $E$1)</f>
        <v>1038.8499999999999</v>
      </c>
      <c r="M4613" s="1">
        <v>1267.4000000000001</v>
      </c>
      <c r="N4613" s="1">
        <v>1038.8499999999999</v>
      </c>
      <c r="O4613" s="1">
        <v>1077.29</v>
      </c>
      <c r="P4613" s="1">
        <v>883.02</v>
      </c>
      <c r="Q4613">
        <v>1.05</v>
      </c>
      <c r="R4613">
        <v>5.9249999999999997E-3</v>
      </c>
    </row>
    <row r="4614" spans="1:18" ht="13.8" outlineLevel="2" x14ac:dyDescent="0.25">
      <c r="A4614">
        <v>89920</v>
      </c>
      <c r="B4614" t="s">
        <v>6637</v>
      </c>
      <c r="C4614" t="s">
        <v>6723</v>
      </c>
      <c r="D4614" s="14" t="s">
        <v>6699</v>
      </c>
      <c r="E4614" s="12" t="s">
        <v>28</v>
      </c>
      <c r="F4614" s="13" t="s">
        <v>29</v>
      </c>
      <c r="G4614">
        <v>1</v>
      </c>
      <c r="H4614" t="s">
        <v>420</v>
      </c>
      <c r="I4614">
        <v>1</v>
      </c>
      <c r="J4614" s="15"/>
      <c r="K4614" s="16">
        <f>1138.81 - (1138.81 * $E$1)</f>
        <v>1138.81</v>
      </c>
      <c r="L4614" s="16">
        <f>933.45 - (933.45 * $E$1)</f>
        <v>933.45</v>
      </c>
      <c r="M4614" s="1">
        <v>1138.81</v>
      </c>
      <c r="N4614" s="1">
        <v>933.45</v>
      </c>
      <c r="O4614" s="1">
        <v>967.99</v>
      </c>
      <c r="P4614" s="1">
        <v>793.43</v>
      </c>
      <c r="Q4614">
        <v>0.97</v>
      </c>
      <c r="R4614">
        <v>4.1250000000000002E-3</v>
      </c>
    </row>
    <row r="4615" spans="1:18" ht="13.8" outlineLevel="2" x14ac:dyDescent="0.25">
      <c r="A4615">
        <v>84810</v>
      </c>
      <c r="B4615" t="s">
        <v>6637</v>
      </c>
      <c r="C4615" t="s">
        <v>6724</v>
      </c>
      <c r="D4615" s="14" t="s">
        <v>6699</v>
      </c>
      <c r="E4615" s="12" t="s">
        <v>28</v>
      </c>
      <c r="F4615" s="13" t="s">
        <v>29</v>
      </c>
      <c r="G4615">
        <v>1</v>
      </c>
      <c r="H4615" t="s">
        <v>420</v>
      </c>
      <c r="I4615">
        <v>1</v>
      </c>
      <c r="J4615" s="15"/>
      <c r="K4615" s="16">
        <f>1665.31 - (1665.31 * $E$1)</f>
        <v>1665.31</v>
      </c>
      <c r="L4615" s="16">
        <f>1365.01 - (1365.01 * $E$1)</f>
        <v>1365.01</v>
      </c>
      <c r="M4615" s="1">
        <v>1665.31</v>
      </c>
      <c r="N4615" s="1">
        <v>1365.01</v>
      </c>
      <c r="O4615" s="1">
        <v>1415.52</v>
      </c>
      <c r="P4615" s="1">
        <v>1160.26</v>
      </c>
      <c r="Q4615">
        <v>1.3</v>
      </c>
      <c r="R4615">
        <v>8.8739999999999999E-3</v>
      </c>
    </row>
    <row r="4616" spans="1:18" ht="13.8" outlineLevel="2" x14ac:dyDescent="0.25">
      <c r="A4616">
        <v>89921</v>
      </c>
      <c r="B4616" t="s">
        <v>6637</v>
      </c>
      <c r="C4616" t="s">
        <v>6725</v>
      </c>
      <c r="D4616" s="14" t="s">
        <v>6699</v>
      </c>
      <c r="E4616" s="12" t="s">
        <v>28</v>
      </c>
      <c r="F4616" s="13" t="s">
        <v>29</v>
      </c>
      <c r="G4616">
        <v>1</v>
      </c>
      <c r="H4616" t="s">
        <v>420</v>
      </c>
      <c r="I4616">
        <v>1</v>
      </c>
      <c r="J4616" s="15"/>
      <c r="K4616" s="16">
        <f>2357.32 - (2357.32 * $E$1)</f>
        <v>2357.3200000000002</v>
      </c>
      <c r="L4616" s="16">
        <f>1932.23 - (1932.23 * $E$1)</f>
        <v>1932.23</v>
      </c>
      <c r="M4616" s="1">
        <v>2357.3200000000002</v>
      </c>
      <c r="N4616" s="1">
        <v>1932.23</v>
      </c>
      <c r="O4616" s="1">
        <v>2003.72</v>
      </c>
      <c r="P4616" s="1">
        <v>1642.4</v>
      </c>
      <c r="Q4616">
        <v>1.75</v>
      </c>
      <c r="R4616">
        <v>0.105</v>
      </c>
    </row>
    <row r="4617" spans="1:18" ht="13.8" outlineLevel="2" x14ac:dyDescent="0.25">
      <c r="A4617">
        <v>50275</v>
      </c>
      <c r="B4617" t="s">
        <v>6637</v>
      </c>
      <c r="C4617" t="s">
        <v>6726</v>
      </c>
      <c r="D4617" s="14" t="s">
        <v>6727</v>
      </c>
      <c r="E4617" s="12" t="s">
        <v>28</v>
      </c>
      <c r="F4617" s="13" t="s">
        <v>29</v>
      </c>
      <c r="G4617">
        <v>1</v>
      </c>
      <c r="H4617" t="s">
        <v>420</v>
      </c>
      <c r="I4617">
        <v>1</v>
      </c>
      <c r="J4617" s="15"/>
      <c r="K4617" s="16">
        <f>34.21 - (34.21 * $E$1)</f>
        <v>34.21</v>
      </c>
      <c r="L4617" s="16">
        <f>28.04 - (28.04 * $E$1)</f>
        <v>28.04</v>
      </c>
      <c r="M4617" s="1">
        <v>34.21</v>
      </c>
      <c r="N4617" s="1">
        <v>28.04</v>
      </c>
      <c r="O4617" s="1">
        <v>29.08</v>
      </c>
      <c r="P4617" s="1">
        <v>23.83</v>
      </c>
      <c r="Q4617">
        <v>2.6599999999999999E-2</v>
      </c>
      <c r="R4617">
        <v>1.9100000000000001E-4</v>
      </c>
    </row>
    <row r="4618" spans="1:18" ht="13.8" outlineLevel="2" x14ac:dyDescent="0.25">
      <c r="A4618">
        <v>49406</v>
      </c>
      <c r="B4618" t="s">
        <v>6637</v>
      </c>
      <c r="C4618" t="s">
        <v>6728</v>
      </c>
      <c r="D4618" s="14" t="s">
        <v>6727</v>
      </c>
      <c r="E4618" s="12" t="s">
        <v>28</v>
      </c>
      <c r="F4618" s="13" t="s">
        <v>29</v>
      </c>
      <c r="G4618">
        <v>1</v>
      </c>
      <c r="H4618" t="s">
        <v>420</v>
      </c>
      <c r="I4618">
        <v>1</v>
      </c>
      <c r="J4618" s="15"/>
      <c r="K4618" s="16">
        <f>50.43 - (50.43 * $E$1)</f>
        <v>50.43</v>
      </c>
      <c r="L4618" s="16">
        <f>41.34 - (41.34 * $E$1)</f>
        <v>41.34</v>
      </c>
      <c r="M4618" s="1">
        <v>50.43</v>
      </c>
      <c r="N4618" s="1">
        <v>41.34</v>
      </c>
      <c r="O4618" s="1">
        <v>42.87</v>
      </c>
      <c r="P4618" s="1">
        <v>35.14</v>
      </c>
      <c r="Q4618">
        <v>0.03</v>
      </c>
      <c r="R4618">
        <v>9.6000000000000002E-5</v>
      </c>
    </row>
    <row r="4619" spans="1:18" ht="13.8" outlineLevel="2" x14ac:dyDescent="0.25">
      <c r="A4619">
        <v>49407</v>
      </c>
      <c r="B4619" t="s">
        <v>6637</v>
      </c>
      <c r="C4619" t="s">
        <v>6729</v>
      </c>
      <c r="D4619" s="14" t="s">
        <v>6727</v>
      </c>
      <c r="E4619" s="12" t="s">
        <v>28</v>
      </c>
      <c r="F4619" s="13" t="s">
        <v>29</v>
      </c>
      <c r="G4619">
        <v>1</v>
      </c>
      <c r="H4619" t="s">
        <v>420</v>
      </c>
      <c r="I4619">
        <v>1</v>
      </c>
      <c r="J4619" s="15"/>
      <c r="K4619" s="16">
        <f>57.95 - (57.95 * $E$1)</f>
        <v>57.95</v>
      </c>
      <c r="L4619" s="16">
        <f>47.5 - (47.5 * $E$1)</f>
        <v>47.5</v>
      </c>
      <c r="M4619" s="1">
        <v>57.95</v>
      </c>
      <c r="N4619" s="1">
        <v>47.5</v>
      </c>
      <c r="O4619" s="1">
        <v>49.26</v>
      </c>
      <c r="P4619" s="1">
        <v>40.380000000000003</v>
      </c>
      <c r="Q4619">
        <v>0.04</v>
      </c>
      <c r="R4619">
        <v>1E-4</v>
      </c>
    </row>
    <row r="4620" spans="1:18" ht="13.8" outlineLevel="2" x14ac:dyDescent="0.25">
      <c r="A4620">
        <v>49408</v>
      </c>
      <c r="B4620" t="s">
        <v>6637</v>
      </c>
      <c r="C4620" t="s">
        <v>6730</v>
      </c>
      <c r="D4620" s="14" t="s">
        <v>6727</v>
      </c>
      <c r="E4620" s="12" t="s">
        <v>28</v>
      </c>
      <c r="F4620" s="13" t="s">
        <v>29</v>
      </c>
      <c r="G4620">
        <v>1</v>
      </c>
      <c r="H4620" t="s">
        <v>420</v>
      </c>
      <c r="I4620">
        <v>1</v>
      </c>
      <c r="J4620" s="15"/>
      <c r="K4620" s="16">
        <f>71.98 - (71.98 * $E$1)</f>
        <v>71.98</v>
      </c>
      <c r="L4620" s="16">
        <f>59 - (59 * $E$1)</f>
        <v>59</v>
      </c>
      <c r="M4620" s="1">
        <v>71.98</v>
      </c>
      <c r="N4620" s="1">
        <v>59</v>
      </c>
      <c r="O4620" s="1">
        <v>61.18</v>
      </c>
      <c r="P4620" s="1">
        <v>50.15</v>
      </c>
      <c r="Q4620">
        <v>0.04</v>
      </c>
      <c r="R4620">
        <v>1.3999999999999999E-4</v>
      </c>
    </row>
    <row r="4621" spans="1:18" ht="13.8" outlineLevel="2" x14ac:dyDescent="0.25">
      <c r="A4621">
        <v>49409</v>
      </c>
      <c r="B4621" t="s">
        <v>6637</v>
      </c>
      <c r="C4621" t="s">
        <v>6731</v>
      </c>
      <c r="D4621" s="14" t="s">
        <v>6727</v>
      </c>
      <c r="E4621" s="12" t="s">
        <v>28</v>
      </c>
      <c r="F4621" s="13" t="s">
        <v>29</v>
      </c>
      <c r="G4621">
        <v>1</v>
      </c>
      <c r="H4621" t="s">
        <v>420</v>
      </c>
      <c r="I4621">
        <v>1</v>
      </c>
      <c r="J4621" s="15"/>
      <c r="K4621" s="16">
        <f>98.86 - (98.86 * $E$1)</f>
        <v>98.86</v>
      </c>
      <c r="L4621" s="16">
        <f>81.03 - (81.03 * $E$1)</f>
        <v>81.03</v>
      </c>
      <c r="M4621" s="1">
        <v>98.86</v>
      </c>
      <c r="N4621" s="1">
        <v>81.03</v>
      </c>
      <c r="O4621" s="1">
        <v>84.03</v>
      </c>
      <c r="P4621" s="1">
        <v>68.88</v>
      </c>
      <c r="Q4621">
        <v>0.06</v>
      </c>
      <c r="R4621">
        <v>2.32E-4</v>
      </c>
    </row>
    <row r="4622" spans="1:18" ht="13.8" outlineLevel="2" x14ac:dyDescent="0.25">
      <c r="A4622">
        <v>89903</v>
      </c>
      <c r="B4622" t="s">
        <v>6637</v>
      </c>
      <c r="C4622" t="s">
        <v>6732</v>
      </c>
      <c r="D4622" s="14" t="s">
        <v>6727</v>
      </c>
      <c r="E4622" s="12" t="s">
        <v>28</v>
      </c>
      <c r="F4622" s="13" t="s">
        <v>29</v>
      </c>
      <c r="G4622">
        <v>1</v>
      </c>
      <c r="H4622" t="s">
        <v>420</v>
      </c>
      <c r="I4622">
        <v>1</v>
      </c>
      <c r="J4622" s="15"/>
      <c r="K4622" s="16">
        <f>156.2 - (156.2 * $E$1)</f>
        <v>156.19999999999999</v>
      </c>
      <c r="L4622" s="16">
        <f>128.03 - (128.03 * $E$1)</f>
        <v>128.03</v>
      </c>
      <c r="M4622" s="1">
        <v>156.19999999999999</v>
      </c>
      <c r="N4622" s="1">
        <v>128.03</v>
      </c>
      <c r="O4622" s="1">
        <v>132.77000000000001</v>
      </c>
      <c r="P4622" s="1">
        <v>108.83</v>
      </c>
      <c r="Q4622">
        <v>9.5000000000000001E-2</v>
      </c>
      <c r="R4622">
        <v>5.0699999999999996E-4</v>
      </c>
    </row>
    <row r="4623" spans="1:18" ht="13.8" outlineLevel="2" x14ac:dyDescent="0.25">
      <c r="A4623">
        <v>89904</v>
      </c>
      <c r="B4623" t="s">
        <v>6637</v>
      </c>
      <c r="C4623" t="s">
        <v>6733</v>
      </c>
      <c r="D4623" s="14" t="s">
        <v>6727</v>
      </c>
      <c r="E4623" s="12" t="s">
        <v>28</v>
      </c>
      <c r="F4623" s="13" t="s">
        <v>29</v>
      </c>
      <c r="G4623">
        <v>1</v>
      </c>
      <c r="H4623" t="s">
        <v>420</v>
      </c>
      <c r="I4623">
        <v>1</v>
      </c>
      <c r="J4623" s="15"/>
      <c r="K4623" s="16">
        <f>85.03 - (85.03 * $E$1)</f>
        <v>85.03</v>
      </c>
      <c r="L4623" s="16">
        <f>69.7 - (69.7 * $E$1)</f>
        <v>69.7</v>
      </c>
      <c r="M4623" s="1">
        <v>85.03</v>
      </c>
      <c r="N4623" s="1">
        <v>69.7</v>
      </c>
      <c r="O4623" s="1">
        <v>72.28</v>
      </c>
      <c r="P4623" s="1">
        <v>59.25</v>
      </c>
      <c r="Q4623">
        <v>9.4E-2</v>
      </c>
      <c r="R4623">
        <v>3.7800000000000003E-4</v>
      </c>
    </row>
    <row r="4624" spans="1:18" ht="13.8" outlineLevel="2" x14ac:dyDescent="0.25">
      <c r="A4624">
        <v>49410</v>
      </c>
      <c r="B4624" t="s">
        <v>6637</v>
      </c>
      <c r="C4624" t="s">
        <v>6734</v>
      </c>
      <c r="D4624" s="14" t="s">
        <v>6727</v>
      </c>
      <c r="E4624" s="12" t="s">
        <v>28</v>
      </c>
      <c r="F4624" s="13" t="s">
        <v>29</v>
      </c>
      <c r="G4624">
        <v>1</v>
      </c>
      <c r="H4624" t="s">
        <v>420</v>
      </c>
      <c r="I4624">
        <v>1</v>
      </c>
      <c r="J4624" s="15"/>
      <c r="K4624" s="16">
        <f>112.39 - (112.39 * $E$1)</f>
        <v>112.39</v>
      </c>
      <c r="L4624" s="16">
        <f>92.12 - (92.12 * $E$1)</f>
        <v>92.12</v>
      </c>
      <c r="M4624" s="1">
        <v>112.39</v>
      </c>
      <c r="N4624" s="1">
        <v>92.12</v>
      </c>
      <c r="O4624" s="1">
        <v>95.53</v>
      </c>
      <c r="P4624" s="1">
        <v>78.3</v>
      </c>
      <c r="Q4624">
        <v>7.0000000000000007E-2</v>
      </c>
      <c r="R4624">
        <v>3.4000000000000002E-4</v>
      </c>
    </row>
    <row r="4625" spans="1:18" ht="13.8" outlineLevel="2" x14ac:dyDescent="0.25">
      <c r="A4625">
        <v>49411</v>
      </c>
      <c r="B4625" t="s">
        <v>6637</v>
      </c>
      <c r="C4625" t="s">
        <v>6735</v>
      </c>
      <c r="D4625" s="14" t="s">
        <v>6727</v>
      </c>
      <c r="E4625" s="12" t="s">
        <v>28</v>
      </c>
      <c r="F4625" s="13" t="s">
        <v>29</v>
      </c>
      <c r="G4625">
        <v>1</v>
      </c>
      <c r="H4625" t="s">
        <v>420</v>
      </c>
      <c r="I4625">
        <v>1</v>
      </c>
      <c r="J4625" s="15"/>
      <c r="K4625" s="16">
        <f>156.47 - (156.47 * $E$1)</f>
        <v>156.47</v>
      </c>
      <c r="L4625" s="16">
        <f>128.25 - (128.25 * $E$1)</f>
        <v>128.25</v>
      </c>
      <c r="M4625" s="1">
        <v>156.47</v>
      </c>
      <c r="N4625" s="1">
        <v>128.25</v>
      </c>
      <c r="O4625" s="1">
        <v>133</v>
      </c>
      <c r="P4625" s="1">
        <v>109.01</v>
      </c>
      <c r="Q4625">
        <v>0.09</v>
      </c>
      <c r="R4625">
        <v>4.6200000000000001E-4</v>
      </c>
    </row>
    <row r="4626" spans="1:18" ht="13.8" outlineLevel="2" x14ac:dyDescent="0.25">
      <c r="A4626">
        <v>49412</v>
      </c>
      <c r="B4626" t="s">
        <v>6637</v>
      </c>
      <c r="C4626" t="s">
        <v>6736</v>
      </c>
      <c r="D4626" s="14" t="s">
        <v>6727</v>
      </c>
      <c r="E4626" s="12" t="s">
        <v>28</v>
      </c>
      <c r="F4626" s="13" t="s">
        <v>29</v>
      </c>
      <c r="G4626">
        <v>1</v>
      </c>
      <c r="H4626" t="s">
        <v>420</v>
      </c>
      <c r="I4626">
        <v>1</v>
      </c>
      <c r="J4626" s="15"/>
      <c r="K4626" s="16">
        <f>202.11 - (202.11 * $E$1)</f>
        <v>202.11</v>
      </c>
      <c r="L4626" s="16">
        <f>165.66 - (165.66 * $E$1)</f>
        <v>165.66</v>
      </c>
      <c r="M4626" s="1">
        <v>202.11</v>
      </c>
      <c r="N4626" s="1">
        <v>165.66</v>
      </c>
      <c r="O4626" s="1">
        <v>171.79</v>
      </c>
      <c r="P4626" s="1">
        <v>140.81</v>
      </c>
      <c r="Q4626">
        <v>0.12</v>
      </c>
      <c r="R4626">
        <v>6.1600000000000001E-4</v>
      </c>
    </row>
    <row r="4627" spans="1:18" ht="13.8" outlineLevel="2" x14ac:dyDescent="0.25">
      <c r="A4627">
        <v>49413</v>
      </c>
      <c r="B4627" t="s">
        <v>6637</v>
      </c>
      <c r="C4627" t="s">
        <v>6737</v>
      </c>
      <c r="D4627" s="14" t="s">
        <v>6727</v>
      </c>
      <c r="E4627" s="12" t="s">
        <v>28</v>
      </c>
      <c r="F4627" s="13" t="s">
        <v>29</v>
      </c>
      <c r="G4627">
        <v>1</v>
      </c>
      <c r="H4627" t="s">
        <v>420</v>
      </c>
      <c r="I4627">
        <v>1</v>
      </c>
      <c r="J4627" s="15"/>
      <c r="K4627" s="16">
        <f>235.75 - (235.75 * $E$1)</f>
        <v>235.75</v>
      </c>
      <c r="L4627" s="16">
        <f>193.24 - (193.24 * $E$1)</f>
        <v>193.24</v>
      </c>
      <c r="M4627" s="1">
        <v>235.75</v>
      </c>
      <c r="N4627" s="1">
        <v>193.24</v>
      </c>
      <c r="O4627" s="1">
        <v>200.39</v>
      </c>
      <c r="P4627" s="1">
        <v>164.25</v>
      </c>
      <c r="Q4627">
        <v>0.13</v>
      </c>
      <c r="R4627">
        <v>7.0600000000000003E-4</v>
      </c>
    </row>
    <row r="4628" spans="1:18" ht="13.8" outlineLevel="2" x14ac:dyDescent="0.25">
      <c r="A4628">
        <v>49414</v>
      </c>
      <c r="B4628" t="s">
        <v>6637</v>
      </c>
      <c r="C4628" t="s">
        <v>6738</v>
      </c>
      <c r="D4628" s="14" t="s">
        <v>6727</v>
      </c>
      <c r="E4628" s="12" t="s">
        <v>28</v>
      </c>
      <c r="F4628" s="13" t="s">
        <v>29</v>
      </c>
      <c r="G4628">
        <v>1</v>
      </c>
      <c r="H4628" t="s">
        <v>420</v>
      </c>
      <c r="I4628">
        <v>1</v>
      </c>
      <c r="J4628" s="15"/>
      <c r="K4628" s="16">
        <f>291.02 - (291.02 * $E$1)</f>
        <v>291.02</v>
      </c>
      <c r="L4628" s="16">
        <f>238.54 - (238.54 * $E$1)</f>
        <v>238.54</v>
      </c>
      <c r="M4628" s="1">
        <v>291.02</v>
      </c>
      <c r="N4628" s="1">
        <v>238.54</v>
      </c>
      <c r="O4628" s="1">
        <v>247.37</v>
      </c>
      <c r="P4628" s="1">
        <v>202.76</v>
      </c>
      <c r="Q4628">
        <v>0.16</v>
      </c>
      <c r="R4628">
        <v>9.1100000000000003E-4</v>
      </c>
    </row>
    <row r="4629" spans="1:18" ht="13.8" outlineLevel="2" x14ac:dyDescent="0.25">
      <c r="A4629">
        <v>89905</v>
      </c>
      <c r="B4629" t="s">
        <v>6637</v>
      </c>
      <c r="C4629" t="s">
        <v>6739</v>
      </c>
      <c r="D4629" s="14" t="s">
        <v>6727</v>
      </c>
      <c r="E4629" s="12" t="s">
        <v>28</v>
      </c>
      <c r="F4629" s="13" t="s">
        <v>29</v>
      </c>
      <c r="G4629">
        <v>1</v>
      </c>
      <c r="H4629" t="s">
        <v>420</v>
      </c>
      <c r="I4629">
        <v>1</v>
      </c>
      <c r="J4629" s="15"/>
      <c r="K4629" s="16">
        <f>172 - (172 * $E$1)</f>
        <v>172</v>
      </c>
      <c r="L4629" s="16">
        <f>140.98 - (140.98 * $E$1)</f>
        <v>140.97999999999999</v>
      </c>
      <c r="M4629" s="1">
        <v>172</v>
      </c>
      <c r="N4629" s="1">
        <v>140.97999999999999</v>
      </c>
      <c r="O4629" s="1">
        <v>146.19999999999999</v>
      </c>
      <c r="P4629" s="1">
        <v>119.83</v>
      </c>
      <c r="Q4629">
        <v>0.1</v>
      </c>
      <c r="R4629">
        <v>7.2000000000000005E-4</v>
      </c>
    </row>
    <row r="4630" spans="1:18" ht="13.8" outlineLevel="2" x14ac:dyDescent="0.25">
      <c r="A4630">
        <v>49415</v>
      </c>
      <c r="B4630" t="s">
        <v>6637</v>
      </c>
      <c r="C4630" t="s">
        <v>6740</v>
      </c>
      <c r="D4630" s="14" t="s">
        <v>6727</v>
      </c>
      <c r="E4630" s="12" t="s">
        <v>28</v>
      </c>
      <c r="F4630" s="13" t="s">
        <v>29</v>
      </c>
      <c r="G4630">
        <v>1</v>
      </c>
      <c r="H4630" t="s">
        <v>420</v>
      </c>
      <c r="I4630">
        <v>1</v>
      </c>
      <c r="J4630" s="15"/>
      <c r="K4630" s="16">
        <f>206.17 - (206.17 * $E$1)</f>
        <v>206.17</v>
      </c>
      <c r="L4630" s="16">
        <f>168.99 - (168.99 * $E$1)</f>
        <v>168.99</v>
      </c>
      <c r="M4630" s="1">
        <v>206.17</v>
      </c>
      <c r="N4630" s="1">
        <v>168.99</v>
      </c>
      <c r="O4630" s="1">
        <v>175.24</v>
      </c>
      <c r="P4630" s="1">
        <v>143.63999999999999</v>
      </c>
      <c r="Q4630">
        <v>0.11</v>
      </c>
      <c r="R4630">
        <v>6.6699999999999995E-4</v>
      </c>
    </row>
    <row r="4631" spans="1:18" ht="13.8" outlineLevel="2" x14ac:dyDescent="0.25">
      <c r="A4631">
        <v>49416</v>
      </c>
      <c r="B4631" t="s">
        <v>6637</v>
      </c>
      <c r="C4631" t="s">
        <v>6741</v>
      </c>
      <c r="D4631" s="14" t="s">
        <v>6727</v>
      </c>
      <c r="E4631" s="12" t="s">
        <v>28</v>
      </c>
      <c r="F4631" s="13" t="s">
        <v>29</v>
      </c>
      <c r="G4631">
        <v>1</v>
      </c>
      <c r="H4631" t="s">
        <v>420</v>
      </c>
      <c r="I4631">
        <v>1</v>
      </c>
      <c r="J4631" s="15"/>
      <c r="K4631" s="16">
        <f>259.38 - (259.38 * $E$1)</f>
        <v>259.38</v>
      </c>
      <c r="L4631" s="16">
        <f>212.61 - (212.61 * $E$1)</f>
        <v>212.61</v>
      </c>
      <c r="M4631" s="1">
        <v>259.38</v>
      </c>
      <c r="N4631" s="1">
        <v>212.61</v>
      </c>
      <c r="O4631" s="1">
        <v>220.48</v>
      </c>
      <c r="P4631" s="1">
        <v>180.72</v>
      </c>
      <c r="Q4631">
        <v>0.15</v>
      </c>
      <c r="R4631">
        <v>8.2200000000000003E-4</v>
      </c>
    </row>
    <row r="4632" spans="1:18" ht="13.8" outlineLevel="2" x14ac:dyDescent="0.25">
      <c r="A4632">
        <v>49417</v>
      </c>
      <c r="B4632" t="s">
        <v>6637</v>
      </c>
      <c r="C4632" t="s">
        <v>6742</v>
      </c>
      <c r="D4632" s="14" t="s">
        <v>6727</v>
      </c>
      <c r="E4632" s="12" t="s">
        <v>28</v>
      </c>
      <c r="F4632" s="13" t="s">
        <v>29</v>
      </c>
      <c r="G4632">
        <v>1</v>
      </c>
      <c r="H4632" t="s">
        <v>420</v>
      </c>
      <c r="I4632">
        <v>1</v>
      </c>
      <c r="J4632" s="15"/>
      <c r="K4632" s="16">
        <f>318.71 - (318.71 * $E$1)</f>
        <v>318.70999999999998</v>
      </c>
      <c r="L4632" s="16">
        <f>261.24 - (261.24 * $E$1)</f>
        <v>261.24</v>
      </c>
      <c r="M4632" s="1">
        <v>318.70999999999998</v>
      </c>
      <c r="N4632" s="1">
        <v>261.24</v>
      </c>
      <c r="O4632" s="1">
        <v>270.91000000000003</v>
      </c>
      <c r="P4632" s="1">
        <v>222.05</v>
      </c>
      <c r="Q4632">
        <v>0.17</v>
      </c>
      <c r="R4632">
        <v>1.176E-3</v>
      </c>
    </row>
    <row r="4633" spans="1:18" ht="13.8" outlineLevel="2" x14ac:dyDescent="0.25">
      <c r="A4633">
        <v>49418</v>
      </c>
      <c r="B4633" t="s">
        <v>6637</v>
      </c>
      <c r="C4633" t="s">
        <v>6743</v>
      </c>
      <c r="D4633" s="14" t="s">
        <v>6727</v>
      </c>
      <c r="E4633" s="12" t="s">
        <v>28</v>
      </c>
      <c r="F4633" s="13" t="s">
        <v>29</v>
      </c>
      <c r="G4633">
        <v>1</v>
      </c>
      <c r="H4633" t="s">
        <v>420</v>
      </c>
      <c r="I4633">
        <v>1</v>
      </c>
      <c r="J4633" s="15"/>
      <c r="K4633" s="16">
        <f>382.93 - (382.93 * $E$1)</f>
        <v>382.93</v>
      </c>
      <c r="L4633" s="16">
        <f>313.88 - (313.88 * $E$1)</f>
        <v>313.88</v>
      </c>
      <c r="M4633" s="1">
        <v>382.93</v>
      </c>
      <c r="N4633" s="1">
        <v>313.88</v>
      </c>
      <c r="O4633" s="1">
        <v>325.49</v>
      </c>
      <c r="P4633" s="1">
        <v>266.8</v>
      </c>
      <c r="Q4633">
        <v>0.22</v>
      </c>
      <c r="R4633">
        <v>1.1659999999999999E-3</v>
      </c>
    </row>
    <row r="4634" spans="1:18" ht="13.8" outlineLevel="2" x14ac:dyDescent="0.25">
      <c r="A4634">
        <v>49790</v>
      </c>
      <c r="B4634" t="s">
        <v>6637</v>
      </c>
      <c r="C4634" t="s">
        <v>6744</v>
      </c>
      <c r="D4634" s="14" t="s">
        <v>6727</v>
      </c>
      <c r="E4634" s="12" t="s">
        <v>28</v>
      </c>
      <c r="F4634" s="13" t="s">
        <v>29</v>
      </c>
      <c r="G4634">
        <v>1</v>
      </c>
      <c r="H4634" t="s">
        <v>420</v>
      </c>
      <c r="I4634">
        <v>1</v>
      </c>
      <c r="J4634" s="15"/>
      <c r="K4634" s="16">
        <f>455.58 - (455.58 * $E$1)</f>
        <v>455.58</v>
      </c>
      <c r="L4634" s="16">
        <f>373.43 - (373.43 * $E$1)</f>
        <v>373.43</v>
      </c>
      <c r="M4634" s="1">
        <v>455.58</v>
      </c>
      <c r="N4634" s="1">
        <v>373.43</v>
      </c>
      <c r="O4634" s="1">
        <v>387.25</v>
      </c>
      <c r="P4634" s="1">
        <v>317.42</v>
      </c>
      <c r="Q4634">
        <v>0.26</v>
      </c>
      <c r="R4634">
        <v>1.307E-3</v>
      </c>
    </row>
    <row r="4635" spans="1:18" ht="13.8" outlineLevel="2" x14ac:dyDescent="0.25">
      <c r="A4635">
        <v>49791</v>
      </c>
      <c r="B4635" t="s">
        <v>6637</v>
      </c>
      <c r="C4635" t="s">
        <v>6745</v>
      </c>
      <c r="D4635" s="14" t="s">
        <v>6727</v>
      </c>
      <c r="E4635" s="12" t="s">
        <v>28</v>
      </c>
      <c r="F4635" s="13" t="s">
        <v>29</v>
      </c>
      <c r="G4635">
        <v>1</v>
      </c>
      <c r="H4635" t="s">
        <v>420</v>
      </c>
      <c r="I4635">
        <v>1</v>
      </c>
      <c r="J4635" s="15"/>
      <c r="K4635" s="16">
        <f>529.27 - (529.27 * $E$1)</f>
        <v>529.27</v>
      </c>
      <c r="L4635" s="16">
        <f>433.83 - (433.83 * $E$1)</f>
        <v>433.83</v>
      </c>
      <c r="M4635" s="1">
        <v>529.27</v>
      </c>
      <c r="N4635" s="1">
        <v>433.83</v>
      </c>
      <c r="O4635" s="1">
        <v>449.88</v>
      </c>
      <c r="P4635" s="1">
        <v>368.76</v>
      </c>
      <c r="Q4635">
        <v>0.3</v>
      </c>
      <c r="R4635">
        <v>1.3799999999999999E-3</v>
      </c>
    </row>
    <row r="4636" spans="1:18" ht="13.8" outlineLevel="2" x14ac:dyDescent="0.25">
      <c r="A4636">
        <v>59157</v>
      </c>
      <c r="B4636" t="s">
        <v>6637</v>
      </c>
      <c r="C4636" t="s">
        <v>6746</v>
      </c>
      <c r="D4636" s="14" t="s">
        <v>6727</v>
      </c>
      <c r="E4636" s="12" t="s">
        <v>28</v>
      </c>
      <c r="F4636" s="13" t="s">
        <v>29</v>
      </c>
      <c r="G4636">
        <v>1</v>
      </c>
      <c r="H4636" t="s">
        <v>420</v>
      </c>
      <c r="I4636">
        <v>1</v>
      </c>
      <c r="J4636" s="15"/>
      <c r="K4636" s="16">
        <f>594.98 - (594.98 * $E$1)</f>
        <v>594.98</v>
      </c>
      <c r="L4636" s="16">
        <f>487.69 - (487.69 * $E$1)</f>
        <v>487.69</v>
      </c>
      <c r="M4636" s="1">
        <v>594.98</v>
      </c>
      <c r="N4636" s="1">
        <v>487.69</v>
      </c>
      <c r="O4636" s="1">
        <v>505.73</v>
      </c>
      <c r="P4636" s="1">
        <v>414.54</v>
      </c>
      <c r="Q4636">
        <v>0.33</v>
      </c>
      <c r="R4636">
        <v>1.9480000000000001E-3</v>
      </c>
    </row>
    <row r="4637" spans="1:18" ht="13.8" outlineLevel="2" x14ac:dyDescent="0.25">
      <c r="A4637">
        <v>50281</v>
      </c>
      <c r="B4637" t="s">
        <v>6637</v>
      </c>
      <c r="C4637" t="s">
        <v>6747</v>
      </c>
      <c r="D4637" s="14" t="s">
        <v>6727</v>
      </c>
      <c r="E4637" s="12" t="s">
        <v>28</v>
      </c>
      <c r="F4637" s="13" t="s">
        <v>29</v>
      </c>
      <c r="G4637">
        <v>1</v>
      </c>
      <c r="H4637" t="s">
        <v>420</v>
      </c>
      <c r="I4637">
        <v>1</v>
      </c>
      <c r="J4637" s="15"/>
      <c r="K4637" s="16">
        <f>442.85 - (442.85 * $E$1)</f>
        <v>442.85</v>
      </c>
      <c r="L4637" s="16">
        <f>362.99 - (362.99 * $E$1)</f>
        <v>362.99</v>
      </c>
      <c r="M4637" s="1">
        <v>442.85</v>
      </c>
      <c r="N4637" s="1">
        <v>362.99</v>
      </c>
      <c r="O4637" s="1">
        <v>376.42</v>
      </c>
      <c r="P4637" s="1">
        <v>308.54000000000002</v>
      </c>
      <c r="Q4637">
        <v>0.26</v>
      </c>
      <c r="R4637">
        <v>9.7499999999999996E-4</v>
      </c>
    </row>
    <row r="4638" spans="1:18" ht="13.8" outlineLevel="2" x14ac:dyDescent="0.25">
      <c r="A4638">
        <v>50282</v>
      </c>
      <c r="B4638" t="s">
        <v>6637</v>
      </c>
      <c r="C4638" t="s">
        <v>6748</v>
      </c>
      <c r="D4638" s="14" t="s">
        <v>6727</v>
      </c>
      <c r="E4638" s="12" t="s">
        <v>28</v>
      </c>
      <c r="F4638" s="13" t="s">
        <v>29</v>
      </c>
      <c r="G4638">
        <v>1</v>
      </c>
      <c r="H4638" t="s">
        <v>420</v>
      </c>
      <c r="I4638">
        <v>1</v>
      </c>
      <c r="J4638" s="15"/>
      <c r="K4638" s="16">
        <f>552.22 - (552.22 * $E$1)</f>
        <v>552.22</v>
      </c>
      <c r="L4638" s="16">
        <f>452.64 - (452.64 * $E$1)</f>
        <v>452.64</v>
      </c>
      <c r="M4638" s="1">
        <v>552.22</v>
      </c>
      <c r="N4638" s="1">
        <v>452.64</v>
      </c>
      <c r="O4638" s="1">
        <v>469.39</v>
      </c>
      <c r="P4638" s="1">
        <v>384.74</v>
      </c>
      <c r="Q4638">
        <v>0.32</v>
      </c>
      <c r="R4638">
        <v>8.9999999999999998E-4</v>
      </c>
    </row>
    <row r="4639" spans="1:18" ht="13.8" outlineLevel="2" x14ac:dyDescent="0.25">
      <c r="A4639">
        <v>50283</v>
      </c>
      <c r="B4639" t="s">
        <v>6637</v>
      </c>
      <c r="C4639" t="s">
        <v>6749</v>
      </c>
      <c r="D4639" s="14" t="s">
        <v>6727</v>
      </c>
      <c r="E4639" s="12" t="s">
        <v>28</v>
      </c>
      <c r="F4639" s="13" t="s">
        <v>29</v>
      </c>
      <c r="G4639">
        <v>1</v>
      </c>
      <c r="H4639" t="s">
        <v>420</v>
      </c>
      <c r="I4639">
        <v>1</v>
      </c>
      <c r="J4639" s="15"/>
      <c r="K4639" s="16">
        <f>602.8 - (602.8 * $E$1)</f>
        <v>602.79999999999995</v>
      </c>
      <c r="L4639" s="16">
        <f>494.1 - (494.1 * $E$1)</f>
        <v>494.1</v>
      </c>
      <c r="M4639" s="1">
        <v>602.79999999999995</v>
      </c>
      <c r="N4639" s="1">
        <v>494.1</v>
      </c>
      <c r="O4639" s="1">
        <v>512.38</v>
      </c>
      <c r="P4639" s="1">
        <v>419.99</v>
      </c>
      <c r="Q4639">
        <v>0.38</v>
      </c>
      <c r="R4639">
        <v>1.224E-3</v>
      </c>
    </row>
    <row r="4640" spans="1:18" ht="13.8" outlineLevel="2" x14ac:dyDescent="0.25">
      <c r="A4640">
        <v>50284</v>
      </c>
      <c r="B4640" t="s">
        <v>6637</v>
      </c>
      <c r="C4640" t="s">
        <v>6750</v>
      </c>
      <c r="D4640" s="14" t="s">
        <v>6727</v>
      </c>
      <c r="E4640" s="12" t="s">
        <v>28</v>
      </c>
      <c r="F4640" s="13" t="s">
        <v>29</v>
      </c>
      <c r="G4640">
        <v>1</v>
      </c>
      <c r="H4640" t="s">
        <v>420</v>
      </c>
      <c r="I4640">
        <v>1</v>
      </c>
      <c r="J4640" s="15"/>
      <c r="K4640" s="16">
        <f>756.1 - (756.1 * $E$1)</f>
        <v>756.1</v>
      </c>
      <c r="L4640" s="16">
        <f>619.75 - (619.75 * $E$1)</f>
        <v>619.75</v>
      </c>
      <c r="M4640" s="1">
        <v>756.1</v>
      </c>
      <c r="N4640" s="1">
        <v>619.75</v>
      </c>
      <c r="O4640" s="1">
        <v>642.67999999999995</v>
      </c>
      <c r="P4640" s="1">
        <v>526.79</v>
      </c>
      <c r="Q4640">
        <v>0.42</v>
      </c>
      <c r="R4640">
        <v>1.56E-3</v>
      </c>
    </row>
    <row r="4641" spans="1:18" ht="13.8" outlineLevel="2" x14ac:dyDescent="0.25">
      <c r="A4641">
        <v>50285</v>
      </c>
      <c r="B4641" t="s">
        <v>6637</v>
      </c>
      <c r="C4641" t="s">
        <v>6751</v>
      </c>
      <c r="D4641" s="14" t="s">
        <v>6727</v>
      </c>
      <c r="E4641" s="12" t="s">
        <v>28</v>
      </c>
      <c r="F4641" s="13" t="s">
        <v>29</v>
      </c>
      <c r="G4641">
        <v>1</v>
      </c>
      <c r="H4641" t="s">
        <v>420</v>
      </c>
      <c r="I4641">
        <v>1</v>
      </c>
      <c r="J4641" s="15"/>
      <c r="K4641" s="16">
        <f>830.47 - (830.47 * $E$1)</f>
        <v>830.47</v>
      </c>
      <c r="L4641" s="16">
        <f>680.71 - (680.71 * $E$1)</f>
        <v>680.71</v>
      </c>
      <c r="M4641" s="1">
        <v>830.47</v>
      </c>
      <c r="N4641" s="1">
        <v>680.71</v>
      </c>
      <c r="O4641" s="1">
        <v>705.9</v>
      </c>
      <c r="P4641" s="1">
        <v>578.6</v>
      </c>
      <c r="Q4641">
        <v>0.51</v>
      </c>
      <c r="R4641">
        <v>7.9199999999999995E-4</v>
      </c>
    </row>
    <row r="4642" spans="1:18" ht="13.8" outlineLevel="2" x14ac:dyDescent="0.25">
      <c r="A4642">
        <v>50286</v>
      </c>
      <c r="B4642" t="s">
        <v>6637</v>
      </c>
      <c r="C4642" t="s">
        <v>6752</v>
      </c>
      <c r="D4642" s="14" t="s">
        <v>6727</v>
      </c>
      <c r="E4642" s="12" t="s">
        <v>28</v>
      </c>
      <c r="F4642" s="13" t="s">
        <v>29</v>
      </c>
      <c r="G4642">
        <v>1</v>
      </c>
      <c r="H4642" t="s">
        <v>420</v>
      </c>
      <c r="I4642">
        <v>1</v>
      </c>
      <c r="J4642" s="15"/>
      <c r="K4642" s="16">
        <f>910.28 - (910.28 * $E$1)</f>
        <v>910.28</v>
      </c>
      <c r="L4642" s="16">
        <f>746.13 - (746.13 * $E$1)</f>
        <v>746.13</v>
      </c>
      <c r="M4642" s="1">
        <v>910.28</v>
      </c>
      <c r="N4642" s="1">
        <v>746.13</v>
      </c>
      <c r="O4642" s="1">
        <v>773.74</v>
      </c>
      <c r="P4642" s="1">
        <v>634.21</v>
      </c>
      <c r="Q4642">
        <v>0.56000000000000005</v>
      </c>
      <c r="R4642">
        <v>3.5200000000000001E-3</v>
      </c>
    </row>
    <row r="4643" spans="1:18" ht="13.8" outlineLevel="2" x14ac:dyDescent="0.25">
      <c r="A4643">
        <v>50287</v>
      </c>
      <c r="B4643" t="s">
        <v>6637</v>
      </c>
      <c r="C4643" t="s">
        <v>6753</v>
      </c>
      <c r="D4643" s="14" t="s">
        <v>6727</v>
      </c>
      <c r="E4643" s="12" t="s">
        <v>28</v>
      </c>
      <c r="F4643" s="13" t="s">
        <v>29</v>
      </c>
      <c r="G4643">
        <v>1</v>
      </c>
      <c r="H4643" t="s">
        <v>420</v>
      </c>
      <c r="I4643">
        <v>1</v>
      </c>
      <c r="J4643" s="15"/>
      <c r="K4643" s="16">
        <f>1000.53 - (1000.53 * $E$1)</f>
        <v>1000.53</v>
      </c>
      <c r="L4643" s="16">
        <f>820.11 - (820.11 * $E$1)</f>
        <v>820.11</v>
      </c>
      <c r="M4643" s="1">
        <v>1000.53</v>
      </c>
      <c r="N4643" s="1">
        <v>820.11</v>
      </c>
      <c r="O4643" s="1">
        <v>850.45</v>
      </c>
      <c r="P4643" s="1">
        <v>697.09</v>
      </c>
      <c r="Q4643">
        <v>0.65</v>
      </c>
      <c r="R4643">
        <v>4.8799999999999998E-3</v>
      </c>
    </row>
    <row r="4644" spans="1:18" ht="13.8" outlineLevel="2" x14ac:dyDescent="0.25">
      <c r="A4644">
        <v>89906</v>
      </c>
      <c r="B4644" t="s">
        <v>6637</v>
      </c>
      <c r="C4644" t="s">
        <v>6754</v>
      </c>
      <c r="D4644" s="14" t="s">
        <v>6727</v>
      </c>
      <c r="E4644" s="12" t="s">
        <v>28</v>
      </c>
      <c r="F4644" s="13" t="s">
        <v>29</v>
      </c>
      <c r="G4644">
        <v>1</v>
      </c>
      <c r="H4644" t="s">
        <v>420</v>
      </c>
      <c r="I4644">
        <v>1</v>
      </c>
      <c r="J4644" s="15"/>
      <c r="K4644" s="16">
        <f>1483.65 - (1483.65 * $E$1)</f>
        <v>1483.65</v>
      </c>
      <c r="L4644" s="16">
        <f>1216.11 - (1216.11 * $E$1)</f>
        <v>1216.1099999999999</v>
      </c>
      <c r="M4644" s="1">
        <v>1483.65</v>
      </c>
      <c r="N4644" s="1">
        <v>1216.1099999999999</v>
      </c>
      <c r="O4644" s="1">
        <v>1261.1099999999999</v>
      </c>
      <c r="P4644" s="1">
        <v>1033.69</v>
      </c>
      <c r="Q4644">
        <v>0.84</v>
      </c>
      <c r="R4644">
        <v>4.875E-3</v>
      </c>
    </row>
    <row r="4645" spans="1:18" ht="13.8" outlineLevel="2" x14ac:dyDescent="0.25">
      <c r="A4645">
        <v>89907</v>
      </c>
      <c r="B4645" t="s">
        <v>6637</v>
      </c>
      <c r="C4645" t="s">
        <v>6755</v>
      </c>
      <c r="D4645" s="14" t="s">
        <v>6727</v>
      </c>
      <c r="E4645" s="12" t="s">
        <v>28</v>
      </c>
      <c r="F4645" s="13" t="s">
        <v>29</v>
      </c>
      <c r="G4645">
        <v>1</v>
      </c>
      <c r="H4645" t="s">
        <v>420</v>
      </c>
      <c r="I4645">
        <v>1</v>
      </c>
      <c r="J4645" s="15"/>
      <c r="K4645" s="16">
        <f>1781.18 - (1781.18 * $E$1)</f>
        <v>1781.18</v>
      </c>
      <c r="L4645" s="16">
        <f>1459.98 - (1459.98 * $E$1)</f>
        <v>1459.98</v>
      </c>
      <c r="M4645" s="1">
        <v>1781.18</v>
      </c>
      <c r="N4645" s="1">
        <v>1459.98</v>
      </c>
      <c r="O4645" s="1">
        <v>1514</v>
      </c>
      <c r="P4645" s="1">
        <v>1240.98</v>
      </c>
      <c r="Q4645">
        <v>1.05</v>
      </c>
      <c r="R4645">
        <v>5.9249999999999997E-3</v>
      </c>
    </row>
    <row r="4646" spans="1:18" ht="13.8" outlineLevel="2" x14ac:dyDescent="0.25">
      <c r="A4646">
        <v>89908</v>
      </c>
      <c r="B4646" t="s">
        <v>6637</v>
      </c>
      <c r="C4646" t="s">
        <v>6756</v>
      </c>
      <c r="D4646" s="14" t="s">
        <v>6727</v>
      </c>
      <c r="E4646" s="12" t="s">
        <v>28</v>
      </c>
      <c r="F4646" s="13" t="s">
        <v>29</v>
      </c>
      <c r="G4646">
        <v>1</v>
      </c>
      <c r="H4646" t="s">
        <v>420</v>
      </c>
      <c r="I4646">
        <v>1</v>
      </c>
      <c r="J4646" s="15"/>
      <c r="K4646" s="16">
        <f>1349.02 - (1349.02 * $E$1)</f>
        <v>1349.02</v>
      </c>
      <c r="L4646" s="16">
        <f>1105.75 - (1105.75 * $E$1)</f>
        <v>1105.75</v>
      </c>
      <c r="M4646" s="1">
        <v>1349.02</v>
      </c>
      <c r="N4646" s="1">
        <v>1105.75</v>
      </c>
      <c r="O4646" s="1">
        <v>1146.6600000000001</v>
      </c>
      <c r="P4646" s="1">
        <v>939.89</v>
      </c>
      <c r="Q4646">
        <v>0.79</v>
      </c>
      <c r="R4646">
        <v>3.375E-3</v>
      </c>
    </row>
    <row r="4647" spans="1:18" ht="13.8" outlineLevel="2" x14ac:dyDescent="0.25">
      <c r="A4647">
        <v>89909</v>
      </c>
      <c r="B4647" t="s">
        <v>6637</v>
      </c>
      <c r="C4647" t="s">
        <v>6757</v>
      </c>
      <c r="D4647" s="14" t="s">
        <v>6727</v>
      </c>
      <c r="E4647" s="12" t="s">
        <v>28</v>
      </c>
      <c r="F4647" s="13" t="s">
        <v>29</v>
      </c>
      <c r="G4647">
        <v>1</v>
      </c>
      <c r="H4647" t="s">
        <v>420</v>
      </c>
      <c r="I4647">
        <v>1</v>
      </c>
      <c r="J4647" s="15"/>
      <c r="K4647" s="16">
        <f>1582.33 - (1582.33 * $E$1)</f>
        <v>1582.33</v>
      </c>
      <c r="L4647" s="16">
        <f>1296.99 - (1296.99 * $E$1)</f>
        <v>1296.99</v>
      </c>
      <c r="M4647" s="1">
        <v>1582.33</v>
      </c>
      <c r="N4647" s="1">
        <v>1296.99</v>
      </c>
      <c r="O4647" s="1">
        <v>1344.98</v>
      </c>
      <c r="P4647" s="1">
        <v>1102.44</v>
      </c>
      <c r="Q4647">
        <v>0.97</v>
      </c>
      <c r="R4647">
        <v>4.1250000000000002E-3</v>
      </c>
    </row>
    <row r="4648" spans="1:18" ht="13.8" outlineLevel="2" x14ac:dyDescent="0.25">
      <c r="A4648">
        <v>80007</v>
      </c>
      <c r="B4648" t="s">
        <v>6637</v>
      </c>
      <c r="C4648" t="s">
        <v>6758</v>
      </c>
      <c r="D4648" s="14" t="s">
        <v>6727</v>
      </c>
      <c r="E4648" s="12" t="s">
        <v>28</v>
      </c>
      <c r="F4648" s="13" t="s">
        <v>29</v>
      </c>
      <c r="G4648">
        <v>1</v>
      </c>
      <c r="H4648" t="s">
        <v>420</v>
      </c>
      <c r="I4648">
        <v>1</v>
      </c>
      <c r="J4648" s="15"/>
      <c r="K4648" s="16">
        <f>1274.62 - (1274.62 * $E$1)</f>
        <v>1274.6199999999999</v>
      </c>
      <c r="L4648" s="16">
        <f>1044.77 - (1044.77 * $E$1)</f>
        <v>1044.77</v>
      </c>
      <c r="M4648" s="1">
        <v>1274.6199999999999</v>
      </c>
      <c r="N4648" s="1">
        <v>1044.77</v>
      </c>
      <c r="O4648" s="1">
        <v>1083.43</v>
      </c>
      <c r="P4648" s="1">
        <v>888.05</v>
      </c>
      <c r="Q4648">
        <v>0.94</v>
      </c>
      <c r="R4648">
        <v>6.8339999999999998E-3</v>
      </c>
    </row>
    <row r="4649" spans="1:18" ht="13.8" outlineLevel="2" x14ac:dyDescent="0.25">
      <c r="A4649">
        <v>80008</v>
      </c>
      <c r="B4649" t="s">
        <v>6637</v>
      </c>
      <c r="C4649" t="s">
        <v>6759</v>
      </c>
      <c r="D4649" s="14" t="s">
        <v>6727</v>
      </c>
      <c r="E4649" s="12" t="s">
        <v>28</v>
      </c>
      <c r="F4649" s="13" t="s">
        <v>29</v>
      </c>
      <c r="G4649">
        <v>1</v>
      </c>
      <c r="H4649" t="s">
        <v>420</v>
      </c>
      <c r="I4649">
        <v>1</v>
      </c>
      <c r="J4649" s="15"/>
      <c r="K4649" s="16">
        <f>2072.98 - (2072.98 * $E$1)</f>
        <v>2072.98</v>
      </c>
      <c r="L4649" s="16">
        <f>1699.16 - (1699.16 * $E$1)</f>
        <v>1699.16</v>
      </c>
      <c r="M4649" s="1">
        <v>2072.98</v>
      </c>
      <c r="N4649" s="1">
        <v>1699.16</v>
      </c>
      <c r="O4649" s="1">
        <v>1762.03</v>
      </c>
      <c r="P4649" s="1">
        <v>1444.29</v>
      </c>
      <c r="Q4649">
        <v>1.1599999999999999</v>
      </c>
      <c r="R4649">
        <v>6.7499999999999999E-3</v>
      </c>
    </row>
    <row r="4650" spans="1:18" ht="13.8" outlineLevel="2" x14ac:dyDescent="0.25">
      <c r="A4650">
        <v>59158</v>
      </c>
      <c r="B4650" t="s">
        <v>6637</v>
      </c>
      <c r="C4650" t="s">
        <v>6760</v>
      </c>
      <c r="D4650" s="14" t="s">
        <v>6727</v>
      </c>
      <c r="E4650" s="12" t="s">
        <v>28</v>
      </c>
      <c r="F4650" s="13" t="s">
        <v>29</v>
      </c>
      <c r="G4650">
        <v>1</v>
      </c>
      <c r="H4650" t="s">
        <v>420</v>
      </c>
      <c r="I4650">
        <v>1</v>
      </c>
      <c r="J4650" s="15"/>
      <c r="K4650" s="16">
        <f>2369.68 - (2369.68 * $E$1)</f>
        <v>2369.6799999999998</v>
      </c>
      <c r="L4650" s="16">
        <f>1942.36 - (1942.36 * $E$1)</f>
        <v>1942.36</v>
      </c>
      <c r="M4650" s="1">
        <v>2369.6799999999998</v>
      </c>
      <c r="N4650" s="1">
        <v>1942.36</v>
      </c>
      <c r="O4650" s="1">
        <v>2014.23</v>
      </c>
      <c r="P4650" s="1">
        <v>1651.01</v>
      </c>
      <c r="Q4650">
        <v>1.4</v>
      </c>
      <c r="R4650">
        <v>8.8739999999999999E-3</v>
      </c>
    </row>
    <row r="4651" spans="1:18" ht="13.8" outlineLevel="2" x14ac:dyDescent="0.25">
      <c r="A4651">
        <v>59159</v>
      </c>
      <c r="B4651" t="s">
        <v>6637</v>
      </c>
      <c r="C4651" t="s">
        <v>6761</v>
      </c>
      <c r="D4651" s="14" t="s">
        <v>6727</v>
      </c>
      <c r="E4651" s="12" t="s">
        <v>28</v>
      </c>
      <c r="F4651" s="13" t="s">
        <v>29</v>
      </c>
      <c r="G4651">
        <v>1</v>
      </c>
      <c r="H4651" t="s">
        <v>420</v>
      </c>
      <c r="I4651">
        <v>1</v>
      </c>
      <c r="J4651" s="15"/>
      <c r="K4651" s="16">
        <f>2879.72 - (2879.72 * $E$1)</f>
        <v>2879.72</v>
      </c>
      <c r="L4651" s="16">
        <f>2360.43 - (2360.43 * $E$1)</f>
        <v>2360.4299999999998</v>
      </c>
      <c r="M4651" s="1">
        <v>2879.72</v>
      </c>
      <c r="N4651" s="1">
        <v>2360.4299999999998</v>
      </c>
      <c r="O4651" s="1">
        <v>2447.77</v>
      </c>
      <c r="P4651" s="1">
        <v>2006.37</v>
      </c>
      <c r="Q4651">
        <v>1.6</v>
      </c>
      <c r="R4651">
        <v>1.1339999999999999E-2</v>
      </c>
    </row>
    <row r="4652" spans="1:18" ht="13.8" outlineLevel="2" x14ac:dyDescent="0.25">
      <c r="A4652">
        <v>56667</v>
      </c>
      <c r="B4652" t="s">
        <v>6637</v>
      </c>
      <c r="C4652" t="s">
        <v>6762</v>
      </c>
      <c r="D4652" s="14" t="s">
        <v>6727</v>
      </c>
      <c r="E4652" s="12" t="s">
        <v>28</v>
      </c>
      <c r="F4652" s="13" t="s">
        <v>29</v>
      </c>
      <c r="G4652">
        <v>1</v>
      </c>
      <c r="H4652" t="s">
        <v>420</v>
      </c>
      <c r="I4652">
        <v>1</v>
      </c>
      <c r="J4652" s="15"/>
      <c r="K4652" s="16">
        <f>3218.71 - (3218.71 * $E$1)</f>
        <v>3218.71</v>
      </c>
      <c r="L4652" s="16">
        <f>2638.29 - (2638.29 * $E$1)</f>
        <v>2638.29</v>
      </c>
      <c r="M4652" s="1">
        <v>3218.71</v>
      </c>
      <c r="N4652" s="1">
        <v>2638.29</v>
      </c>
      <c r="O4652" s="1">
        <v>2735.91</v>
      </c>
      <c r="P4652" s="1">
        <v>2242.5500000000002</v>
      </c>
      <c r="Q4652">
        <v>1.8</v>
      </c>
      <c r="R4652">
        <v>1.0026E-2</v>
      </c>
    </row>
    <row r="4653" spans="1:18" ht="13.8" outlineLevel="2" x14ac:dyDescent="0.25">
      <c r="A4653">
        <v>89910</v>
      </c>
      <c r="B4653" t="s">
        <v>6637</v>
      </c>
      <c r="C4653" t="s">
        <v>6763</v>
      </c>
      <c r="D4653" s="14" t="s">
        <v>6727</v>
      </c>
      <c r="E4653" s="12" t="s">
        <v>28</v>
      </c>
      <c r="F4653" s="13" t="s">
        <v>29</v>
      </c>
      <c r="G4653">
        <v>1</v>
      </c>
      <c r="H4653" t="s">
        <v>420</v>
      </c>
      <c r="I4653">
        <v>1</v>
      </c>
      <c r="J4653" s="15"/>
      <c r="K4653" s="16">
        <f>3867 - (3867 * $E$1)</f>
        <v>3867</v>
      </c>
      <c r="L4653" s="16">
        <f>3169.67 - (3169.67 * $E$1)</f>
        <v>3169.67</v>
      </c>
      <c r="M4653" s="1">
        <v>3867</v>
      </c>
      <c r="N4653" s="1">
        <v>3169.67</v>
      </c>
      <c r="O4653" s="1">
        <v>3286.95</v>
      </c>
      <c r="P4653" s="1">
        <v>2694.22</v>
      </c>
      <c r="Q4653">
        <v>2.8</v>
      </c>
      <c r="R4653">
        <v>1.404E-2</v>
      </c>
    </row>
    <row r="4654" spans="1:18" ht="13.8" outlineLevel="2" x14ac:dyDescent="0.25">
      <c r="A4654">
        <v>89911</v>
      </c>
      <c r="B4654" t="s">
        <v>6637</v>
      </c>
      <c r="C4654" t="s">
        <v>6764</v>
      </c>
      <c r="D4654" s="14" t="s">
        <v>6727</v>
      </c>
      <c r="E4654" s="12" t="s">
        <v>28</v>
      </c>
      <c r="F4654" s="13" t="s">
        <v>29</v>
      </c>
      <c r="G4654">
        <v>1</v>
      </c>
      <c r="H4654" t="s">
        <v>420</v>
      </c>
      <c r="I4654">
        <v>1</v>
      </c>
      <c r="J4654" s="15"/>
      <c r="K4654" s="16">
        <f>2311.84 - (2311.84 * $E$1)</f>
        <v>2311.84</v>
      </c>
      <c r="L4654" s="16">
        <f>1894.95 - (1894.95 * $E$1)</f>
        <v>1894.95</v>
      </c>
      <c r="M4654" s="1">
        <v>2311.84</v>
      </c>
      <c r="N4654" s="1">
        <v>1894.95</v>
      </c>
      <c r="O4654" s="1">
        <v>1965.06</v>
      </c>
      <c r="P4654" s="1">
        <v>1610.71</v>
      </c>
      <c r="Q4654">
        <v>1.25</v>
      </c>
      <c r="R4654">
        <v>4.1250000000000002E-3</v>
      </c>
    </row>
    <row r="4655" spans="1:18" ht="13.8" outlineLevel="2" x14ac:dyDescent="0.25">
      <c r="A4655">
        <v>80012</v>
      </c>
      <c r="B4655" t="s">
        <v>6637</v>
      </c>
      <c r="C4655" t="s">
        <v>6765</v>
      </c>
      <c r="D4655" s="14" t="s">
        <v>6727</v>
      </c>
      <c r="E4655" s="12" t="s">
        <v>28</v>
      </c>
      <c r="F4655" s="13" t="s">
        <v>29</v>
      </c>
      <c r="G4655">
        <v>1</v>
      </c>
      <c r="H4655" t="s">
        <v>420</v>
      </c>
      <c r="I4655">
        <v>1</v>
      </c>
      <c r="J4655" s="15"/>
      <c r="K4655" s="16">
        <f>3183.99 - (3183.99 * $E$1)</f>
        <v>3183.99</v>
      </c>
      <c r="L4655" s="16">
        <f>2609.83 - (2609.83 * $E$1)</f>
        <v>2609.83</v>
      </c>
      <c r="M4655" s="1">
        <v>3183.99</v>
      </c>
      <c r="N4655" s="1">
        <v>2609.83</v>
      </c>
      <c r="O4655" s="1">
        <v>2706.39</v>
      </c>
      <c r="P4655" s="1">
        <v>2218.36</v>
      </c>
      <c r="Q4655">
        <v>1.43</v>
      </c>
      <c r="R4655">
        <v>6.3E-3</v>
      </c>
    </row>
    <row r="4656" spans="1:18" ht="13.8" outlineLevel="2" x14ac:dyDescent="0.25">
      <c r="A4656">
        <v>80013</v>
      </c>
      <c r="B4656" t="s">
        <v>6637</v>
      </c>
      <c r="C4656" t="s">
        <v>6766</v>
      </c>
      <c r="D4656" s="14" t="s">
        <v>6727</v>
      </c>
      <c r="E4656" s="12" t="s">
        <v>28</v>
      </c>
      <c r="F4656" s="13" t="s">
        <v>29</v>
      </c>
      <c r="G4656">
        <v>1</v>
      </c>
      <c r="H4656" t="s">
        <v>420</v>
      </c>
      <c r="I4656">
        <v>1</v>
      </c>
      <c r="J4656" s="15"/>
      <c r="K4656" s="16">
        <f>3708.39 - (3708.39 * $E$1)</f>
        <v>3708.39</v>
      </c>
      <c r="L4656" s="16">
        <f>3039.66 - (3039.66 * $E$1)</f>
        <v>3039.66</v>
      </c>
      <c r="M4656" s="1">
        <v>3708.39</v>
      </c>
      <c r="N4656" s="1">
        <v>3039.66</v>
      </c>
      <c r="O4656" s="1">
        <v>3152.13</v>
      </c>
      <c r="P4656" s="1">
        <v>2583.71</v>
      </c>
      <c r="Q4656">
        <v>2</v>
      </c>
      <c r="R4656">
        <v>7.11E-3</v>
      </c>
    </row>
    <row r="4657" spans="1:18" ht="13.8" outlineLevel="2" x14ac:dyDescent="0.25">
      <c r="A4657">
        <v>89912</v>
      </c>
      <c r="B4657" t="s">
        <v>6637</v>
      </c>
      <c r="C4657" t="s">
        <v>6767</v>
      </c>
      <c r="D4657" s="14" t="s">
        <v>6727</v>
      </c>
      <c r="E4657" s="12" t="s">
        <v>28</v>
      </c>
      <c r="F4657" s="13" t="s">
        <v>29</v>
      </c>
      <c r="G4657">
        <v>1</v>
      </c>
      <c r="H4657" t="s">
        <v>420</v>
      </c>
      <c r="I4657">
        <v>1</v>
      </c>
      <c r="J4657" s="15"/>
      <c r="K4657" s="16">
        <f>4872.06 - (4872.06 * $E$1)</f>
        <v>4872.0600000000004</v>
      </c>
      <c r="L4657" s="16">
        <f>3993.49 - (3993.49 * $E$1)</f>
        <v>3993.49</v>
      </c>
      <c r="M4657" s="1">
        <v>4872.0600000000004</v>
      </c>
      <c r="N4657" s="1">
        <v>3993.49</v>
      </c>
      <c r="O4657" s="1">
        <v>4141.25</v>
      </c>
      <c r="P4657" s="1">
        <v>3394.47</v>
      </c>
      <c r="Q4657">
        <v>2.7</v>
      </c>
      <c r="R4657">
        <v>1.1025E-2</v>
      </c>
    </row>
    <row r="4658" spans="1:18" ht="13.8" outlineLevel="2" x14ac:dyDescent="0.25">
      <c r="A4658">
        <v>102315</v>
      </c>
      <c r="B4658" t="s">
        <v>6637</v>
      </c>
      <c r="C4658" t="s">
        <v>6768</v>
      </c>
      <c r="D4658" s="14" t="s">
        <v>6679</v>
      </c>
      <c r="E4658" s="12" t="s">
        <v>28</v>
      </c>
      <c r="F4658" s="13" t="s">
        <v>29</v>
      </c>
      <c r="G4658">
        <v>1</v>
      </c>
      <c r="H4658" t="s">
        <v>420</v>
      </c>
      <c r="I4658">
        <v>1</v>
      </c>
      <c r="J4658" s="15"/>
      <c r="K4658" s="16">
        <f>139.76 - (139.76 * $E$1)</f>
        <v>139.76</v>
      </c>
      <c r="L4658" s="16">
        <f>114.56 - (114.56 * $E$1)</f>
        <v>114.56</v>
      </c>
      <c r="M4658" s="1">
        <v>139.76</v>
      </c>
      <c r="N4658" s="1">
        <v>114.56</v>
      </c>
      <c r="O4658" s="1">
        <v>118.8</v>
      </c>
      <c r="P4658" s="1">
        <v>97.38</v>
      </c>
      <c r="Q4658">
        <v>7.6999999999999999E-2</v>
      </c>
      <c r="R4658">
        <v>4.4000000000000002E-4</v>
      </c>
    </row>
    <row r="4659" spans="1:18" ht="13.8" outlineLevel="2" x14ac:dyDescent="0.25">
      <c r="A4659">
        <v>102316</v>
      </c>
      <c r="B4659" t="s">
        <v>6637</v>
      </c>
      <c r="C4659" t="s">
        <v>6769</v>
      </c>
      <c r="D4659" s="14" t="s">
        <v>6679</v>
      </c>
      <c r="E4659" s="12" t="s">
        <v>28</v>
      </c>
      <c r="F4659" s="13" t="s">
        <v>29</v>
      </c>
      <c r="G4659">
        <v>1</v>
      </c>
      <c r="H4659" t="s">
        <v>420</v>
      </c>
      <c r="I4659">
        <v>1</v>
      </c>
      <c r="J4659" s="15"/>
      <c r="K4659" s="16">
        <f>180.72 - (180.72 * $E$1)</f>
        <v>180.72</v>
      </c>
      <c r="L4659" s="16">
        <f>148.13 - (148.13 * $E$1)</f>
        <v>148.13</v>
      </c>
      <c r="M4659" s="1">
        <v>180.72</v>
      </c>
      <c r="N4659" s="1">
        <v>148.13</v>
      </c>
      <c r="O4659" s="1">
        <v>153.61000000000001</v>
      </c>
      <c r="P4659" s="1">
        <v>125.91</v>
      </c>
      <c r="Q4659">
        <v>0.1</v>
      </c>
      <c r="R4659">
        <v>5.5000000000000003E-4</v>
      </c>
    </row>
    <row r="4660" spans="1:18" ht="13.8" outlineLevel="2" x14ac:dyDescent="0.25">
      <c r="A4660">
        <v>102317</v>
      </c>
      <c r="B4660" t="s">
        <v>6637</v>
      </c>
      <c r="C4660" t="s">
        <v>6770</v>
      </c>
      <c r="D4660" s="14" t="s">
        <v>6679</v>
      </c>
      <c r="E4660" s="12" t="s">
        <v>28</v>
      </c>
      <c r="F4660" s="13" t="s">
        <v>29</v>
      </c>
      <c r="G4660">
        <v>1</v>
      </c>
      <c r="H4660" t="s">
        <v>420</v>
      </c>
      <c r="I4660">
        <v>1</v>
      </c>
      <c r="J4660" s="15"/>
      <c r="K4660" s="16">
        <f>222.25 - (222.25 * $E$1)</f>
        <v>222.25</v>
      </c>
      <c r="L4660" s="16">
        <f>182.17 - (182.17 * $E$1)</f>
        <v>182.17</v>
      </c>
      <c r="M4660" s="1">
        <v>222.25</v>
      </c>
      <c r="N4660" s="1">
        <v>182.17</v>
      </c>
      <c r="O4660" s="1">
        <v>188.91</v>
      </c>
      <c r="P4660" s="1">
        <v>154.84</v>
      </c>
      <c r="Q4660">
        <v>0.14000000000000001</v>
      </c>
      <c r="R4660">
        <v>6.8199999999999999E-4</v>
      </c>
    </row>
    <row r="4661" spans="1:18" ht="13.8" outlineLevel="2" x14ac:dyDescent="0.25">
      <c r="A4661">
        <v>102318</v>
      </c>
      <c r="B4661" t="s">
        <v>6637</v>
      </c>
      <c r="C4661" t="s">
        <v>6771</v>
      </c>
      <c r="D4661" s="14" t="s">
        <v>6679</v>
      </c>
      <c r="E4661" s="12" t="s">
        <v>28</v>
      </c>
      <c r="F4661" s="13" t="s">
        <v>29</v>
      </c>
      <c r="G4661">
        <v>1</v>
      </c>
      <c r="H4661" t="s">
        <v>420</v>
      </c>
      <c r="I4661">
        <v>1</v>
      </c>
      <c r="J4661" s="15"/>
      <c r="K4661" s="16">
        <f>262.82 - (262.82 * $E$1)</f>
        <v>262.82</v>
      </c>
      <c r="L4661" s="16">
        <f>215.43 - (215.43 * $E$1)</f>
        <v>215.43</v>
      </c>
      <c r="M4661" s="1">
        <v>262.82</v>
      </c>
      <c r="N4661" s="1">
        <v>215.43</v>
      </c>
      <c r="O4661" s="1">
        <v>223.4</v>
      </c>
      <c r="P4661" s="1">
        <v>183.12</v>
      </c>
      <c r="Q4661">
        <v>0.16</v>
      </c>
      <c r="R4661">
        <v>1.122E-3</v>
      </c>
    </row>
    <row r="4662" spans="1:18" ht="13.8" outlineLevel="2" x14ac:dyDescent="0.25">
      <c r="A4662">
        <v>102319</v>
      </c>
      <c r="B4662" t="s">
        <v>6637</v>
      </c>
      <c r="C4662" t="s">
        <v>6772</v>
      </c>
      <c r="D4662" s="14" t="s">
        <v>6679</v>
      </c>
      <c r="E4662" s="12" t="s">
        <v>28</v>
      </c>
      <c r="F4662" s="13" t="s">
        <v>29</v>
      </c>
      <c r="G4662">
        <v>1</v>
      </c>
      <c r="H4662" t="s">
        <v>420</v>
      </c>
      <c r="I4662">
        <v>1</v>
      </c>
      <c r="J4662" s="15"/>
      <c r="K4662" s="16">
        <f>271.78 - (271.78 * $E$1)</f>
        <v>271.77999999999997</v>
      </c>
      <c r="L4662" s="16">
        <f>222.77 - (222.77 * $E$1)</f>
        <v>222.77</v>
      </c>
      <c r="M4662" s="1">
        <v>271.77999999999997</v>
      </c>
      <c r="N4662" s="1">
        <v>222.77</v>
      </c>
      <c r="O4662" s="1">
        <v>231.01</v>
      </c>
      <c r="P4662" s="1">
        <v>189.35</v>
      </c>
      <c r="Q4662">
        <v>0.16</v>
      </c>
      <c r="R4662">
        <v>7.5000000000000002E-4</v>
      </c>
    </row>
    <row r="4663" spans="1:18" ht="13.8" outlineLevel="2" x14ac:dyDescent="0.25">
      <c r="A4663">
        <v>102320</v>
      </c>
      <c r="B4663" t="s">
        <v>6637</v>
      </c>
      <c r="C4663" t="s">
        <v>6773</v>
      </c>
      <c r="D4663" s="14" t="s">
        <v>6679</v>
      </c>
      <c r="E4663" s="12" t="s">
        <v>28</v>
      </c>
      <c r="F4663" s="13" t="s">
        <v>29</v>
      </c>
      <c r="G4663">
        <v>1</v>
      </c>
      <c r="H4663" t="s">
        <v>420</v>
      </c>
      <c r="I4663">
        <v>1</v>
      </c>
      <c r="J4663" s="15"/>
      <c r="K4663" s="16">
        <f>310.97 - (310.97 * $E$1)</f>
        <v>310.97000000000003</v>
      </c>
      <c r="L4663" s="16">
        <f>254.89 - (254.89 * $E$1)</f>
        <v>254.89</v>
      </c>
      <c r="M4663" s="1">
        <v>310.97000000000003</v>
      </c>
      <c r="N4663" s="1">
        <v>254.89</v>
      </c>
      <c r="O4663" s="1">
        <v>264.32</v>
      </c>
      <c r="P4663" s="1">
        <v>216.66</v>
      </c>
      <c r="Q4663">
        <v>0.19</v>
      </c>
      <c r="R4663">
        <v>8.9999999999999998E-4</v>
      </c>
    </row>
    <row r="4664" spans="1:18" ht="13.8" outlineLevel="2" x14ac:dyDescent="0.25">
      <c r="A4664">
        <v>102321</v>
      </c>
      <c r="B4664" t="s">
        <v>6637</v>
      </c>
      <c r="C4664" t="s">
        <v>6774</v>
      </c>
      <c r="D4664" s="14" t="s">
        <v>6679</v>
      </c>
      <c r="E4664" s="12" t="s">
        <v>28</v>
      </c>
      <c r="F4664" s="13" t="s">
        <v>29</v>
      </c>
      <c r="G4664">
        <v>1</v>
      </c>
      <c r="H4664" t="s">
        <v>420</v>
      </c>
      <c r="I4664">
        <v>1</v>
      </c>
      <c r="J4664" s="15"/>
      <c r="K4664" s="16">
        <f>384.67 - (384.67 * $E$1)</f>
        <v>384.67</v>
      </c>
      <c r="L4664" s="16">
        <f>315.3 - (315.3 * $E$1)</f>
        <v>315.3</v>
      </c>
      <c r="M4664" s="1">
        <v>384.67</v>
      </c>
      <c r="N4664" s="1">
        <v>315.3</v>
      </c>
      <c r="O4664" s="1">
        <v>326.97000000000003</v>
      </c>
      <c r="P4664" s="1">
        <v>268.01</v>
      </c>
      <c r="Q4664">
        <v>0.23</v>
      </c>
      <c r="R4664">
        <v>1.2960000000000001E-3</v>
      </c>
    </row>
    <row r="4665" spans="1:18" ht="13.8" outlineLevel="2" x14ac:dyDescent="0.25">
      <c r="A4665">
        <v>102322</v>
      </c>
      <c r="B4665" t="s">
        <v>6637</v>
      </c>
      <c r="C4665" t="s">
        <v>6775</v>
      </c>
      <c r="D4665" s="14" t="s">
        <v>6679</v>
      </c>
      <c r="E4665" s="12" t="s">
        <v>28</v>
      </c>
      <c r="F4665" s="13" t="s">
        <v>29</v>
      </c>
      <c r="G4665">
        <v>1</v>
      </c>
      <c r="H4665" t="s">
        <v>420</v>
      </c>
      <c r="I4665">
        <v>1</v>
      </c>
      <c r="J4665" s="15"/>
      <c r="K4665" s="16">
        <f>445.06 - (445.06 * $E$1)</f>
        <v>445.06</v>
      </c>
      <c r="L4665" s="16">
        <f>364.8 - (364.8 * $E$1)</f>
        <v>364.8</v>
      </c>
      <c r="M4665" s="1">
        <v>445.06</v>
      </c>
      <c r="N4665" s="1">
        <v>364.8</v>
      </c>
      <c r="O4665" s="1">
        <v>378.3</v>
      </c>
      <c r="P4665" s="1">
        <v>310.08</v>
      </c>
      <c r="Q4665">
        <v>0.27</v>
      </c>
      <c r="R4665">
        <v>1.23E-3</v>
      </c>
    </row>
    <row r="4666" spans="1:18" ht="13.8" outlineLevel="2" x14ac:dyDescent="0.25">
      <c r="A4666">
        <v>102323</v>
      </c>
      <c r="B4666" t="s">
        <v>6637</v>
      </c>
      <c r="C4666" t="s">
        <v>6776</v>
      </c>
      <c r="D4666" s="14" t="s">
        <v>6679</v>
      </c>
      <c r="E4666" s="12" t="s">
        <v>28</v>
      </c>
      <c r="F4666" s="13" t="s">
        <v>29</v>
      </c>
      <c r="G4666">
        <v>1</v>
      </c>
      <c r="H4666" t="s">
        <v>420</v>
      </c>
      <c r="I4666">
        <v>1</v>
      </c>
      <c r="J4666" s="15"/>
      <c r="K4666" s="16">
        <f>521.16 - (521.16 * $E$1)</f>
        <v>521.16</v>
      </c>
      <c r="L4666" s="16">
        <f>427.18 - (427.18 * $E$1)</f>
        <v>427.18</v>
      </c>
      <c r="M4666" s="1">
        <v>521.16</v>
      </c>
      <c r="N4666" s="1">
        <v>427.18</v>
      </c>
      <c r="O4666" s="1">
        <v>442.99</v>
      </c>
      <c r="P4666" s="1">
        <v>363.1</v>
      </c>
      <c r="Q4666">
        <v>0.3</v>
      </c>
      <c r="R4666">
        <v>1.485E-3</v>
      </c>
    </row>
    <row r="4667" spans="1:18" ht="13.8" outlineLevel="2" x14ac:dyDescent="0.25">
      <c r="A4667">
        <v>102324</v>
      </c>
      <c r="B4667" t="s">
        <v>6637</v>
      </c>
      <c r="C4667" t="s">
        <v>6777</v>
      </c>
      <c r="D4667" s="14" t="s">
        <v>6679</v>
      </c>
      <c r="E4667" s="12" t="s">
        <v>28</v>
      </c>
      <c r="G4667">
        <v>1</v>
      </c>
      <c r="H4667" t="s">
        <v>420</v>
      </c>
      <c r="I4667">
        <v>1</v>
      </c>
      <c r="J4667" s="15"/>
      <c r="K4667" s="16">
        <f>658.4 - (658.4 * $E$1)</f>
        <v>658.4</v>
      </c>
      <c r="L4667" s="16">
        <f>539.67 - (539.67 * $E$1)</f>
        <v>539.66999999999996</v>
      </c>
      <c r="M4667" s="1">
        <v>658.4</v>
      </c>
      <c r="N4667" s="1">
        <v>539.66999999999996</v>
      </c>
      <c r="O4667" s="1">
        <v>559.64</v>
      </c>
      <c r="P4667" s="1">
        <v>458.72</v>
      </c>
      <c r="Q4667">
        <v>0.38</v>
      </c>
      <c r="R4667">
        <v>2.2000000000000001E-3</v>
      </c>
    </row>
    <row r="4668" spans="1:18" ht="13.8" outlineLevel="2" x14ac:dyDescent="0.25">
      <c r="A4668">
        <v>102325</v>
      </c>
      <c r="B4668" t="s">
        <v>6637</v>
      </c>
      <c r="C4668" t="s">
        <v>6778</v>
      </c>
      <c r="D4668" s="14" t="s">
        <v>6679</v>
      </c>
      <c r="E4668" s="12" t="s">
        <v>28</v>
      </c>
      <c r="F4668" s="13" t="s">
        <v>29</v>
      </c>
      <c r="G4668">
        <v>1</v>
      </c>
      <c r="H4668" t="s">
        <v>420</v>
      </c>
      <c r="I4668">
        <v>1</v>
      </c>
      <c r="J4668" s="15"/>
      <c r="K4668" s="16">
        <f>529.08 - (529.08 * $E$1)</f>
        <v>529.08000000000004</v>
      </c>
      <c r="L4668" s="16">
        <f>433.67 - (433.67 * $E$1)</f>
        <v>433.67</v>
      </c>
      <c r="M4668" s="1">
        <v>529.08000000000004</v>
      </c>
      <c r="N4668" s="1">
        <v>433.67</v>
      </c>
      <c r="O4668" s="1">
        <v>449.72</v>
      </c>
      <c r="P4668" s="1">
        <v>368.62</v>
      </c>
      <c r="Q4668">
        <v>0.28999999999999998</v>
      </c>
      <c r="R4668">
        <v>1.701E-3</v>
      </c>
    </row>
    <row r="4669" spans="1:18" ht="13.8" outlineLevel="2" x14ac:dyDescent="0.25">
      <c r="A4669">
        <v>102326</v>
      </c>
      <c r="B4669" t="s">
        <v>6637</v>
      </c>
      <c r="C4669" t="s">
        <v>6779</v>
      </c>
      <c r="D4669" s="14" t="s">
        <v>6679</v>
      </c>
      <c r="E4669" s="12" t="s">
        <v>28</v>
      </c>
      <c r="F4669" s="13" t="s">
        <v>29</v>
      </c>
      <c r="G4669">
        <v>1</v>
      </c>
      <c r="H4669" t="s">
        <v>420</v>
      </c>
      <c r="I4669">
        <v>1</v>
      </c>
      <c r="J4669" s="15"/>
      <c r="K4669" s="16">
        <f>760.91 - (760.91 * $E$1)</f>
        <v>760.91</v>
      </c>
      <c r="L4669" s="16">
        <f>623.7 - (623.7 * $E$1)</f>
        <v>623.70000000000005</v>
      </c>
      <c r="M4669" s="1">
        <v>760.91</v>
      </c>
      <c r="N4669" s="1">
        <v>623.70000000000005</v>
      </c>
      <c r="O4669" s="1">
        <v>646.78</v>
      </c>
      <c r="P4669" s="1">
        <v>530.15</v>
      </c>
      <c r="Q4669">
        <v>0.41</v>
      </c>
      <c r="R4669">
        <v>2.3310000000000002E-3</v>
      </c>
    </row>
    <row r="4670" spans="1:18" ht="13.8" outlineLevel="2" x14ac:dyDescent="0.25">
      <c r="A4670">
        <v>102327</v>
      </c>
      <c r="B4670" t="s">
        <v>6637</v>
      </c>
      <c r="C4670" t="s">
        <v>6780</v>
      </c>
      <c r="D4670" s="14" t="s">
        <v>6679</v>
      </c>
      <c r="E4670" s="12" t="s">
        <v>28</v>
      </c>
      <c r="F4670" s="13" t="s">
        <v>29</v>
      </c>
      <c r="G4670">
        <v>1</v>
      </c>
      <c r="H4670" t="s">
        <v>420</v>
      </c>
      <c r="I4670">
        <v>1</v>
      </c>
      <c r="J4670" s="15"/>
      <c r="K4670" s="16">
        <f>953.45 - (953.45 * $E$1)</f>
        <v>953.45</v>
      </c>
      <c r="L4670" s="16">
        <f>781.52 - (781.52 * $E$1)</f>
        <v>781.52</v>
      </c>
      <c r="M4670" s="1">
        <v>953.45</v>
      </c>
      <c r="N4670" s="1">
        <v>781.52</v>
      </c>
      <c r="O4670" s="1">
        <v>810.44</v>
      </c>
      <c r="P4670" s="1">
        <v>664.29</v>
      </c>
      <c r="Q4670">
        <v>0.55000000000000004</v>
      </c>
      <c r="R4670">
        <v>3.3600000000000001E-3</v>
      </c>
    </row>
    <row r="4671" spans="1:18" ht="13.8" outlineLevel="2" x14ac:dyDescent="0.25">
      <c r="A4671">
        <v>102328</v>
      </c>
      <c r="B4671" t="s">
        <v>6637</v>
      </c>
      <c r="C4671" t="s">
        <v>6781</v>
      </c>
      <c r="D4671" s="14" t="s">
        <v>6679</v>
      </c>
      <c r="E4671" s="12" t="s">
        <v>28</v>
      </c>
      <c r="F4671" s="13" t="s">
        <v>29</v>
      </c>
      <c r="G4671">
        <v>1</v>
      </c>
      <c r="H4671" t="s">
        <v>420</v>
      </c>
      <c r="I4671">
        <v>1</v>
      </c>
      <c r="J4671" s="15"/>
      <c r="K4671" s="16">
        <f>1235.09 - (1235.09 * $E$1)</f>
        <v>1235.0899999999999</v>
      </c>
      <c r="L4671" s="16">
        <f>1012.37 - (1012.37 * $E$1)</f>
        <v>1012.37</v>
      </c>
      <c r="M4671" s="1">
        <v>1235.0899999999999</v>
      </c>
      <c r="N4671" s="1">
        <v>1012.37</v>
      </c>
      <c r="O4671" s="1">
        <v>1049.83</v>
      </c>
      <c r="P4671" s="1">
        <v>860.51</v>
      </c>
      <c r="Q4671">
        <v>0.67</v>
      </c>
      <c r="R4671">
        <v>3.9899999999999996E-3</v>
      </c>
    </row>
    <row r="4672" spans="1:18" ht="13.8" outlineLevel="2" x14ac:dyDescent="0.25">
      <c r="A4672">
        <v>111519</v>
      </c>
      <c r="B4672" t="s">
        <v>6637</v>
      </c>
      <c r="C4672" t="s">
        <v>6782</v>
      </c>
      <c r="D4672" s="14" t="s">
        <v>6783</v>
      </c>
      <c r="E4672" s="12" t="s">
        <v>28</v>
      </c>
      <c r="F4672" s="18" t="s">
        <v>1467</v>
      </c>
      <c r="G4672">
        <v>1</v>
      </c>
      <c r="H4672" t="s">
        <v>6695</v>
      </c>
      <c r="I4672">
        <v>1</v>
      </c>
      <c r="J4672" s="15"/>
      <c r="K4672" s="16">
        <f>405.71 - (405.71 * $E$1)</f>
        <v>405.71</v>
      </c>
      <c r="L4672" s="16">
        <f>332.55 - (332.55 * $E$1)</f>
        <v>332.55</v>
      </c>
      <c r="M4672" s="1">
        <v>405.71</v>
      </c>
      <c r="N4672" s="1">
        <v>332.55</v>
      </c>
      <c r="O4672" s="1">
        <v>344.85</v>
      </c>
      <c r="P4672" s="1">
        <v>282.67</v>
      </c>
      <c r="Q4672">
        <v>0.1</v>
      </c>
      <c r="R4672">
        <v>7.5900000000000002E-4</v>
      </c>
    </row>
    <row r="4673" spans="1:18" ht="13.8" outlineLevel="2" x14ac:dyDescent="0.25">
      <c r="A4673">
        <v>111520</v>
      </c>
      <c r="B4673" t="s">
        <v>6637</v>
      </c>
      <c r="C4673" t="s">
        <v>6784</v>
      </c>
      <c r="D4673" s="14" t="s">
        <v>6783</v>
      </c>
      <c r="E4673" s="12" t="s">
        <v>28</v>
      </c>
      <c r="F4673" s="18" t="s">
        <v>1467</v>
      </c>
      <c r="G4673">
        <v>1</v>
      </c>
      <c r="H4673" t="s">
        <v>6695</v>
      </c>
      <c r="I4673">
        <v>1</v>
      </c>
      <c r="J4673" s="15"/>
      <c r="K4673" s="16">
        <f>493.25 - (493.25 * $E$1)</f>
        <v>493.25</v>
      </c>
      <c r="L4673" s="16">
        <f>404.3 - (404.3 * $E$1)</f>
        <v>404.3</v>
      </c>
      <c r="M4673" s="1">
        <v>493.25</v>
      </c>
      <c r="N4673" s="1">
        <v>404.3</v>
      </c>
      <c r="O4673" s="1">
        <v>419.26</v>
      </c>
      <c r="P4673" s="1">
        <v>343.66</v>
      </c>
      <c r="Q4673">
        <v>0.13500000000000001</v>
      </c>
      <c r="R4673">
        <v>1.0399999999999999E-3</v>
      </c>
    </row>
    <row r="4674" spans="1:18" ht="13.8" outlineLevel="2" x14ac:dyDescent="0.25">
      <c r="A4674">
        <v>111521</v>
      </c>
      <c r="B4674" t="s">
        <v>6637</v>
      </c>
      <c r="C4674" t="s">
        <v>6785</v>
      </c>
      <c r="D4674" s="14" t="s">
        <v>6783</v>
      </c>
      <c r="E4674" s="12" t="s">
        <v>28</v>
      </c>
      <c r="F4674" s="18" t="s">
        <v>1467</v>
      </c>
      <c r="G4674">
        <v>1</v>
      </c>
      <c r="H4674" t="s">
        <v>6695</v>
      </c>
      <c r="I4674">
        <v>1</v>
      </c>
      <c r="J4674" s="15"/>
      <c r="K4674" s="16">
        <f>555.31 - (555.31 * $E$1)</f>
        <v>555.30999999999995</v>
      </c>
      <c r="L4674" s="16">
        <f>455.17 - (455.17 * $E$1)</f>
        <v>455.17</v>
      </c>
      <c r="M4674" s="1">
        <v>555.30999999999995</v>
      </c>
      <c r="N4674" s="1">
        <v>455.17</v>
      </c>
      <c r="O4674" s="1">
        <v>472.01</v>
      </c>
      <c r="P4674" s="1">
        <v>386.89</v>
      </c>
      <c r="Q4674">
        <v>0.16</v>
      </c>
      <c r="R4674">
        <v>1.085E-3</v>
      </c>
    </row>
    <row r="4675" spans="1:18" ht="13.8" outlineLevel="2" x14ac:dyDescent="0.25">
      <c r="A4675">
        <v>84811</v>
      </c>
      <c r="B4675" t="s">
        <v>6637</v>
      </c>
      <c r="C4675" t="s">
        <v>6786</v>
      </c>
      <c r="D4675" s="14" t="s">
        <v>6787</v>
      </c>
      <c r="E4675" s="12" t="s">
        <v>28</v>
      </c>
      <c r="F4675" s="13" t="s">
        <v>29</v>
      </c>
      <c r="G4675">
        <v>1</v>
      </c>
      <c r="H4675" t="s">
        <v>420</v>
      </c>
      <c r="I4675">
        <v>1</v>
      </c>
      <c r="J4675" s="15"/>
      <c r="K4675" s="16">
        <f>38.2 - (38.2 * $E$1)</f>
        <v>38.200000000000003</v>
      </c>
      <c r="L4675" s="16">
        <f>31.31 - (31.31 * $E$1)</f>
        <v>31.31</v>
      </c>
      <c r="M4675" s="1">
        <v>38.200000000000003</v>
      </c>
      <c r="N4675" s="1">
        <v>31.31</v>
      </c>
      <c r="O4675" s="1">
        <v>32.47</v>
      </c>
      <c r="P4675" s="1">
        <v>26.61</v>
      </c>
      <c r="Q4675">
        <v>0.03</v>
      </c>
      <c r="R4675">
        <v>9.6000000000000002E-5</v>
      </c>
    </row>
    <row r="4676" spans="1:18" ht="13.8" outlineLevel="2" x14ac:dyDescent="0.25">
      <c r="A4676">
        <v>84812</v>
      </c>
      <c r="B4676" t="s">
        <v>6637</v>
      </c>
      <c r="C4676" t="s">
        <v>6788</v>
      </c>
      <c r="D4676" s="14" t="s">
        <v>6787</v>
      </c>
      <c r="E4676" s="12" t="s">
        <v>28</v>
      </c>
      <c r="F4676" s="13" t="s">
        <v>29</v>
      </c>
      <c r="G4676">
        <v>1</v>
      </c>
      <c r="H4676" t="s">
        <v>420</v>
      </c>
      <c r="I4676">
        <v>1</v>
      </c>
      <c r="J4676" s="15"/>
      <c r="K4676" s="16">
        <f>56.3 - (56.3 * $E$1)</f>
        <v>56.3</v>
      </c>
      <c r="L4676" s="16">
        <f>46.15 - (46.15 * $E$1)</f>
        <v>46.15</v>
      </c>
      <c r="M4676" s="1">
        <v>56.3</v>
      </c>
      <c r="N4676" s="1">
        <v>46.15</v>
      </c>
      <c r="O4676" s="1">
        <v>47.86</v>
      </c>
      <c r="P4676" s="1">
        <v>39.229999999999997</v>
      </c>
      <c r="Q4676">
        <v>0.04</v>
      </c>
      <c r="R4676">
        <v>1.3999999999999999E-4</v>
      </c>
    </row>
    <row r="4677" spans="1:18" ht="13.8" outlineLevel="2" x14ac:dyDescent="0.25">
      <c r="A4677">
        <v>84813</v>
      </c>
      <c r="B4677" t="s">
        <v>6637</v>
      </c>
      <c r="C4677" t="s">
        <v>6789</v>
      </c>
      <c r="D4677" s="14" t="s">
        <v>6787</v>
      </c>
      <c r="E4677" s="12" t="s">
        <v>28</v>
      </c>
      <c r="F4677" s="13" t="s">
        <v>29</v>
      </c>
      <c r="G4677">
        <v>1</v>
      </c>
      <c r="H4677" t="s">
        <v>420</v>
      </c>
      <c r="I4677">
        <v>1</v>
      </c>
      <c r="J4677" s="15"/>
      <c r="K4677" s="16">
        <f>72.2 - (72.2 * $E$1)</f>
        <v>72.2</v>
      </c>
      <c r="L4677" s="16">
        <f>59.18 - (59.18 * $E$1)</f>
        <v>59.18</v>
      </c>
      <c r="M4677" s="1">
        <v>72.2</v>
      </c>
      <c r="N4677" s="1">
        <v>59.18</v>
      </c>
      <c r="O4677" s="1">
        <v>61.37</v>
      </c>
      <c r="P4677" s="1">
        <v>50.3</v>
      </c>
      <c r="Q4677">
        <v>0.05</v>
      </c>
      <c r="R4677">
        <v>2.32E-4</v>
      </c>
    </row>
    <row r="4678" spans="1:18" ht="13.8" outlineLevel="2" x14ac:dyDescent="0.25">
      <c r="A4678">
        <v>89922</v>
      </c>
      <c r="B4678" t="s">
        <v>6637</v>
      </c>
      <c r="C4678" t="s">
        <v>6790</v>
      </c>
      <c r="D4678" s="14" t="s">
        <v>6787</v>
      </c>
      <c r="E4678" s="12" t="s">
        <v>28</v>
      </c>
      <c r="F4678" s="13" t="s">
        <v>29</v>
      </c>
      <c r="G4678">
        <v>1</v>
      </c>
      <c r="H4678" t="s">
        <v>420</v>
      </c>
      <c r="I4678">
        <v>1</v>
      </c>
      <c r="J4678" s="15"/>
      <c r="K4678" s="16">
        <f>108.06 - (108.06 * $E$1)</f>
        <v>108.06</v>
      </c>
      <c r="L4678" s="16">
        <f>88.57 - (88.57 * $E$1)</f>
        <v>88.57</v>
      </c>
      <c r="M4678" s="1">
        <v>108.06</v>
      </c>
      <c r="N4678" s="1">
        <v>88.57</v>
      </c>
      <c r="O4678" s="1">
        <v>91.85</v>
      </c>
      <c r="P4678" s="1">
        <v>75.28</v>
      </c>
      <c r="Q4678">
        <v>9.5000000000000001E-2</v>
      </c>
      <c r="R4678">
        <v>5.0699999999999996E-4</v>
      </c>
    </row>
    <row r="4679" spans="1:18" ht="13.8" outlineLevel="2" x14ac:dyDescent="0.25">
      <c r="A4679">
        <v>89923</v>
      </c>
      <c r="B4679" t="s">
        <v>6637</v>
      </c>
      <c r="C4679" t="s">
        <v>6791</v>
      </c>
      <c r="D4679" s="14" t="s">
        <v>6787</v>
      </c>
      <c r="E4679" s="12" t="s">
        <v>28</v>
      </c>
      <c r="F4679" s="13" t="s">
        <v>29</v>
      </c>
      <c r="G4679">
        <v>1</v>
      </c>
      <c r="H4679" t="s">
        <v>420</v>
      </c>
      <c r="I4679">
        <v>1</v>
      </c>
      <c r="J4679" s="15"/>
      <c r="K4679" s="16">
        <f>52.22 - (52.22 * $E$1)</f>
        <v>52.22</v>
      </c>
      <c r="L4679" s="16">
        <f>42.8 - (42.8 * $E$1)</f>
        <v>42.8</v>
      </c>
      <c r="M4679" s="1">
        <v>52.22</v>
      </c>
      <c r="N4679" s="1">
        <v>42.8</v>
      </c>
      <c r="O4679" s="1">
        <v>44.38</v>
      </c>
      <c r="P4679" s="1">
        <v>36.380000000000003</v>
      </c>
      <c r="Q4679">
        <v>9.4E-2</v>
      </c>
      <c r="R4679">
        <v>3.7800000000000003E-4</v>
      </c>
    </row>
    <row r="4680" spans="1:18" ht="13.8" outlineLevel="2" x14ac:dyDescent="0.25">
      <c r="A4680">
        <v>87781</v>
      </c>
      <c r="B4680" t="s">
        <v>6637</v>
      </c>
      <c r="C4680" t="s">
        <v>6792</v>
      </c>
      <c r="D4680" s="14" t="s">
        <v>6787</v>
      </c>
      <c r="E4680" s="12" t="s">
        <v>28</v>
      </c>
      <c r="F4680" s="13" t="s">
        <v>29</v>
      </c>
      <c r="G4680">
        <v>1</v>
      </c>
      <c r="H4680" t="s">
        <v>420</v>
      </c>
      <c r="I4680">
        <v>1</v>
      </c>
      <c r="J4680" s="15"/>
      <c r="K4680" s="16">
        <f>80.93 - (80.93 * $E$1)</f>
        <v>80.930000000000007</v>
      </c>
      <c r="L4680" s="16">
        <f>66.34 - (66.34 * $E$1)</f>
        <v>66.34</v>
      </c>
      <c r="M4680" s="1">
        <v>80.930000000000007</v>
      </c>
      <c r="N4680" s="1">
        <v>66.34</v>
      </c>
      <c r="O4680" s="1">
        <v>68.790000000000006</v>
      </c>
      <c r="P4680" s="1">
        <v>56.39</v>
      </c>
      <c r="Q4680">
        <v>7.0000000000000007E-2</v>
      </c>
      <c r="R4680">
        <v>3.4000000000000002E-4</v>
      </c>
    </row>
    <row r="4681" spans="1:18" ht="13.8" outlineLevel="2" x14ac:dyDescent="0.25">
      <c r="A4681">
        <v>84814</v>
      </c>
      <c r="B4681" t="s">
        <v>6637</v>
      </c>
      <c r="C4681" t="s">
        <v>6793</v>
      </c>
      <c r="D4681" s="14" t="s">
        <v>6787</v>
      </c>
      <c r="E4681" s="12" t="s">
        <v>28</v>
      </c>
      <c r="F4681" s="13" t="s">
        <v>29</v>
      </c>
      <c r="G4681">
        <v>1</v>
      </c>
      <c r="H4681" t="s">
        <v>420</v>
      </c>
      <c r="I4681">
        <v>1</v>
      </c>
      <c r="J4681" s="15"/>
      <c r="K4681" s="16">
        <f>110 - (110 * $E$1)</f>
        <v>110</v>
      </c>
      <c r="L4681" s="16">
        <f>90.16 - (90.16 * $E$1)</f>
        <v>90.16</v>
      </c>
      <c r="M4681" s="1">
        <v>110</v>
      </c>
      <c r="N4681" s="1">
        <v>90.16</v>
      </c>
      <c r="O4681" s="1">
        <v>93.5</v>
      </c>
      <c r="P4681" s="1">
        <v>76.64</v>
      </c>
      <c r="Q4681">
        <v>0.09</v>
      </c>
      <c r="R4681">
        <v>4.6200000000000001E-4</v>
      </c>
    </row>
    <row r="4682" spans="1:18" ht="13.8" outlineLevel="2" x14ac:dyDescent="0.25">
      <c r="A4682">
        <v>84815</v>
      </c>
      <c r="B4682" t="s">
        <v>6637</v>
      </c>
      <c r="C4682" t="s">
        <v>6794</v>
      </c>
      <c r="D4682" s="14" t="s">
        <v>6787</v>
      </c>
      <c r="E4682" s="12" t="s">
        <v>28</v>
      </c>
      <c r="F4682" s="13" t="s">
        <v>29</v>
      </c>
      <c r="G4682">
        <v>1</v>
      </c>
      <c r="H4682" t="s">
        <v>420</v>
      </c>
      <c r="I4682">
        <v>1</v>
      </c>
      <c r="J4682" s="15"/>
      <c r="K4682" s="16">
        <f>142.02 - (142.02 * $E$1)</f>
        <v>142.02000000000001</v>
      </c>
      <c r="L4682" s="16">
        <f>116.41 - (116.41 * $E$1)</f>
        <v>116.41</v>
      </c>
      <c r="M4682" s="1">
        <v>142.02000000000001</v>
      </c>
      <c r="N4682" s="1">
        <v>116.41</v>
      </c>
      <c r="O4682" s="1">
        <v>120.72</v>
      </c>
      <c r="P4682" s="1">
        <v>98.95</v>
      </c>
      <c r="Q4682">
        <v>0.11</v>
      </c>
      <c r="R4682">
        <v>5.5999999999999995E-4</v>
      </c>
    </row>
    <row r="4683" spans="1:18" ht="13.8" outlineLevel="2" x14ac:dyDescent="0.25">
      <c r="A4683">
        <v>84816</v>
      </c>
      <c r="B4683" t="s">
        <v>6637</v>
      </c>
      <c r="C4683" t="s">
        <v>6795</v>
      </c>
      <c r="D4683" s="14" t="s">
        <v>6787</v>
      </c>
      <c r="E4683" s="12" t="s">
        <v>28</v>
      </c>
      <c r="F4683" s="13" t="s">
        <v>29</v>
      </c>
      <c r="G4683">
        <v>1</v>
      </c>
      <c r="H4683" t="s">
        <v>420</v>
      </c>
      <c r="I4683">
        <v>1</v>
      </c>
      <c r="J4683" s="15"/>
      <c r="K4683" s="16">
        <f>170.15 - (170.15 * $E$1)</f>
        <v>170.15</v>
      </c>
      <c r="L4683" s="16">
        <f>139.47 - (139.47 * $E$1)</f>
        <v>139.47</v>
      </c>
      <c r="M4683" s="1">
        <v>170.15</v>
      </c>
      <c r="N4683" s="1">
        <v>139.47</v>
      </c>
      <c r="O4683" s="1">
        <v>144.63</v>
      </c>
      <c r="P4683" s="1">
        <v>118.55</v>
      </c>
      <c r="Q4683">
        <v>0.14000000000000001</v>
      </c>
      <c r="R4683">
        <v>6.4000000000000005E-4</v>
      </c>
    </row>
    <row r="4684" spans="1:18" ht="13.8" outlineLevel="2" x14ac:dyDescent="0.25">
      <c r="A4684">
        <v>89924</v>
      </c>
      <c r="B4684" t="s">
        <v>6637</v>
      </c>
      <c r="C4684" t="s">
        <v>6796</v>
      </c>
      <c r="D4684" s="14" t="s">
        <v>6787</v>
      </c>
      <c r="E4684" s="12" t="s">
        <v>28</v>
      </c>
      <c r="F4684" s="13" t="s">
        <v>29</v>
      </c>
      <c r="G4684">
        <v>1</v>
      </c>
      <c r="H4684" t="s">
        <v>420</v>
      </c>
      <c r="I4684">
        <v>1</v>
      </c>
      <c r="J4684" s="15"/>
      <c r="K4684" s="16">
        <f>216.62 - (216.62 * $E$1)</f>
        <v>216.62</v>
      </c>
      <c r="L4684" s="16">
        <f>177.56 - (177.56 * $E$1)</f>
        <v>177.56</v>
      </c>
      <c r="M4684" s="1">
        <v>216.62</v>
      </c>
      <c r="N4684" s="1">
        <v>177.56</v>
      </c>
      <c r="O4684" s="1">
        <v>184.13</v>
      </c>
      <c r="P4684" s="1">
        <v>150.93</v>
      </c>
      <c r="Q4684">
        <v>0.16</v>
      </c>
      <c r="R4684">
        <v>9.1100000000000003E-4</v>
      </c>
    </row>
    <row r="4685" spans="1:18" ht="13.8" outlineLevel="2" x14ac:dyDescent="0.25">
      <c r="A4685">
        <v>89925</v>
      </c>
      <c r="B4685" t="s">
        <v>6637</v>
      </c>
      <c r="C4685" t="s">
        <v>6797</v>
      </c>
      <c r="D4685" s="14" t="s">
        <v>6787</v>
      </c>
      <c r="E4685" s="12" t="s">
        <v>28</v>
      </c>
      <c r="F4685" s="13" t="s">
        <v>29</v>
      </c>
      <c r="G4685">
        <v>1</v>
      </c>
      <c r="H4685" t="s">
        <v>420</v>
      </c>
      <c r="I4685">
        <v>1</v>
      </c>
      <c r="J4685" s="15"/>
      <c r="K4685" s="16">
        <f>118.36 - (118.36 * $E$1)</f>
        <v>118.36</v>
      </c>
      <c r="L4685" s="16">
        <f>97.02 - (97.02 * $E$1)</f>
        <v>97.02</v>
      </c>
      <c r="M4685" s="1">
        <v>118.36</v>
      </c>
      <c r="N4685" s="1">
        <v>97.02</v>
      </c>
      <c r="O4685" s="1">
        <v>100.61</v>
      </c>
      <c r="P4685" s="1">
        <v>82.47</v>
      </c>
      <c r="Q4685">
        <v>0.1</v>
      </c>
      <c r="R4685">
        <v>7.2000000000000005E-4</v>
      </c>
    </row>
    <row r="4686" spans="1:18" ht="13.8" outlineLevel="2" x14ac:dyDescent="0.25">
      <c r="A4686">
        <v>87782</v>
      </c>
      <c r="B4686" t="s">
        <v>6637</v>
      </c>
      <c r="C4686" t="s">
        <v>6798</v>
      </c>
      <c r="D4686" s="14" t="s">
        <v>6787</v>
      </c>
      <c r="E4686" s="12" t="s">
        <v>28</v>
      </c>
      <c r="F4686" s="13" t="s">
        <v>29</v>
      </c>
      <c r="G4686">
        <v>1</v>
      </c>
      <c r="H4686" t="s">
        <v>420</v>
      </c>
      <c r="I4686">
        <v>1</v>
      </c>
      <c r="J4686" s="15"/>
      <c r="K4686" s="16">
        <f>179.82 - (179.82 * $E$1)</f>
        <v>179.82</v>
      </c>
      <c r="L4686" s="16">
        <f>147.39 - (147.39 * $E$1)</f>
        <v>147.38999999999999</v>
      </c>
      <c r="M4686" s="1">
        <v>179.82</v>
      </c>
      <c r="N4686" s="1">
        <v>147.38999999999999</v>
      </c>
      <c r="O4686" s="1">
        <v>152.84</v>
      </c>
      <c r="P4686" s="1">
        <v>125.28</v>
      </c>
      <c r="Q4686">
        <v>0.15</v>
      </c>
      <c r="R4686">
        <v>8.9099999999999997E-4</v>
      </c>
    </row>
    <row r="4687" spans="1:18" ht="13.8" outlineLevel="2" x14ac:dyDescent="0.25">
      <c r="A4687">
        <v>84817</v>
      </c>
      <c r="B4687" t="s">
        <v>6637</v>
      </c>
      <c r="C4687" t="s">
        <v>6799</v>
      </c>
      <c r="D4687" s="14" t="s">
        <v>6787</v>
      </c>
      <c r="E4687" s="12" t="s">
        <v>28</v>
      </c>
      <c r="F4687" s="13" t="s">
        <v>29</v>
      </c>
      <c r="G4687">
        <v>1</v>
      </c>
      <c r="H4687" t="s">
        <v>420</v>
      </c>
      <c r="I4687">
        <v>1</v>
      </c>
      <c r="J4687" s="15"/>
      <c r="K4687" s="16">
        <f>146.45 - (146.45 * $E$1)</f>
        <v>146.44999999999999</v>
      </c>
      <c r="L4687" s="16">
        <f>120.04 - (120.04 * $E$1)</f>
        <v>120.04</v>
      </c>
      <c r="M4687" s="1">
        <v>146.44999999999999</v>
      </c>
      <c r="N4687" s="1">
        <v>120.04</v>
      </c>
      <c r="O4687" s="1">
        <v>124.48</v>
      </c>
      <c r="P4687" s="1">
        <v>102.03</v>
      </c>
      <c r="Q4687">
        <v>0.11</v>
      </c>
      <c r="R4687">
        <v>6.6699999999999995E-4</v>
      </c>
    </row>
    <row r="4688" spans="1:18" ht="13.8" outlineLevel="2" x14ac:dyDescent="0.25">
      <c r="A4688">
        <v>84818</v>
      </c>
      <c r="B4688" t="s">
        <v>6637</v>
      </c>
      <c r="C4688" t="s">
        <v>6800</v>
      </c>
      <c r="D4688" s="14" t="s">
        <v>6787</v>
      </c>
      <c r="E4688" s="12" t="s">
        <v>28</v>
      </c>
      <c r="F4688" s="13" t="s">
        <v>29</v>
      </c>
      <c r="G4688">
        <v>1</v>
      </c>
      <c r="H4688" t="s">
        <v>420</v>
      </c>
      <c r="I4688">
        <v>1</v>
      </c>
      <c r="J4688" s="15"/>
      <c r="K4688" s="16">
        <f>218.22 - (218.22 * $E$1)</f>
        <v>218.22</v>
      </c>
      <c r="L4688" s="16">
        <f>178.87 - (178.87 * $E$1)</f>
        <v>178.87</v>
      </c>
      <c r="M4688" s="1">
        <v>218.22</v>
      </c>
      <c r="N4688" s="1">
        <v>178.87</v>
      </c>
      <c r="O4688" s="1">
        <v>185.49</v>
      </c>
      <c r="P4688" s="1">
        <v>152.04</v>
      </c>
      <c r="Q4688">
        <v>0.17</v>
      </c>
      <c r="R4688">
        <v>1.176E-3</v>
      </c>
    </row>
    <row r="4689" spans="1:18" ht="13.8" outlineLevel="2" x14ac:dyDescent="0.25">
      <c r="A4689">
        <v>87783</v>
      </c>
      <c r="B4689" t="s">
        <v>6637</v>
      </c>
      <c r="C4689" t="s">
        <v>6801</v>
      </c>
      <c r="D4689" s="14" t="s">
        <v>6787</v>
      </c>
      <c r="E4689" s="12" t="s">
        <v>28</v>
      </c>
      <c r="F4689" s="13" t="s">
        <v>29</v>
      </c>
      <c r="G4689">
        <v>1</v>
      </c>
      <c r="H4689" t="s">
        <v>420</v>
      </c>
      <c r="I4689">
        <v>1</v>
      </c>
      <c r="J4689" s="15"/>
      <c r="K4689" s="16">
        <f>264.87 - (264.87 * $E$1)</f>
        <v>264.87</v>
      </c>
      <c r="L4689" s="16">
        <f>217.11 - (217.11 * $E$1)</f>
        <v>217.11</v>
      </c>
      <c r="M4689" s="1">
        <v>264.87</v>
      </c>
      <c r="N4689" s="1">
        <v>217.11</v>
      </c>
      <c r="O4689" s="1">
        <v>225.14</v>
      </c>
      <c r="P4689" s="1">
        <v>184.54</v>
      </c>
      <c r="Q4689">
        <v>0.22</v>
      </c>
      <c r="R4689">
        <v>1.2210000000000001E-3</v>
      </c>
    </row>
    <row r="4690" spans="1:18" ht="13.8" outlineLevel="2" x14ac:dyDescent="0.25">
      <c r="A4690">
        <v>84819</v>
      </c>
      <c r="B4690" t="s">
        <v>6637</v>
      </c>
      <c r="C4690" t="s">
        <v>6802</v>
      </c>
      <c r="D4690" s="14" t="s">
        <v>6787</v>
      </c>
      <c r="E4690" s="12" t="s">
        <v>28</v>
      </c>
      <c r="F4690" s="13" t="s">
        <v>29</v>
      </c>
      <c r="G4690">
        <v>1</v>
      </c>
      <c r="H4690" t="s">
        <v>420</v>
      </c>
      <c r="I4690">
        <v>1</v>
      </c>
      <c r="J4690" s="15"/>
      <c r="K4690" s="16">
        <f>321.34 - (321.34 * $E$1)</f>
        <v>321.33999999999997</v>
      </c>
      <c r="L4690" s="16">
        <f>263.39 - (263.39 * $E$1)</f>
        <v>263.39</v>
      </c>
      <c r="M4690" s="1">
        <v>321.33999999999997</v>
      </c>
      <c r="N4690" s="1">
        <v>263.39</v>
      </c>
      <c r="O4690" s="1">
        <v>273.14</v>
      </c>
      <c r="P4690" s="1">
        <v>223.88</v>
      </c>
      <c r="Q4690">
        <v>0.26</v>
      </c>
      <c r="R4690">
        <v>1.307E-3</v>
      </c>
    </row>
    <row r="4691" spans="1:18" ht="13.8" outlineLevel="2" x14ac:dyDescent="0.25">
      <c r="A4691">
        <v>87784</v>
      </c>
      <c r="B4691" t="s">
        <v>6637</v>
      </c>
      <c r="C4691" t="s">
        <v>6803</v>
      </c>
      <c r="D4691" s="14" t="s">
        <v>6787</v>
      </c>
      <c r="E4691" s="12" t="s">
        <v>28</v>
      </c>
      <c r="F4691" s="13" t="s">
        <v>29</v>
      </c>
      <c r="G4691">
        <v>1</v>
      </c>
      <c r="H4691" t="s">
        <v>420</v>
      </c>
      <c r="I4691">
        <v>1</v>
      </c>
      <c r="J4691" s="15"/>
      <c r="K4691" s="16">
        <f>369.27 - (369.27 * $E$1)</f>
        <v>369.27</v>
      </c>
      <c r="L4691" s="16">
        <f>302.68 - (302.68 * $E$1)</f>
        <v>302.68</v>
      </c>
      <c r="M4691" s="1">
        <v>369.27</v>
      </c>
      <c r="N4691" s="1">
        <v>302.68</v>
      </c>
      <c r="O4691" s="1">
        <v>313.88</v>
      </c>
      <c r="P4691" s="1">
        <v>257.27999999999997</v>
      </c>
      <c r="Q4691">
        <v>0.3</v>
      </c>
      <c r="R4691">
        <v>1.3799999999999999E-3</v>
      </c>
    </row>
    <row r="4692" spans="1:18" ht="13.8" outlineLevel="2" x14ac:dyDescent="0.25">
      <c r="A4692">
        <v>87785</v>
      </c>
      <c r="B4692" t="s">
        <v>6637</v>
      </c>
      <c r="C4692" t="s">
        <v>6804</v>
      </c>
      <c r="D4692" s="14" t="s">
        <v>6787</v>
      </c>
      <c r="E4692" s="12" t="s">
        <v>28</v>
      </c>
      <c r="F4692" s="13" t="s">
        <v>29</v>
      </c>
      <c r="G4692">
        <v>1</v>
      </c>
      <c r="H4692" t="s">
        <v>420</v>
      </c>
      <c r="I4692">
        <v>1</v>
      </c>
      <c r="J4692" s="15"/>
      <c r="K4692" s="16">
        <f>409.11 - (409.11 * $E$1)</f>
        <v>409.11</v>
      </c>
      <c r="L4692" s="16">
        <f>335.34 - (335.34 * $E$1)</f>
        <v>335.34</v>
      </c>
      <c r="M4692" s="1">
        <v>409.11</v>
      </c>
      <c r="N4692" s="1">
        <v>335.34</v>
      </c>
      <c r="O4692" s="1">
        <v>347.75</v>
      </c>
      <c r="P4692" s="1">
        <v>285.04000000000002</v>
      </c>
      <c r="Q4692">
        <v>0.33</v>
      </c>
      <c r="R4692">
        <v>2.3319999999999999E-3</v>
      </c>
    </row>
    <row r="4693" spans="1:18" ht="13.8" outlineLevel="2" x14ac:dyDescent="0.25">
      <c r="A4693">
        <v>85708</v>
      </c>
      <c r="B4693" t="s">
        <v>6637</v>
      </c>
      <c r="C4693" t="s">
        <v>6805</v>
      </c>
      <c r="D4693" s="14" t="s">
        <v>6787</v>
      </c>
      <c r="E4693" s="12" t="s">
        <v>28</v>
      </c>
      <c r="F4693" s="13" t="s">
        <v>29</v>
      </c>
      <c r="G4693">
        <v>1</v>
      </c>
      <c r="H4693" t="s">
        <v>420</v>
      </c>
      <c r="I4693">
        <v>1</v>
      </c>
      <c r="J4693" s="15"/>
      <c r="K4693" s="16">
        <f>432.22 - (432.22 * $E$1)</f>
        <v>432.22</v>
      </c>
      <c r="L4693" s="16">
        <f>354.28 - (354.28 * $E$1)</f>
        <v>354.28</v>
      </c>
      <c r="M4693" s="1">
        <v>432.22</v>
      </c>
      <c r="N4693" s="1">
        <v>354.28</v>
      </c>
      <c r="O4693" s="1">
        <v>367.39</v>
      </c>
      <c r="P4693" s="1">
        <v>301.14</v>
      </c>
      <c r="Q4693">
        <v>0.37</v>
      </c>
      <c r="R4693">
        <v>1.224E-3</v>
      </c>
    </row>
    <row r="4694" spans="1:18" ht="13.8" outlineLevel="2" x14ac:dyDescent="0.25">
      <c r="A4694">
        <v>89926</v>
      </c>
      <c r="B4694" t="s">
        <v>6637</v>
      </c>
      <c r="C4694" t="s">
        <v>6806</v>
      </c>
      <c r="D4694" s="14" t="s">
        <v>6787</v>
      </c>
      <c r="E4694" s="12" t="s">
        <v>28</v>
      </c>
      <c r="F4694" s="13" t="s">
        <v>29</v>
      </c>
      <c r="G4694">
        <v>1</v>
      </c>
      <c r="H4694" t="s">
        <v>420</v>
      </c>
      <c r="I4694">
        <v>1</v>
      </c>
      <c r="J4694" s="15"/>
      <c r="K4694" s="16">
        <f>527.69 - (527.69 * $E$1)</f>
        <v>527.69000000000005</v>
      </c>
      <c r="L4694" s="16">
        <f>432.53 - (432.53 * $E$1)</f>
        <v>432.53</v>
      </c>
      <c r="M4694" s="1">
        <v>527.69000000000005</v>
      </c>
      <c r="N4694" s="1">
        <v>432.53</v>
      </c>
      <c r="O4694" s="1">
        <v>448.53</v>
      </c>
      <c r="P4694" s="1">
        <v>367.65</v>
      </c>
      <c r="Q4694">
        <v>0.41</v>
      </c>
      <c r="R4694">
        <v>2.0799999999999998E-3</v>
      </c>
    </row>
    <row r="4695" spans="1:18" ht="13.8" outlineLevel="2" x14ac:dyDescent="0.25">
      <c r="A4695">
        <v>84820</v>
      </c>
      <c r="B4695" t="s">
        <v>6637</v>
      </c>
      <c r="C4695" t="s">
        <v>6807</v>
      </c>
      <c r="D4695" s="14" t="s">
        <v>6787</v>
      </c>
      <c r="E4695" s="12" t="s">
        <v>28</v>
      </c>
      <c r="F4695" s="13" t="s">
        <v>29</v>
      </c>
      <c r="G4695">
        <v>1</v>
      </c>
      <c r="H4695" t="s">
        <v>420</v>
      </c>
      <c r="I4695">
        <v>1</v>
      </c>
      <c r="J4695" s="15"/>
      <c r="K4695" s="16">
        <f>610.83 - (610.83 * $E$1)</f>
        <v>610.83000000000004</v>
      </c>
      <c r="L4695" s="16">
        <f>500.68 - (500.68 * $E$1)</f>
        <v>500.68</v>
      </c>
      <c r="M4695" s="1">
        <v>610.83000000000004</v>
      </c>
      <c r="N4695" s="1">
        <v>500.68</v>
      </c>
      <c r="O4695" s="1">
        <v>519.21</v>
      </c>
      <c r="P4695" s="1">
        <v>425.58</v>
      </c>
      <c r="Q4695">
        <v>0.51</v>
      </c>
      <c r="R4695">
        <v>1.4519999999999999E-3</v>
      </c>
    </row>
    <row r="4696" spans="1:18" ht="13.8" outlineLevel="2" x14ac:dyDescent="0.25">
      <c r="A4696">
        <v>89927</v>
      </c>
      <c r="B4696" t="s">
        <v>6637</v>
      </c>
      <c r="C4696" t="s">
        <v>6808</v>
      </c>
      <c r="D4696" s="14" t="s">
        <v>6787</v>
      </c>
      <c r="E4696" s="12" t="s">
        <v>28</v>
      </c>
      <c r="F4696" s="13" t="s">
        <v>29</v>
      </c>
      <c r="G4696">
        <v>1</v>
      </c>
      <c r="H4696" t="s">
        <v>420</v>
      </c>
      <c r="I4696">
        <v>1</v>
      </c>
      <c r="J4696" s="15"/>
      <c r="K4696" s="16">
        <f>711.92 - (711.92 * $E$1)</f>
        <v>711.92</v>
      </c>
      <c r="L4696" s="16">
        <f>583.54 - (583.54 * $E$1)</f>
        <v>583.54</v>
      </c>
      <c r="M4696" s="1">
        <v>711.92</v>
      </c>
      <c r="N4696" s="1">
        <v>583.54</v>
      </c>
      <c r="O4696" s="1">
        <v>605.13</v>
      </c>
      <c r="P4696" s="1">
        <v>496.01</v>
      </c>
      <c r="Q4696">
        <v>0.59</v>
      </c>
      <c r="R4696">
        <v>4.3200000000000001E-3</v>
      </c>
    </row>
    <row r="4697" spans="1:18" ht="13.8" outlineLevel="2" x14ac:dyDescent="0.25">
      <c r="A4697">
        <v>84821</v>
      </c>
      <c r="B4697" t="s">
        <v>6637</v>
      </c>
      <c r="C4697" t="s">
        <v>6809</v>
      </c>
      <c r="D4697" s="14" t="s">
        <v>6787</v>
      </c>
      <c r="E4697" s="12" t="s">
        <v>28</v>
      </c>
      <c r="F4697" s="13" t="s">
        <v>29</v>
      </c>
      <c r="G4697">
        <v>1</v>
      </c>
      <c r="H4697" t="s">
        <v>420</v>
      </c>
      <c r="I4697">
        <v>1</v>
      </c>
      <c r="J4697" s="15"/>
      <c r="K4697" s="16">
        <f>738.65 - (738.65 * $E$1)</f>
        <v>738.65</v>
      </c>
      <c r="L4697" s="16">
        <f>605.45 - (605.45 * $E$1)</f>
        <v>605.45000000000005</v>
      </c>
      <c r="M4697" s="1">
        <v>738.65</v>
      </c>
      <c r="N4697" s="1">
        <v>605.45000000000005</v>
      </c>
      <c r="O4697" s="1">
        <v>627.85</v>
      </c>
      <c r="P4697" s="1">
        <v>514.63</v>
      </c>
      <c r="Q4697">
        <v>0.66</v>
      </c>
      <c r="R4697">
        <v>4.8799999999999998E-3</v>
      </c>
    </row>
    <row r="4698" spans="1:18" ht="13.8" outlineLevel="2" x14ac:dyDescent="0.25">
      <c r="A4698">
        <v>89928</v>
      </c>
      <c r="B4698" t="s">
        <v>6637</v>
      </c>
      <c r="C4698" t="s">
        <v>6810</v>
      </c>
      <c r="D4698" s="14" t="s">
        <v>6787</v>
      </c>
      <c r="E4698" s="12" t="s">
        <v>28</v>
      </c>
      <c r="F4698" s="13" t="s">
        <v>29</v>
      </c>
      <c r="G4698">
        <v>1</v>
      </c>
      <c r="H4698" t="s">
        <v>420</v>
      </c>
      <c r="I4698">
        <v>1</v>
      </c>
      <c r="J4698" s="15"/>
      <c r="K4698" s="16">
        <f>1267.4 - (1267.4 * $E$1)</f>
        <v>1267.4000000000001</v>
      </c>
      <c r="L4698" s="16">
        <f>1038.85 - (1038.85 * $E$1)</f>
        <v>1038.8499999999999</v>
      </c>
      <c r="M4698" s="1">
        <v>1267.4000000000001</v>
      </c>
      <c r="N4698" s="1">
        <v>1038.8499999999999</v>
      </c>
      <c r="O4698" s="1">
        <v>1077.29</v>
      </c>
      <c r="P4698" s="1">
        <v>883.02</v>
      </c>
      <c r="Q4698">
        <v>1.05</v>
      </c>
      <c r="R4698">
        <v>5.9249999999999997E-3</v>
      </c>
    </row>
    <row r="4699" spans="1:18" ht="13.8" outlineLevel="2" x14ac:dyDescent="0.25">
      <c r="A4699">
        <v>89929</v>
      </c>
      <c r="B4699" t="s">
        <v>6637</v>
      </c>
      <c r="C4699" t="s">
        <v>6811</v>
      </c>
      <c r="D4699" s="14" t="s">
        <v>6787</v>
      </c>
      <c r="E4699" s="12" t="s">
        <v>28</v>
      </c>
      <c r="F4699" s="13" t="s">
        <v>29</v>
      </c>
      <c r="G4699">
        <v>1</v>
      </c>
      <c r="H4699" t="s">
        <v>420</v>
      </c>
      <c r="I4699">
        <v>1</v>
      </c>
      <c r="J4699" s="15"/>
      <c r="K4699" s="16">
        <f>1138.81 - (1138.81 * $E$1)</f>
        <v>1138.81</v>
      </c>
      <c r="L4699" s="16">
        <f>933.45 - (933.45 * $E$1)</f>
        <v>933.45</v>
      </c>
      <c r="M4699" s="1">
        <v>1138.81</v>
      </c>
      <c r="N4699" s="1">
        <v>933.45</v>
      </c>
      <c r="O4699" s="1">
        <v>967.99</v>
      </c>
      <c r="P4699" s="1">
        <v>793.43</v>
      </c>
      <c r="Q4699">
        <v>0.97</v>
      </c>
      <c r="R4699">
        <v>4.1250000000000002E-3</v>
      </c>
    </row>
    <row r="4700" spans="1:18" ht="13.8" outlineLevel="2" x14ac:dyDescent="0.25">
      <c r="A4700">
        <v>84822</v>
      </c>
      <c r="B4700" t="s">
        <v>6637</v>
      </c>
      <c r="C4700" t="s">
        <v>6812</v>
      </c>
      <c r="D4700" s="14" t="s">
        <v>6787</v>
      </c>
      <c r="E4700" s="12" t="s">
        <v>28</v>
      </c>
      <c r="F4700" s="13" t="s">
        <v>29</v>
      </c>
      <c r="G4700">
        <v>1</v>
      </c>
      <c r="H4700" t="s">
        <v>420</v>
      </c>
      <c r="I4700">
        <v>1</v>
      </c>
      <c r="J4700" s="15"/>
      <c r="K4700" s="16">
        <f>1665.31 - (1665.31 * $E$1)</f>
        <v>1665.31</v>
      </c>
      <c r="L4700" s="16">
        <f>1365.01 - (1365.01 * $E$1)</f>
        <v>1365.01</v>
      </c>
      <c r="M4700" s="1">
        <v>1665.31</v>
      </c>
      <c r="N4700" s="1">
        <v>1365.01</v>
      </c>
      <c r="O4700" s="1">
        <v>1415.52</v>
      </c>
      <c r="P4700" s="1">
        <v>1160.26</v>
      </c>
      <c r="Q4700">
        <v>1.3</v>
      </c>
      <c r="R4700">
        <v>8.8739999999999999E-3</v>
      </c>
    </row>
    <row r="4701" spans="1:18" ht="13.8" outlineLevel="2" x14ac:dyDescent="0.25">
      <c r="A4701">
        <v>89930</v>
      </c>
      <c r="B4701" t="s">
        <v>6637</v>
      </c>
      <c r="C4701" t="s">
        <v>6813</v>
      </c>
      <c r="D4701" s="14" t="s">
        <v>6787</v>
      </c>
      <c r="E4701" s="12" t="s">
        <v>28</v>
      </c>
      <c r="F4701" s="13" t="s">
        <v>29</v>
      </c>
      <c r="G4701">
        <v>1</v>
      </c>
      <c r="H4701" t="s">
        <v>420</v>
      </c>
      <c r="I4701">
        <v>1</v>
      </c>
      <c r="J4701" s="15"/>
      <c r="K4701" s="16">
        <f>2357.32 - (2357.32 * $E$1)</f>
        <v>2357.3200000000002</v>
      </c>
      <c r="L4701" s="16">
        <f>1932.23 - (1932.23 * $E$1)</f>
        <v>1932.23</v>
      </c>
      <c r="M4701" s="1">
        <v>2357.3200000000002</v>
      </c>
      <c r="N4701" s="1">
        <v>1932.23</v>
      </c>
      <c r="O4701" s="1">
        <v>2003.72</v>
      </c>
      <c r="P4701" s="1">
        <v>1642.4</v>
      </c>
      <c r="Q4701">
        <v>1.75</v>
      </c>
      <c r="R4701">
        <v>0.105</v>
      </c>
    </row>
    <row r="4702" spans="1:18" ht="13.8" outlineLevel="2" x14ac:dyDescent="0.25">
      <c r="A4702">
        <v>79726</v>
      </c>
      <c r="B4702" t="s">
        <v>6637</v>
      </c>
      <c r="C4702" t="s">
        <v>6814</v>
      </c>
      <c r="D4702" s="14" t="s">
        <v>6815</v>
      </c>
      <c r="E4702" s="12" t="s">
        <v>28</v>
      </c>
      <c r="F4702" s="13" t="s">
        <v>29</v>
      </c>
      <c r="G4702">
        <v>1</v>
      </c>
      <c r="H4702" t="s">
        <v>420</v>
      </c>
      <c r="I4702">
        <v>1</v>
      </c>
      <c r="J4702" s="15"/>
      <c r="K4702" s="16">
        <f>61.04 - (61.04 * $E$1)</f>
        <v>61.04</v>
      </c>
      <c r="L4702" s="16">
        <f>50.03 - (50.03 * $E$1)</f>
        <v>50.03</v>
      </c>
      <c r="M4702" s="1">
        <v>61.04</v>
      </c>
      <c r="N4702" s="1">
        <v>50.03</v>
      </c>
      <c r="O4702" s="1">
        <v>51.88</v>
      </c>
      <c r="P4702" s="1">
        <v>42.53</v>
      </c>
      <c r="Q4702">
        <v>0.03</v>
      </c>
      <c r="R4702">
        <v>2.24E-4</v>
      </c>
    </row>
    <row r="4703" spans="1:18" ht="13.8" outlineLevel="2" x14ac:dyDescent="0.25">
      <c r="A4703">
        <v>79727</v>
      </c>
      <c r="B4703" t="s">
        <v>6637</v>
      </c>
      <c r="C4703" t="s">
        <v>6816</v>
      </c>
      <c r="D4703" s="14" t="s">
        <v>6815</v>
      </c>
      <c r="E4703" s="12" t="s">
        <v>28</v>
      </c>
      <c r="F4703" s="13" t="s">
        <v>29</v>
      </c>
      <c r="G4703">
        <v>1</v>
      </c>
      <c r="H4703" t="s">
        <v>420</v>
      </c>
      <c r="I4703">
        <v>1</v>
      </c>
      <c r="J4703" s="15"/>
      <c r="K4703" s="16">
        <f>91.85 - (91.85 * $E$1)</f>
        <v>91.85</v>
      </c>
      <c r="L4703" s="16">
        <f>75.29 - (75.29 * $E$1)</f>
        <v>75.290000000000006</v>
      </c>
      <c r="M4703" s="1">
        <v>91.85</v>
      </c>
      <c r="N4703" s="1">
        <v>75.290000000000006</v>
      </c>
      <c r="O4703" s="1">
        <v>78.08</v>
      </c>
      <c r="P4703" s="1">
        <v>64</v>
      </c>
      <c r="Q4703">
        <v>4.2000000000000003E-2</v>
      </c>
      <c r="R4703">
        <v>3.8299999999999999E-4</v>
      </c>
    </row>
    <row r="4704" spans="1:18" ht="13.8" outlineLevel="2" x14ac:dyDescent="0.25">
      <c r="A4704">
        <v>79728</v>
      </c>
      <c r="B4704" t="s">
        <v>6637</v>
      </c>
      <c r="C4704" t="s">
        <v>6817</v>
      </c>
      <c r="D4704" s="14" t="s">
        <v>6815</v>
      </c>
      <c r="E4704" s="12" t="s">
        <v>28</v>
      </c>
      <c r="F4704" s="13" t="s">
        <v>29</v>
      </c>
      <c r="G4704">
        <v>1</v>
      </c>
      <c r="H4704" t="s">
        <v>420</v>
      </c>
      <c r="I4704">
        <v>1</v>
      </c>
      <c r="J4704" s="15"/>
      <c r="K4704" s="16">
        <f>115.3 - (115.3 * $E$1)</f>
        <v>115.3</v>
      </c>
      <c r="L4704" s="16">
        <f>94.51 - (94.51 * $E$1)</f>
        <v>94.51</v>
      </c>
      <c r="M4704" s="1">
        <v>115.3</v>
      </c>
      <c r="N4704" s="1">
        <v>94.51</v>
      </c>
      <c r="O4704" s="1">
        <v>98.01</v>
      </c>
      <c r="P4704" s="1">
        <v>80.33</v>
      </c>
      <c r="Q4704">
        <v>5.8000000000000003E-2</v>
      </c>
      <c r="R4704">
        <v>4.0999999999999999E-4</v>
      </c>
    </row>
    <row r="4705" spans="1:18" ht="13.8" outlineLevel="2" x14ac:dyDescent="0.25">
      <c r="A4705">
        <v>89931</v>
      </c>
      <c r="B4705" t="s">
        <v>6637</v>
      </c>
      <c r="C4705" t="s">
        <v>6818</v>
      </c>
      <c r="D4705" s="14" t="s">
        <v>6815</v>
      </c>
      <c r="E4705" s="12" t="s">
        <v>28</v>
      </c>
      <c r="F4705" s="13" t="s">
        <v>29</v>
      </c>
      <c r="G4705">
        <v>1</v>
      </c>
      <c r="H4705" t="s">
        <v>420</v>
      </c>
      <c r="I4705">
        <v>1</v>
      </c>
      <c r="J4705" s="15"/>
      <c r="K4705" s="16">
        <f>186.48 - (186.48 * $E$1)</f>
        <v>186.48</v>
      </c>
      <c r="L4705" s="16">
        <f>152.85 - (152.85 * $E$1)</f>
        <v>152.85</v>
      </c>
      <c r="M4705" s="1">
        <v>186.48</v>
      </c>
      <c r="N4705" s="1">
        <v>152.85</v>
      </c>
      <c r="O4705" s="1">
        <v>158.51</v>
      </c>
      <c r="P4705" s="1">
        <v>129.91999999999999</v>
      </c>
      <c r="Q4705">
        <v>9.5000000000000001E-2</v>
      </c>
      <c r="R4705">
        <v>5.0699999999999996E-4</v>
      </c>
    </row>
    <row r="4706" spans="1:18" ht="13.8" outlineLevel="2" x14ac:dyDescent="0.25">
      <c r="A4706">
        <v>89932</v>
      </c>
      <c r="B4706" t="s">
        <v>6637</v>
      </c>
      <c r="C4706" t="s">
        <v>6819</v>
      </c>
      <c r="D4706" s="14" t="s">
        <v>6815</v>
      </c>
      <c r="E4706" s="12" t="s">
        <v>28</v>
      </c>
      <c r="F4706" s="13" t="s">
        <v>29</v>
      </c>
      <c r="G4706">
        <v>1</v>
      </c>
      <c r="H4706" t="s">
        <v>420</v>
      </c>
      <c r="I4706">
        <v>1</v>
      </c>
      <c r="J4706" s="15"/>
      <c r="K4706" s="16">
        <f>100.87 - (100.87 * $E$1)</f>
        <v>100.87</v>
      </c>
      <c r="L4706" s="16">
        <f>82.68 - (82.68 * $E$1)</f>
        <v>82.68</v>
      </c>
      <c r="M4706" s="1">
        <v>100.87</v>
      </c>
      <c r="N4706" s="1">
        <v>82.68</v>
      </c>
      <c r="O4706" s="1">
        <v>85.74</v>
      </c>
      <c r="P4706" s="1">
        <v>70.28</v>
      </c>
      <c r="Q4706">
        <v>9.4E-2</v>
      </c>
      <c r="R4706">
        <v>3.7800000000000003E-4</v>
      </c>
    </row>
    <row r="4707" spans="1:18" ht="13.8" outlineLevel="2" x14ac:dyDescent="0.25">
      <c r="A4707">
        <v>79729</v>
      </c>
      <c r="B4707" t="s">
        <v>6637</v>
      </c>
      <c r="C4707" t="s">
        <v>6820</v>
      </c>
      <c r="D4707" s="14" t="s">
        <v>6815</v>
      </c>
      <c r="E4707" s="12" t="s">
        <v>28</v>
      </c>
      <c r="F4707" s="13" t="s">
        <v>29</v>
      </c>
      <c r="G4707">
        <v>1</v>
      </c>
      <c r="H4707" t="s">
        <v>420</v>
      </c>
      <c r="I4707">
        <v>1</v>
      </c>
      <c r="J4707" s="15"/>
      <c r="K4707" s="16">
        <f>132.83 - (132.83 * $E$1)</f>
        <v>132.83000000000001</v>
      </c>
      <c r="L4707" s="16">
        <f>108.88 - (108.88 * $E$1)</f>
        <v>108.88</v>
      </c>
      <c r="M4707" s="1">
        <v>132.83000000000001</v>
      </c>
      <c r="N4707" s="1">
        <v>108.88</v>
      </c>
      <c r="O4707" s="1">
        <v>112.91</v>
      </c>
      <c r="P4707" s="1">
        <v>92.55</v>
      </c>
      <c r="Q4707">
        <v>7.1999999999999995E-2</v>
      </c>
      <c r="R4707">
        <v>4.6200000000000001E-4</v>
      </c>
    </row>
    <row r="4708" spans="1:18" ht="13.8" outlineLevel="2" x14ac:dyDescent="0.25">
      <c r="A4708">
        <v>79730</v>
      </c>
      <c r="B4708" t="s">
        <v>6637</v>
      </c>
      <c r="C4708" t="s">
        <v>6821</v>
      </c>
      <c r="D4708" s="14" t="s">
        <v>6815</v>
      </c>
      <c r="E4708" s="12" t="s">
        <v>28</v>
      </c>
      <c r="F4708" s="13" t="s">
        <v>29</v>
      </c>
      <c r="G4708">
        <v>1</v>
      </c>
      <c r="H4708" t="s">
        <v>420</v>
      </c>
      <c r="I4708">
        <v>1</v>
      </c>
      <c r="J4708" s="15"/>
      <c r="K4708" s="16">
        <f>188.32 - (188.32 * $E$1)</f>
        <v>188.32</v>
      </c>
      <c r="L4708" s="16">
        <f>154.36 - (154.36 * $E$1)</f>
        <v>154.36000000000001</v>
      </c>
      <c r="M4708" s="1">
        <v>188.32</v>
      </c>
      <c r="N4708" s="1">
        <v>154.36000000000001</v>
      </c>
      <c r="O4708" s="1">
        <v>160.07</v>
      </c>
      <c r="P4708" s="1">
        <v>131.21</v>
      </c>
      <c r="Q4708">
        <v>9.4E-2</v>
      </c>
      <c r="R4708">
        <v>6.7199999999999996E-4</v>
      </c>
    </row>
    <row r="4709" spans="1:18" ht="13.8" outlineLevel="2" x14ac:dyDescent="0.25">
      <c r="A4709">
        <v>79731</v>
      </c>
      <c r="B4709" t="s">
        <v>6637</v>
      </c>
      <c r="C4709" t="s">
        <v>6822</v>
      </c>
      <c r="D4709" s="14" t="s">
        <v>6815</v>
      </c>
      <c r="E4709" s="12" t="s">
        <v>28</v>
      </c>
      <c r="F4709" s="13" t="s">
        <v>29</v>
      </c>
      <c r="G4709">
        <v>1</v>
      </c>
      <c r="H4709" t="s">
        <v>420</v>
      </c>
      <c r="I4709">
        <v>1</v>
      </c>
      <c r="J4709" s="15"/>
      <c r="K4709" s="16">
        <f>241.56 - (241.56 * $E$1)</f>
        <v>241.56</v>
      </c>
      <c r="L4709" s="16">
        <f>198 - (198 * $E$1)</f>
        <v>198</v>
      </c>
      <c r="M4709" s="1">
        <v>241.56</v>
      </c>
      <c r="N4709" s="1">
        <v>198</v>
      </c>
      <c r="O4709" s="1">
        <v>205.33</v>
      </c>
      <c r="P4709" s="1">
        <v>168.3</v>
      </c>
      <c r="Q4709">
        <v>0.112</v>
      </c>
      <c r="R4709">
        <v>6.4800000000000003E-4</v>
      </c>
    </row>
    <row r="4710" spans="1:18" ht="13.8" outlineLevel="2" x14ac:dyDescent="0.25">
      <c r="A4710">
        <v>79732</v>
      </c>
      <c r="B4710" t="s">
        <v>6637</v>
      </c>
      <c r="C4710" t="s">
        <v>6823</v>
      </c>
      <c r="D4710" s="14" t="s">
        <v>6815</v>
      </c>
      <c r="E4710" s="12" t="s">
        <v>28</v>
      </c>
      <c r="F4710" s="13" t="s">
        <v>29</v>
      </c>
      <c r="G4710">
        <v>1</v>
      </c>
      <c r="H4710" t="s">
        <v>420</v>
      </c>
      <c r="I4710">
        <v>1</v>
      </c>
      <c r="J4710" s="15"/>
      <c r="K4710" s="16">
        <f>282.74 - (282.74 * $E$1)</f>
        <v>282.74</v>
      </c>
      <c r="L4710" s="16">
        <f>231.75 - (231.75 * $E$1)</f>
        <v>231.75</v>
      </c>
      <c r="M4710" s="1">
        <v>282.74</v>
      </c>
      <c r="N4710" s="1">
        <v>231.75</v>
      </c>
      <c r="O4710" s="1">
        <v>240.32</v>
      </c>
      <c r="P4710" s="1">
        <v>196.99</v>
      </c>
      <c r="Q4710">
        <v>0.13400000000000001</v>
      </c>
      <c r="R4710">
        <v>7.4399999999999998E-4</v>
      </c>
    </row>
    <row r="4711" spans="1:18" ht="13.8" outlineLevel="2" x14ac:dyDescent="0.25">
      <c r="A4711">
        <v>82886</v>
      </c>
      <c r="B4711" t="s">
        <v>6637</v>
      </c>
      <c r="C4711" t="s">
        <v>6824</v>
      </c>
      <c r="D4711" s="14" t="s">
        <v>6815</v>
      </c>
      <c r="E4711" s="12" t="s">
        <v>28</v>
      </c>
      <c r="F4711" s="13" t="s">
        <v>29</v>
      </c>
      <c r="G4711">
        <v>1</v>
      </c>
      <c r="H4711" t="s">
        <v>420</v>
      </c>
      <c r="I4711">
        <v>1</v>
      </c>
      <c r="J4711" s="15"/>
      <c r="K4711" s="16">
        <f>349.24 - (349.24 * $E$1)</f>
        <v>349.24</v>
      </c>
      <c r="L4711" s="16">
        <f>286.26 - (286.26 * $E$1)</f>
        <v>286.26</v>
      </c>
      <c r="M4711" s="1">
        <v>349.24</v>
      </c>
      <c r="N4711" s="1">
        <v>286.26</v>
      </c>
      <c r="O4711" s="1">
        <v>296.85000000000002</v>
      </c>
      <c r="P4711" s="1">
        <v>243.32</v>
      </c>
      <c r="Q4711">
        <v>0.1</v>
      </c>
      <c r="R4711">
        <v>1.4040000000000001E-3</v>
      </c>
    </row>
    <row r="4712" spans="1:18" ht="13.8" outlineLevel="2" x14ac:dyDescent="0.25">
      <c r="A4712">
        <v>89933</v>
      </c>
      <c r="B4712" t="s">
        <v>6637</v>
      </c>
      <c r="C4712" t="s">
        <v>6825</v>
      </c>
      <c r="D4712" s="14" t="s">
        <v>6815</v>
      </c>
      <c r="E4712" s="12" t="s">
        <v>28</v>
      </c>
      <c r="F4712" s="13" t="s">
        <v>29</v>
      </c>
      <c r="G4712">
        <v>1</v>
      </c>
      <c r="H4712" t="s">
        <v>420</v>
      </c>
      <c r="I4712">
        <v>1</v>
      </c>
      <c r="J4712" s="15"/>
      <c r="K4712" s="16">
        <f>204.37 - (204.37 * $E$1)</f>
        <v>204.37</v>
      </c>
      <c r="L4712" s="16">
        <f>167.52 - (167.52 * $E$1)</f>
        <v>167.52</v>
      </c>
      <c r="M4712" s="1">
        <v>204.37</v>
      </c>
      <c r="N4712" s="1">
        <v>167.52</v>
      </c>
      <c r="O4712" s="1">
        <v>173.72</v>
      </c>
      <c r="P4712" s="1">
        <v>142.38999999999999</v>
      </c>
      <c r="Q4712">
        <v>0.1</v>
      </c>
      <c r="R4712">
        <v>7.2000000000000005E-4</v>
      </c>
    </row>
    <row r="4713" spans="1:18" ht="13.8" outlineLevel="2" x14ac:dyDescent="0.25">
      <c r="A4713">
        <v>79733</v>
      </c>
      <c r="B4713" t="s">
        <v>6637</v>
      </c>
      <c r="C4713" t="s">
        <v>6826</v>
      </c>
      <c r="D4713" s="14" t="s">
        <v>6815</v>
      </c>
      <c r="E4713" s="12" t="s">
        <v>28</v>
      </c>
      <c r="F4713" s="13" t="s">
        <v>29</v>
      </c>
      <c r="G4713">
        <v>1</v>
      </c>
      <c r="H4713" t="s">
        <v>420</v>
      </c>
      <c r="I4713">
        <v>1</v>
      </c>
      <c r="J4713" s="15"/>
      <c r="K4713" s="16">
        <f>244.88 - (244.88 * $E$1)</f>
        <v>244.88</v>
      </c>
      <c r="L4713" s="16">
        <f>200.72 - (200.72 * $E$1)</f>
        <v>200.72</v>
      </c>
      <c r="M4713" s="1">
        <v>244.88</v>
      </c>
      <c r="N4713" s="1">
        <v>200.72</v>
      </c>
      <c r="O4713" s="1">
        <v>208.15</v>
      </c>
      <c r="P4713" s="1">
        <v>170.61</v>
      </c>
      <c r="Q4713">
        <v>0.124</v>
      </c>
      <c r="R4713">
        <v>8.4000000000000003E-4</v>
      </c>
    </row>
    <row r="4714" spans="1:18" ht="13.8" outlineLevel="2" x14ac:dyDescent="0.25">
      <c r="A4714">
        <v>79734</v>
      </c>
      <c r="B4714" t="s">
        <v>6637</v>
      </c>
      <c r="C4714" t="s">
        <v>6827</v>
      </c>
      <c r="D4714" s="14" t="s">
        <v>6815</v>
      </c>
      <c r="E4714" s="12" t="s">
        <v>28</v>
      </c>
      <c r="F4714" s="13" t="s">
        <v>29</v>
      </c>
      <c r="G4714">
        <v>1</v>
      </c>
      <c r="H4714" t="s">
        <v>420</v>
      </c>
      <c r="I4714">
        <v>1</v>
      </c>
      <c r="J4714" s="15"/>
      <c r="K4714" s="16">
        <f>308.36 - (308.36 * $E$1)</f>
        <v>308.36</v>
      </c>
      <c r="L4714" s="16">
        <f>252.75 - (252.75 * $E$1)</f>
        <v>252.75</v>
      </c>
      <c r="M4714" s="1">
        <v>308.36</v>
      </c>
      <c r="N4714" s="1">
        <v>252.75</v>
      </c>
      <c r="O4714" s="1">
        <v>262.10000000000002</v>
      </c>
      <c r="P4714" s="1">
        <v>214.84</v>
      </c>
      <c r="Q4714">
        <v>0.156</v>
      </c>
      <c r="R4714">
        <v>7.5600000000000005E-4</v>
      </c>
    </row>
    <row r="4715" spans="1:18" ht="13.8" outlineLevel="2" x14ac:dyDescent="0.25">
      <c r="A4715">
        <v>79735</v>
      </c>
      <c r="B4715" t="s">
        <v>6637</v>
      </c>
      <c r="C4715" t="s">
        <v>6828</v>
      </c>
      <c r="D4715" s="14" t="s">
        <v>6815</v>
      </c>
      <c r="E4715" s="12" t="s">
        <v>28</v>
      </c>
      <c r="F4715" s="13" t="s">
        <v>29</v>
      </c>
      <c r="G4715">
        <v>1</v>
      </c>
      <c r="H4715" t="s">
        <v>420</v>
      </c>
      <c r="I4715">
        <v>1</v>
      </c>
      <c r="J4715" s="15"/>
      <c r="K4715" s="16">
        <f>384.53 - (384.53 * $E$1)</f>
        <v>384.53</v>
      </c>
      <c r="L4715" s="16">
        <f>315.19 - (315.19 * $E$1)</f>
        <v>315.19</v>
      </c>
      <c r="M4715" s="1">
        <v>384.53</v>
      </c>
      <c r="N4715" s="1">
        <v>315.19</v>
      </c>
      <c r="O4715" s="1">
        <v>326.85000000000002</v>
      </c>
      <c r="P4715" s="1">
        <v>267.91000000000003</v>
      </c>
      <c r="Q4715">
        <v>0.19400000000000001</v>
      </c>
      <c r="R4715">
        <v>1.32E-3</v>
      </c>
    </row>
    <row r="4716" spans="1:18" ht="13.8" outlineLevel="2" x14ac:dyDescent="0.25">
      <c r="A4716">
        <v>89934</v>
      </c>
      <c r="B4716" t="s">
        <v>6637</v>
      </c>
      <c r="C4716" t="s">
        <v>6829</v>
      </c>
      <c r="D4716" s="14" t="s">
        <v>6815</v>
      </c>
      <c r="E4716" s="12" t="s">
        <v>28</v>
      </c>
      <c r="F4716" s="13" t="s">
        <v>29</v>
      </c>
      <c r="G4716">
        <v>1</v>
      </c>
      <c r="H4716" t="s">
        <v>420</v>
      </c>
      <c r="I4716">
        <v>1</v>
      </c>
      <c r="J4716" s="15"/>
      <c r="K4716" s="16">
        <f>466.19 - (466.19 * $E$1)</f>
        <v>466.19</v>
      </c>
      <c r="L4716" s="16">
        <f>382.12 - (382.12 * $E$1)</f>
        <v>382.12</v>
      </c>
      <c r="M4716" s="1">
        <v>466.19</v>
      </c>
      <c r="N4716" s="1">
        <v>382.12</v>
      </c>
      <c r="O4716" s="1">
        <v>396.26</v>
      </c>
      <c r="P4716" s="1">
        <v>324.8</v>
      </c>
      <c r="Q4716">
        <v>0.25</v>
      </c>
      <c r="R4716">
        <v>1.48E-3</v>
      </c>
    </row>
    <row r="4717" spans="1:18" ht="13.8" outlineLevel="2" x14ac:dyDescent="0.25">
      <c r="A4717">
        <v>79736</v>
      </c>
      <c r="B4717" t="s">
        <v>6637</v>
      </c>
      <c r="C4717" t="s">
        <v>6830</v>
      </c>
      <c r="D4717" s="14" t="s">
        <v>6815</v>
      </c>
      <c r="E4717" s="12" t="s">
        <v>28</v>
      </c>
      <c r="F4717" s="13" t="s">
        <v>29</v>
      </c>
      <c r="G4717">
        <v>1</v>
      </c>
      <c r="H4717" t="s">
        <v>420</v>
      </c>
      <c r="I4717">
        <v>1</v>
      </c>
      <c r="J4717" s="15"/>
      <c r="K4717" s="16">
        <f>546.77 - (546.77 * $E$1)</f>
        <v>546.77</v>
      </c>
      <c r="L4717" s="16">
        <f>448.17 - (448.17 * $E$1)</f>
        <v>448.17</v>
      </c>
      <c r="M4717" s="1">
        <v>546.77</v>
      </c>
      <c r="N4717" s="1">
        <v>448.17</v>
      </c>
      <c r="O4717" s="1">
        <v>464.75</v>
      </c>
      <c r="P4717" s="1">
        <v>380.94</v>
      </c>
      <c r="Q4717">
        <v>0.26200000000000001</v>
      </c>
      <c r="R4717">
        <v>1.9350000000000001E-3</v>
      </c>
    </row>
    <row r="4718" spans="1:18" ht="13.8" outlineLevel="2" x14ac:dyDescent="0.25">
      <c r="A4718">
        <v>89935</v>
      </c>
      <c r="B4718" t="s">
        <v>6637</v>
      </c>
      <c r="C4718" t="s">
        <v>6831</v>
      </c>
      <c r="D4718" s="14" t="s">
        <v>6815</v>
      </c>
      <c r="E4718" s="12" t="s">
        <v>28</v>
      </c>
      <c r="F4718" s="13" t="s">
        <v>29</v>
      </c>
      <c r="G4718">
        <v>1</v>
      </c>
      <c r="H4718" t="s">
        <v>420</v>
      </c>
      <c r="I4718">
        <v>1</v>
      </c>
      <c r="J4718" s="15"/>
      <c r="K4718" s="16">
        <f>635.82 - (635.82 * $E$1)</f>
        <v>635.82000000000005</v>
      </c>
      <c r="L4718" s="16">
        <f>521.16 - (521.16 * $E$1)</f>
        <v>521.16</v>
      </c>
      <c r="M4718" s="1">
        <v>635.82000000000005</v>
      </c>
      <c r="N4718" s="1">
        <v>521.16</v>
      </c>
      <c r="O4718" s="1">
        <v>540.44000000000005</v>
      </c>
      <c r="P4718" s="1">
        <v>442.99</v>
      </c>
      <c r="Q4718">
        <v>0.35</v>
      </c>
      <c r="R4718">
        <v>2.16E-3</v>
      </c>
    </row>
    <row r="4719" spans="1:18" ht="13.8" outlineLevel="2" x14ac:dyDescent="0.25">
      <c r="A4719">
        <v>82887</v>
      </c>
      <c r="B4719" t="s">
        <v>6637</v>
      </c>
      <c r="C4719" t="s">
        <v>6832</v>
      </c>
      <c r="D4719" s="14" t="s">
        <v>6815</v>
      </c>
      <c r="E4719" s="12" t="s">
        <v>28</v>
      </c>
      <c r="F4719" s="13" t="s">
        <v>29</v>
      </c>
      <c r="G4719">
        <v>1</v>
      </c>
      <c r="H4719" t="s">
        <v>420</v>
      </c>
      <c r="I4719">
        <v>1</v>
      </c>
      <c r="J4719" s="15"/>
      <c r="K4719" s="16">
        <f>709.71 - (709.71 * $E$1)</f>
        <v>709.71</v>
      </c>
      <c r="L4719" s="16">
        <f>581.73 - (581.73 * $E$1)</f>
        <v>581.73</v>
      </c>
      <c r="M4719" s="1">
        <v>709.71</v>
      </c>
      <c r="N4719" s="1">
        <v>581.73</v>
      </c>
      <c r="O4719" s="1">
        <v>603.25</v>
      </c>
      <c r="P4719" s="1">
        <v>494.47</v>
      </c>
      <c r="Q4719">
        <v>0.36</v>
      </c>
      <c r="R4719">
        <v>2.2000000000000001E-3</v>
      </c>
    </row>
    <row r="4720" spans="1:18" ht="13.8" outlineLevel="2" x14ac:dyDescent="0.25">
      <c r="A4720">
        <v>79737</v>
      </c>
      <c r="B4720" t="s">
        <v>6637</v>
      </c>
      <c r="C4720" t="s">
        <v>6833</v>
      </c>
      <c r="D4720" s="14" t="s">
        <v>6815</v>
      </c>
      <c r="E4720" s="12" t="s">
        <v>28</v>
      </c>
      <c r="F4720" s="13" t="s">
        <v>29</v>
      </c>
      <c r="G4720">
        <v>1</v>
      </c>
      <c r="H4720" t="s">
        <v>420</v>
      </c>
      <c r="I4720">
        <v>1</v>
      </c>
      <c r="J4720" s="15"/>
      <c r="K4720" s="16">
        <f>780.65 - (780.65 * $E$1)</f>
        <v>780.65</v>
      </c>
      <c r="L4720" s="16">
        <f>639.88 - (639.88 * $E$1)</f>
        <v>639.88</v>
      </c>
      <c r="M4720" s="1">
        <v>780.65</v>
      </c>
      <c r="N4720" s="1">
        <v>639.88</v>
      </c>
      <c r="O4720" s="1">
        <v>663.56</v>
      </c>
      <c r="P4720" s="1">
        <v>543.9</v>
      </c>
      <c r="Q4720">
        <v>0.34799999999999998</v>
      </c>
      <c r="R4720">
        <v>2.1450000000000002E-3</v>
      </c>
    </row>
    <row r="4721" spans="1:18" ht="13.8" outlineLevel="2" x14ac:dyDescent="0.25">
      <c r="A4721">
        <v>79738</v>
      </c>
      <c r="B4721" t="s">
        <v>6637</v>
      </c>
      <c r="C4721" t="s">
        <v>6834</v>
      </c>
      <c r="D4721" s="14" t="s">
        <v>6815</v>
      </c>
      <c r="E4721" s="12" t="s">
        <v>28</v>
      </c>
      <c r="F4721" s="13" t="s">
        <v>29</v>
      </c>
      <c r="G4721">
        <v>1</v>
      </c>
      <c r="H4721" t="s">
        <v>420</v>
      </c>
      <c r="I4721">
        <v>1</v>
      </c>
      <c r="J4721" s="15"/>
      <c r="K4721" s="16">
        <f>975.94 - (975.94 * $E$1)</f>
        <v>975.94</v>
      </c>
      <c r="L4721" s="16">
        <f>799.95 - (799.95 * $E$1)</f>
        <v>799.95</v>
      </c>
      <c r="M4721" s="1">
        <v>975.94</v>
      </c>
      <c r="N4721" s="1">
        <v>799.95</v>
      </c>
      <c r="O4721" s="1">
        <v>829.55</v>
      </c>
      <c r="P4721" s="1">
        <v>679.96</v>
      </c>
      <c r="Q4721">
        <v>0.45200000000000001</v>
      </c>
      <c r="R4721">
        <v>2.7899999999999999E-3</v>
      </c>
    </row>
    <row r="4722" spans="1:18" ht="13.8" outlineLevel="2" x14ac:dyDescent="0.25">
      <c r="A4722">
        <v>79739</v>
      </c>
      <c r="B4722" t="s">
        <v>6637</v>
      </c>
      <c r="C4722" t="s">
        <v>6835</v>
      </c>
      <c r="D4722" s="14" t="s">
        <v>6815</v>
      </c>
      <c r="E4722" s="12" t="s">
        <v>28</v>
      </c>
      <c r="F4722" s="13" t="s">
        <v>29</v>
      </c>
      <c r="G4722">
        <v>1</v>
      </c>
      <c r="H4722" t="s">
        <v>420</v>
      </c>
      <c r="I4722">
        <v>1</v>
      </c>
      <c r="J4722" s="15"/>
      <c r="K4722" s="16">
        <f>1082.31 - (1082.31 * $E$1)</f>
        <v>1082.31</v>
      </c>
      <c r="L4722" s="16">
        <f>887.14 - (887.14 * $E$1)</f>
        <v>887.14</v>
      </c>
      <c r="M4722" s="1">
        <v>1082.31</v>
      </c>
      <c r="N4722" s="1">
        <v>887.14</v>
      </c>
      <c r="O4722" s="1">
        <v>919.96</v>
      </c>
      <c r="P4722" s="1">
        <v>754.07</v>
      </c>
      <c r="Q4722">
        <v>0.504</v>
      </c>
      <c r="R4722">
        <v>3.8700000000000002E-3</v>
      </c>
    </row>
    <row r="4723" spans="1:18" ht="13.8" outlineLevel="2" x14ac:dyDescent="0.25">
      <c r="A4723">
        <v>89936</v>
      </c>
      <c r="B4723" t="s">
        <v>6637</v>
      </c>
      <c r="C4723" t="s">
        <v>6836</v>
      </c>
      <c r="D4723" s="14" t="s">
        <v>6815</v>
      </c>
      <c r="E4723" s="12" t="s">
        <v>28</v>
      </c>
      <c r="F4723" s="13" t="s">
        <v>29</v>
      </c>
      <c r="G4723">
        <v>1</v>
      </c>
      <c r="H4723" t="s">
        <v>420</v>
      </c>
      <c r="I4723">
        <v>1</v>
      </c>
      <c r="J4723" s="15"/>
      <c r="K4723" s="16">
        <f>1176.67 - (1176.67 * $E$1)</f>
        <v>1176.67</v>
      </c>
      <c r="L4723" s="16">
        <f>964.48 - (964.48 * $E$1)</f>
        <v>964.48</v>
      </c>
      <c r="M4723" s="1">
        <v>1176.67</v>
      </c>
      <c r="N4723" s="1">
        <v>964.48</v>
      </c>
      <c r="O4723" s="1">
        <v>1000.17</v>
      </c>
      <c r="P4723" s="1">
        <v>819.81</v>
      </c>
      <c r="Q4723">
        <v>0.59</v>
      </c>
      <c r="R4723">
        <v>4.3200000000000001E-3</v>
      </c>
    </row>
    <row r="4724" spans="1:18" ht="13.8" outlineLevel="2" x14ac:dyDescent="0.25">
      <c r="A4724">
        <v>79740</v>
      </c>
      <c r="B4724" t="s">
        <v>6637</v>
      </c>
      <c r="C4724" t="s">
        <v>6837</v>
      </c>
      <c r="D4724" s="14" t="s">
        <v>6815</v>
      </c>
      <c r="E4724" s="12" t="s">
        <v>28</v>
      </c>
      <c r="F4724" s="13" t="s">
        <v>29</v>
      </c>
      <c r="G4724">
        <v>1</v>
      </c>
      <c r="H4724" t="s">
        <v>420</v>
      </c>
      <c r="I4724">
        <v>1</v>
      </c>
      <c r="J4724" s="15"/>
      <c r="K4724" s="16">
        <f>1307.34 - (1307.34 * $E$1)</f>
        <v>1307.3399999999999</v>
      </c>
      <c r="L4724" s="16">
        <f>1071.59 - (1071.59 * $E$1)</f>
        <v>1071.5899999999999</v>
      </c>
      <c r="M4724" s="1">
        <v>1307.3399999999999</v>
      </c>
      <c r="N4724" s="1">
        <v>1071.5899999999999</v>
      </c>
      <c r="O4724" s="1">
        <v>1111.24</v>
      </c>
      <c r="P4724" s="1">
        <v>910.85</v>
      </c>
      <c r="Q4724">
        <v>0.60799999999999998</v>
      </c>
      <c r="R4724">
        <v>4.4520000000000002E-3</v>
      </c>
    </row>
    <row r="4725" spans="1:18" ht="13.8" outlineLevel="2" x14ac:dyDescent="0.25">
      <c r="A4725">
        <v>89937</v>
      </c>
      <c r="B4725" t="s">
        <v>6637</v>
      </c>
      <c r="C4725" t="s">
        <v>6838</v>
      </c>
      <c r="D4725" s="14" t="s">
        <v>6815</v>
      </c>
      <c r="E4725" s="12" t="s">
        <v>28</v>
      </c>
      <c r="F4725" s="13" t="s">
        <v>29</v>
      </c>
      <c r="G4725">
        <v>1</v>
      </c>
      <c r="H4725" t="s">
        <v>420</v>
      </c>
      <c r="I4725">
        <v>1</v>
      </c>
      <c r="J4725" s="15"/>
      <c r="K4725" s="16">
        <f>2119.51 - (2119.51 * $E$1)</f>
        <v>2119.5100000000002</v>
      </c>
      <c r="L4725" s="16">
        <f>1737.3 - (1737.3 * $E$1)</f>
        <v>1737.3</v>
      </c>
      <c r="M4725" s="1">
        <v>2119.5100000000002</v>
      </c>
      <c r="N4725" s="1">
        <v>1737.3</v>
      </c>
      <c r="O4725" s="1">
        <v>1801.58</v>
      </c>
      <c r="P4725" s="1">
        <v>1476.71</v>
      </c>
      <c r="Q4725">
        <v>1.05</v>
      </c>
      <c r="R4725">
        <v>5.9249999999999997E-3</v>
      </c>
    </row>
    <row r="4726" spans="1:18" ht="13.8" outlineLevel="2" x14ac:dyDescent="0.25">
      <c r="A4726">
        <v>89938</v>
      </c>
      <c r="B4726" t="s">
        <v>6637</v>
      </c>
      <c r="C4726" t="s">
        <v>6839</v>
      </c>
      <c r="D4726" s="14" t="s">
        <v>6815</v>
      </c>
      <c r="E4726" s="12" t="s">
        <v>28</v>
      </c>
      <c r="F4726" s="13" t="s">
        <v>29</v>
      </c>
      <c r="G4726">
        <v>1</v>
      </c>
      <c r="H4726" t="s">
        <v>420</v>
      </c>
      <c r="I4726">
        <v>1</v>
      </c>
      <c r="J4726" s="15"/>
      <c r="K4726" s="16">
        <f>1967.45 - (1967.45 * $E$1)</f>
        <v>1967.45</v>
      </c>
      <c r="L4726" s="16">
        <f>1612.66 - (1612.66 * $E$1)</f>
        <v>1612.66</v>
      </c>
      <c r="M4726" s="1">
        <v>1967.45</v>
      </c>
      <c r="N4726" s="1">
        <v>1612.66</v>
      </c>
      <c r="O4726" s="1">
        <v>1672.33</v>
      </c>
      <c r="P4726" s="1">
        <v>1370.76</v>
      </c>
      <c r="Q4726">
        <v>0.97</v>
      </c>
      <c r="R4726">
        <v>4.1250000000000002E-3</v>
      </c>
    </row>
    <row r="4727" spans="1:18" ht="13.8" outlineLevel="2" x14ac:dyDescent="0.25">
      <c r="A4727">
        <v>82888</v>
      </c>
      <c r="B4727" t="s">
        <v>6637</v>
      </c>
      <c r="C4727" t="s">
        <v>6840</v>
      </c>
      <c r="D4727" s="14" t="s">
        <v>6815</v>
      </c>
      <c r="E4727" s="12" t="s">
        <v>28</v>
      </c>
      <c r="F4727" s="13" t="s">
        <v>29</v>
      </c>
      <c r="G4727">
        <v>1</v>
      </c>
      <c r="H4727" t="s">
        <v>420</v>
      </c>
      <c r="I4727">
        <v>1</v>
      </c>
      <c r="J4727" s="15"/>
      <c r="K4727" s="16">
        <f>2863.06 - (2863.06 * $E$1)</f>
        <v>2863.06</v>
      </c>
      <c r="L4727" s="16">
        <f>2346.77 - (2346.77 * $E$1)</f>
        <v>2346.77</v>
      </c>
      <c r="M4727" s="1">
        <v>2863.06</v>
      </c>
      <c r="N4727" s="1">
        <v>2346.77</v>
      </c>
      <c r="O4727" s="1">
        <v>2433.6</v>
      </c>
      <c r="P4727" s="1">
        <v>1994.75</v>
      </c>
      <c r="Q4727">
        <v>1.34</v>
      </c>
      <c r="R4727">
        <v>5.9249999999999997E-3</v>
      </c>
    </row>
    <row r="4728" spans="1:18" ht="13.8" outlineLevel="2" x14ac:dyDescent="0.25">
      <c r="A4728">
        <v>89939</v>
      </c>
      <c r="B4728" t="s">
        <v>6637</v>
      </c>
      <c r="C4728" t="s">
        <v>6841</v>
      </c>
      <c r="D4728" s="14" t="s">
        <v>6815</v>
      </c>
      <c r="E4728" s="12" t="s">
        <v>28</v>
      </c>
      <c r="F4728" s="13" t="s">
        <v>29</v>
      </c>
      <c r="G4728">
        <v>1</v>
      </c>
      <c r="H4728" t="s">
        <v>420</v>
      </c>
      <c r="I4728">
        <v>1</v>
      </c>
      <c r="J4728" s="15"/>
      <c r="K4728" s="16">
        <f>3838.38 - (3838.38 * $E$1)</f>
        <v>3838.38</v>
      </c>
      <c r="L4728" s="16">
        <f>3146.21 - (3146.21 * $E$1)</f>
        <v>3146.21</v>
      </c>
      <c r="M4728" s="1">
        <v>3838.38</v>
      </c>
      <c r="N4728" s="1">
        <v>3146.21</v>
      </c>
      <c r="O4728" s="1">
        <v>3262.62</v>
      </c>
      <c r="P4728" s="1">
        <v>2674.28</v>
      </c>
      <c r="Q4728">
        <v>1.75</v>
      </c>
      <c r="R4728">
        <v>0.105</v>
      </c>
    </row>
    <row r="4729" spans="1:18" ht="13.8" outlineLevel="2" x14ac:dyDescent="0.25">
      <c r="A4729">
        <v>79742</v>
      </c>
      <c r="B4729" t="s">
        <v>6637</v>
      </c>
      <c r="C4729" t="s">
        <v>6842</v>
      </c>
      <c r="D4729" s="14" t="s">
        <v>6843</v>
      </c>
      <c r="E4729" s="12" t="s">
        <v>28</v>
      </c>
      <c r="F4729" s="13" t="s">
        <v>29</v>
      </c>
      <c r="G4729">
        <v>1</v>
      </c>
      <c r="H4729" t="s">
        <v>420</v>
      </c>
      <c r="I4729">
        <v>1</v>
      </c>
      <c r="J4729" s="15"/>
      <c r="K4729" s="16">
        <f>61.04 - (61.04 * $E$1)</f>
        <v>61.04</v>
      </c>
      <c r="L4729" s="16">
        <f>50.03 - (50.03 * $E$1)</f>
        <v>50.03</v>
      </c>
      <c r="M4729" s="1">
        <v>61.04</v>
      </c>
      <c r="N4729" s="1">
        <v>50.03</v>
      </c>
      <c r="O4729" s="1">
        <v>51.88</v>
      </c>
      <c r="P4729" s="1">
        <v>42.53</v>
      </c>
      <c r="Q4729">
        <v>0.03</v>
      </c>
      <c r="R4729">
        <v>2.24E-4</v>
      </c>
    </row>
    <row r="4730" spans="1:18" ht="13.8" outlineLevel="2" x14ac:dyDescent="0.25">
      <c r="A4730">
        <v>79743</v>
      </c>
      <c r="B4730" t="s">
        <v>6637</v>
      </c>
      <c r="C4730" t="s">
        <v>6844</v>
      </c>
      <c r="D4730" s="14" t="s">
        <v>6843</v>
      </c>
      <c r="E4730" s="12" t="s">
        <v>28</v>
      </c>
      <c r="F4730" s="13" t="s">
        <v>29</v>
      </c>
      <c r="G4730">
        <v>1</v>
      </c>
      <c r="H4730" t="s">
        <v>420</v>
      </c>
      <c r="I4730">
        <v>1</v>
      </c>
      <c r="J4730" s="15"/>
      <c r="K4730" s="16">
        <f>91.85 - (91.85 * $E$1)</f>
        <v>91.85</v>
      </c>
      <c r="L4730" s="16">
        <f>75.29 - (75.29 * $E$1)</f>
        <v>75.290000000000006</v>
      </c>
      <c r="M4730" s="1">
        <v>91.85</v>
      </c>
      <c r="N4730" s="1">
        <v>75.290000000000006</v>
      </c>
      <c r="O4730" s="1">
        <v>78.08</v>
      </c>
      <c r="P4730" s="1">
        <v>64</v>
      </c>
      <c r="Q4730">
        <v>4.2000000000000003E-2</v>
      </c>
      <c r="R4730">
        <v>3.8299999999999999E-4</v>
      </c>
    </row>
    <row r="4731" spans="1:18" ht="13.8" outlineLevel="2" x14ac:dyDescent="0.25">
      <c r="A4731">
        <v>79744</v>
      </c>
      <c r="B4731" t="s">
        <v>6637</v>
      </c>
      <c r="C4731" t="s">
        <v>6845</v>
      </c>
      <c r="D4731" s="14" t="s">
        <v>6843</v>
      </c>
      <c r="E4731" s="12" t="s">
        <v>28</v>
      </c>
      <c r="F4731" s="13" t="s">
        <v>29</v>
      </c>
      <c r="G4731">
        <v>1</v>
      </c>
      <c r="H4731" t="s">
        <v>420</v>
      </c>
      <c r="I4731">
        <v>1</v>
      </c>
      <c r="J4731" s="15"/>
      <c r="K4731" s="16">
        <f>115.3 - (115.3 * $E$1)</f>
        <v>115.3</v>
      </c>
      <c r="L4731" s="16">
        <f>94.51 - (94.51 * $E$1)</f>
        <v>94.51</v>
      </c>
      <c r="M4731" s="1">
        <v>115.3</v>
      </c>
      <c r="N4731" s="1">
        <v>94.51</v>
      </c>
      <c r="O4731" s="1">
        <v>98.01</v>
      </c>
      <c r="P4731" s="1">
        <v>80.33</v>
      </c>
      <c r="Q4731">
        <v>5.8000000000000003E-2</v>
      </c>
      <c r="R4731">
        <v>4.0999999999999999E-4</v>
      </c>
    </row>
    <row r="4732" spans="1:18" ht="13.8" outlineLevel="2" x14ac:dyDescent="0.25">
      <c r="A4732">
        <v>89940</v>
      </c>
      <c r="B4732" t="s">
        <v>6637</v>
      </c>
      <c r="C4732" t="s">
        <v>6846</v>
      </c>
      <c r="D4732" s="14" t="s">
        <v>6843</v>
      </c>
      <c r="E4732" s="12" t="s">
        <v>28</v>
      </c>
      <c r="F4732" s="13" t="s">
        <v>29</v>
      </c>
      <c r="G4732">
        <v>1</v>
      </c>
      <c r="H4732" t="s">
        <v>420</v>
      </c>
      <c r="I4732">
        <v>1</v>
      </c>
      <c r="J4732" s="15"/>
      <c r="K4732" s="16">
        <f>186.48 - (186.48 * $E$1)</f>
        <v>186.48</v>
      </c>
      <c r="L4732" s="16">
        <f>152.85 - (152.85 * $E$1)</f>
        <v>152.85</v>
      </c>
      <c r="M4732" s="1">
        <v>186.48</v>
      </c>
      <c r="N4732" s="1">
        <v>152.85</v>
      </c>
      <c r="O4732" s="1">
        <v>158.51</v>
      </c>
      <c r="P4732" s="1">
        <v>129.91999999999999</v>
      </c>
      <c r="Q4732">
        <v>9.5000000000000001E-2</v>
      </c>
      <c r="R4732">
        <v>5.0699999999999996E-4</v>
      </c>
    </row>
    <row r="4733" spans="1:18" ht="13.8" outlineLevel="2" x14ac:dyDescent="0.25">
      <c r="A4733">
        <v>89941</v>
      </c>
      <c r="B4733" t="s">
        <v>6637</v>
      </c>
      <c r="C4733" t="s">
        <v>6847</v>
      </c>
      <c r="D4733" s="14" t="s">
        <v>6843</v>
      </c>
      <c r="E4733" s="12" t="s">
        <v>28</v>
      </c>
      <c r="F4733" s="13" t="s">
        <v>29</v>
      </c>
      <c r="G4733">
        <v>1</v>
      </c>
      <c r="H4733" t="s">
        <v>420</v>
      </c>
      <c r="I4733">
        <v>1</v>
      </c>
      <c r="J4733" s="15"/>
      <c r="K4733" s="16">
        <f>100.87 - (100.87 * $E$1)</f>
        <v>100.87</v>
      </c>
      <c r="L4733" s="16">
        <f>82.68 - (82.68 * $E$1)</f>
        <v>82.68</v>
      </c>
      <c r="M4733" s="1">
        <v>100.87</v>
      </c>
      <c r="N4733" s="1">
        <v>82.68</v>
      </c>
      <c r="O4733" s="1">
        <v>85.74</v>
      </c>
      <c r="P4733" s="1">
        <v>70.28</v>
      </c>
      <c r="Q4733">
        <v>9.4E-2</v>
      </c>
      <c r="R4733">
        <v>3.7800000000000003E-4</v>
      </c>
    </row>
    <row r="4734" spans="1:18" ht="13.8" outlineLevel="2" x14ac:dyDescent="0.25">
      <c r="A4734">
        <v>79745</v>
      </c>
      <c r="B4734" t="s">
        <v>6637</v>
      </c>
      <c r="C4734" t="s">
        <v>6848</v>
      </c>
      <c r="D4734" s="14" t="s">
        <v>6843</v>
      </c>
      <c r="E4734" s="12" t="s">
        <v>28</v>
      </c>
      <c r="F4734" s="13" t="s">
        <v>29</v>
      </c>
      <c r="G4734">
        <v>1</v>
      </c>
      <c r="H4734" t="s">
        <v>420</v>
      </c>
      <c r="I4734">
        <v>1</v>
      </c>
      <c r="J4734" s="15"/>
      <c r="K4734" s="16">
        <f>132.83 - (132.83 * $E$1)</f>
        <v>132.83000000000001</v>
      </c>
      <c r="L4734" s="16">
        <f>108.88 - (108.88 * $E$1)</f>
        <v>108.88</v>
      </c>
      <c r="M4734" s="1">
        <v>132.83000000000001</v>
      </c>
      <c r="N4734" s="1">
        <v>108.88</v>
      </c>
      <c r="O4734" s="1">
        <v>112.91</v>
      </c>
      <c r="P4734" s="1">
        <v>92.55</v>
      </c>
      <c r="Q4734">
        <v>7.1999999999999995E-2</v>
      </c>
      <c r="R4734">
        <v>4.6200000000000001E-4</v>
      </c>
    </row>
    <row r="4735" spans="1:18" ht="13.8" outlineLevel="2" x14ac:dyDescent="0.25">
      <c r="A4735">
        <v>79746</v>
      </c>
      <c r="B4735" t="s">
        <v>6637</v>
      </c>
      <c r="C4735" t="s">
        <v>6849</v>
      </c>
      <c r="D4735" s="14" t="s">
        <v>6843</v>
      </c>
      <c r="E4735" s="12" t="s">
        <v>28</v>
      </c>
      <c r="F4735" s="13" t="s">
        <v>29</v>
      </c>
      <c r="G4735">
        <v>1</v>
      </c>
      <c r="H4735" t="s">
        <v>420</v>
      </c>
      <c r="I4735">
        <v>1</v>
      </c>
      <c r="J4735" s="15"/>
      <c r="K4735" s="16">
        <f>188.32 - (188.32 * $E$1)</f>
        <v>188.32</v>
      </c>
      <c r="L4735" s="16">
        <f>154.36 - (154.36 * $E$1)</f>
        <v>154.36000000000001</v>
      </c>
      <c r="M4735" s="1">
        <v>188.32</v>
      </c>
      <c r="N4735" s="1">
        <v>154.36000000000001</v>
      </c>
      <c r="O4735" s="1">
        <v>160.07</v>
      </c>
      <c r="P4735" s="1">
        <v>131.21</v>
      </c>
      <c r="Q4735">
        <v>9.4E-2</v>
      </c>
      <c r="R4735">
        <v>6.7199999999999996E-4</v>
      </c>
    </row>
    <row r="4736" spans="1:18" ht="13.8" outlineLevel="2" x14ac:dyDescent="0.25">
      <c r="A4736">
        <v>79747</v>
      </c>
      <c r="B4736" t="s">
        <v>6637</v>
      </c>
      <c r="C4736" t="s">
        <v>6850</v>
      </c>
      <c r="D4736" s="14" t="s">
        <v>6843</v>
      </c>
      <c r="E4736" s="12" t="s">
        <v>28</v>
      </c>
      <c r="F4736" s="13" t="s">
        <v>29</v>
      </c>
      <c r="G4736">
        <v>1</v>
      </c>
      <c r="H4736" t="s">
        <v>420</v>
      </c>
      <c r="I4736">
        <v>1</v>
      </c>
      <c r="J4736" s="15"/>
      <c r="K4736" s="16">
        <f>241.56 - (241.56 * $E$1)</f>
        <v>241.56</v>
      </c>
      <c r="L4736" s="16">
        <f>198 - (198 * $E$1)</f>
        <v>198</v>
      </c>
      <c r="M4736" s="1">
        <v>241.56</v>
      </c>
      <c r="N4736" s="1">
        <v>198</v>
      </c>
      <c r="O4736" s="1">
        <v>205.33</v>
      </c>
      <c r="P4736" s="1">
        <v>168.3</v>
      </c>
      <c r="Q4736">
        <v>0.112</v>
      </c>
      <c r="R4736">
        <v>6.4800000000000003E-4</v>
      </c>
    </row>
    <row r="4737" spans="1:18" ht="13.8" outlineLevel="2" x14ac:dyDescent="0.25">
      <c r="A4737">
        <v>79748</v>
      </c>
      <c r="B4737" t="s">
        <v>6637</v>
      </c>
      <c r="C4737" t="s">
        <v>6851</v>
      </c>
      <c r="D4737" s="14" t="s">
        <v>6843</v>
      </c>
      <c r="E4737" s="12" t="s">
        <v>28</v>
      </c>
      <c r="F4737" s="13" t="s">
        <v>29</v>
      </c>
      <c r="G4737">
        <v>1</v>
      </c>
      <c r="H4737" t="s">
        <v>420</v>
      </c>
      <c r="I4737">
        <v>1</v>
      </c>
      <c r="J4737" s="15"/>
      <c r="K4737" s="16">
        <f>282.74 - (282.74 * $E$1)</f>
        <v>282.74</v>
      </c>
      <c r="L4737" s="16">
        <f>231.75 - (231.75 * $E$1)</f>
        <v>231.75</v>
      </c>
      <c r="M4737" s="1">
        <v>282.74</v>
      </c>
      <c r="N4737" s="1">
        <v>231.75</v>
      </c>
      <c r="O4737" s="1">
        <v>240.32</v>
      </c>
      <c r="P4737" s="1">
        <v>196.99</v>
      </c>
      <c r="Q4737">
        <v>0.13400000000000001</v>
      </c>
      <c r="R4737">
        <v>7.4399999999999998E-4</v>
      </c>
    </row>
    <row r="4738" spans="1:18" ht="13.8" outlineLevel="2" x14ac:dyDescent="0.25">
      <c r="A4738">
        <v>82889</v>
      </c>
      <c r="B4738" t="s">
        <v>6637</v>
      </c>
      <c r="C4738" t="s">
        <v>6852</v>
      </c>
      <c r="D4738" s="14" t="s">
        <v>6843</v>
      </c>
      <c r="E4738" s="12" t="s">
        <v>28</v>
      </c>
      <c r="F4738" s="13" t="s">
        <v>29</v>
      </c>
      <c r="G4738">
        <v>1</v>
      </c>
      <c r="H4738" t="s">
        <v>420</v>
      </c>
      <c r="I4738">
        <v>1</v>
      </c>
      <c r="J4738" s="15"/>
      <c r="K4738" s="16">
        <f>349.24 - (349.24 * $E$1)</f>
        <v>349.24</v>
      </c>
      <c r="L4738" s="16">
        <f>286.26 - (286.26 * $E$1)</f>
        <v>286.26</v>
      </c>
      <c r="M4738" s="1">
        <v>349.24</v>
      </c>
      <c r="N4738" s="1">
        <v>286.26</v>
      </c>
      <c r="O4738" s="1">
        <v>296.85000000000002</v>
      </c>
      <c r="P4738" s="1">
        <v>243.32</v>
      </c>
      <c r="Q4738">
        <v>0.1</v>
      </c>
      <c r="R4738">
        <v>1.4040000000000001E-3</v>
      </c>
    </row>
    <row r="4739" spans="1:18" ht="13.8" outlineLevel="2" x14ac:dyDescent="0.25">
      <c r="A4739">
        <v>89942</v>
      </c>
      <c r="B4739" t="s">
        <v>6637</v>
      </c>
      <c r="C4739" t="s">
        <v>6853</v>
      </c>
      <c r="D4739" s="14" t="s">
        <v>6843</v>
      </c>
      <c r="E4739" s="12" t="s">
        <v>28</v>
      </c>
      <c r="F4739" s="13" t="s">
        <v>29</v>
      </c>
      <c r="G4739">
        <v>1</v>
      </c>
      <c r="H4739" t="s">
        <v>420</v>
      </c>
      <c r="I4739">
        <v>1</v>
      </c>
      <c r="J4739" s="15"/>
      <c r="K4739" s="16">
        <f>204.37 - (204.37 * $E$1)</f>
        <v>204.37</v>
      </c>
      <c r="L4739" s="16">
        <f>167.52 - (167.52 * $E$1)</f>
        <v>167.52</v>
      </c>
      <c r="M4739" s="1">
        <v>204.37</v>
      </c>
      <c r="N4739" s="1">
        <v>167.52</v>
      </c>
      <c r="O4739" s="1">
        <v>173.72</v>
      </c>
      <c r="P4739" s="1">
        <v>142.38999999999999</v>
      </c>
      <c r="Q4739">
        <v>0.1</v>
      </c>
      <c r="R4739">
        <v>7.2000000000000005E-4</v>
      </c>
    </row>
    <row r="4740" spans="1:18" ht="13.8" outlineLevel="2" x14ac:dyDescent="0.25">
      <c r="A4740">
        <v>79749</v>
      </c>
      <c r="B4740" t="s">
        <v>6637</v>
      </c>
      <c r="C4740" t="s">
        <v>6854</v>
      </c>
      <c r="D4740" s="14" t="s">
        <v>6843</v>
      </c>
      <c r="E4740" s="12" t="s">
        <v>28</v>
      </c>
      <c r="F4740" s="13" t="s">
        <v>29</v>
      </c>
      <c r="G4740">
        <v>1</v>
      </c>
      <c r="H4740" t="s">
        <v>420</v>
      </c>
      <c r="I4740">
        <v>1</v>
      </c>
      <c r="J4740" s="15"/>
      <c r="K4740" s="16">
        <f>244.88 - (244.88 * $E$1)</f>
        <v>244.88</v>
      </c>
      <c r="L4740" s="16">
        <f>200.72 - (200.72 * $E$1)</f>
        <v>200.72</v>
      </c>
      <c r="M4740" s="1">
        <v>244.88</v>
      </c>
      <c r="N4740" s="1">
        <v>200.72</v>
      </c>
      <c r="O4740" s="1">
        <v>208.15</v>
      </c>
      <c r="P4740" s="1">
        <v>170.61</v>
      </c>
      <c r="Q4740">
        <v>0.124</v>
      </c>
      <c r="R4740">
        <v>8.4000000000000003E-4</v>
      </c>
    </row>
    <row r="4741" spans="1:18" ht="13.8" outlineLevel="2" x14ac:dyDescent="0.25">
      <c r="A4741">
        <v>79750</v>
      </c>
      <c r="B4741" t="s">
        <v>6637</v>
      </c>
      <c r="C4741" t="s">
        <v>6855</v>
      </c>
      <c r="D4741" s="14" t="s">
        <v>6843</v>
      </c>
      <c r="E4741" s="12" t="s">
        <v>28</v>
      </c>
      <c r="F4741" s="13" t="s">
        <v>29</v>
      </c>
      <c r="G4741">
        <v>1</v>
      </c>
      <c r="H4741" t="s">
        <v>420</v>
      </c>
      <c r="I4741">
        <v>1</v>
      </c>
      <c r="J4741" s="15"/>
      <c r="K4741" s="16">
        <f>308.36 - (308.36 * $E$1)</f>
        <v>308.36</v>
      </c>
      <c r="L4741" s="16">
        <f>252.75 - (252.75 * $E$1)</f>
        <v>252.75</v>
      </c>
      <c r="M4741" s="1">
        <v>308.36</v>
      </c>
      <c r="N4741" s="1">
        <v>252.75</v>
      </c>
      <c r="O4741" s="1">
        <v>262.10000000000002</v>
      </c>
      <c r="P4741" s="1">
        <v>214.84</v>
      </c>
      <c r="Q4741">
        <v>0.156</v>
      </c>
      <c r="R4741">
        <v>7.5600000000000005E-4</v>
      </c>
    </row>
    <row r="4742" spans="1:18" ht="13.8" outlineLevel="2" x14ac:dyDescent="0.25">
      <c r="A4742">
        <v>79751</v>
      </c>
      <c r="B4742" t="s">
        <v>6637</v>
      </c>
      <c r="C4742" t="s">
        <v>6856</v>
      </c>
      <c r="D4742" s="14" t="s">
        <v>6843</v>
      </c>
      <c r="E4742" s="12" t="s">
        <v>28</v>
      </c>
      <c r="F4742" s="13" t="s">
        <v>29</v>
      </c>
      <c r="G4742">
        <v>1</v>
      </c>
      <c r="H4742" t="s">
        <v>420</v>
      </c>
      <c r="I4742">
        <v>1</v>
      </c>
      <c r="J4742" s="15"/>
      <c r="K4742" s="16">
        <f>384.53 - (384.53 * $E$1)</f>
        <v>384.53</v>
      </c>
      <c r="L4742" s="16">
        <f>315.19 - (315.19 * $E$1)</f>
        <v>315.19</v>
      </c>
      <c r="M4742" s="1">
        <v>384.53</v>
      </c>
      <c r="N4742" s="1">
        <v>315.19</v>
      </c>
      <c r="O4742" s="1">
        <v>326.85000000000002</v>
      </c>
      <c r="P4742" s="1">
        <v>267.91000000000003</v>
      </c>
      <c r="Q4742">
        <v>0.19400000000000001</v>
      </c>
      <c r="R4742">
        <v>1.32E-3</v>
      </c>
    </row>
    <row r="4743" spans="1:18" ht="13.8" outlineLevel="2" x14ac:dyDescent="0.25">
      <c r="A4743">
        <v>89943</v>
      </c>
      <c r="B4743" t="s">
        <v>6637</v>
      </c>
      <c r="C4743" t="s">
        <v>6857</v>
      </c>
      <c r="D4743" s="14" t="s">
        <v>6843</v>
      </c>
      <c r="E4743" s="12" t="s">
        <v>28</v>
      </c>
      <c r="F4743" s="13" t="s">
        <v>29</v>
      </c>
      <c r="G4743">
        <v>1</v>
      </c>
      <c r="H4743" t="s">
        <v>420</v>
      </c>
      <c r="I4743">
        <v>1</v>
      </c>
      <c r="J4743" s="15"/>
      <c r="K4743" s="16">
        <f>466.19 - (466.19 * $E$1)</f>
        <v>466.19</v>
      </c>
      <c r="L4743" s="16">
        <f>382.12 - (382.12 * $E$1)</f>
        <v>382.12</v>
      </c>
      <c r="M4743" s="1">
        <v>466.19</v>
      </c>
      <c r="N4743" s="1">
        <v>382.12</v>
      </c>
      <c r="O4743" s="1">
        <v>396.26</v>
      </c>
      <c r="P4743" s="1">
        <v>324.8</v>
      </c>
      <c r="Q4743">
        <v>0.25</v>
      </c>
      <c r="R4743">
        <v>1.48E-3</v>
      </c>
    </row>
    <row r="4744" spans="1:18" ht="13.8" outlineLevel="2" x14ac:dyDescent="0.25">
      <c r="A4744">
        <v>79752</v>
      </c>
      <c r="B4744" t="s">
        <v>6637</v>
      </c>
      <c r="C4744" t="s">
        <v>6858</v>
      </c>
      <c r="D4744" s="14" t="s">
        <v>6843</v>
      </c>
      <c r="E4744" s="12" t="s">
        <v>28</v>
      </c>
      <c r="F4744" s="13" t="s">
        <v>29</v>
      </c>
      <c r="G4744">
        <v>1</v>
      </c>
      <c r="H4744" t="s">
        <v>420</v>
      </c>
      <c r="I4744">
        <v>1</v>
      </c>
      <c r="J4744" s="15"/>
      <c r="K4744" s="16">
        <f>546.77 - (546.77 * $E$1)</f>
        <v>546.77</v>
      </c>
      <c r="L4744" s="16">
        <f>448.17 - (448.17 * $E$1)</f>
        <v>448.17</v>
      </c>
      <c r="M4744" s="1">
        <v>546.77</v>
      </c>
      <c r="N4744" s="1">
        <v>448.17</v>
      </c>
      <c r="O4744" s="1">
        <v>464.75</v>
      </c>
      <c r="P4744" s="1">
        <v>380.94</v>
      </c>
      <c r="Q4744">
        <v>0.26200000000000001</v>
      </c>
      <c r="R4744">
        <v>1.9350000000000001E-3</v>
      </c>
    </row>
    <row r="4745" spans="1:18" ht="13.8" outlineLevel="2" x14ac:dyDescent="0.25">
      <c r="A4745">
        <v>89944</v>
      </c>
      <c r="B4745" t="s">
        <v>6637</v>
      </c>
      <c r="C4745" t="s">
        <v>6859</v>
      </c>
      <c r="D4745" s="14" t="s">
        <v>6843</v>
      </c>
      <c r="E4745" s="12" t="s">
        <v>28</v>
      </c>
      <c r="F4745" s="13" t="s">
        <v>29</v>
      </c>
      <c r="G4745">
        <v>1</v>
      </c>
      <c r="H4745" t="s">
        <v>420</v>
      </c>
      <c r="I4745">
        <v>1</v>
      </c>
      <c r="J4745" s="15"/>
      <c r="K4745" s="16">
        <f>635.82 - (635.82 * $E$1)</f>
        <v>635.82000000000005</v>
      </c>
      <c r="L4745" s="16">
        <f>521.16 - (521.16 * $E$1)</f>
        <v>521.16</v>
      </c>
      <c r="M4745" s="1">
        <v>635.82000000000005</v>
      </c>
      <c r="N4745" s="1">
        <v>521.16</v>
      </c>
      <c r="O4745" s="1">
        <v>540.44000000000005</v>
      </c>
      <c r="P4745" s="1">
        <v>442.99</v>
      </c>
      <c r="Q4745">
        <v>0.35</v>
      </c>
      <c r="R4745">
        <v>2.16E-3</v>
      </c>
    </row>
    <row r="4746" spans="1:18" ht="13.8" outlineLevel="2" x14ac:dyDescent="0.25">
      <c r="A4746">
        <v>82890</v>
      </c>
      <c r="B4746" t="s">
        <v>6637</v>
      </c>
      <c r="C4746" t="s">
        <v>6860</v>
      </c>
      <c r="D4746" s="14" t="s">
        <v>6843</v>
      </c>
      <c r="E4746" s="12" t="s">
        <v>28</v>
      </c>
      <c r="F4746" s="13" t="s">
        <v>29</v>
      </c>
      <c r="G4746">
        <v>1</v>
      </c>
      <c r="H4746" t="s">
        <v>420</v>
      </c>
      <c r="I4746">
        <v>1</v>
      </c>
      <c r="J4746" s="15"/>
      <c r="K4746" s="16">
        <f>709.71 - (709.71 * $E$1)</f>
        <v>709.71</v>
      </c>
      <c r="L4746" s="16">
        <f>581.73 - (581.73 * $E$1)</f>
        <v>581.73</v>
      </c>
      <c r="M4746" s="1">
        <v>709.71</v>
      </c>
      <c r="N4746" s="1">
        <v>581.73</v>
      </c>
      <c r="O4746" s="1">
        <v>603.25</v>
      </c>
      <c r="P4746" s="1">
        <v>494.47</v>
      </c>
      <c r="Q4746">
        <v>0.35</v>
      </c>
      <c r="R4746">
        <v>2.2000000000000001E-3</v>
      </c>
    </row>
    <row r="4747" spans="1:18" ht="13.8" outlineLevel="2" x14ac:dyDescent="0.25">
      <c r="A4747">
        <v>79753</v>
      </c>
      <c r="B4747" t="s">
        <v>6637</v>
      </c>
      <c r="C4747" t="s">
        <v>6861</v>
      </c>
      <c r="D4747" s="14" t="s">
        <v>6843</v>
      </c>
      <c r="E4747" s="12" t="s">
        <v>28</v>
      </c>
      <c r="F4747" s="13" t="s">
        <v>29</v>
      </c>
      <c r="G4747">
        <v>1</v>
      </c>
      <c r="H4747" t="s">
        <v>420</v>
      </c>
      <c r="I4747">
        <v>1</v>
      </c>
      <c r="J4747" s="15"/>
      <c r="K4747" s="16">
        <f>780.65 - (780.65 * $E$1)</f>
        <v>780.65</v>
      </c>
      <c r="L4747" s="16">
        <f>639.88 - (639.88 * $E$1)</f>
        <v>639.88</v>
      </c>
      <c r="M4747" s="1">
        <v>780.65</v>
      </c>
      <c r="N4747" s="1">
        <v>639.88</v>
      </c>
      <c r="O4747" s="1">
        <v>663.56</v>
      </c>
      <c r="P4747" s="1">
        <v>543.9</v>
      </c>
      <c r="Q4747">
        <v>0.34799999999999998</v>
      </c>
      <c r="R4747">
        <v>2.1450000000000002E-3</v>
      </c>
    </row>
    <row r="4748" spans="1:18" ht="13.8" outlineLevel="2" x14ac:dyDescent="0.25">
      <c r="A4748">
        <v>79754</v>
      </c>
      <c r="B4748" t="s">
        <v>6637</v>
      </c>
      <c r="C4748" t="s">
        <v>6862</v>
      </c>
      <c r="D4748" s="14" t="s">
        <v>6843</v>
      </c>
      <c r="E4748" s="12" t="s">
        <v>28</v>
      </c>
      <c r="F4748" s="13" t="s">
        <v>29</v>
      </c>
      <c r="G4748">
        <v>1</v>
      </c>
      <c r="H4748" t="s">
        <v>420</v>
      </c>
      <c r="I4748">
        <v>1</v>
      </c>
      <c r="J4748" s="15"/>
      <c r="K4748" s="16">
        <f>975.94 - (975.94 * $E$1)</f>
        <v>975.94</v>
      </c>
      <c r="L4748" s="16">
        <f>799.95 - (799.95 * $E$1)</f>
        <v>799.95</v>
      </c>
      <c r="M4748" s="1">
        <v>975.94</v>
      </c>
      <c r="N4748" s="1">
        <v>799.95</v>
      </c>
      <c r="O4748" s="1">
        <v>829.55</v>
      </c>
      <c r="P4748" s="1">
        <v>679.96</v>
      </c>
      <c r="Q4748">
        <v>0.37</v>
      </c>
      <c r="R4748">
        <v>2.5899999999999999E-3</v>
      </c>
    </row>
    <row r="4749" spans="1:18" ht="13.8" outlineLevel="2" x14ac:dyDescent="0.25">
      <c r="A4749">
        <v>79755</v>
      </c>
      <c r="B4749" t="s">
        <v>6637</v>
      </c>
      <c r="C4749" t="s">
        <v>6863</v>
      </c>
      <c r="D4749" s="14" t="s">
        <v>6843</v>
      </c>
      <c r="E4749" s="12" t="s">
        <v>28</v>
      </c>
      <c r="F4749" s="13" t="s">
        <v>29</v>
      </c>
      <c r="G4749">
        <v>1</v>
      </c>
      <c r="H4749" t="s">
        <v>420</v>
      </c>
      <c r="I4749">
        <v>1</v>
      </c>
      <c r="J4749" s="15"/>
      <c r="K4749" s="16">
        <f>1082.31 - (1082.31 * $E$1)</f>
        <v>1082.31</v>
      </c>
      <c r="L4749" s="16">
        <f>887.14 - (887.14 * $E$1)</f>
        <v>887.14</v>
      </c>
      <c r="M4749" s="1">
        <v>1082.31</v>
      </c>
      <c r="N4749" s="1">
        <v>887.14</v>
      </c>
      <c r="O4749" s="1">
        <v>919.96</v>
      </c>
      <c r="P4749" s="1">
        <v>754.07</v>
      </c>
      <c r="Q4749">
        <v>0.51</v>
      </c>
      <c r="R4749">
        <v>3.225E-3</v>
      </c>
    </row>
    <row r="4750" spans="1:18" ht="13.8" outlineLevel="2" x14ac:dyDescent="0.25">
      <c r="A4750">
        <v>89945</v>
      </c>
      <c r="B4750" t="s">
        <v>6637</v>
      </c>
      <c r="C4750" t="s">
        <v>6864</v>
      </c>
      <c r="D4750" s="14" t="s">
        <v>6843</v>
      </c>
      <c r="E4750" s="12" t="s">
        <v>28</v>
      </c>
      <c r="F4750" s="13" t="s">
        <v>29</v>
      </c>
      <c r="G4750">
        <v>1</v>
      </c>
      <c r="H4750" t="s">
        <v>420</v>
      </c>
      <c r="I4750">
        <v>1</v>
      </c>
      <c r="J4750" s="15"/>
      <c r="K4750" s="16">
        <f>1176.67 - (1176.67 * $E$1)</f>
        <v>1176.67</v>
      </c>
      <c r="L4750" s="16">
        <f>964.48 - (964.48 * $E$1)</f>
        <v>964.48</v>
      </c>
      <c r="M4750" s="1">
        <v>1176.67</v>
      </c>
      <c r="N4750" s="1">
        <v>964.48</v>
      </c>
      <c r="O4750" s="1">
        <v>1000.17</v>
      </c>
      <c r="P4750" s="1">
        <v>819.81</v>
      </c>
      <c r="Q4750">
        <v>0.59</v>
      </c>
      <c r="R4750">
        <v>4.3200000000000001E-3</v>
      </c>
    </row>
    <row r="4751" spans="1:18" ht="13.8" outlineLevel="2" x14ac:dyDescent="0.25">
      <c r="A4751">
        <v>79756</v>
      </c>
      <c r="B4751" t="s">
        <v>6637</v>
      </c>
      <c r="C4751" t="s">
        <v>6865</v>
      </c>
      <c r="D4751" s="14" t="s">
        <v>6843</v>
      </c>
      <c r="E4751" s="12" t="s">
        <v>28</v>
      </c>
      <c r="F4751" s="13" t="s">
        <v>29</v>
      </c>
      <c r="G4751">
        <v>1</v>
      </c>
      <c r="H4751" t="s">
        <v>420</v>
      </c>
      <c r="I4751">
        <v>1</v>
      </c>
      <c r="J4751" s="15"/>
      <c r="K4751" s="16">
        <f>1307.34 - (1307.34 * $E$1)</f>
        <v>1307.3399999999999</v>
      </c>
      <c r="L4751" s="16">
        <f>1071.59 - (1071.59 * $E$1)</f>
        <v>1071.5899999999999</v>
      </c>
      <c r="M4751" s="1">
        <v>1307.3399999999999</v>
      </c>
      <c r="N4751" s="1">
        <v>1071.5899999999999</v>
      </c>
      <c r="O4751" s="1">
        <v>1111.24</v>
      </c>
      <c r="P4751" s="1">
        <v>910.85</v>
      </c>
      <c r="Q4751">
        <v>0.62</v>
      </c>
      <c r="R4751">
        <v>4.0499999999999998E-3</v>
      </c>
    </row>
    <row r="4752" spans="1:18" ht="13.8" outlineLevel="2" x14ac:dyDescent="0.25">
      <c r="A4752">
        <v>89946</v>
      </c>
      <c r="B4752" t="s">
        <v>6637</v>
      </c>
      <c r="C4752" t="s">
        <v>6866</v>
      </c>
      <c r="D4752" s="14" t="s">
        <v>6843</v>
      </c>
      <c r="E4752" s="12" t="s">
        <v>28</v>
      </c>
      <c r="F4752" s="13" t="s">
        <v>29</v>
      </c>
      <c r="G4752">
        <v>1</v>
      </c>
      <c r="H4752" t="s">
        <v>420</v>
      </c>
      <c r="I4752">
        <v>1</v>
      </c>
      <c r="J4752" s="15"/>
      <c r="K4752" s="16">
        <f>2119.51 - (2119.51 * $E$1)</f>
        <v>2119.5100000000002</v>
      </c>
      <c r="L4752" s="16">
        <f>1737.3 - (1737.3 * $E$1)</f>
        <v>1737.3</v>
      </c>
      <c r="M4752" s="1">
        <v>2119.5100000000002</v>
      </c>
      <c r="N4752" s="1">
        <v>1737.3</v>
      </c>
      <c r="O4752" s="1">
        <v>1801.58</v>
      </c>
      <c r="P4752" s="1">
        <v>1476.71</v>
      </c>
      <c r="Q4752">
        <v>1.05</v>
      </c>
      <c r="R4752">
        <v>5.9249999999999997E-3</v>
      </c>
    </row>
    <row r="4753" spans="1:18" ht="13.8" outlineLevel="2" x14ac:dyDescent="0.25">
      <c r="A4753">
        <v>89947</v>
      </c>
      <c r="B4753" t="s">
        <v>6637</v>
      </c>
      <c r="C4753" t="s">
        <v>6867</v>
      </c>
      <c r="D4753" s="14" t="s">
        <v>6843</v>
      </c>
      <c r="E4753" s="12" t="s">
        <v>28</v>
      </c>
      <c r="F4753" s="13" t="s">
        <v>29</v>
      </c>
      <c r="G4753">
        <v>1</v>
      </c>
      <c r="H4753" t="s">
        <v>420</v>
      </c>
      <c r="I4753">
        <v>1</v>
      </c>
      <c r="J4753" s="15"/>
      <c r="K4753" s="16">
        <f>1967.45 - (1967.45 * $E$1)</f>
        <v>1967.45</v>
      </c>
      <c r="L4753" s="16">
        <f>1612.66 - (1612.66 * $E$1)</f>
        <v>1612.66</v>
      </c>
      <c r="M4753" s="1">
        <v>1967.45</v>
      </c>
      <c r="N4753" s="1">
        <v>1612.66</v>
      </c>
      <c r="O4753" s="1">
        <v>1672.33</v>
      </c>
      <c r="P4753" s="1">
        <v>1370.76</v>
      </c>
      <c r="Q4753">
        <v>0.97</v>
      </c>
      <c r="R4753">
        <v>4.1250000000000002E-3</v>
      </c>
    </row>
    <row r="4754" spans="1:18" ht="13.8" outlineLevel="2" x14ac:dyDescent="0.25">
      <c r="A4754">
        <v>82891</v>
      </c>
      <c r="B4754" t="s">
        <v>6637</v>
      </c>
      <c r="C4754" t="s">
        <v>6868</v>
      </c>
      <c r="D4754" s="14" t="s">
        <v>6843</v>
      </c>
      <c r="E4754" s="12" t="s">
        <v>28</v>
      </c>
      <c r="F4754" s="13" t="s">
        <v>29</v>
      </c>
      <c r="G4754">
        <v>1</v>
      </c>
      <c r="H4754" t="s">
        <v>420</v>
      </c>
      <c r="I4754">
        <v>1</v>
      </c>
      <c r="J4754" s="15"/>
      <c r="K4754" s="16">
        <f>2863.06 - (2863.06 * $E$1)</f>
        <v>2863.06</v>
      </c>
      <c r="L4754" s="16">
        <f>2346.77 - (2346.77 * $E$1)</f>
        <v>2346.77</v>
      </c>
      <c r="M4754" s="1">
        <v>2863.06</v>
      </c>
      <c r="N4754" s="1">
        <v>2346.77</v>
      </c>
      <c r="O4754" s="1">
        <v>2433.6</v>
      </c>
      <c r="P4754" s="1">
        <v>1994.75</v>
      </c>
      <c r="Q4754">
        <v>1.37</v>
      </c>
      <c r="R4754">
        <v>5.9249999999999997E-3</v>
      </c>
    </row>
    <row r="4755" spans="1:18" ht="13.8" outlineLevel="2" x14ac:dyDescent="0.25">
      <c r="A4755">
        <v>89948</v>
      </c>
      <c r="B4755" t="s">
        <v>6637</v>
      </c>
      <c r="C4755" t="s">
        <v>6869</v>
      </c>
      <c r="D4755" s="14" t="s">
        <v>6843</v>
      </c>
      <c r="E4755" s="12" t="s">
        <v>28</v>
      </c>
      <c r="F4755" s="13" t="s">
        <v>29</v>
      </c>
      <c r="G4755">
        <v>1</v>
      </c>
      <c r="H4755" t="s">
        <v>420</v>
      </c>
      <c r="I4755">
        <v>1</v>
      </c>
      <c r="J4755" s="15"/>
      <c r="K4755" s="16">
        <f>3838.38 - (3838.38 * $E$1)</f>
        <v>3838.38</v>
      </c>
      <c r="L4755" s="16">
        <f>3146.21 - (3146.21 * $E$1)</f>
        <v>3146.21</v>
      </c>
      <c r="M4755" s="1">
        <v>3838.38</v>
      </c>
      <c r="N4755" s="1">
        <v>3146.21</v>
      </c>
      <c r="O4755" s="1">
        <v>3262.62</v>
      </c>
      <c r="P4755" s="1">
        <v>2674.28</v>
      </c>
      <c r="Q4755">
        <v>1.75</v>
      </c>
      <c r="R4755">
        <v>0.105</v>
      </c>
    </row>
    <row r="4756" spans="1:18" ht="13.8" outlineLevel="2" x14ac:dyDescent="0.25">
      <c r="A4756">
        <v>49424</v>
      </c>
      <c r="B4756" t="s">
        <v>6637</v>
      </c>
      <c r="C4756" t="s">
        <v>6870</v>
      </c>
      <c r="D4756" s="14" t="s">
        <v>6871</v>
      </c>
      <c r="E4756" s="12" t="s">
        <v>28</v>
      </c>
      <c r="F4756" s="13" t="s">
        <v>29</v>
      </c>
      <c r="G4756">
        <v>1</v>
      </c>
      <c r="H4756" t="s">
        <v>420</v>
      </c>
      <c r="I4756">
        <v>1</v>
      </c>
      <c r="J4756" s="15"/>
      <c r="K4756" s="16">
        <f>198.49 - (198.49 * $E$1)</f>
        <v>198.49</v>
      </c>
      <c r="L4756" s="16">
        <f>162.7 - (162.7 * $E$1)</f>
        <v>162.69999999999999</v>
      </c>
      <c r="M4756" s="1">
        <v>198.49</v>
      </c>
      <c r="N4756" s="1">
        <v>162.69999999999999</v>
      </c>
      <c r="O4756" s="1">
        <v>168.72</v>
      </c>
      <c r="P4756" s="1">
        <v>138.30000000000001</v>
      </c>
      <c r="Q4756">
        <v>0.09</v>
      </c>
      <c r="R4756">
        <v>3.7800000000000003E-4</v>
      </c>
    </row>
    <row r="4757" spans="1:18" ht="13.8" outlineLevel="2" x14ac:dyDescent="0.25">
      <c r="A4757">
        <v>61330</v>
      </c>
      <c r="B4757" t="s">
        <v>6637</v>
      </c>
      <c r="C4757" t="s">
        <v>6872</v>
      </c>
      <c r="D4757" s="14" t="s">
        <v>6871</v>
      </c>
      <c r="E4757" s="12" t="s">
        <v>28</v>
      </c>
      <c r="F4757" s="13" t="s">
        <v>29</v>
      </c>
      <c r="G4757">
        <v>1</v>
      </c>
      <c r="H4757" t="s">
        <v>420</v>
      </c>
      <c r="I4757">
        <v>1</v>
      </c>
      <c r="J4757" s="15"/>
      <c r="K4757" s="16">
        <f>406.19 - (406.19 * $E$1)</f>
        <v>406.19</v>
      </c>
      <c r="L4757" s="16">
        <f>332.94 - (332.94 * $E$1)</f>
        <v>332.94</v>
      </c>
      <c r="M4757" s="1">
        <v>406.19</v>
      </c>
      <c r="N4757" s="1">
        <v>332.94</v>
      </c>
      <c r="O4757" s="1">
        <v>345.26</v>
      </c>
      <c r="P4757" s="1">
        <v>283</v>
      </c>
      <c r="Q4757">
        <v>0.2</v>
      </c>
      <c r="R4757">
        <v>1.0560000000000001E-3</v>
      </c>
    </row>
    <row r="4758" spans="1:18" ht="13.8" outlineLevel="2" x14ac:dyDescent="0.25">
      <c r="A4758">
        <v>90328</v>
      </c>
      <c r="B4758" t="s">
        <v>6637</v>
      </c>
      <c r="C4758" t="s">
        <v>6873</v>
      </c>
      <c r="D4758" s="14" t="s">
        <v>6871</v>
      </c>
      <c r="E4758" s="12" t="s">
        <v>28</v>
      </c>
      <c r="F4758" s="13" t="s">
        <v>29</v>
      </c>
      <c r="G4758">
        <v>1</v>
      </c>
      <c r="H4758" t="s">
        <v>420</v>
      </c>
      <c r="I4758">
        <v>1</v>
      </c>
      <c r="J4758" s="15"/>
      <c r="K4758" s="16">
        <f>557.58 - (557.58 * $E$1)</f>
        <v>557.58000000000004</v>
      </c>
      <c r="L4758" s="16">
        <f>457.03 - (457.03 * $E$1)</f>
        <v>457.03</v>
      </c>
      <c r="M4758" s="1">
        <v>557.58000000000004</v>
      </c>
      <c r="N4758" s="1">
        <v>457.03</v>
      </c>
      <c r="O4758" s="1">
        <v>473.94</v>
      </c>
      <c r="P4758" s="1">
        <v>388.48</v>
      </c>
      <c r="Q4758">
        <v>0.26</v>
      </c>
      <c r="R4758">
        <v>1.307E-3</v>
      </c>
    </row>
    <row r="4759" spans="1:18" ht="13.8" outlineLevel="2" x14ac:dyDescent="0.25">
      <c r="A4759">
        <v>49431</v>
      </c>
      <c r="B4759" t="s">
        <v>6637</v>
      </c>
      <c r="C4759" t="s">
        <v>6874</v>
      </c>
      <c r="D4759" s="14" t="s">
        <v>6871</v>
      </c>
      <c r="E4759" s="12" t="s">
        <v>28</v>
      </c>
      <c r="F4759" s="13" t="s">
        <v>29</v>
      </c>
      <c r="G4759">
        <v>1</v>
      </c>
      <c r="H4759" t="s">
        <v>420</v>
      </c>
      <c r="I4759">
        <v>1</v>
      </c>
      <c r="J4759" s="15"/>
      <c r="K4759" s="16">
        <f>198.49 - (198.49 * $E$1)</f>
        <v>198.49</v>
      </c>
      <c r="L4759" s="16">
        <f>162.7 - (162.7 * $E$1)</f>
        <v>162.69999999999999</v>
      </c>
      <c r="M4759" s="1">
        <v>198.49</v>
      </c>
      <c r="N4759" s="1">
        <v>162.69999999999999</v>
      </c>
      <c r="O4759" s="1">
        <v>168.72</v>
      </c>
      <c r="P4759" s="1">
        <v>138.30000000000001</v>
      </c>
      <c r="Q4759">
        <v>0.09</v>
      </c>
      <c r="R4759">
        <v>3.5199999999999999E-4</v>
      </c>
    </row>
    <row r="4760" spans="1:18" ht="13.8" outlineLevel="2" x14ac:dyDescent="0.25">
      <c r="A4760">
        <v>61331</v>
      </c>
      <c r="B4760" t="s">
        <v>6637</v>
      </c>
      <c r="C4760" t="s">
        <v>6875</v>
      </c>
      <c r="D4760" s="14" t="s">
        <v>6871</v>
      </c>
      <c r="E4760" s="12" t="s">
        <v>28</v>
      </c>
      <c r="F4760" s="13" t="s">
        <v>29</v>
      </c>
      <c r="G4760">
        <v>1</v>
      </c>
      <c r="H4760" t="s">
        <v>420</v>
      </c>
      <c r="I4760">
        <v>1</v>
      </c>
      <c r="J4760" s="15"/>
      <c r="K4760" s="16">
        <f>406.19 - (406.19 * $E$1)</f>
        <v>406.19</v>
      </c>
      <c r="L4760" s="16">
        <f>332.94 - (332.94 * $E$1)</f>
        <v>332.94</v>
      </c>
      <c r="M4760" s="1">
        <v>406.19</v>
      </c>
      <c r="N4760" s="1">
        <v>332.94</v>
      </c>
      <c r="O4760" s="1">
        <v>345.26</v>
      </c>
      <c r="P4760" s="1">
        <v>283</v>
      </c>
      <c r="Q4760">
        <v>0.2</v>
      </c>
      <c r="R4760">
        <v>1.0560000000000001E-3</v>
      </c>
    </row>
    <row r="4761" spans="1:18" ht="13.8" outlineLevel="2" x14ac:dyDescent="0.25">
      <c r="A4761">
        <v>90329</v>
      </c>
      <c r="B4761" t="s">
        <v>6637</v>
      </c>
      <c r="C4761" t="s">
        <v>6876</v>
      </c>
      <c r="D4761" s="14" t="s">
        <v>6871</v>
      </c>
      <c r="E4761" s="12" t="s">
        <v>28</v>
      </c>
      <c r="F4761" s="13" t="s">
        <v>29</v>
      </c>
      <c r="G4761">
        <v>1</v>
      </c>
      <c r="H4761" t="s">
        <v>420</v>
      </c>
      <c r="I4761">
        <v>1</v>
      </c>
      <c r="J4761" s="15"/>
      <c r="K4761" s="16">
        <f>557.58 - (557.58 * $E$1)</f>
        <v>557.58000000000004</v>
      </c>
      <c r="L4761" s="16">
        <f>457.03 - (457.03 * $E$1)</f>
        <v>457.03</v>
      </c>
      <c r="M4761" s="1">
        <v>557.58000000000004</v>
      </c>
      <c r="N4761" s="1">
        <v>457.03</v>
      </c>
      <c r="O4761" s="1">
        <v>473.94</v>
      </c>
      <c r="P4761" s="1">
        <v>388.48</v>
      </c>
      <c r="Q4761">
        <v>0.26</v>
      </c>
      <c r="R4761">
        <v>1.307E-3</v>
      </c>
    </row>
    <row r="4762" spans="1:18" ht="13.8" outlineLevel="2" x14ac:dyDescent="0.25">
      <c r="A4762">
        <v>49438</v>
      </c>
      <c r="B4762" t="s">
        <v>6637</v>
      </c>
      <c r="C4762" t="s">
        <v>6877</v>
      </c>
      <c r="D4762" s="14" t="s">
        <v>6871</v>
      </c>
      <c r="E4762" s="12" t="s">
        <v>28</v>
      </c>
      <c r="F4762" s="13" t="s">
        <v>29</v>
      </c>
      <c r="G4762">
        <v>1</v>
      </c>
      <c r="H4762" t="s">
        <v>420</v>
      </c>
      <c r="I4762">
        <v>1</v>
      </c>
      <c r="J4762" s="15"/>
      <c r="K4762" s="16">
        <f>40.64 - (40.64 * $E$1)</f>
        <v>40.64</v>
      </c>
      <c r="L4762" s="16">
        <f>33.31 - (33.31 * $E$1)</f>
        <v>33.31</v>
      </c>
      <c r="M4762" s="1">
        <v>40.64</v>
      </c>
      <c r="N4762" s="1">
        <v>33.31</v>
      </c>
      <c r="O4762" s="1">
        <v>34.54</v>
      </c>
      <c r="P4762" s="1">
        <v>28.31</v>
      </c>
      <c r="Q4762">
        <v>0.03</v>
      </c>
      <c r="R4762">
        <v>1.54E-4</v>
      </c>
    </row>
    <row r="4763" spans="1:18" ht="13.8" outlineLevel="2" x14ac:dyDescent="0.25">
      <c r="A4763">
        <v>55113</v>
      </c>
      <c r="B4763" t="s">
        <v>6878</v>
      </c>
      <c r="C4763" t="s">
        <v>6879</v>
      </c>
      <c r="D4763" s="14" t="s">
        <v>6871</v>
      </c>
      <c r="E4763" s="12" t="s">
        <v>28</v>
      </c>
      <c r="F4763" s="13" t="s">
        <v>29</v>
      </c>
      <c r="G4763">
        <v>1</v>
      </c>
      <c r="H4763" t="s">
        <v>420</v>
      </c>
      <c r="I4763">
        <v>1</v>
      </c>
      <c r="J4763" s="15"/>
      <c r="K4763" s="16">
        <f>198.49 - (198.49 * $E$1)</f>
        <v>198.49</v>
      </c>
      <c r="L4763" s="16">
        <f>162.7 - (162.7 * $E$1)</f>
        <v>162.69999999999999</v>
      </c>
      <c r="M4763" s="1">
        <v>198.49</v>
      </c>
      <c r="N4763" s="1">
        <v>162.69999999999999</v>
      </c>
      <c r="O4763" s="1">
        <v>168.72</v>
      </c>
      <c r="P4763" s="1">
        <v>138.30000000000001</v>
      </c>
      <c r="Q4763">
        <v>0.09</v>
      </c>
      <c r="R4763">
        <v>6.6E-4</v>
      </c>
    </row>
    <row r="4764" spans="1:18" ht="13.8" outlineLevel="2" x14ac:dyDescent="0.25">
      <c r="A4764">
        <v>61332</v>
      </c>
      <c r="B4764" t="s">
        <v>6637</v>
      </c>
      <c r="C4764" t="s">
        <v>6880</v>
      </c>
      <c r="D4764" s="14" t="s">
        <v>6871</v>
      </c>
      <c r="E4764" s="12" t="s">
        <v>28</v>
      </c>
      <c r="F4764" s="13" t="s">
        <v>29</v>
      </c>
      <c r="G4764">
        <v>1</v>
      </c>
      <c r="H4764" t="s">
        <v>420</v>
      </c>
      <c r="I4764">
        <v>1</v>
      </c>
      <c r="J4764" s="15"/>
      <c r="K4764" s="16">
        <f>406.19 - (406.19 * $E$1)</f>
        <v>406.19</v>
      </c>
      <c r="L4764" s="16">
        <f>332.94 - (332.94 * $E$1)</f>
        <v>332.94</v>
      </c>
      <c r="M4764" s="1">
        <v>406.19</v>
      </c>
      <c r="N4764" s="1">
        <v>332.94</v>
      </c>
      <c r="O4764" s="1">
        <v>345.26</v>
      </c>
      <c r="P4764" s="1">
        <v>283</v>
      </c>
      <c r="Q4764">
        <v>0.17599999999999999</v>
      </c>
      <c r="R4764">
        <v>1.4040000000000001E-3</v>
      </c>
    </row>
    <row r="4765" spans="1:18" ht="13.8" outlineLevel="2" x14ac:dyDescent="0.25">
      <c r="A4765">
        <v>90330</v>
      </c>
      <c r="B4765" t="s">
        <v>6637</v>
      </c>
      <c r="C4765" t="s">
        <v>6881</v>
      </c>
      <c r="D4765" s="14" t="s">
        <v>6871</v>
      </c>
      <c r="E4765" s="12" t="s">
        <v>28</v>
      </c>
      <c r="F4765" s="13" t="s">
        <v>29</v>
      </c>
      <c r="G4765">
        <v>1</v>
      </c>
      <c r="H4765" t="s">
        <v>420</v>
      </c>
      <c r="I4765">
        <v>1</v>
      </c>
      <c r="J4765" s="15"/>
      <c r="K4765" s="16">
        <f>557.58 - (557.58 * $E$1)</f>
        <v>557.58000000000004</v>
      </c>
      <c r="L4765" s="16">
        <f>457.03 - (457.03 * $E$1)</f>
        <v>457.03</v>
      </c>
      <c r="M4765" s="1">
        <v>557.58000000000004</v>
      </c>
      <c r="N4765" s="1">
        <v>457.03</v>
      </c>
      <c r="O4765" s="1">
        <v>473.94</v>
      </c>
      <c r="P4765" s="1">
        <v>388.48</v>
      </c>
      <c r="Q4765">
        <v>0.26</v>
      </c>
      <c r="R4765">
        <v>1.307E-3</v>
      </c>
    </row>
    <row r="4766" spans="1:18" ht="13.8" outlineLevel="2" x14ac:dyDescent="0.25">
      <c r="A4766">
        <v>55119</v>
      </c>
      <c r="B4766" t="s">
        <v>6637</v>
      </c>
      <c r="C4766" t="s">
        <v>6882</v>
      </c>
      <c r="D4766" s="14" t="s">
        <v>6871</v>
      </c>
      <c r="E4766" s="12" t="s">
        <v>28</v>
      </c>
      <c r="F4766" s="13" t="s">
        <v>29</v>
      </c>
      <c r="G4766">
        <v>1</v>
      </c>
      <c r="H4766" t="s">
        <v>420</v>
      </c>
      <c r="I4766">
        <v>1</v>
      </c>
      <c r="J4766" s="15"/>
      <c r="K4766" s="16">
        <f>198.49 - (198.49 * $E$1)</f>
        <v>198.49</v>
      </c>
      <c r="L4766" s="16">
        <f>162.7 - (162.7 * $E$1)</f>
        <v>162.69999999999999</v>
      </c>
      <c r="M4766" s="1">
        <v>198.49</v>
      </c>
      <c r="N4766" s="1">
        <v>162.69999999999999</v>
      </c>
      <c r="O4766" s="1">
        <v>168.72</v>
      </c>
      <c r="P4766" s="1">
        <v>138.30000000000001</v>
      </c>
      <c r="Q4766">
        <v>0.09</v>
      </c>
      <c r="R4766">
        <v>4.4000000000000002E-4</v>
      </c>
    </row>
    <row r="4767" spans="1:18" ht="13.8" outlineLevel="2" x14ac:dyDescent="0.25">
      <c r="A4767">
        <v>61333</v>
      </c>
      <c r="B4767" t="s">
        <v>6637</v>
      </c>
      <c r="C4767" t="s">
        <v>6883</v>
      </c>
      <c r="D4767" s="14" t="s">
        <v>6871</v>
      </c>
      <c r="E4767" s="12" t="s">
        <v>28</v>
      </c>
      <c r="F4767" s="13" t="s">
        <v>29</v>
      </c>
      <c r="G4767">
        <v>1</v>
      </c>
      <c r="H4767" t="s">
        <v>420</v>
      </c>
      <c r="I4767">
        <v>1</v>
      </c>
      <c r="J4767" s="15"/>
      <c r="K4767" s="16">
        <f>406.19 - (406.19 * $E$1)</f>
        <v>406.19</v>
      </c>
      <c r="L4767" s="16">
        <f>332.94 - (332.94 * $E$1)</f>
        <v>332.94</v>
      </c>
      <c r="M4767" s="1">
        <v>406.19</v>
      </c>
      <c r="N4767" s="1">
        <v>332.94</v>
      </c>
      <c r="O4767" s="1">
        <v>345.26</v>
      </c>
      <c r="P4767" s="1">
        <v>283</v>
      </c>
      <c r="Q4767">
        <v>0.2</v>
      </c>
      <c r="R4767">
        <v>9.8999999999999999E-4</v>
      </c>
    </row>
    <row r="4768" spans="1:18" ht="13.8" outlineLevel="2" x14ac:dyDescent="0.25">
      <c r="A4768">
        <v>90331</v>
      </c>
      <c r="B4768" t="s">
        <v>6637</v>
      </c>
      <c r="C4768" t="s">
        <v>6884</v>
      </c>
      <c r="D4768" s="14" t="s">
        <v>6871</v>
      </c>
      <c r="E4768" s="12" t="s">
        <v>28</v>
      </c>
      <c r="F4768" s="13" t="s">
        <v>29</v>
      </c>
      <c r="G4768">
        <v>1</v>
      </c>
      <c r="H4768" t="s">
        <v>420</v>
      </c>
      <c r="I4768">
        <v>1</v>
      </c>
      <c r="J4768" s="15"/>
      <c r="K4768" s="16">
        <f>557.58 - (557.58 * $E$1)</f>
        <v>557.58000000000004</v>
      </c>
      <c r="L4768" s="16">
        <f>457.03 - (457.03 * $E$1)</f>
        <v>457.03</v>
      </c>
      <c r="M4768" s="1">
        <v>557.58000000000004</v>
      </c>
      <c r="N4768" s="1">
        <v>457.03</v>
      </c>
      <c r="O4768" s="1">
        <v>473.94</v>
      </c>
      <c r="P4768" s="1">
        <v>388.48</v>
      </c>
      <c r="Q4768">
        <v>0.26</v>
      </c>
      <c r="R4768">
        <v>1.307E-3</v>
      </c>
    </row>
    <row r="4769" spans="1:18" ht="13.8" outlineLevel="2" x14ac:dyDescent="0.25">
      <c r="A4769">
        <v>75478</v>
      </c>
      <c r="B4769" t="s">
        <v>6637</v>
      </c>
      <c r="C4769" t="s">
        <v>6885</v>
      </c>
      <c r="D4769" s="14" t="s">
        <v>6886</v>
      </c>
      <c r="E4769" s="12" t="s">
        <v>28</v>
      </c>
      <c r="F4769" s="13" t="s">
        <v>29</v>
      </c>
      <c r="G4769">
        <v>1</v>
      </c>
      <c r="H4769" t="s">
        <v>420</v>
      </c>
      <c r="I4769">
        <v>1</v>
      </c>
      <c r="J4769" s="15"/>
      <c r="K4769" s="16">
        <f>62.56 - (62.56 * $E$1)</f>
        <v>62.56</v>
      </c>
      <c r="L4769" s="16">
        <f>51.28 - (51.28 * $E$1)</f>
        <v>51.28</v>
      </c>
      <c r="M4769" s="1">
        <v>62.56</v>
      </c>
      <c r="N4769" s="1">
        <v>51.28</v>
      </c>
      <c r="O4769" s="1">
        <v>53.18</v>
      </c>
      <c r="P4769" s="1">
        <v>43.59</v>
      </c>
      <c r="Q4769">
        <v>0.03</v>
      </c>
      <c r="R4769">
        <v>3.2000000000000003E-4</v>
      </c>
    </row>
    <row r="4770" spans="1:18" ht="13.8" outlineLevel="2" x14ac:dyDescent="0.25">
      <c r="A4770">
        <v>75479</v>
      </c>
      <c r="B4770" t="s">
        <v>6637</v>
      </c>
      <c r="C4770" t="s">
        <v>6887</v>
      </c>
      <c r="D4770" s="14" t="s">
        <v>6886</v>
      </c>
      <c r="E4770" s="12" t="s">
        <v>28</v>
      </c>
      <c r="F4770" s="13" t="s">
        <v>29</v>
      </c>
      <c r="G4770">
        <v>1</v>
      </c>
      <c r="H4770" t="s">
        <v>420</v>
      </c>
      <c r="I4770">
        <v>1</v>
      </c>
      <c r="J4770" s="15"/>
      <c r="K4770" s="16">
        <f>142.41 - (142.41 * $E$1)</f>
        <v>142.41</v>
      </c>
      <c r="L4770" s="16">
        <f>116.73 - (116.73 * $E$1)</f>
        <v>116.73</v>
      </c>
      <c r="M4770" s="1">
        <v>142.41</v>
      </c>
      <c r="N4770" s="1">
        <v>116.73</v>
      </c>
      <c r="O4770" s="1">
        <v>121.05</v>
      </c>
      <c r="P4770" s="1">
        <v>99.22</v>
      </c>
      <c r="Q4770">
        <v>6.9000000000000006E-2</v>
      </c>
      <c r="R4770">
        <v>4.6000000000000001E-4</v>
      </c>
    </row>
    <row r="4771" spans="1:18" ht="13.8" outlineLevel="2" x14ac:dyDescent="0.25">
      <c r="A4771">
        <v>75480</v>
      </c>
      <c r="B4771" t="s">
        <v>6637</v>
      </c>
      <c r="C4771" t="s">
        <v>6888</v>
      </c>
      <c r="D4771" s="14" t="s">
        <v>6886</v>
      </c>
      <c r="E4771" s="12" t="s">
        <v>28</v>
      </c>
      <c r="F4771" s="13" t="s">
        <v>29</v>
      </c>
      <c r="G4771">
        <v>1</v>
      </c>
      <c r="H4771" t="s">
        <v>420</v>
      </c>
      <c r="I4771">
        <v>1</v>
      </c>
      <c r="J4771" s="15"/>
      <c r="K4771" s="16">
        <f>266.67 - (266.67 * $E$1)</f>
        <v>266.67</v>
      </c>
      <c r="L4771" s="16">
        <f>218.58 - (218.58 * $E$1)</f>
        <v>218.58</v>
      </c>
      <c r="M4771" s="1">
        <v>266.67</v>
      </c>
      <c r="N4771" s="1">
        <v>218.58</v>
      </c>
      <c r="O4771" s="1">
        <v>226.67</v>
      </c>
      <c r="P4771" s="1">
        <v>185.79</v>
      </c>
      <c r="Q4771">
        <v>0.12</v>
      </c>
      <c r="R4771">
        <v>6.96E-4</v>
      </c>
    </row>
    <row r="4772" spans="1:18" ht="13.8" outlineLevel="2" x14ac:dyDescent="0.25">
      <c r="A4772">
        <v>75481</v>
      </c>
      <c r="B4772" t="s">
        <v>6637</v>
      </c>
      <c r="C4772" t="s">
        <v>6889</v>
      </c>
      <c r="D4772" s="14" t="s">
        <v>6886</v>
      </c>
      <c r="E4772" s="12" t="s">
        <v>28</v>
      </c>
      <c r="F4772" s="13" t="s">
        <v>29</v>
      </c>
      <c r="G4772">
        <v>1</v>
      </c>
      <c r="H4772" t="s">
        <v>420</v>
      </c>
      <c r="I4772">
        <v>1</v>
      </c>
      <c r="J4772" s="15"/>
      <c r="K4772" s="16">
        <f>412.67 - (412.67 * $E$1)</f>
        <v>412.67</v>
      </c>
      <c r="L4772" s="16">
        <f>338.25 - (338.25 * $E$1)</f>
        <v>338.25</v>
      </c>
      <c r="M4772" s="1">
        <v>412.67</v>
      </c>
      <c r="N4772" s="1">
        <v>338.25</v>
      </c>
      <c r="O4772" s="1">
        <v>350.77</v>
      </c>
      <c r="P4772" s="1">
        <v>287.51</v>
      </c>
      <c r="Q4772">
        <v>0.17499999999999999</v>
      </c>
      <c r="R4772">
        <v>9.8400000000000007E-4</v>
      </c>
    </row>
    <row r="4773" spans="1:18" ht="13.8" outlineLevel="2" x14ac:dyDescent="0.25">
      <c r="A4773">
        <v>75482</v>
      </c>
      <c r="B4773" t="s">
        <v>6637</v>
      </c>
      <c r="C4773" t="s">
        <v>6890</v>
      </c>
      <c r="D4773" s="14" t="s">
        <v>6886</v>
      </c>
      <c r="E4773" s="12" t="s">
        <v>28</v>
      </c>
      <c r="F4773" s="13" t="s">
        <v>29</v>
      </c>
      <c r="G4773">
        <v>1</v>
      </c>
      <c r="H4773" t="s">
        <v>420</v>
      </c>
      <c r="I4773">
        <v>1</v>
      </c>
      <c r="J4773" s="15"/>
      <c r="K4773" s="16">
        <f>567.58 - (567.58 * $E$1)</f>
        <v>567.58000000000004</v>
      </c>
      <c r="L4773" s="16">
        <f>465.23 - (465.23 * $E$1)</f>
        <v>465.23</v>
      </c>
      <c r="M4773" s="1">
        <v>567.58000000000004</v>
      </c>
      <c r="N4773" s="1">
        <v>465.23</v>
      </c>
      <c r="O4773" s="1">
        <v>482.44</v>
      </c>
      <c r="P4773" s="1">
        <v>395.45</v>
      </c>
      <c r="Q4773">
        <v>0.26</v>
      </c>
      <c r="R4773">
        <v>1.6800000000000001E-3</v>
      </c>
    </row>
    <row r="4774" spans="1:18" ht="13.8" outlineLevel="2" x14ac:dyDescent="0.25">
      <c r="A4774">
        <v>87102</v>
      </c>
      <c r="B4774" t="s">
        <v>6637</v>
      </c>
      <c r="C4774" t="s">
        <v>6891</v>
      </c>
      <c r="D4774" s="14" t="s">
        <v>6892</v>
      </c>
      <c r="E4774" s="12" t="s">
        <v>28</v>
      </c>
      <c r="F4774" s="13" t="s">
        <v>29</v>
      </c>
      <c r="G4774">
        <v>1</v>
      </c>
      <c r="H4774" t="s">
        <v>420</v>
      </c>
      <c r="I4774">
        <v>1</v>
      </c>
      <c r="J4774" s="15"/>
      <c r="K4774" s="16">
        <f>189.99 - (189.99 * $E$1)</f>
        <v>189.99</v>
      </c>
      <c r="L4774" s="16">
        <f>155.73 - (155.73 * $E$1)</f>
        <v>155.72999999999999</v>
      </c>
      <c r="M4774" s="1">
        <v>189.99</v>
      </c>
      <c r="N4774" s="1">
        <v>155.72999999999999</v>
      </c>
      <c r="O4774" s="1">
        <v>161.49</v>
      </c>
      <c r="P4774" s="1">
        <v>132.37</v>
      </c>
      <c r="Q4774">
        <v>3.2000000000000001E-2</v>
      </c>
      <c r="R4774">
        <v>3.59E-4</v>
      </c>
    </row>
    <row r="4775" spans="1:18" ht="13.8" outlineLevel="2" x14ac:dyDescent="0.25">
      <c r="A4775">
        <v>82021</v>
      </c>
      <c r="B4775" t="s">
        <v>6637</v>
      </c>
      <c r="C4775" t="s">
        <v>6893</v>
      </c>
      <c r="D4775" s="14" t="s">
        <v>6892</v>
      </c>
      <c r="E4775" s="12" t="s">
        <v>28</v>
      </c>
      <c r="F4775" s="13" t="s">
        <v>29</v>
      </c>
      <c r="G4775">
        <v>1</v>
      </c>
      <c r="H4775" t="s">
        <v>420</v>
      </c>
      <c r="I4775">
        <v>1</v>
      </c>
      <c r="J4775" s="15"/>
      <c r="K4775" s="16">
        <f>418.94 - (418.94 * $E$1)</f>
        <v>418.94</v>
      </c>
      <c r="L4775" s="16">
        <f>343.39 - (343.39 * $E$1)</f>
        <v>343.39</v>
      </c>
      <c r="M4775" s="1">
        <v>418.94</v>
      </c>
      <c r="N4775" s="1">
        <v>343.39</v>
      </c>
      <c r="O4775" s="1">
        <v>356.1</v>
      </c>
      <c r="P4775" s="1">
        <v>291.88</v>
      </c>
      <c r="Q4775">
        <v>0.1</v>
      </c>
      <c r="R4775">
        <v>3.6000000000000002E-4</v>
      </c>
    </row>
    <row r="4776" spans="1:18" ht="13.8" outlineLevel="2" x14ac:dyDescent="0.25">
      <c r="A4776">
        <v>87103</v>
      </c>
      <c r="B4776" t="s">
        <v>6637</v>
      </c>
      <c r="C4776" t="s">
        <v>6894</v>
      </c>
      <c r="D4776" s="14" t="s">
        <v>6892</v>
      </c>
      <c r="E4776" s="12" t="s">
        <v>28</v>
      </c>
      <c r="F4776" s="13" t="s">
        <v>29</v>
      </c>
      <c r="G4776">
        <v>1</v>
      </c>
      <c r="H4776" t="s">
        <v>420</v>
      </c>
      <c r="I4776">
        <v>1</v>
      </c>
      <c r="J4776" s="15"/>
      <c r="K4776" s="16">
        <f>604.18 - (604.18 * $E$1)</f>
        <v>604.17999999999995</v>
      </c>
      <c r="L4776" s="16">
        <f>495.23 - (495.23 * $E$1)</f>
        <v>495.23</v>
      </c>
      <c r="M4776" s="1">
        <v>604.17999999999995</v>
      </c>
      <c r="N4776" s="1">
        <v>495.23</v>
      </c>
      <c r="O4776" s="1">
        <v>513.54999999999995</v>
      </c>
      <c r="P4776" s="1">
        <v>420.95</v>
      </c>
      <c r="Q4776">
        <v>9.8000000000000004E-2</v>
      </c>
      <c r="R4776">
        <v>7.1299999999999998E-4</v>
      </c>
    </row>
    <row r="4777" spans="1:18" ht="13.8" outlineLevel="2" x14ac:dyDescent="0.25">
      <c r="A4777">
        <v>82022</v>
      </c>
      <c r="B4777" t="s">
        <v>6637</v>
      </c>
      <c r="C4777" t="s">
        <v>6895</v>
      </c>
      <c r="D4777" s="14" t="s">
        <v>6892</v>
      </c>
      <c r="E4777" s="12" t="s">
        <v>28</v>
      </c>
      <c r="F4777" s="13" t="s">
        <v>29</v>
      </c>
      <c r="G4777">
        <v>1</v>
      </c>
      <c r="H4777" t="s">
        <v>420</v>
      </c>
      <c r="I4777">
        <v>1</v>
      </c>
      <c r="J4777" s="15"/>
      <c r="K4777" s="16">
        <f>783.55 - (783.55 * $E$1)</f>
        <v>783.55</v>
      </c>
      <c r="L4777" s="16">
        <f>642.25 - (642.25 * $E$1)</f>
        <v>642.25</v>
      </c>
      <c r="M4777" s="1">
        <v>783.55</v>
      </c>
      <c r="N4777" s="1">
        <v>642.25</v>
      </c>
      <c r="O4777" s="1">
        <v>666.01</v>
      </c>
      <c r="P4777" s="1">
        <v>545.91</v>
      </c>
      <c r="Q4777">
        <v>0.1</v>
      </c>
      <c r="R4777">
        <v>5.2800000000000004E-4</v>
      </c>
    </row>
    <row r="4778" spans="1:18" ht="13.8" outlineLevel="2" x14ac:dyDescent="0.25">
      <c r="A4778">
        <v>82023</v>
      </c>
      <c r="B4778" t="s">
        <v>6637</v>
      </c>
      <c r="C4778" t="s">
        <v>6896</v>
      </c>
      <c r="D4778" s="14" t="s">
        <v>6892</v>
      </c>
      <c r="E4778" s="12" t="s">
        <v>28</v>
      </c>
      <c r="F4778" s="13" t="s">
        <v>29</v>
      </c>
      <c r="G4778">
        <v>1</v>
      </c>
      <c r="H4778" t="s">
        <v>420</v>
      </c>
      <c r="I4778">
        <v>1</v>
      </c>
      <c r="J4778" s="15"/>
      <c r="K4778" s="16">
        <f>1250.04 - (1250.04 * $E$1)</f>
        <v>1250.04</v>
      </c>
      <c r="L4778" s="16">
        <f>1024.62 - (1024.62 * $E$1)</f>
        <v>1024.6199999999999</v>
      </c>
      <c r="M4778" s="1">
        <v>1250.04</v>
      </c>
      <c r="N4778" s="1">
        <v>1024.6199999999999</v>
      </c>
      <c r="O4778" s="1">
        <v>1062.53</v>
      </c>
      <c r="P4778" s="1">
        <v>870.93</v>
      </c>
      <c r="Q4778">
        <v>0.2</v>
      </c>
      <c r="R4778">
        <v>7.2000000000000005E-4</v>
      </c>
    </row>
    <row r="4779" spans="1:18" ht="13.8" outlineLevel="2" x14ac:dyDescent="0.25">
      <c r="A4779">
        <v>58491</v>
      </c>
      <c r="B4779" t="s">
        <v>6637</v>
      </c>
      <c r="C4779" t="s">
        <v>6897</v>
      </c>
      <c r="D4779" s="14" t="s">
        <v>6898</v>
      </c>
      <c r="E4779" s="12" t="s">
        <v>28</v>
      </c>
      <c r="F4779" s="13" t="s">
        <v>29</v>
      </c>
      <c r="G4779">
        <v>1</v>
      </c>
      <c r="H4779" t="s">
        <v>420</v>
      </c>
      <c r="I4779">
        <v>1</v>
      </c>
      <c r="J4779" s="15"/>
      <c r="K4779" s="16">
        <f>357.09 - (357.09 * $E$1)</f>
        <v>357.09</v>
      </c>
      <c r="L4779" s="16">
        <f>292.7 - (292.7 * $E$1)</f>
        <v>292.7</v>
      </c>
      <c r="M4779" s="1">
        <v>357.09</v>
      </c>
      <c r="N4779" s="1">
        <v>292.7</v>
      </c>
      <c r="O4779" s="1">
        <v>303.52999999999997</v>
      </c>
      <c r="P4779" s="1">
        <v>248.8</v>
      </c>
      <c r="Q4779">
        <v>4.3999999999999997E-2</v>
      </c>
      <c r="R4779">
        <v>2.8600000000000001E-4</v>
      </c>
    </row>
    <row r="4780" spans="1:18" ht="13.8" outlineLevel="2" x14ac:dyDescent="0.25">
      <c r="A4780">
        <v>58493</v>
      </c>
      <c r="B4780" t="s">
        <v>6637</v>
      </c>
      <c r="C4780" t="s">
        <v>6899</v>
      </c>
      <c r="D4780" s="14" t="s">
        <v>6898</v>
      </c>
      <c r="E4780" s="12" t="s">
        <v>28</v>
      </c>
      <c r="F4780" s="13" t="s">
        <v>29</v>
      </c>
      <c r="G4780">
        <v>1</v>
      </c>
      <c r="H4780" t="s">
        <v>420</v>
      </c>
      <c r="I4780">
        <v>1</v>
      </c>
      <c r="J4780" s="15"/>
      <c r="K4780" s="16">
        <f>510.05 - (510.05 * $E$1)</f>
        <v>510.05</v>
      </c>
      <c r="L4780" s="16">
        <f>418.07 - (418.07 * $E$1)</f>
        <v>418.07</v>
      </c>
      <c r="M4780" s="1">
        <v>510.05</v>
      </c>
      <c r="N4780" s="1">
        <v>418.07</v>
      </c>
      <c r="O4780" s="1">
        <v>433.54</v>
      </c>
      <c r="P4780" s="1">
        <v>355.36</v>
      </c>
      <c r="Q4780">
        <v>0.1</v>
      </c>
      <c r="R4780">
        <v>4.84E-4</v>
      </c>
    </row>
    <row r="4781" spans="1:18" ht="13.8" outlineLevel="2" x14ac:dyDescent="0.25">
      <c r="A4781">
        <v>90332</v>
      </c>
      <c r="B4781" t="s">
        <v>6637</v>
      </c>
      <c r="C4781" t="s">
        <v>6900</v>
      </c>
      <c r="D4781" s="14" t="s">
        <v>6898</v>
      </c>
      <c r="E4781" s="12" t="s">
        <v>28</v>
      </c>
      <c r="F4781" s="13" t="s">
        <v>29</v>
      </c>
      <c r="G4781">
        <v>1</v>
      </c>
      <c r="H4781" t="s">
        <v>420</v>
      </c>
      <c r="I4781">
        <v>1</v>
      </c>
      <c r="J4781" s="15"/>
      <c r="K4781" s="16">
        <f>748.95 - (748.95 * $E$1)</f>
        <v>748.95</v>
      </c>
      <c r="L4781" s="16">
        <f>613.89 - (613.89 * $E$1)</f>
        <v>613.89</v>
      </c>
      <c r="M4781" s="1">
        <v>748.95</v>
      </c>
      <c r="N4781" s="1">
        <v>613.89</v>
      </c>
      <c r="O4781" s="1">
        <v>636.6</v>
      </c>
      <c r="P4781" s="1">
        <v>521.80999999999995</v>
      </c>
      <c r="Q4781">
        <v>0.19</v>
      </c>
      <c r="R4781">
        <v>5.4000000000000001E-4</v>
      </c>
    </row>
    <row r="4782" spans="1:18" ht="13.8" outlineLevel="2" x14ac:dyDescent="0.25">
      <c r="A4782">
        <v>58494</v>
      </c>
      <c r="B4782" t="s">
        <v>6637</v>
      </c>
      <c r="C4782" t="s">
        <v>6901</v>
      </c>
      <c r="D4782" s="14" t="s">
        <v>6898</v>
      </c>
      <c r="E4782" s="12" t="s">
        <v>28</v>
      </c>
      <c r="F4782" s="13" t="s">
        <v>29</v>
      </c>
      <c r="G4782">
        <v>1</v>
      </c>
      <c r="H4782" t="s">
        <v>420</v>
      </c>
      <c r="I4782">
        <v>1</v>
      </c>
      <c r="J4782" s="15"/>
      <c r="K4782" s="16">
        <f>836.22 - (836.22 * $E$1)</f>
        <v>836.22</v>
      </c>
      <c r="L4782" s="16">
        <f>685.43 - (685.43 * $E$1)</f>
        <v>685.43</v>
      </c>
      <c r="M4782" s="1">
        <v>836.22</v>
      </c>
      <c r="N4782" s="1">
        <v>685.43</v>
      </c>
      <c r="O4782" s="1">
        <v>710.79</v>
      </c>
      <c r="P4782" s="1">
        <v>582.62</v>
      </c>
      <c r="Q4782">
        <v>0.22</v>
      </c>
      <c r="R4782">
        <v>6.8000000000000005E-4</v>
      </c>
    </row>
    <row r="4783" spans="1:18" ht="13.8" outlineLevel="2" x14ac:dyDescent="0.25">
      <c r="A4783">
        <v>74108</v>
      </c>
      <c r="B4783" t="s">
        <v>6637</v>
      </c>
      <c r="C4783" t="s">
        <v>6902</v>
      </c>
      <c r="D4783" s="14" t="s">
        <v>6898</v>
      </c>
      <c r="E4783" s="12" t="s">
        <v>28</v>
      </c>
      <c r="F4783" s="13" t="s">
        <v>29</v>
      </c>
      <c r="G4783">
        <v>1</v>
      </c>
      <c r="H4783" t="s">
        <v>420</v>
      </c>
      <c r="I4783">
        <v>1</v>
      </c>
      <c r="J4783" s="15"/>
      <c r="K4783" s="16">
        <f>657.84 - (657.84 * $E$1)</f>
        <v>657.84</v>
      </c>
      <c r="L4783" s="16">
        <f>539.21 - (539.21 * $E$1)</f>
        <v>539.21</v>
      </c>
      <c r="M4783" s="1">
        <v>657.84</v>
      </c>
      <c r="N4783" s="1">
        <v>539.21</v>
      </c>
      <c r="O4783" s="1">
        <v>559.16</v>
      </c>
      <c r="P4783" s="1">
        <v>458.33</v>
      </c>
      <c r="Q4783">
        <v>0.28999999999999998</v>
      </c>
      <c r="R4783">
        <v>1.0499999999999999E-3</v>
      </c>
    </row>
    <row r="4784" spans="1:18" ht="13.8" outlineLevel="2" x14ac:dyDescent="0.25">
      <c r="A4784">
        <v>74109</v>
      </c>
      <c r="B4784" t="s">
        <v>6637</v>
      </c>
      <c r="C4784" t="s">
        <v>6903</v>
      </c>
      <c r="D4784" s="14" t="s">
        <v>6898</v>
      </c>
      <c r="E4784" s="12" t="s">
        <v>28</v>
      </c>
      <c r="F4784" s="13" t="s">
        <v>29</v>
      </c>
      <c r="G4784">
        <v>1</v>
      </c>
      <c r="H4784" t="s">
        <v>420</v>
      </c>
      <c r="I4784">
        <v>1</v>
      </c>
      <c r="J4784" s="15"/>
      <c r="K4784" s="16">
        <f>1128.59 - (1128.59 * $E$1)</f>
        <v>1128.5899999999999</v>
      </c>
      <c r="L4784" s="16">
        <f>925.07 - (925.07 * $E$1)</f>
        <v>925.07</v>
      </c>
      <c r="M4784" s="1">
        <v>1128.5899999999999</v>
      </c>
      <c r="N4784" s="1">
        <v>925.07</v>
      </c>
      <c r="O4784" s="1">
        <v>959.3</v>
      </c>
      <c r="P4784" s="1">
        <v>786.31</v>
      </c>
      <c r="Q4784">
        <v>0.45</v>
      </c>
      <c r="R4784">
        <v>1.47E-3</v>
      </c>
    </row>
    <row r="4785" spans="1:18" ht="13.8" outlineLevel="2" x14ac:dyDescent="0.25">
      <c r="A4785">
        <v>74110</v>
      </c>
      <c r="B4785" t="s">
        <v>6637</v>
      </c>
      <c r="C4785" t="s">
        <v>6904</v>
      </c>
      <c r="D4785" s="14" t="s">
        <v>6898</v>
      </c>
      <c r="E4785" s="12" t="s">
        <v>28</v>
      </c>
      <c r="F4785" s="13" t="s">
        <v>29</v>
      </c>
      <c r="G4785">
        <v>1</v>
      </c>
      <c r="H4785" t="s">
        <v>420</v>
      </c>
      <c r="I4785">
        <v>1</v>
      </c>
      <c r="J4785" s="15"/>
      <c r="K4785" s="16">
        <f>1514.02 - (1514.02 * $E$1)</f>
        <v>1514.02</v>
      </c>
      <c r="L4785" s="16">
        <f>1241 - (1241 * $E$1)</f>
        <v>1241</v>
      </c>
      <c r="M4785" s="1">
        <v>1514.02</v>
      </c>
      <c r="N4785" s="1">
        <v>1241</v>
      </c>
      <c r="O4785" s="1">
        <v>1286.92</v>
      </c>
      <c r="P4785" s="1">
        <v>1054.8499999999999</v>
      </c>
      <c r="Q4785">
        <v>0.56000000000000005</v>
      </c>
      <c r="R4785">
        <v>1.98E-3</v>
      </c>
    </row>
    <row r="4786" spans="1:18" ht="13.8" outlineLevel="2" x14ac:dyDescent="0.25">
      <c r="A4786">
        <v>74111</v>
      </c>
      <c r="B4786" t="s">
        <v>6637</v>
      </c>
      <c r="C4786" t="s">
        <v>6905</v>
      </c>
      <c r="D4786" s="14" t="s">
        <v>6898</v>
      </c>
      <c r="E4786" s="12" t="s">
        <v>28</v>
      </c>
      <c r="F4786" s="13" t="s">
        <v>29</v>
      </c>
      <c r="G4786">
        <v>1</v>
      </c>
      <c r="H4786" t="s">
        <v>420</v>
      </c>
      <c r="I4786">
        <v>1</v>
      </c>
      <c r="J4786" s="15"/>
      <c r="K4786" s="16">
        <f>3490.98 - (3490.98 * $E$1)</f>
        <v>3490.98</v>
      </c>
      <c r="L4786" s="16">
        <f>2861.46 - (2861.46 * $E$1)</f>
        <v>2861.46</v>
      </c>
      <c r="M4786" s="1">
        <v>3490.98</v>
      </c>
      <c r="N4786" s="1">
        <v>2861.46</v>
      </c>
      <c r="O4786" s="1">
        <v>2967.33</v>
      </c>
      <c r="P4786" s="1">
        <v>2432.2399999999998</v>
      </c>
      <c r="Q4786">
        <v>1.4</v>
      </c>
      <c r="R4786">
        <v>5.5440000000000003E-3</v>
      </c>
    </row>
    <row r="4787" spans="1:18" ht="13.8" outlineLevel="2" x14ac:dyDescent="0.25">
      <c r="A4787">
        <v>61335</v>
      </c>
      <c r="B4787" t="s">
        <v>6637</v>
      </c>
      <c r="C4787" t="s">
        <v>6906</v>
      </c>
      <c r="D4787" s="14" t="s">
        <v>6907</v>
      </c>
      <c r="E4787" s="12" t="s">
        <v>28</v>
      </c>
      <c r="F4787" s="13" t="s">
        <v>29</v>
      </c>
      <c r="G4787">
        <v>1</v>
      </c>
      <c r="H4787" t="s">
        <v>420</v>
      </c>
      <c r="I4787">
        <v>1</v>
      </c>
      <c r="J4787" s="15"/>
      <c r="K4787" s="16">
        <f>357.09 - (357.09 * $E$1)</f>
        <v>357.09</v>
      </c>
      <c r="L4787" s="16">
        <f>292.7 - (292.7 * $E$1)</f>
        <v>292.7</v>
      </c>
      <c r="M4787" s="1">
        <v>357.09</v>
      </c>
      <c r="N4787" s="1">
        <v>292.7</v>
      </c>
      <c r="O4787" s="1">
        <v>303.52999999999997</v>
      </c>
      <c r="P4787" s="1">
        <v>248.8</v>
      </c>
      <c r="Q4787">
        <v>0.04</v>
      </c>
      <c r="R4787">
        <v>1.5799999999999999E-4</v>
      </c>
    </row>
    <row r="4788" spans="1:18" ht="13.8" outlineLevel="2" x14ac:dyDescent="0.25">
      <c r="A4788">
        <v>61337</v>
      </c>
      <c r="B4788" t="s">
        <v>6637</v>
      </c>
      <c r="C4788" t="s">
        <v>6908</v>
      </c>
      <c r="D4788" s="14" t="s">
        <v>6907</v>
      </c>
      <c r="E4788" s="12" t="s">
        <v>28</v>
      </c>
      <c r="F4788" s="13" t="s">
        <v>29</v>
      </c>
      <c r="G4788">
        <v>1</v>
      </c>
      <c r="H4788" t="s">
        <v>420</v>
      </c>
      <c r="I4788">
        <v>1</v>
      </c>
      <c r="J4788" s="15"/>
      <c r="K4788" s="16">
        <f>510.05 - (510.05 * $E$1)</f>
        <v>510.05</v>
      </c>
      <c r="L4788" s="16">
        <f>418.07 - (418.07 * $E$1)</f>
        <v>418.07</v>
      </c>
      <c r="M4788" s="1">
        <v>510.05</v>
      </c>
      <c r="N4788" s="1">
        <v>418.07</v>
      </c>
      <c r="O4788" s="1">
        <v>433.54</v>
      </c>
      <c r="P4788" s="1">
        <v>355.36</v>
      </c>
      <c r="Q4788">
        <v>0.1</v>
      </c>
      <c r="R4788">
        <v>7.7999999999999999E-4</v>
      </c>
    </row>
    <row r="4789" spans="1:18" ht="13.8" outlineLevel="2" x14ac:dyDescent="0.25">
      <c r="A4789">
        <v>90333</v>
      </c>
      <c r="B4789" t="s">
        <v>6637</v>
      </c>
      <c r="C4789" t="s">
        <v>6909</v>
      </c>
      <c r="D4789" s="14" t="s">
        <v>6907</v>
      </c>
      <c r="E4789" s="12" t="s">
        <v>28</v>
      </c>
      <c r="F4789" s="13" t="s">
        <v>29</v>
      </c>
      <c r="G4789">
        <v>1</v>
      </c>
      <c r="H4789" t="s">
        <v>420</v>
      </c>
      <c r="I4789">
        <v>1</v>
      </c>
      <c r="J4789" s="15"/>
      <c r="K4789" s="16">
        <f>748.95 - (748.95 * $E$1)</f>
        <v>748.95</v>
      </c>
      <c r="L4789" s="16">
        <f>613.89 - (613.89 * $E$1)</f>
        <v>613.89</v>
      </c>
      <c r="M4789" s="1">
        <v>748.95</v>
      </c>
      <c r="N4789" s="1">
        <v>613.89</v>
      </c>
      <c r="O4789" s="1">
        <v>636.6</v>
      </c>
      <c r="P4789" s="1">
        <v>521.80999999999995</v>
      </c>
      <c r="Q4789">
        <v>0.19</v>
      </c>
      <c r="R4789">
        <v>5.4000000000000001E-4</v>
      </c>
    </row>
    <row r="4790" spans="1:18" ht="13.8" outlineLevel="2" x14ac:dyDescent="0.25">
      <c r="A4790">
        <v>61338</v>
      </c>
      <c r="B4790" t="s">
        <v>6637</v>
      </c>
      <c r="C4790" t="s">
        <v>6910</v>
      </c>
      <c r="D4790" s="14" t="s">
        <v>6907</v>
      </c>
      <c r="E4790" s="12" t="s">
        <v>28</v>
      </c>
      <c r="F4790" s="13" t="s">
        <v>29</v>
      </c>
      <c r="G4790">
        <v>1</v>
      </c>
      <c r="H4790" t="s">
        <v>420</v>
      </c>
      <c r="I4790">
        <v>1</v>
      </c>
      <c r="J4790" s="15"/>
      <c r="K4790" s="16">
        <f>836.22 - (836.22 * $E$1)</f>
        <v>836.22</v>
      </c>
      <c r="L4790" s="16">
        <f>685.43 - (685.43 * $E$1)</f>
        <v>685.43</v>
      </c>
      <c r="M4790" s="1">
        <v>836.22</v>
      </c>
      <c r="N4790" s="1">
        <v>685.43</v>
      </c>
      <c r="O4790" s="1">
        <v>710.79</v>
      </c>
      <c r="P4790" s="1">
        <v>582.62</v>
      </c>
      <c r="Q4790">
        <v>0.22</v>
      </c>
      <c r="R4790">
        <v>6.8000000000000005E-4</v>
      </c>
    </row>
    <row r="4791" spans="1:18" ht="13.8" outlineLevel="2" x14ac:dyDescent="0.25">
      <c r="A4791">
        <v>74113</v>
      </c>
      <c r="B4791" t="s">
        <v>6637</v>
      </c>
      <c r="C4791" t="s">
        <v>6911</v>
      </c>
      <c r="D4791" s="14" t="s">
        <v>6907</v>
      </c>
      <c r="E4791" s="12" t="s">
        <v>28</v>
      </c>
      <c r="F4791" s="13" t="s">
        <v>29</v>
      </c>
      <c r="G4791">
        <v>1</v>
      </c>
      <c r="H4791" t="s">
        <v>420</v>
      </c>
      <c r="I4791">
        <v>1</v>
      </c>
      <c r="J4791" s="15"/>
      <c r="K4791" s="16">
        <f>1128.59 - (1128.59 * $E$1)</f>
        <v>1128.5899999999999</v>
      </c>
      <c r="L4791" s="16">
        <f>925.07 - (925.07 * $E$1)</f>
        <v>925.07</v>
      </c>
      <c r="M4791" s="1">
        <v>1128.5899999999999</v>
      </c>
      <c r="N4791" s="1">
        <v>925.07</v>
      </c>
      <c r="O4791" s="1">
        <v>959.3</v>
      </c>
      <c r="P4791" s="1">
        <v>786.31</v>
      </c>
      <c r="Q4791">
        <v>0.45</v>
      </c>
      <c r="R4791">
        <v>1.47E-3</v>
      </c>
    </row>
    <row r="4792" spans="1:18" ht="13.8" outlineLevel="2" x14ac:dyDescent="0.25">
      <c r="A4792">
        <v>74114</v>
      </c>
      <c r="B4792" t="s">
        <v>6637</v>
      </c>
      <c r="C4792" t="s">
        <v>6912</v>
      </c>
      <c r="D4792" s="14" t="s">
        <v>6907</v>
      </c>
      <c r="E4792" s="12" t="s">
        <v>28</v>
      </c>
      <c r="F4792" s="13" t="s">
        <v>29</v>
      </c>
      <c r="G4792">
        <v>1</v>
      </c>
      <c r="H4792" t="s">
        <v>420</v>
      </c>
      <c r="I4792">
        <v>1</v>
      </c>
      <c r="J4792" s="15"/>
      <c r="K4792" s="16">
        <f>1514.02 - (1514.02 * $E$1)</f>
        <v>1514.02</v>
      </c>
      <c r="L4792" s="16">
        <f>1241 - (1241 * $E$1)</f>
        <v>1241</v>
      </c>
      <c r="M4792" s="1">
        <v>1514.02</v>
      </c>
      <c r="N4792" s="1">
        <v>1241</v>
      </c>
      <c r="O4792" s="1">
        <v>1286.92</v>
      </c>
      <c r="P4792" s="1">
        <v>1054.8499999999999</v>
      </c>
      <c r="Q4792">
        <v>0.56000000000000005</v>
      </c>
      <c r="R4792">
        <v>1.98E-3</v>
      </c>
    </row>
    <row r="4793" spans="1:18" ht="13.8" outlineLevel="2" x14ac:dyDescent="0.25">
      <c r="A4793">
        <v>74115</v>
      </c>
      <c r="B4793" t="s">
        <v>6637</v>
      </c>
      <c r="C4793" t="s">
        <v>6913</v>
      </c>
      <c r="D4793" s="14" t="s">
        <v>6907</v>
      </c>
      <c r="E4793" s="12" t="s">
        <v>28</v>
      </c>
      <c r="F4793" s="13" t="s">
        <v>29</v>
      </c>
      <c r="G4793">
        <v>1</v>
      </c>
      <c r="H4793" t="s">
        <v>420</v>
      </c>
      <c r="I4793">
        <v>1</v>
      </c>
      <c r="J4793" s="15"/>
      <c r="K4793" s="16">
        <f>3490.98 - (3490.98 * $E$1)</f>
        <v>3490.98</v>
      </c>
      <c r="L4793" s="16">
        <f>2861.46 - (2861.46 * $E$1)</f>
        <v>2861.46</v>
      </c>
      <c r="M4793" s="1">
        <v>3490.98</v>
      </c>
      <c r="N4793" s="1">
        <v>2861.46</v>
      </c>
      <c r="O4793" s="1">
        <v>2967.33</v>
      </c>
      <c r="P4793" s="1">
        <v>2432.2399999999998</v>
      </c>
      <c r="Q4793">
        <v>1.4</v>
      </c>
      <c r="R4793">
        <v>5.5440000000000003E-3</v>
      </c>
    </row>
    <row r="4794" spans="1:18" ht="13.8" outlineLevel="2" x14ac:dyDescent="0.25">
      <c r="A4794">
        <v>53754</v>
      </c>
      <c r="B4794" t="s">
        <v>6637</v>
      </c>
      <c r="C4794" t="s">
        <v>6914</v>
      </c>
      <c r="D4794" s="14" t="s">
        <v>6915</v>
      </c>
      <c r="E4794" s="12" t="s">
        <v>28</v>
      </c>
      <c r="F4794" s="13" t="s">
        <v>29</v>
      </c>
      <c r="G4794">
        <v>1</v>
      </c>
      <c r="H4794" t="s">
        <v>420</v>
      </c>
      <c r="I4794">
        <v>1</v>
      </c>
      <c r="J4794" s="15"/>
      <c r="K4794" s="16">
        <f>482.34 - (482.34 * $E$1)</f>
        <v>482.34</v>
      </c>
      <c r="L4794" s="16">
        <f>395.36 - (395.36 * $E$1)</f>
        <v>395.36</v>
      </c>
      <c r="M4794" s="1">
        <v>482.34</v>
      </c>
      <c r="N4794" s="1">
        <v>395.36</v>
      </c>
      <c r="O4794" s="1">
        <v>409.99</v>
      </c>
      <c r="P4794" s="1">
        <v>336.06</v>
      </c>
      <c r="Q4794">
        <v>0.21099999999999999</v>
      </c>
      <c r="R4794">
        <v>1.152E-3</v>
      </c>
    </row>
    <row r="4795" spans="1:18" ht="13.8" outlineLevel="2" x14ac:dyDescent="0.25">
      <c r="A4795">
        <v>53755</v>
      </c>
      <c r="B4795" t="s">
        <v>6637</v>
      </c>
      <c r="C4795" t="s">
        <v>6916</v>
      </c>
      <c r="D4795" s="14" t="s">
        <v>6915</v>
      </c>
      <c r="E4795" s="12" t="s">
        <v>28</v>
      </c>
      <c r="F4795" s="13" t="s">
        <v>29</v>
      </c>
      <c r="G4795">
        <v>1</v>
      </c>
      <c r="H4795" t="s">
        <v>420</v>
      </c>
      <c r="I4795">
        <v>1</v>
      </c>
      <c r="J4795" s="15"/>
      <c r="K4795" s="16">
        <f>689.78 - (689.78 * $E$1)</f>
        <v>689.78</v>
      </c>
      <c r="L4795" s="16">
        <f>565.39 - (565.39 * $E$1)</f>
        <v>565.39</v>
      </c>
      <c r="M4795" s="1">
        <v>689.78</v>
      </c>
      <c r="N4795" s="1">
        <v>565.39</v>
      </c>
      <c r="O4795" s="1">
        <v>586.30999999999995</v>
      </c>
      <c r="P4795" s="1">
        <v>480.58</v>
      </c>
      <c r="Q4795">
        <v>0.31</v>
      </c>
      <c r="R4795">
        <v>2.232E-3</v>
      </c>
    </row>
    <row r="4796" spans="1:18" ht="13.8" outlineLevel="2" x14ac:dyDescent="0.25">
      <c r="A4796">
        <v>53756</v>
      </c>
      <c r="B4796" t="s">
        <v>6637</v>
      </c>
      <c r="C4796" t="s">
        <v>6917</v>
      </c>
      <c r="D4796" s="14" t="s">
        <v>6915</v>
      </c>
      <c r="E4796" s="12" t="s">
        <v>28</v>
      </c>
      <c r="F4796" s="13" t="s">
        <v>29</v>
      </c>
      <c r="G4796">
        <v>1</v>
      </c>
      <c r="H4796" t="s">
        <v>420</v>
      </c>
      <c r="I4796">
        <v>1</v>
      </c>
      <c r="J4796" s="15"/>
      <c r="K4796" s="16">
        <f>1133.55 - (1133.55 * $E$1)</f>
        <v>1133.55</v>
      </c>
      <c r="L4796" s="16">
        <f>929.14 - (929.14 * $E$1)</f>
        <v>929.14</v>
      </c>
      <c r="M4796" s="1">
        <v>1133.55</v>
      </c>
      <c r="N4796" s="1">
        <v>929.14</v>
      </c>
      <c r="O4796" s="1">
        <v>963.52</v>
      </c>
      <c r="P4796" s="1">
        <v>789.77</v>
      </c>
      <c r="Q4796">
        <v>0.52</v>
      </c>
      <c r="R4796">
        <v>3.4199999999999999E-3</v>
      </c>
    </row>
    <row r="4797" spans="1:18" ht="13.8" outlineLevel="2" x14ac:dyDescent="0.25">
      <c r="A4797">
        <v>53757</v>
      </c>
      <c r="B4797" t="s">
        <v>6637</v>
      </c>
      <c r="C4797" t="s">
        <v>6918</v>
      </c>
      <c r="D4797" s="14" t="s">
        <v>6915</v>
      </c>
      <c r="E4797" s="12" t="s">
        <v>28</v>
      </c>
      <c r="F4797" s="13" t="s">
        <v>29</v>
      </c>
      <c r="G4797">
        <v>1</v>
      </c>
      <c r="H4797" t="s">
        <v>420</v>
      </c>
      <c r="I4797">
        <v>1</v>
      </c>
      <c r="J4797" s="15"/>
      <c r="K4797" s="16">
        <f>1559.81 - (1559.81 * $E$1)</f>
        <v>1559.81</v>
      </c>
      <c r="L4797" s="16">
        <f>1278.53 - (1278.53 * $E$1)</f>
        <v>1278.53</v>
      </c>
      <c r="M4797" s="1">
        <v>1559.81</v>
      </c>
      <c r="N4797" s="1">
        <v>1278.53</v>
      </c>
      <c r="O4797" s="1">
        <v>1325.84</v>
      </c>
      <c r="P4797" s="1">
        <v>1086.75</v>
      </c>
      <c r="Q4797">
        <v>0.68100000000000005</v>
      </c>
      <c r="R4797">
        <v>3.6960000000000001E-3</v>
      </c>
    </row>
    <row r="4798" spans="1:18" ht="13.8" outlineLevel="2" x14ac:dyDescent="0.25">
      <c r="A4798">
        <v>91703</v>
      </c>
      <c r="B4798" t="s">
        <v>6637</v>
      </c>
      <c r="C4798" t="s">
        <v>6919</v>
      </c>
      <c r="D4798" s="14" t="s">
        <v>6915</v>
      </c>
      <c r="E4798" s="12" t="s">
        <v>28</v>
      </c>
      <c r="F4798" s="13" t="s">
        <v>29</v>
      </c>
      <c r="G4798">
        <v>1</v>
      </c>
      <c r="H4798" t="s">
        <v>420</v>
      </c>
      <c r="I4798">
        <v>1</v>
      </c>
      <c r="J4798" s="15"/>
      <c r="K4798" s="16">
        <f>2137.45 - (2137.45 * $E$1)</f>
        <v>2137.4499999999998</v>
      </c>
      <c r="L4798" s="16">
        <f>1752.01 - (1752.01 * $E$1)</f>
        <v>1752.01</v>
      </c>
      <c r="M4798" s="1">
        <v>2137.4499999999998</v>
      </c>
      <c r="N4798" s="1">
        <v>1752.01</v>
      </c>
      <c r="O4798" s="1">
        <v>1816.83</v>
      </c>
      <c r="P4798" s="1">
        <v>1489.21</v>
      </c>
      <c r="Q4798">
        <v>0.95</v>
      </c>
      <c r="R4798">
        <v>5.7039999999999999E-3</v>
      </c>
    </row>
    <row r="4799" spans="1:18" ht="13.8" outlineLevel="2" x14ac:dyDescent="0.25">
      <c r="A4799">
        <v>91704</v>
      </c>
      <c r="B4799" t="s">
        <v>6637</v>
      </c>
      <c r="C4799" t="s">
        <v>6920</v>
      </c>
      <c r="D4799" s="14" t="s">
        <v>6915</v>
      </c>
      <c r="E4799" s="12" t="s">
        <v>28</v>
      </c>
      <c r="F4799" s="13" t="s">
        <v>29</v>
      </c>
      <c r="G4799">
        <v>1</v>
      </c>
      <c r="H4799" t="s">
        <v>420</v>
      </c>
      <c r="I4799">
        <v>1</v>
      </c>
      <c r="J4799" s="15"/>
      <c r="K4799" s="16">
        <f>2440.2 - (2440.2 * $E$1)</f>
        <v>2440.1999999999998</v>
      </c>
      <c r="L4799" s="16">
        <f>2000.16 - (2000.16 * $E$1)</f>
        <v>2000.16</v>
      </c>
      <c r="M4799" s="1">
        <v>2440.1999999999998</v>
      </c>
      <c r="N4799" s="1">
        <v>2000.16</v>
      </c>
      <c r="O4799" s="1">
        <v>2074.17</v>
      </c>
      <c r="P4799" s="1">
        <v>1700.14</v>
      </c>
      <c r="Q4799">
        <v>1.27</v>
      </c>
      <c r="R4799">
        <v>5.8580000000000004E-3</v>
      </c>
    </row>
    <row r="4800" spans="1:18" ht="13.8" outlineLevel="2" x14ac:dyDescent="0.25">
      <c r="A4800">
        <v>91705</v>
      </c>
      <c r="B4800" t="s">
        <v>6637</v>
      </c>
      <c r="C4800" t="s">
        <v>6921</v>
      </c>
      <c r="D4800" s="14" t="s">
        <v>6915</v>
      </c>
      <c r="E4800" s="12" t="s">
        <v>28</v>
      </c>
      <c r="F4800" s="13" t="s">
        <v>29</v>
      </c>
      <c r="G4800">
        <v>1</v>
      </c>
      <c r="H4800" t="s">
        <v>420</v>
      </c>
      <c r="I4800">
        <v>1</v>
      </c>
      <c r="J4800" s="15"/>
      <c r="K4800" s="16">
        <f>3191.81 - (3191.81 * $E$1)</f>
        <v>3191.81</v>
      </c>
      <c r="L4800" s="16">
        <f>2616.24 - (2616.24 * $E$1)</f>
        <v>2616.2399999999998</v>
      </c>
      <c r="M4800" s="1">
        <v>3191.81</v>
      </c>
      <c r="N4800" s="1">
        <v>2616.2399999999998</v>
      </c>
      <c r="O4800" s="1">
        <v>2713.04</v>
      </c>
      <c r="P4800" s="1">
        <v>2223.8000000000002</v>
      </c>
      <c r="Q4800">
        <v>1.47</v>
      </c>
      <c r="R4800">
        <v>7.0200000000000002E-3</v>
      </c>
    </row>
    <row r="4801" spans="1:18" ht="13.8" outlineLevel="2" x14ac:dyDescent="0.25">
      <c r="A4801">
        <v>55810</v>
      </c>
      <c r="B4801" t="s">
        <v>6637</v>
      </c>
      <c r="C4801" t="s">
        <v>6922</v>
      </c>
      <c r="D4801" s="14" t="s">
        <v>6923</v>
      </c>
      <c r="E4801" s="12" t="s">
        <v>28</v>
      </c>
      <c r="F4801" s="13" t="s">
        <v>29</v>
      </c>
      <c r="G4801">
        <v>1</v>
      </c>
      <c r="H4801" t="s">
        <v>420</v>
      </c>
      <c r="I4801">
        <v>1</v>
      </c>
      <c r="J4801" s="15"/>
      <c r="K4801" s="16">
        <f>113.2 - (113.2 * $E$1)</f>
        <v>113.2</v>
      </c>
      <c r="L4801" s="16">
        <f>92.79 - (92.79 * $E$1)</f>
        <v>92.79</v>
      </c>
      <c r="M4801" s="1">
        <v>113.2</v>
      </c>
      <c r="N4801" s="1">
        <v>92.79</v>
      </c>
      <c r="O4801" s="1">
        <v>96.22</v>
      </c>
      <c r="P4801" s="1">
        <v>78.87</v>
      </c>
      <c r="Q4801">
        <v>5.3999999999999999E-2</v>
      </c>
      <c r="R4801">
        <v>3.3E-4</v>
      </c>
    </row>
    <row r="4802" spans="1:18" ht="13.8" outlineLevel="2" x14ac:dyDescent="0.25">
      <c r="A4802">
        <v>53314</v>
      </c>
      <c r="B4802" t="s">
        <v>6637</v>
      </c>
      <c r="C4802" t="s">
        <v>6924</v>
      </c>
      <c r="D4802" s="14" t="s">
        <v>6923</v>
      </c>
      <c r="E4802" s="12" t="s">
        <v>28</v>
      </c>
      <c r="F4802" s="13" t="s">
        <v>29</v>
      </c>
      <c r="G4802">
        <v>1</v>
      </c>
      <c r="H4802" t="s">
        <v>420</v>
      </c>
      <c r="I4802">
        <v>1</v>
      </c>
      <c r="J4802" s="15"/>
      <c r="K4802" s="16">
        <f>173.94 - (173.94 * $E$1)</f>
        <v>173.94</v>
      </c>
      <c r="L4802" s="16">
        <f>142.57 - (142.57 * $E$1)</f>
        <v>142.57</v>
      </c>
      <c r="M4802" s="1">
        <v>173.94</v>
      </c>
      <c r="N4802" s="1">
        <v>142.57</v>
      </c>
      <c r="O4802" s="1">
        <v>147.85</v>
      </c>
      <c r="P4802" s="1">
        <v>121.18</v>
      </c>
      <c r="Q4802">
        <v>8.2000000000000003E-2</v>
      </c>
      <c r="R4802">
        <v>6.6E-4</v>
      </c>
    </row>
    <row r="4803" spans="1:18" ht="13.8" outlineLevel="2" x14ac:dyDescent="0.25">
      <c r="A4803">
        <v>55812</v>
      </c>
      <c r="B4803" t="s">
        <v>6637</v>
      </c>
      <c r="C4803" t="s">
        <v>6925</v>
      </c>
      <c r="D4803" s="14" t="s">
        <v>6923</v>
      </c>
      <c r="E4803" s="12" t="s">
        <v>28</v>
      </c>
      <c r="F4803" s="13" t="s">
        <v>29</v>
      </c>
      <c r="G4803">
        <v>1</v>
      </c>
      <c r="H4803" t="s">
        <v>420</v>
      </c>
      <c r="I4803">
        <v>1</v>
      </c>
      <c r="J4803" s="15"/>
      <c r="K4803" s="16">
        <f>278.83 - (278.83 * $E$1)</f>
        <v>278.83</v>
      </c>
      <c r="L4803" s="16">
        <f>228.55 - (228.55 * $E$1)</f>
        <v>228.55</v>
      </c>
      <c r="M4803" s="1">
        <v>278.83</v>
      </c>
      <c r="N4803" s="1">
        <v>228.55</v>
      </c>
      <c r="O4803" s="1">
        <v>237.01</v>
      </c>
      <c r="P4803" s="1">
        <v>194.27</v>
      </c>
      <c r="Q4803">
        <v>0.12</v>
      </c>
      <c r="R4803">
        <v>5.8E-4</v>
      </c>
    </row>
    <row r="4804" spans="1:18" ht="13.8" outlineLevel="2" x14ac:dyDescent="0.25">
      <c r="A4804">
        <v>57550</v>
      </c>
      <c r="B4804" t="s">
        <v>6926</v>
      </c>
      <c r="C4804" t="s">
        <v>6927</v>
      </c>
      <c r="D4804" s="14" t="s">
        <v>6928</v>
      </c>
      <c r="E4804" s="12" t="s">
        <v>28</v>
      </c>
      <c r="F4804" s="13" t="s">
        <v>29</v>
      </c>
      <c r="G4804">
        <v>1</v>
      </c>
      <c r="H4804" t="s">
        <v>420</v>
      </c>
      <c r="I4804">
        <v>1</v>
      </c>
      <c r="J4804" s="15"/>
      <c r="K4804" s="16">
        <f>802.11 - (802.11 * $E$1)</f>
        <v>802.11</v>
      </c>
      <c r="L4804" s="16">
        <f>657.47 - (657.47 * $E$1)</f>
        <v>657.47</v>
      </c>
      <c r="M4804" s="1">
        <v>802.11</v>
      </c>
      <c r="N4804" s="1">
        <v>657.47</v>
      </c>
      <c r="O4804" s="1">
        <v>681.8</v>
      </c>
      <c r="P4804" s="1">
        <v>558.85</v>
      </c>
      <c r="Q4804">
        <v>0.57999999999999996</v>
      </c>
      <c r="R4804">
        <v>7.1040000000000001E-3</v>
      </c>
    </row>
    <row r="4805" spans="1:18" ht="13.8" outlineLevel="2" x14ac:dyDescent="0.25">
      <c r="A4805">
        <v>80528</v>
      </c>
      <c r="B4805" t="s">
        <v>6637</v>
      </c>
      <c r="C4805" t="s">
        <v>6929</v>
      </c>
      <c r="D4805" s="14" t="s">
        <v>6930</v>
      </c>
      <c r="E4805" s="12" t="s">
        <v>28</v>
      </c>
      <c r="F4805" s="13" t="s">
        <v>29</v>
      </c>
      <c r="G4805">
        <v>1</v>
      </c>
      <c r="H4805" t="s">
        <v>420</v>
      </c>
      <c r="I4805">
        <v>1</v>
      </c>
      <c r="J4805" s="15"/>
      <c r="K4805" s="16">
        <f>138.86 - (138.86 * $E$1)</f>
        <v>138.86000000000001</v>
      </c>
      <c r="L4805" s="16">
        <f>113.82 - (113.82 * $E$1)</f>
        <v>113.82</v>
      </c>
      <c r="M4805" s="1">
        <v>138.86000000000001</v>
      </c>
      <c r="N4805" s="1">
        <v>113.82</v>
      </c>
      <c r="O4805" s="1">
        <v>118.03</v>
      </c>
      <c r="P4805" s="1">
        <v>96.75</v>
      </c>
      <c r="Q4805">
        <v>7.0000000000000007E-2</v>
      </c>
      <c r="R4805">
        <v>4.0499999999999998E-4</v>
      </c>
    </row>
    <row r="4806" spans="1:18" ht="13.8" outlineLevel="2" x14ac:dyDescent="0.25">
      <c r="A4806">
        <v>80529</v>
      </c>
      <c r="B4806" t="s">
        <v>6637</v>
      </c>
      <c r="C4806" t="s">
        <v>6931</v>
      </c>
      <c r="D4806" s="14" t="s">
        <v>6930</v>
      </c>
      <c r="E4806" s="12" t="s">
        <v>28</v>
      </c>
      <c r="F4806" s="13" t="s">
        <v>29</v>
      </c>
      <c r="G4806">
        <v>1</v>
      </c>
      <c r="H4806" t="s">
        <v>420</v>
      </c>
      <c r="I4806">
        <v>1</v>
      </c>
      <c r="J4806" s="15"/>
      <c r="K4806" s="16">
        <f>168.82 - (168.82 * $E$1)</f>
        <v>168.82</v>
      </c>
      <c r="L4806" s="16">
        <f>138.38 - (138.38 * $E$1)</f>
        <v>138.38</v>
      </c>
      <c r="M4806" s="1">
        <v>168.82</v>
      </c>
      <c r="N4806" s="1">
        <v>138.38</v>
      </c>
      <c r="O4806" s="1">
        <v>143.5</v>
      </c>
      <c r="P4806" s="1">
        <v>117.62</v>
      </c>
      <c r="Q4806">
        <v>0.09</v>
      </c>
      <c r="R4806">
        <v>5.1000000000000004E-4</v>
      </c>
    </row>
    <row r="4807" spans="1:18" ht="13.8" outlineLevel="2" x14ac:dyDescent="0.25">
      <c r="A4807">
        <v>80530</v>
      </c>
      <c r="B4807" t="s">
        <v>6637</v>
      </c>
      <c r="C4807" t="s">
        <v>6932</v>
      </c>
      <c r="D4807" s="14" t="s">
        <v>6930</v>
      </c>
      <c r="E4807" s="12" t="s">
        <v>28</v>
      </c>
      <c r="F4807" s="13" t="s">
        <v>29</v>
      </c>
      <c r="G4807">
        <v>1</v>
      </c>
      <c r="H4807" t="s">
        <v>420</v>
      </c>
      <c r="I4807">
        <v>1</v>
      </c>
      <c r="J4807" s="15"/>
      <c r="K4807" s="16">
        <f>337.27 - (337.27 * $E$1)</f>
        <v>337.27</v>
      </c>
      <c r="L4807" s="16">
        <f>276.45 - (276.45 * $E$1)</f>
        <v>276.45</v>
      </c>
      <c r="M4807" s="1">
        <v>337.27</v>
      </c>
      <c r="N4807" s="1">
        <v>276.45</v>
      </c>
      <c r="O4807" s="1">
        <v>286.68</v>
      </c>
      <c r="P4807" s="1">
        <v>234.98</v>
      </c>
      <c r="Q4807">
        <v>0.16</v>
      </c>
      <c r="R4807">
        <v>1.248E-3</v>
      </c>
    </row>
    <row r="4808" spans="1:18" ht="13.8" outlineLevel="2" x14ac:dyDescent="0.25">
      <c r="A4808">
        <v>90334</v>
      </c>
      <c r="B4808" t="s">
        <v>6637</v>
      </c>
      <c r="C4808" t="s">
        <v>6933</v>
      </c>
      <c r="D4808" s="14" t="s">
        <v>6930</v>
      </c>
      <c r="E4808" s="12" t="s">
        <v>28</v>
      </c>
      <c r="F4808" s="13" t="s">
        <v>29</v>
      </c>
      <c r="G4808">
        <v>1</v>
      </c>
      <c r="H4808" t="s">
        <v>420</v>
      </c>
      <c r="I4808">
        <v>1</v>
      </c>
      <c r="J4808" s="15"/>
      <c r="K4808" s="16">
        <f>431.47 - (431.47 * $E$1)</f>
        <v>431.47</v>
      </c>
      <c r="L4808" s="16">
        <f>353.66 - (353.66 * $E$1)</f>
        <v>353.66</v>
      </c>
      <c r="M4808" s="1">
        <v>431.47</v>
      </c>
      <c r="N4808" s="1">
        <v>353.66</v>
      </c>
      <c r="O4808" s="1">
        <v>366.75</v>
      </c>
      <c r="P4808" s="1">
        <v>300.61</v>
      </c>
      <c r="Q4808">
        <v>0.22500000000000001</v>
      </c>
      <c r="R4808">
        <v>1.3439999999999999E-3</v>
      </c>
    </row>
    <row r="4809" spans="1:18" ht="13.8" outlineLevel="2" x14ac:dyDescent="0.25">
      <c r="A4809">
        <v>80532</v>
      </c>
      <c r="B4809" t="s">
        <v>6637</v>
      </c>
      <c r="C4809" t="s">
        <v>6934</v>
      </c>
      <c r="D4809" s="14" t="s">
        <v>6935</v>
      </c>
      <c r="E4809" s="12" t="s">
        <v>28</v>
      </c>
      <c r="F4809" s="13" t="s">
        <v>29</v>
      </c>
      <c r="G4809">
        <v>1</v>
      </c>
      <c r="H4809" t="s">
        <v>420</v>
      </c>
      <c r="I4809">
        <v>1</v>
      </c>
      <c r="J4809" s="15"/>
      <c r="K4809" s="16">
        <f>138.86 - (138.86 * $E$1)</f>
        <v>138.86000000000001</v>
      </c>
      <c r="L4809" s="16">
        <f>113.82 - (113.82 * $E$1)</f>
        <v>113.82</v>
      </c>
      <c r="M4809" s="1">
        <v>138.86000000000001</v>
      </c>
      <c r="N4809" s="1">
        <v>113.82</v>
      </c>
      <c r="O4809" s="1">
        <v>118.03</v>
      </c>
      <c r="P4809" s="1">
        <v>96.75</v>
      </c>
      <c r="Q4809">
        <v>7.0000000000000007E-2</v>
      </c>
      <c r="R4809">
        <v>4.0499999999999998E-4</v>
      </c>
    </row>
    <row r="4810" spans="1:18" ht="13.8" outlineLevel="2" x14ac:dyDescent="0.25">
      <c r="A4810">
        <v>80533</v>
      </c>
      <c r="B4810" t="s">
        <v>6637</v>
      </c>
      <c r="C4810" t="s">
        <v>6936</v>
      </c>
      <c r="D4810" s="14" t="s">
        <v>6935</v>
      </c>
      <c r="E4810" s="12" t="s">
        <v>28</v>
      </c>
      <c r="F4810" s="13" t="s">
        <v>29</v>
      </c>
      <c r="G4810">
        <v>1</v>
      </c>
      <c r="H4810" t="s">
        <v>420</v>
      </c>
      <c r="I4810">
        <v>1</v>
      </c>
      <c r="J4810" s="15"/>
      <c r="K4810" s="16">
        <f>168.82 - (168.82 * $E$1)</f>
        <v>168.82</v>
      </c>
      <c r="L4810" s="16">
        <f>138.38 - (138.38 * $E$1)</f>
        <v>138.38</v>
      </c>
      <c r="M4810" s="1">
        <v>168.82</v>
      </c>
      <c r="N4810" s="1">
        <v>138.38</v>
      </c>
      <c r="O4810" s="1">
        <v>143.5</v>
      </c>
      <c r="P4810" s="1">
        <v>117.62</v>
      </c>
      <c r="Q4810">
        <v>0.09</v>
      </c>
      <c r="R4810">
        <v>5.1000000000000004E-4</v>
      </c>
    </row>
    <row r="4811" spans="1:18" ht="13.8" outlineLevel="2" x14ac:dyDescent="0.25">
      <c r="A4811">
        <v>80534</v>
      </c>
      <c r="B4811" t="s">
        <v>6637</v>
      </c>
      <c r="C4811" t="s">
        <v>6937</v>
      </c>
      <c r="D4811" s="14" t="s">
        <v>6935</v>
      </c>
      <c r="E4811" s="12" t="s">
        <v>28</v>
      </c>
      <c r="F4811" s="13" t="s">
        <v>29</v>
      </c>
      <c r="G4811">
        <v>1</v>
      </c>
      <c r="H4811" t="s">
        <v>420</v>
      </c>
      <c r="I4811">
        <v>1</v>
      </c>
      <c r="J4811" s="15"/>
      <c r="K4811" s="16">
        <f>337.27 - (337.27 * $E$1)</f>
        <v>337.27</v>
      </c>
      <c r="L4811" s="16">
        <f>276.45 - (276.45 * $E$1)</f>
        <v>276.45</v>
      </c>
      <c r="M4811" s="1">
        <v>337.27</v>
      </c>
      <c r="N4811" s="1">
        <v>276.45</v>
      </c>
      <c r="O4811" s="1">
        <v>286.68</v>
      </c>
      <c r="P4811" s="1">
        <v>234.98</v>
      </c>
      <c r="Q4811">
        <v>0.16</v>
      </c>
      <c r="R4811">
        <v>1.248E-3</v>
      </c>
    </row>
    <row r="4812" spans="1:18" ht="13.8" outlineLevel="2" x14ac:dyDescent="0.25">
      <c r="A4812">
        <v>90335</v>
      </c>
      <c r="B4812" t="s">
        <v>6637</v>
      </c>
      <c r="C4812" t="s">
        <v>6938</v>
      </c>
      <c r="D4812" s="14" t="s">
        <v>6935</v>
      </c>
      <c r="E4812" s="12" t="s">
        <v>28</v>
      </c>
      <c r="F4812" s="13" t="s">
        <v>29</v>
      </c>
      <c r="G4812">
        <v>1</v>
      </c>
      <c r="H4812" t="s">
        <v>420</v>
      </c>
      <c r="I4812">
        <v>1</v>
      </c>
      <c r="J4812" s="15"/>
      <c r="K4812" s="16">
        <f>431.47 - (431.47 * $E$1)</f>
        <v>431.47</v>
      </c>
      <c r="L4812" s="16">
        <f>353.66 - (353.66 * $E$1)</f>
        <v>353.66</v>
      </c>
      <c r="M4812" s="1">
        <v>431.47</v>
      </c>
      <c r="N4812" s="1">
        <v>353.66</v>
      </c>
      <c r="O4812" s="1">
        <v>366.75</v>
      </c>
      <c r="P4812" s="1">
        <v>300.61</v>
      </c>
      <c r="Q4812">
        <v>0.22500000000000001</v>
      </c>
      <c r="R4812">
        <v>1.3439999999999999E-3</v>
      </c>
    </row>
    <row r="4813" spans="1:18" ht="13.8" outlineLevel="2" x14ac:dyDescent="0.25">
      <c r="A4813">
        <v>74247</v>
      </c>
      <c r="B4813" t="s">
        <v>6637</v>
      </c>
      <c r="C4813" t="s">
        <v>6939</v>
      </c>
      <c r="D4813" s="14" t="s">
        <v>6940</v>
      </c>
      <c r="E4813" s="12" t="s">
        <v>28</v>
      </c>
      <c r="F4813" s="13" t="s">
        <v>29</v>
      </c>
      <c r="G4813">
        <v>1</v>
      </c>
      <c r="H4813" t="s">
        <v>420</v>
      </c>
      <c r="I4813">
        <v>1</v>
      </c>
      <c r="J4813" s="15"/>
      <c r="K4813" s="16">
        <f>863.46 - (863.46 * $E$1)</f>
        <v>863.46</v>
      </c>
      <c r="L4813" s="16">
        <f>707.75 - (707.75 * $E$1)</f>
        <v>707.75</v>
      </c>
      <c r="M4813" s="1">
        <v>863.46</v>
      </c>
      <c r="N4813" s="1">
        <v>707.75</v>
      </c>
      <c r="O4813" s="1">
        <v>733.94</v>
      </c>
      <c r="P4813" s="1">
        <v>601.59</v>
      </c>
      <c r="Q4813">
        <v>0.45</v>
      </c>
      <c r="R4813">
        <v>4.5120000000000004E-3</v>
      </c>
    </row>
    <row r="4814" spans="1:18" ht="13.8" outlineLevel="2" x14ac:dyDescent="0.25">
      <c r="A4814">
        <v>74248</v>
      </c>
      <c r="B4814" t="s">
        <v>6637</v>
      </c>
      <c r="C4814" t="s">
        <v>6941</v>
      </c>
      <c r="D4814" s="14" t="s">
        <v>6940</v>
      </c>
      <c r="E4814" s="12" t="s">
        <v>28</v>
      </c>
      <c r="F4814" s="13" t="s">
        <v>29</v>
      </c>
      <c r="G4814">
        <v>1</v>
      </c>
      <c r="H4814" t="s">
        <v>420</v>
      </c>
      <c r="I4814">
        <v>1</v>
      </c>
      <c r="J4814" s="15"/>
      <c r="K4814" s="16">
        <f>863.46 - (863.46 * $E$1)</f>
        <v>863.46</v>
      </c>
      <c r="L4814" s="16">
        <f>707.75 - (707.75 * $E$1)</f>
        <v>707.75</v>
      </c>
      <c r="M4814" s="1">
        <v>863.46</v>
      </c>
      <c r="N4814" s="1">
        <v>707.75</v>
      </c>
      <c r="O4814" s="1">
        <v>733.94</v>
      </c>
      <c r="P4814" s="1">
        <v>601.59</v>
      </c>
      <c r="Q4814">
        <v>0.438</v>
      </c>
      <c r="R4814">
        <v>4.0499999999999998E-3</v>
      </c>
    </row>
    <row r="4815" spans="1:18" ht="13.8" outlineLevel="2" x14ac:dyDescent="0.25">
      <c r="A4815">
        <v>74249</v>
      </c>
      <c r="B4815" t="s">
        <v>6637</v>
      </c>
      <c r="C4815" t="s">
        <v>6942</v>
      </c>
      <c r="D4815" s="14" t="s">
        <v>6940</v>
      </c>
      <c r="E4815" s="12" t="s">
        <v>28</v>
      </c>
      <c r="F4815" s="13" t="s">
        <v>29</v>
      </c>
      <c r="G4815">
        <v>1</v>
      </c>
      <c r="H4815" t="s">
        <v>420</v>
      </c>
      <c r="I4815">
        <v>1</v>
      </c>
      <c r="J4815" s="15"/>
      <c r="K4815" s="16">
        <f>863.46 - (863.46 * $E$1)</f>
        <v>863.46</v>
      </c>
      <c r="L4815" s="16">
        <f>707.75 - (707.75 * $E$1)</f>
        <v>707.75</v>
      </c>
      <c r="M4815" s="1">
        <v>863.46</v>
      </c>
      <c r="N4815" s="1">
        <v>707.75</v>
      </c>
      <c r="O4815" s="1">
        <v>733.94</v>
      </c>
      <c r="P4815" s="1">
        <v>601.59</v>
      </c>
      <c r="Q4815">
        <v>0.45</v>
      </c>
      <c r="R4815">
        <v>4.0800000000000003E-3</v>
      </c>
    </row>
    <row r="4816" spans="1:18" ht="13.8" outlineLevel="2" x14ac:dyDescent="0.25">
      <c r="A4816">
        <v>81467</v>
      </c>
      <c r="B4816" t="s">
        <v>6637</v>
      </c>
      <c r="C4816" t="s">
        <v>6943</v>
      </c>
      <c r="D4816" s="14" t="s">
        <v>6944</v>
      </c>
      <c r="E4816" s="12" t="s">
        <v>28</v>
      </c>
      <c r="F4816" s="13" t="s">
        <v>29</v>
      </c>
      <c r="G4816">
        <v>1</v>
      </c>
      <c r="H4816" t="s">
        <v>420</v>
      </c>
      <c r="I4816">
        <v>1</v>
      </c>
      <c r="J4816" s="15"/>
      <c r="K4816" s="16">
        <f>136.71 - (136.71 * $E$1)</f>
        <v>136.71</v>
      </c>
      <c r="L4816" s="16">
        <f>112.06 - (112.06 * $E$1)</f>
        <v>112.06</v>
      </c>
      <c r="M4816" s="1">
        <v>136.71</v>
      </c>
      <c r="N4816" s="1">
        <v>112.06</v>
      </c>
      <c r="O4816" s="1">
        <v>116.21</v>
      </c>
      <c r="P4816" s="1">
        <v>95.25</v>
      </c>
      <c r="Q4816">
        <v>7.0000000000000007E-2</v>
      </c>
      <c r="R4816">
        <v>2.6400000000000002E-4</v>
      </c>
    </row>
    <row r="4817" spans="1:18" ht="13.8" outlineLevel="2" x14ac:dyDescent="0.25">
      <c r="A4817">
        <v>81470</v>
      </c>
      <c r="B4817" t="s">
        <v>6637</v>
      </c>
      <c r="C4817" t="s">
        <v>6945</v>
      </c>
      <c r="D4817" s="14" t="s">
        <v>6944</v>
      </c>
      <c r="E4817" s="12" t="s">
        <v>28</v>
      </c>
      <c r="F4817" s="13" t="s">
        <v>29</v>
      </c>
      <c r="G4817">
        <v>1</v>
      </c>
      <c r="H4817" t="s">
        <v>420</v>
      </c>
      <c r="I4817">
        <v>1</v>
      </c>
      <c r="J4817" s="15"/>
      <c r="K4817" s="16">
        <f>136.71 - (136.71 * $E$1)</f>
        <v>136.71</v>
      </c>
      <c r="L4817" s="16">
        <f>112.06 - (112.06 * $E$1)</f>
        <v>112.06</v>
      </c>
      <c r="M4817" s="1">
        <v>136.71</v>
      </c>
      <c r="N4817" s="1">
        <v>112.06</v>
      </c>
      <c r="O4817" s="1">
        <v>116.21</v>
      </c>
      <c r="P4817" s="1">
        <v>95.25</v>
      </c>
      <c r="Q4817">
        <v>7.0000000000000007E-2</v>
      </c>
      <c r="R4817">
        <v>2.6400000000000002E-4</v>
      </c>
    </row>
    <row r="4818" spans="1:18" ht="13.8" outlineLevel="2" x14ac:dyDescent="0.25">
      <c r="A4818">
        <v>56183</v>
      </c>
      <c r="B4818" t="s">
        <v>6637</v>
      </c>
      <c r="C4818" t="s">
        <v>6946</v>
      </c>
      <c r="D4818" s="14" t="s">
        <v>6947</v>
      </c>
      <c r="E4818" s="12" t="s">
        <v>28</v>
      </c>
      <c r="F4818" s="13" t="s">
        <v>29</v>
      </c>
      <c r="G4818">
        <v>1</v>
      </c>
      <c r="H4818" t="s">
        <v>420</v>
      </c>
      <c r="I4818">
        <v>1</v>
      </c>
      <c r="J4818" s="15"/>
      <c r="K4818" s="16">
        <f>457.04 - (457.04 * $E$1)</f>
        <v>457.04</v>
      </c>
      <c r="L4818" s="16">
        <f>374.62 - (374.62 * $E$1)</f>
        <v>374.62</v>
      </c>
      <c r="M4818" s="1">
        <v>457.04</v>
      </c>
      <c r="N4818" s="1">
        <v>374.62</v>
      </c>
      <c r="O4818" s="1">
        <v>388.48</v>
      </c>
      <c r="P4818" s="1">
        <v>318.43</v>
      </c>
      <c r="Q4818">
        <v>0.24</v>
      </c>
      <c r="R4818">
        <v>1.3519999999999999E-3</v>
      </c>
    </row>
    <row r="4819" spans="1:18" ht="13.8" outlineLevel="2" x14ac:dyDescent="0.25">
      <c r="A4819">
        <v>61032</v>
      </c>
      <c r="B4819" t="s">
        <v>6637</v>
      </c>
      <c r="C4819" t="s">
        <v>6948</v>
      </c>
      <c r="D4819" s="14" t="s">
        <v>6947</v>
      </c>
      <c r="E4819" s="12" t="s">
        <v>28</v>
      </c>
      <c r="F4819" s="13" t="s">
        <v>29</v>
      </c>
      <c r="G4819">
        <v>1</v>
      </c>
      <c r="H4819" t="s">
        <v>420</v>
      </c>
      <c r="I4819">
        <v>1</v>
      </c>
      <c r="J4819" s="15"/>
      <c r="K4819" s="16">
        <f>563.43 - (563.43 * $E$1)</f>
        <v>563.42999999999995</v>
      </c>
      <c r="L4819" s="16">
        <f>461.83 - (461.83 * $E$1)</f>
        <v>461.83</v>
      </c>
      <c r="M4819" s="1">
        <v>563.42999999999995</v>
      </c>
      <c r="N4819" s="1">
        <v>461.83</v>
      </c>
      <c r="O4819" s="1">
        <v>478.92</v>
      </c>
      <c r="P4819" s="1">
        <v>392.56</v>
      </c>
      <c r="Q4819">
        <v>0.28999999999999998</v>
      </c>
      <c r="R4819">
        <v>1.56E-3</v>
      </c>
    </row>
    <row r="4820" spans="1:18" ht="13.8" outlineLevel="2" x14ac:dyDescent="0.25">
      <c r="A4820">
        <v>60632</v>
      </c>
      <c r="B4820" t="s">
        <v>6637</v>
      </c>
      <c r="C4820" t="s">
        <v>6949</v>
      </c>
      <c r="D4820" s="14" t="s">
        <v>6947</v>
      </c>
      <c r="E4820" s="12" t="s">
        <v>28</v>
      </c>
      <c r="F4820" s="13" t="s">
        <v>29</v>
      </c>
      <c r="G4820">
        <v>1</v>
      </c>
      <c r="H4820" t="s">
        <v>420</v>
      </c>
      <c r="I4820">
        <v>1</v>
      </c>
      <c r="J4820" s="15"/>
      <c r="K4820" s="16">
        <f>656.73 - (656.73 * $E$1)</f>
        <v>656.73</v>
      </c>
      <c r="L4820" s="16">
        <f>538.3 - (538.3 * $E$1)</f>
        <v>538.29999999999995</v>
      </c>
      <c r="M4820" s="1">
        <v>656.73</v>
      </c>
      <c r="N4820" s="1">
        <v>538.29999999999995</v>
      </c>
      <c r="O4820" s="1">
        <v>558.22</v>
      </c>
      <c r="P4820" s="1">
        <v>457.56</v>
      </c>
      <c r="Q4820">
        <v>0.33</v>
      </c>
      <c r="R4820">
        <v>1.89E-3</v>
      </c>
    </row>
    <row r="4821" spans="1:18" ht="13.8" outlineLevel="2" x14ac:dyDescent="0.25">
      <c r="A4821">
        <v>63284</v>
      </c>
      <c r="B4821" t="s">
        <v>6637</v>
      </c>
      <c r="C4821" t="s">
        <v>6950</v>
      </c>
      <c r="D4821" s="14" t="s">
        <v>6951</v>
      </c>
      <c r="E4821" s="12" t="s">
        <v>28</v>
      </c>
      <c r="F4821" s="13" t="s">
        <v>29</v>
      </c>
      <c r="G4821">
        <v>1</v>
      </c>
      <c r="H4821" t="s">
        <v>420</v>
      </c>
      <c r="I4821">
        <v>1</v>
      </c>
      <c r="J4821" s="15"/>
      <c r="K4821" s="16">
        <f>457.04 - (457.04 * $E$1)</f>
        <v>457.04</v>
      </c>
      <c r="L4821" s="16">
        <f>374.62 - (374.62 * $E$1)</f>
        <v>374.62</v>
      </c>
      <c r="M4821" s="1">
        <v>457.04</v>
      </c>
      <c r="N4821" s="1">
        <v>374.62</v>
      </c>
      <c r="O4821" s="1">
        <v>388.48</v>
      </c>
      <c r="P4821" s="1">
        <v>318.43</v>
      </c>
      <c r="Q4821">
        <v>0.24</v>
      </c>
      <c r="R4821">
        <v>1.3519999999999999E-3</v>
      </c>
    </row>
    <row r="4822" spans="1:18" ht="13.8" outlineLevel="2" x14ac:dyDescent="0.25">
      <c r="A4822">
        <v>80145</v>
      </c>
      <c r="B4822" t="s">
        <v>6637</v>
      </c>
      <c r="C4822" t="s">
        <v>6952</v>
      </c>
      <c r="D4822" s="14" t="s">
        <v>6951</v>
      </c>
      <c r="E4822" s="12" t="s">
        <v>28</v>
      </c>
      <c r="F4822" s="13" t="s">
        <v>29</v>
      </c>
      <c r="G4822">
        <v>1</v>
      </c>
      <c r="H4822" t="s">
        <v>420</v>
      </c>
      <c r="I4822">
        <v>1</v>
      </c>
      <c r="J4822" s="15"/>
      <c r="K4822" s="16">
        <f>563.43 - (563.43 * $E$1)</f>
        <v>563.42999999999995</v>
      </c>
      <c r="L4822" s="16">
        <f>461.83 - (461.83 * $E$1)</f>
        <v>461.83</v>
      </c>
      <c r="M4822" s="1">
        <v>563.42999999999995</v>
      </c>
      <c r="N4822" s="1">
        <v>461.83</v>
      </c>
      <c r="O4822" s="1">
        <v>478.92</v>
      </c>
      <c r="P4822" s="1">
        <v>392.56</v>
      </c>
      <c r="Q4822">
        <v>0.28000000000000003</v>
      </c>
      <c r="R4822">
        <v>5.9999999999999995E-4</v>
      </c>
    </row>
    <row r="4823" spans="1:18" ht="13.8" outlineLevel="2" x14ac:dyDescent="0.25">
      <c r="A4823">
        <v>80146</v>
      </c>
      <c r="B4823" t="s">
        <v>6637</v>
      </c>
      <c r="C4823" t="s">
        <v>6953</v>
      </c>
      <c r="D4823" s="14" t="s">
        <v>6951</v>
      </c>
      <c r="E4823" s="12" t="s">
        <v>28</v>
      </c>
      <c r="F4823" s="13" t="s">
        <v>29</v>
      </c>
      <c r="G4823">
        <v>1</v>
      </c>
      <c r="H4823" t="s">
        <v>420</v>
      </c>
      <c r="I4823">
        <v>1</v>
      </c>
      <c r="J4823" s="15"/>
      <c r="K4823" s="16">
        <f>656.73 - (656.73 * $E$1)</f>
        <v>656.73</v>
      </c>
      <c r="L4823" s="16">
        <f>538.3 - (538.3 * $E$1)</f>
        <v>538.29999999999995</v>
      </c>
      <c r="M4823" s="1">
        <v>656.73</v>
      </c>
      <c r="N4823" s="1">
        <v>538.29999999999995</v>
      </c>
      <c r="O4823" s="1">
        <v>558.22</v>
      </c>
      <c r="P4823" s="1">
        <v>457.56</v>
      </c>
      <c r="Q4823">
        <v>0.33</v>
      </c>
      <c r="R4823">
        <v>6.9999999999999999E-4</v>
      </c>
    </row>
    <row r="4824" spans="1:18" ht="13.8" outlineLevel="2" x14ac:dyDescent="0.25">
      <c r="A4824">
        <v>83503</v>
      </c>
      <c r="B4824" t="s">
        <v>6637</v>
      </c>
      <c r="C4824" t="s">
        <v>6954</v>
      </c>
      <c r="D4824" s="14" t="s">
        <v>6955</v>
      </c>
      <c r="E4824" s="12" t="s">
        <v>28</v>
      </c>
      <c r="F4824" s="13" t="s">
        <v>29</v>
      </c>
      <c r="G4824">
        <v>1</v>
      </c>
      <c r="H4824" t="s">
        <v>420</v>
      </c>
      <c r="I4824">
        <v>1</v>
      </c>
      <c r="J4824" s="15"/>
      <c r="K4824" s="16">
        <f>1710.68 - (1710.68 * $E$1)</f>
        <v>1710.68</v>
      </c>
      <c r="L4824" s="16">
        <f>1402.2 - (1402.2 * $E$1)</f>
        <v>1402.2</v>
      </c>
      <c r="M4824" s="1">
        <v>1710.68</v>
      </c>
      <c r="N4824" s="1">
        <v>1402.2</v>
      </c>
      <c r="O4824" s="1">
        <v>1454.08</v>
      </c>
      <c r="P4824" s="1">
        <v>1191.8699999999999</v>
      </c>
      <c r="Q4824">
        <v>0.54</v>
      </c>
      <c r="R4824">
        <v>4.8999999999999998E-3</v>
      </c>
    </row>
    <row r="4825" spans="1:18" ht="13.8" outlineLevel="2" x14ac:dyDescent="0.25">
      <c r="A4825">
        <v>83504</v>
      </c>
      <c r="B4825" t="s">
        <v>6637</v>
      </c>
      <c r="C4825" t="s">
        <v>6956</v>
      </c>
      <c r="D4825" s="14" t="s">
        <v>6955</v>
      </c>
      <c r="E4825" s="12" t="s">
        <v>28</v>
      </c>
      <c r="F4825" s="13" t="s">
        <v>29</v>
      </c>
      <c r="G4825">
        <v>1</v>
      </c>
      <c r="H4825" t="s">
        <v>420</v>
      </c>
      <c r="I4825">
        <v>1</v>
      </c>
      <c r="J4825" s="15"/>
      <c r="K4825" s="16">
        <f>2235.16 - (2235.16 * $E$1)</f>
        <v>2235.16</v>
      </c>
      <c r="L4825" s="16">
        <f>1832.1 - (1832.1 * $E$1)</f>
        <v>1832.1</v>
      </c>
      <c r="M4825" s="1">
        <v>2235.16</v>
      </c>
      <c r="N4825" s="1">
        <v>1832.1</v>
      </c>
      <c r="O4825" s="1">
        <v>1899.89</v>
      </c>
      <c r="P4825" s="1">
        <v>1557.29</v>
      </c>
      <c r="Q4825">
        <v>0.66</v>
      </c>
      <c r="R4825">
        <v>6.4400000000000004E-3</v>
      </c>
    </row>
    <row r="4826" spans="1:18" ht="13.8" outlineLevel="2" x14ac:dyDescent="0.25">
      <c r="A4826">
        <v>55815</v>
      </c>
      <c r="B4826" t="s">
        <v>6637</v>
      </c>
      <c r="C4826" t="s">
        <v>6957</v>
      </c>
      <c r="D4826" s="14" t="s">
        <v>6958</v>
      </c>
      <c r="E4826" s="12" t="s">
        <v>28</v>
      </c>
      <c r="F4826" s="13" t="s">
        <v>29</v>
      </c>
      <c r="G4826">
        <v>1</v>
      </c>
      <c r="H4826" t="s">
        <v>420</v>
      </c>
      <c r="I4826">
        <v>1</v>
      </c>
      <c r="J4826" s="15"/>
      <c r="K4826" s="16">
        <f>101.42 - (101.42 * $E$1)</f>
        <v>101.42</v>
      </c>
      <c r="L4826" s="16">
        <f>83.13 - (83.13 * $E$1)</f>
        <v>83.13</v>
      </c>
      <c r="M4826" s="1">
        <v>101.42</v>
      </c>
      <c r="N4826" s="1">
        <v>83.13</v>
      </c>
      <c r="O4826" s="1">
        <v>86.21</v>
      </c>
      <c r="P4826" s="1">
        <v>70.66</v>
      </c>
      <c r="Q4826">
        <v>0.06</v>
      </c>
      <c r="R4826">
        <v>2.8800000000000001E-4</v>
      </c>
    </row>
    <row r="4827" spans="1:18" ht="13.8" outlineLevel="2" x14ac:dyDescent="0.25">
      <c r="A4827">
        <v>55817</v>
      </c>
      <c r="B4827" t="s">
        <v>6637</v>
      </c>
      <c r="C4827" t="s">
        <v>6959</v>
      </c>
      <c r="D4827" s="14" t="s">
        <v>6958</v>
      </c>
      <c r="E4827" s="12" t="s">
        <v>28</v>
      </c>
      <c r="F4827" s="13" t="s">
        <v>29</v>
      </c>
      <c r="G4827">
        <v>1</v>
      </c>
      <c r="H4827" t="s">
        <v>420</v>
      </c>
      <c r="I4827">
        <v>1</v>
      </c>
      <c r="J4827" s="15"/>
      <c r="K4827" s="16">
        <f>130.24 - (130.24 * $E$1)</f>
        <v>130.24</v>
      </c>
      <c r="L4827" s="16">
        <f>106.75 - (106.75 * $E$1)</f>
        <v>106.75</v>
      </c>
      <c r="M4827" s="1">
        <v>130.24</v>
      </c>
      <c r="N4827" s="1">
        <v>106.75</v>
      </c>
      <c r="O4827" s="1">
        <v>110.7</v>
      </c>
      <c r="P4827" s="1">
        <v>90.74</v>
      </c>
      <c r="Q4827">
        <v>7.1999999999999995E-2</v>
      </c>
      <c r="R4827">
        <v>3.7800000000000003E-4</v>
      </c>
    </row>
    <row r="4828" spans="1:18" ht="13.8" outlineLevel="2" x14ac:dyDescent="0.25">
      <c r="A4828">
        <v>55818</v>
      </c>
      <c r="B4828" t="s">
        <v>6637</v>
      </c>
      <c r="C4828" t="s">
        <v>6960</v>
      </c>
      <c r="D4828" s="14" t="s">
        <v>6958</v>
      </c>
      <c r="E4828" s="12" t="s">
        <v>28</v>
      </c>
      <c r="F4828" s="13" t="s">
        <v>29</v>
      </c>
      <c r="G4828">
        <v>1</v>
      </c>
      <c r="H4828" t="s">
        <v>420</v>
      </c>
      <c r="I4828">
        <v>1</v>
      </c>
      <c r="J4828" s="15"/>
      <c r="K4828" s="16">
        <f>153.83 - (153.83 * $E$1)</f>
        <v>153.83000000000001</v>
      </c>
      <c r="L4828" s="16">
        <f>126.09 - (126.09 * $E$1)</f>
        <v>126.09</v>
      </c>
      <c r="M4828" s="1">
        <v>153.83000000000001</v>
      </c>
      <c r="N4828" s="1">
        <v>126.09</v>
      </c>
      <c r="O4828" s="1">
        <v>130.76</v>
      </c>
      <c r="P4828" s="1">
        <v>107.18</v>
      </c>
      <c r="Q4828">
        <v>9.0999999999999998E-2</v>
      </c>
      <c r="R4828">
        <v>5.7600000000000001E-4</v>
      </c>
    </row>
    <row r="4829" spans="1:18" ht="13.8" outlineLevel="2" x14ac:dyDescent="0.25">
      <c r="A4829">
        <v>64772</v>
      </c>
      <c r="B4829" t="s">
        <v>6637</v>
      </c>
      <c r="C4829" t="s">
        <v>6961</v>
      </c>
      <c r="D4829" s="14" t="s">
        <v>6962</v>
      </c>
      <c r="E4829" s="12" t="s">
        <v>28</v>
      </c>
      <c r="F4829" s="13" t="s">
        <v>29</v>
      </c>
      <c r="G4829">
        <v>1</v>
      </c>
      <c r="H4829" t="s">
        <v>420</v>
      </c>
      <c r="I4829">
        <v>1</v>
      </c>
      <c r="J4829" s="15"/>
      <c r="K4829" s="16">
        <f>125.54 - (125.54 * $E$1)</f>
        <v>125.54</v>
      </c>
      <c r="L4829" s="16">
        <f>102.9 - (102.9 * $E$1)</f>
        <v>102.9</v>
      </c>
      <c r="M4829" s="1">
        <v>125.54</v>
      </c>
      <c r="N4829" s="1">
        <v>102.9</v>
      </c>
      <c r="O4829" s="1">
        <v>106.71</v>
      </c>
      <c r="P4829" s="1">
        <v>87.47</v>
      </c>
      <c r="Q4829">
        <v>5.5E-2</v>
      </c>
      <c r="R4829">
        <v>9.6000000000000002E-4</v>
      </c>
    </row>
    <row r="4830" spans="1:18" ht="13.8" outlineLevel="2" x14ac:dyDescent="0.25">
      <c r="A4830">
        <v>64773</v>
      </c>
      <c r="B4830" t="s">
        <v>6637</v>
      </c>
      <c r="C4830" t="s">
        <v>6963</v>
      </c>
      <c r="D4830" s="14" t="s">
        <v>6962</v>
      </c>
      <c r="E4830" s="12" t="s">
        <v>28</v>
      </c>
      <c r="F4830" s="13" t="s">
        <v>29</v>
      </c>
      <c r="G4830">
        <v>1</v>
      </c>
      <c r="H4830" t="s">
        <v>420</v>
      </c>
      <c r="I4830">
        <v>1</v>
      </c>
      <c r="J4830" s="15"/>
      <c r="K4830" s="16">
        <f>401.17 - (401.17 * $E$1)</f>
        <v>401.17</v>
      </c>
      <c r="L4830" s="16">
        <f>328.83 - (328.83 * $E$1)</f>
        <v>328.83</v>
      </c>
      <c r="M4830" s="1">
        <v>401.17</v>
      </c>
      <c r="N4830" s="1">
        <v>328.83</v>
      </c>
      <c r="O4830" s="1">
        <v>341</v>
      </c>
      <c r="P4830" s="1">
        <v>279.51</v>
      </c>
      <c r="Q4830">
        <v>0.17</v>
      </c>
      <c r="R4830">
        <v>2.232E-3</v>
      </c>
    </row>
    <row r="4831" spans="1:18" ht="13.8" outlineLevel="2" x14ac:dyDescent="0.25">
      <c r="A4831">
        <v>64774</v>
      </c>
      <c r="B4831" t="s">
        <v>6637</v>
      </c>
      <c r="C4831" t="s">
        <v>6964</v>
      </c>
      <c r="D4831" s="14" t="s">
        <v>6962</v>
      </c>
      <c r="E4831" s="12" t="s">
        <v>28</v>
      </c>
      <c r="F4831" s="13" t="s">
        <v>29</v>
      </c>
      <c r="G4831">
        <v>1</v>
      </c>
      <c r="H4831" t="s">
        <v>420</v>
      </c>
      <c r="I4831">
        <v>1</v>
      </c>
      <c r="J4831" s="15"/>
      <c r="K4831" s="16">
        <f>620.92 - (620.92 * $E$1)</f>
        <v>620.91999999999996</v>
      </c>
      <c r="L4831" s="16">
        <f>508.95 - (508.95 * $E$1)</f>
        <v>508.95</v>
      </c>
      <c r="M4831" s="1">
        <v>620.91999999999996</v>
      </c>
      <c r="N4831" s="1">
        <v>508.95</v>
      </c>
      <c r="O4831" s="1">
        <v>527.78</v>
      </c>
      <c r="P4831" s="1">
        <v>432.61</v>
      </c>
      <c r="Q4831">
        <v>0.25</v>
      </c>
      <c r="R4831">
        <v>3.2399999999999998E-3</v>
      </c>
    </row>
    <row r="4832" spans="1:18" ht="13.8" outlineLevel="2" x14ac:dyDescent="0.25">
      <c r="A4832">
        <v>59294</v>
      </c>
      <c r="B4832" t="s">
        <v>6965</v>
      </c>
      <c r="C4832" t="s">
        <v>6966</v>
      </c>
      <c r="D4832" s="14" t="s">
        <v>6967</v>
      </c>
      <c r="E4832" s="12" t="s">
        <v>28</v>
      </c>
      <c r="F4832" s="13" t="s">
        <v>29</v>
      </c>
      <c r="G4832">
        <v>20</v>
      </c>
      <c r="H4832" t="s">
        <v>30</v>
      </c>
      <c r="I4832">
        <v>20</v>
      </c>
      <c r="J4832" s="15"/>
      <c r="K4832" s="16">
        <f>15.2 - (15.2 * $E$1)</f>
        <v>15.2</v>
      </c>
      <c r="L4832" s="16">
        <f>12.46 - (12.46 * $E$1)</f>
        <v>12.46</v>
      </c>
      <c r="M4832" s="1">
        <v>15.2</v>
      </c>
      <c r="N4832" s="1">
        <v>12.46</v>
      </c>
      <c r="O4832" s="1">
        <v>12.92</v>
      </c>
      <c r="P4832" s="1">
        <v>10.59</v>
      </c>
      <c r="Q4832">
        <v>1E-3</v>
      </c>
      <c r="R4832">
        <v>9.5999999999999996E-6</v>
      </c>
    </row>
    <row r="4833" spans="1:18" ht="13.8" outlineLevel="2" x14ac:dyDescent="0.25">
      <c r="A4833">
        <v>59468</v>
      </c>
      <c r="B4833" t="s">
        <v>6965</v>
      </c>
      <c r="C4833" t="s">
        <v>6968</v>
      </c>
      <c r="D4833" s="14" t="s">
        <v>6967</v>
      </c>
      <c r="E4833" s="12" t="s">
        <v>28</v>
      </c>
      <c r="F4833" s="13" t="s">
        <v>29</v>
      </c>
      <c r="G4833">
        <v>20</v>
      </c>
      <c r="H4833" t="s">
        <v>30</v>
      </c>
      <c r="I4833">
        <v>20</v>
      </c>
      <c r="J4833" s="15"/>
      <c r="K4833" s="16">
        <f>29.82 - (29.82 * $E$1)</f>
        <v>29.82</v>
      </c>
      <c r="L4833" s="16">
        <f>24.44 - (24.44 * $E$1)</f>
        <v>24.44</v>
      </c>
      <c r="M4833" s="1">
        <v>29.82</v>
      </c>
      <c r="N4833" s="1">
        <v>24.44</v>
      </c>
      <c r="O4833" s="1">
        <v>25.34</v>
      </c>
      <c r="P4833" s="1">
        <v>20.77</v>
      </c>
      <c r="Q4833">
        <v>1.5E-3</v>
      </c>
      <c r="R4833">
        <v>1.56E-5</v>
      </c>
    </row>
    <row r="4834" spans="1:18" ht="13.8" outlineLevel="2" x14ac:dyDescent="0.25">
      <c r="A4834">
        <v>59295</v>
      </c>
      <c r="B4834" t="s">
        <v>6965</v>
      </c>
      <c r="C4834" t="s">
        <v>6969</v>
      </c>
      <c r="D4834" s="14" t="s">
        <v>6967</v>
      </c>
      <c r="E4834" s="12" t="s">
        <v>28</v>
      </c>
      <c r="F4834" s="13" t="s">
        <v>29</v>
      </c>
      <c r="G4834">
        <v>20</v>
      </c>
      <c r="H4834" t="s">
        <v>30</v>
      </c>
      <c r="I4834">
        <v>20</v>
      </c>
      <c r="J4834" s="15"/>
      <c r="K4834" s="16">
        <f>42.29 - (42.29 * $E$1)</f>
        <v>42.29</v>
      </c>
      <c r="L4834" s="16">
        <f>34.66 - (34.66 * $E$1)</f>
        <v>34.659999999999997</v>
      </c>
      <c r="M4834" s="1">
        <v>42.29</v>
      </c>
      <c r="N4834" s="1">
        <v>34.659999999999997</v>
      </c>
      <c r="O4834" s="1">
        <v>35.94</v>
      </c>
      <c r="P4834" s="1">
        <v>29.46</v>
      </c>
      <c r="Q4834">
        <v>2.5000000000000001E-3</v>
      </c>
      <c r="R4834">
        <v>2.0999999999999999E-5</v>
      </c>
    </row>
    <row r="4835" spans="1:18" ht="13.8" outlineLevel="2" x14ac:dyDescent="0.25">
      <c r="A4835">
        <v>53715</v>
      </c>
      <c r="B4835" t="s">
        <v>6965</v>
      </c>
      <c r="C4835" t="s">
        <v>6970</v>
      </c>
      <c r="D4835" s="14" t="s">
        <v>6967</v>
      </c>
      <c r="E4835" s="12" t="s">
        <v>28</v>
      </c>
      <c r="F4835" s="13" t="s">
        <v>29</v>
      </c>
      <c r="G4835">
        <v>20</v>
      </c>
      <c r="H4835" t="s">
        <v>30</v>
      </c>
      <c r="I4835">
        <v>20</v>
      </c>
      <c r="J4835" s="15"/>
      <c r="K4835" s="16">
        <f>20.61 - (20.61 * $E$1)</f>
        <v>20.61</v>
      </c>
      <c r="L4835" s="16">
        <f>16.89 - (16.89 * $E$1)</f>
        <v>16.89</v>
      </c>
      <c r="M4835" s="1">
        <v>20.61</v>
      </c>
      <c r="N4835" s="1">
        <v>16.89</v>
      </c>
      <c r="O4835" s="1">
        <v>17.510000000000002</v>
      </c>
      <c r="P4835" s="1">
        <v>14.36</v>
      </c>
      <c r="Q4835">
        <v>3.3E-3</v>
      </c>
      <c r="R4835">
        <v>3.1250000000000001E-5</v>
      </c>
    </row>
    <row r="4836" spans="1:18" ht="13.8" outlineLevel="2" x14ac:dyDescent="0.25">
      <c r="A4836">
        <v>53716</v>
      </c>
      <c r="B4836" t="s">
        <v>6965</v>
      </c>
      <c r="C4836" t="s">
        <v>6971</v>
      </c>
      <c r="D4836" s="14" t="s">
        <v>6967</v>
      </c>
      <c r="E4836" s="12" t="s">
        <v>28</v>
      </c>
      <c r="F4836" s="17" t="s">
        <v>549</v>
      </c>
      <c r="G4836">
        <v>20</v>
      </c>
      <c r="H4836" t="s">
        <v>30</v>
      </c>
      <c r="I4836">
        <v>20</v>
      </c>
      <c r="J4836" s="15"/>
      <c r="K4836" s="16">
        <f>29.22 - (29.22 * $E$1)</f>
        <v>29.22</v>
      </c>
      <c r="L4836" s="16">
        <f>23.95 - (23.95 * $E$1)</f>
        <v>23.95</v>
      </c>
      <c r="M4836" s="1">
        <v>29.22</v>
      </c>
      <c r="N4836" s="1">
        <v>23.95</v>
      </c>
      <c r="O4836" s="1">
        <v>24.84</v>
      </c>
      <c r="P4836" s="1">
        <v>20.36</v>
      </c>
      <c r="Q4836">
        <v>2.5000000000000001E-3</v>
      </c>
      <c r="R4836">
        <v>2.16E-5</v>
      </c>
    </row>
    <row r="4837" spans="1:18" ht="13.8" outlineLevel="2" x14ac:dyDescent="0.25">
      <c r="A4837">
        <v>55290</v>
      </c>
      <c r="B4837" t="s">
        <v>6965</v>
      </c>
      <c r="C4837" t="s">
        <v>6972</v>
      </c>
      <c r="D4837" s="14" t="s">
        <v>6967</v>
      </c>
      <c r="E4837" s="12" t="s">
        <v>28</v>
      </c>
      <c r="F4837" s="13" t="s">
        <v>29</v>
      </c>
      <c r="G4837">
        <v>20</v>
      </c>
      <c r="H4837" t="s">
        <v>30</v>
      </c>
      <c r="I4837">
        <v>20</v>
      </c>
      <c r="J4837" s="15"/>
      <c r="K4837" s="16">
        <f>10.5 - (10.5 * $E$1)</f>
        <v>10.5</v>
      </c>
      <c r="L4837" s="16">
        <f>8.61 - (8.61 * $E$1)</f>
        <v>8.61</v>
      </c>
      <c r="M4837" s="1">
        <v>10.5</v>
      </c>
      <c r="N4837" s="1">
        <v>8.61</v>
      </c>
      <c r="O4837" s="1">
        <v>8.93</v>
      </c>
      <c r="P4837" s="1">
        <v>7.32</v>
      </c>
      <c r="Q4837">
        <v>1.8E-3</v>
      </c>
      <c r="R4837">
        <v>7.3499999999999999E-6</v>
      </c>
    </row>
    <row r="4838" spans="1:18" ht="13.8" outlineLevel="2" x14ac:dyDescent="0.25">
      <c r="A4838">
        <v>55292</v>
      </c>
      <c r="B4838" t="s">
        <v>6965</v>
      </c>
      <c r="C4838" t="s">
        <v>6973</v>
      </c>
      <c r="D4838" s="14" t="s">
        <v>6967</v>
      </c>
      <c r="E4838" s="12" t="s">
        <v>28</v>
      </c>
      <c r="F4838" s="13" t="s">
        <v>29</v>
      </c>
      <c r="G4838">
        <v>20</v>
      </c>
      <c r="H4838" t="s">
        <v>30</v>
      </c>
      <c r="I4838">
        <v>20</v>
      </c>
      <c r="J4838" s="15"/>
      <c r="K4838" s="16">
        <f>22.55 - (22.55 * $E$1)</f>
        <v>22.55</v>
      </c>
      <c r="L4838" s="16">
        <f>18.48 - (18.48 * $E$1)</f>
        <v>18.48</v>
      </c>
      <c r="M4838" s="1">
        <v>22.55</v>
      </c>
      <c r="N4838" s="1">
        <v>18.48</v>
      </c>
      <c r="O4838" s="1">
        <v>19.16</v>
      </c>
      <c r="P4838" s="1">
        <v>15.71</v>
      </c>
      <c r="Q4838">
        <v>3.8999999999999998E-3</v>
      </c>
      <c r="R4838">
        <v>3.1250000000000001E-5</v>
      </c>
    </row>
    <row r="4839" spans="1:18" ht="13.8" outlineLevel="2" x14ac:dyDescent="0.25">
      <c r="A4839">
        <v>55293</v>
      </c>
      <c r="B4839" t="s">
        <v>6965</v>
      </c>
      <c r="C4839" t="s">
        <v>6974</v>
      </c>
      <c r="D4839" s="14" t="s">
        <v>6967</v>
      </c>
      <c r="E4839" s="12" t="s">
        <v>28</v>
      </c>
      <c r="F4839" s="17" t="s">
        <v>549</v>
      </c>
      <c r="G4839">
        <v>20</v>
      </c>
      <c r="H4839" t="s">
        <v>30</v>
      </c>
      <c r="I4839">
        <v>20</v>
      </c>
      <c r="J4839" s="15"/>
      <c r="K4839" s="16">
        <f>32.32 - (32.32 * $E$1)</f>
        <v>32.32</v>
      </c>
      <c r="L4839" s="16">
        <f>26.49 - (26.49 * $E$1)</f>
        <v>26.49</v>
      </c>
      <c r="M4839" s="1">
        <v>32.32</v>
      </c>
      <c r="N4839" s="1">
        <v>26.49</v>
      </c>
      <c r="O4839" s="1">
        <v>27.47</v>
      </c>
      <c r="P4839" s="1">
        <v>22.52</v>
      </c>
      <c r="Q4839">
        <v>5.0000000000000001E-3</v>
      </c>
      <c r="R4839">
        <v>3.875E-5</v>
      </c>
    </row>
    <row r="4840" spans="1:18" ht="13.8" outlineLevel="2" x14ac:dyDescent="0.25">
      <c r="A4840">
        <v>75039</v>
      </c>
      <c r="B4840" t="s">
        <v>6965</v>
      </c>
      <c r="C4840" t="s">
        <v>6975</v>
      </c>
      <c r="D4840" s="14" t="s">
        <v>6976</v>
      </c>
      <c r="E4840" s="12" t="s">
        <v>28</v>
      </c>
      <c r="F4840" s="13" t="s">
        <v>29</v>
      </c>
      <c r="G4840">
        <v>10</v>
      </c>
      <c r="H4840" t="s">
        <v>30</v>
      </c>
      <c r="I4840">
        <v>10</v>
      </c>
      <c r="J4840" s="15"/>
      <c r="K4840" s="16">
        <f>29.79 - (29.79 * $E$1)</f>
        <v>29.79</v>
      </c>
      <c r="L4840" s="16">
        <f>24.42 - (24.42 * $E$1)</f>
        <v>24.42</v>
      </c>
      <c r="M4840" s="1">
        <v>29.79</v>
      </c>
      <c r="N4840" s="1">
        <v>24.42</v>
      </c>
      <c r="O4840" s="1">
        <v>25.32</v>
      </c>
      <c r="P4840" s="1">
        <v>20.76</v>
      </c>
      <c r="Q4840">
        <v>2.8999999999999998E-3</v>
      </c>
      <c r="R4840">
        <v>2.1699999999999999E-5</v>
      </c>
    </row>
    <row r="4841" spans="1:18" ht="13.8" outlineLevel="2" x14ac:dyDescent="0.25">
      <c r="A4841">
        <v>75045</v>
      </c>
      <c r="B4841" t="s">
        <v>6965</v>
      </c>
      <c r="C4841" t="s">
        <v>6977</v>
      </c>
      <c r="D4841" s="14" t="s">
        <v>6976</v>
      </c>
      <c r="E4841" s="12" t="s">
        <v>28</v>
      </c>
      <c r="F4841" s="13" t="s">
        <v>29</v>
      </c>
      <c r="G4841">
        <v>10</v>
      </c>
      <c r="H4841" t="s">
        <v>30</v>
      </c>
      <c r="I4841">
        <v>10</v>
      </c>
      <c r="J4841" s="15"/>
      <c r="K4841" s="16">
        <f>34.98 - (34.98 * $E$1)</f>
        <v>34.979999999999997</v>
      </c>
      <c r="L4841" s="16">
        <f>28.67 - (28.67 * $E$1)</f>
        <v>28.67</v>
      </c>
      <c r="M4841" s="1">
        <v>34.979999999999997</v>
      </c>
      <c r="N4841" s="1">
        <v>28.67</v>
      </c>
      <c r="O4841" s="1">
        <v>29.73</v>
      </c>
      <c r="P4841" s="1">
        <v>24.37</v>
      </c>
      <c r="Q4841">
        <v>3.5000000000000001E-3</v>
      </c>
      <c r="R4841">
        <v>3.1900000000000003E-5</v>
      </c>
    </row>
    <row r="4842" spans="1:18" ht="13.8" outlineLevel="2" x14ac:dyDescent="0.25">
      <c r="A4842">
        <v>78435</v>
      </c>
      <c r="B4842" t="s">
        <v>6978</v>
      </c>
      <c r="C4842" t="s">
        <v>6979</v>
      </c>
      <c r="D4842" s="14" t="s">
        <v>6980</v>
      </c>
      <c r="E4842" s="12" t="s">
        <v>28</v>
      </c>
      <c r="F4842" s="13" t="s">
        <v>29</v>
      </c>
      <c r="G4842">
        <v>1</v>
      </c>
      <c r="H4842" t="s">
        <v>30</v>
      </c>
      <c r="I4842">
        <v>1</v>
      </c>
      <c r="J4842" s="15"/>
      <c r="K4842" s="16">
        <f>457.93 - (457.93 * $E$1)</f>
        <v>457.93</v>
      </c>
      <c r="L4842" s="16">
        <f>375.35 - (375.35 * $E$1)</f>
        <v>375.35</v>
      </c>
      <c r="M4842" s="1">
        <v>457.93</v>
      </c>
      <c r="N4842" s="1">
        <v>375.35</v>
      </c>
      <c r="O4842" s="1">
        <v>389.24</v>
      </c>
      <c r="P4842" s="1">
        <v>319.05</v>
      </c>
      <c r="Q4842">
        <v>0.04</v>
      </c>
      <c r="R4842">
        <v>1.3799999999999999E-4</v>
      </c>
    </row>
    <row r="4843" spans="1:18" ht="13.8" outlineLevel="2" x14ac:dyDescent="0.25">
      <c r="A4843">
        <v>78437</v>
      </c>
      <c r="B4843" t="s">
        <v>6978</v>
      </c>
      <c r="C4843" t="s">
        <v>6981</v>
      </c>
      <c r="D4843" s="14" t="s">
        <v>6980</v>
      </c>
      <c r="E4843" s="12" t="s">
        <v>28</v>
      </c>
      <c r="F4843" s="13" t="s">
        <v>29</v>
      </c>
      <c r="G4843">
        <v>1</v>
      </c>
      <c r="H4843" t="s">
        <v>30</v>
      </c>
      <c r="I4843">
        <v>1</v>
      </c>
      <c r="J4843" s="15"/>
      <c r="K4843" s="16">
        <f>555.11 - (555.11 * $E$1)</f>
        <v>555.11</v>
      </c>
      <c r="L4843" s="16">
        <f>455.01 - (455.01 * $E$1)</f>
        <v>455.01</v>
      </c>
      <c r="M4843" s="1">
        <v>555.11</v>
      </c>
      <c r="N4843" s="1">
        <v>455.01</v>
      </c>
      <c r="O4843" s="1">
        <v>471.85</v>
      </c>
      <c r="P4843" s="1">
        <v>386.76</v>
      </c>
      <c r="Q4843">
        <v>0.04</v>
      </c>
      <c r="R4843">
        <v>1.45E-4</v>
      </c>
    </row>
    <row r="4844" spans="1:18" ht="13.8" outlineLevel="2" x14ac:dyDescent="0.25">
      <c r="A4844">
        <v>107113</v>
      </c>
      <c r="B4844" t="s">
        <v>6982</v>
      </c>
      <c r="C4844" t="s">
        <v>6983</v>
      </c>
      <c r="D4844" s="14" t="s">
        <v>6984</v>
      </c>
      <c r="E4844" s="12" t="s">
        <v>28</v>
      </c>
      <c r="F4844" s="18" t="s">
        <v>1467</v>
      </c>
      <c r="G4844">
        <v>1</v>
      </c>
      <c r="H4844" t="s">
        <v>420</v>
      </c>
      <c r="I4844">
        <v>1</v>
      </c>
      <c r="J4844" s="15"/>
      <c r="K4844" s="16">
        <f>1353 - (1353 * $E$1)</f>
        <v>1353</v>
      </c>
      <c r="L4844" s="16">
        <f>1109.02 - (1109.02 * $E$1)</f>
        <v>1109.02</v>
      </c>
      <c r="M4844" s="1">
        <v>1353</v>
      </c>
      <c r="N4844" s="1">
        <v>1109.02</v>
      </c>
      <c r="O4844" s="1">
        <v>1150.05</v>
      </c>
      <c r="P4844" s="1">
        <v>942.67</v>
      </c>
      <c r="Q4844">
        <v>0.7</v>
      </c>
      <c r="R4844">
        <v>3.0000000000000001E-3</v>
      </c>
    </row>
    <row r="4845" spans="1:18" ht="16.5" customHeight="1" outlineLevel="1" x14ac:dyDescent="0.35">
      <c r="A4845" s="9"/>
      <c r="B4845" s="10" t="s">
        <v>6985</v>
      </c>
      <c r="C4845" s="10"/>
      <c r="D4845" s="10"/>
      <c r="E4845" s="10"/>
      <c r="F4845" s="10"/>
      <c r="G4845" s="10"/>
      <c r="H4845" s="10"/>
      <c r="I4845" s="10"/>
      <c r="J4845" s="10"/>
      <c r="K4845" s="10"/>
      <c r="L4845" s="10"/>
      <c r="M4845" s="10"/>
      <c r="N4845" s="10"/>
      <c r="O4845" s="10"/>
      <c r="P4845" s="10"/>
      <c r="Q4845" s="10"/>
      <c r="R4845" s="11"/>
    </row>
    <row r="4846" spans="1:18" ht="13.8" outlineLevel="2" x14ac:dyDescent="0.25">
      <c r="A4846">
        <v>56866</v>
      </c>
      <c r="B4846" t="s">
        <v>6986</v>
      </c>
      <c r="C4846" t="s">
        <v>6987</v>
      </c>
      <c r="D4846" s="14" t="s">
        <v>6988</v>
      </c>
      <c r="E4846" s="12" t="s">
        <v>28</v>
      </c>
      <c r="F4846" s="13" t="s">
        <v>29</v>
      </c>
      <c r="G4846">
        <v>1</v>
      </c>
      <c r="H4846" t="s">
        <v>420</v>
      </c>
      <c r="I4846">
        <v>1</v>
      </c>
      <c r="J4846" s="15"/>
      <c r="K4846" s="16">
        <f>97.3 - (97.3 * $E$1)</f>
        <v>97.3</v>
      </c>
      <c r="L4846" s="16">
        <f>79.75 - (79.75 * $E$1)</f>
        <v>79.75</v>
      </c>
      <c r="M4846" s="1">
        <v>97.3</v>
      </c>
      <c r="N4846" s="1">
        <v>79.75</v>
      </c>
      <c r="O4846" s="1">
        <v>82.7</v>
      </c>
      <c r="P4846" s="1">
        <v>67.790000000000006</v>
      </c>
      <c r="Q4846">
        <v>7.3999999999999996E-2</v>
      </c>
      <c r="R4846">
        <v>4.6200000000000001E-4</v>
      </c>
    </row>
    <row r="4847" spans="1:18" ht="13.8" outlineLevel="2" x14ac:dyDescent="0.25">
      <c r="A4847">
        <v>56867</v>
      </c>
      <c r="B4847" t="s">
        <v>6986</v>
      </c>
      <c r="C4847" t="s">
        <v>6989</v>
      </c>
      <c r="D4847" s="14" t="s">
        <v>6990</v>
      </c>
      <c r="E4847" s="12" t="s">
        <v>28</v>
      </c>
      <c r="F4847" s="13" t="s">
        <v>29</v>
      </c>
      <c r="G4847">
        <v>1</v>
      </c>
      <c r="H4847" t="s">
        <v>420</v>
      </c>
      <c r="I4847">
        <v>1</v>
      </c>
      <c r="J4847" s="15"/>
      <c r="K4847" s="16">
        <f>125.43 - (125.43 * $E$1)</f>
        <v>125.43</v>
      </c>
      <c r="L4847" s="16">
        <f>102.81 - (102.81 * $E$1)</f>
        <v>102.81</v>
      </c>
      <c r="M4847" s="1">
        <v>125.43</v>
      </c>
      <c r="N4847" s="1">
        <v>102.81</v>
      </c>
      <c r="O4847" s="1">
        <v>106.61</v>
      </c>
      <c r="P4847" s="1">
        <v>87.39</v>
      </c>
      <c r="Q4847">
        <v>8.5999999999999993E-2</v>
      </c>
      <c r="R4847">
        <v>7.5299999999999998E-4</v>
      </c>
    </row>
    <row r="4848" spans="1:18" ht="13.8" outlineLevel="2" x14ac:dyDescent="0.25">
      <c r="A4848">
        <v>57551</v>
      </c>
      <c r="B4848" t="s">
        <v>6986</v>
      </c>
      <c r="C4848" t="s">
        <v>6991</v>
      </c>
      <c r="D4848" s="14" t="s">
        <v>6992</v>
      </c>
      <c r="E4848" s="12" t="s">
        <v>28</v>
      </c>
      <c r="F4848" s="13" t="s">
        <v>29</v>
      </c>
      <c r="G4848">
        <v>1</v>
      </c>
      <c r="H4848" t="s">
        <v>420</v>
      </c>
      <c r="I4848">
        <v>1</v>
      </c>
      <c r="J4848" s="15"/>
      <c r="K4848" s="16">
        <f>140.62 - (140.62 * $E$1)</f>
        <v>140.62</v>
      </c>
      <c r="L4848" s="16">
        <f>115.26 - (115.26 * $E$1)</f>
        <v>115.26</v>
      </c>
      <c r="M4848" s="1">
        <v>140.62</v>
      </c>
      <c r="N4848" s="1">
        <v>115.26</v>
      </c>
      <c r="O4848" s="1">
        <v>119.52</v>
      </c>
      <c r="P4848" s="1">
        <v>97.97</v>
      </c>
      <c r="Q4848">
        <v>0.105</v>
      </c>
      <c r="R4848">
        <v>9.6400000000000001E-4</v>
      </c>
    </row>
    <row r="4849" spans="1:18" ht="13.8" outlineLevel="2" x14ac:dyDescent="0.25">
      <c r="A4849">
        <v>59544</v>
      </c>
      <c r="B4849" t="s">
        <v>6986</v>
      </c>
      <c r="C4849" t="s">
        <v>6993</v>
      </c>
      <c r="D4849" s="14" t="s">
        <v>6994</v>
      </c>
      <c r="E4849" s="12" t="s">
        <v>28</v>
      </c>
      <c r="F4849" s="13" t="s">
        <v>29</v>
      </c>
      <c r="G4849">
        <v>1</v>
      </c>
      <c r="H4849" t="s">
        <v>420</v>
      </c>
      <c r="I4849">
        <v>1</v>
      </c>
      <c r="J4849" s="15"/>
      <c r="K4849" s="16">
        <f>98.15 - (98.15 * $E$1)</f>
        <v>98.15</v>
      </c>
      <c r="L4849" s="16">
        <f>80.45 - (80.45 * $E$1)</f>
        <v>80.45</v>
      </c>
      <c r="M4849" s="1">
        <v>98.15</v>
      </c>
      <c r="N4849" s="1">
        <v>80.45</v>
      </c>
      <c r="O4849" s="1">
        <v>83.43</v>
      </c>
      <c r="P4849" s="1">
        <v>68.38</v>
      </c>
      <c r="Q4849">
        <v>7.3999999999999996E-2</v>
      </c>
      <c r="R4849">
        <v>4.6200000000000001E-4</v>
      </c>
    </row>
    <row r="4850" spans="1:18" ht="13.8" outlineLevel="2" x14ac:dyDescent="0.25">
      <c r="A4850">
        <v>59565</v>
      </c>
      <c r="B4850" t="s">
        <v>6986</v>
      </c>
      <c r="C4850" t="s">
        <v>6995</v>
      </c>
      <c r="D4850" s="14" t="s">
        <v>6996</v>
      </c>
      <c r="E4850" s="12" t="s">
        <v>28</v>
      </c>
      <c r="F4850" s="13" t="s">
        <v>29</v>
      </c>
      <c r="G4850">
        <v>1</v>
      </c>
      <c r="H4850" t="s">
        <v>420</v>
      </c>
      <c r="I4850">
        <v>1</v>
      </c>
      <c r="J4850" s="15"/>
      <c r="K4850" s="16">
        <f>126.66 - (126.66 * $E$1)</f>
        <v>126.66</v>
      </c>
      <c r="L4850" s="16">
        <f>103.82 - (103.82 * $E$1)</f>
        <v>103.82</v>
      </c>
      <c r="M4850" s="1">
        <v>126.66</v>
      </c>
      <c r="N4850" s="1">
        <v>103.82</v>
      </c>
      <c r="O4850" s="1">
        <v>107.66</v>
      </c>
      <c r="P4850" s="1">
        <v>88.25</v>
      </c>
      <c r="Q4850">
        <v>0.105</v>
      </c>
      <c r="R4850">
        <v>7.5299999999999998E-4</v>
      </c>
    </row>
    <row r="4851" spans="1:18" ht="13.8" outlineLevel="2" x14ac:dyDescent="0.25">
      <c r="A4851">
        <v>59566</v>
      </c>
      <c r="B4851" t="s">
        <v>6986</v>
      </c>
      <c r="C4851" t="s">
        <v>6997</v>
      </c>
      <c r="D4851" s="14" t="s">
        <v>6998</v>
      </c>
      <c r="E4851" s="12" t="s">
        <v>28</v>
      </c>
      <c r="F4851" s="13" t="s">
        <v>29</v>
      </c>
      <c r="G4851">
        <v>1</v>
      </c>
      <c r="H4851" t="s">
        <v>420</v>
      </c>
      <c r="I4851">
        <v>1</v>
      </c>
      <c r="J4851" s="15"/>
      <c r="K4851" s="16">
        <f>142.04 - (142.04 * $E$1)</f>
        <v>142.04</v>
      </c>
      <c r="L4851" s="16">
        <f>116.43 - (116.43 * $E$1)</f>
        <v>116.43</v>
      </c>
      <c r="M4851" s="1">
        <v>142.04</v>
      </c>
      <c r="N4851" s="1">
        <v>116.43</v>
      </c>
      <c r="O4851" s="1">
        <v>120.74</v>
      </c>
      <c r="P4851" s="1">
        <v>98.97</v>
      </c>
      <c r="Q4851">
        <v>0.105</v>
      </c>
      <c r="R4851">
        <v>9.6400000000000001E-4</v>
      </c>
    </row>
    <row r="4852" spans="1:18" ht="13.8" outlineLevel="2" x14ac:dyDescent="0.25">
      <c r="A4852">
        <v>59234</v>
      </c>
      <c r="B4852" t="s">
        <v>6986</v>
      </c>
      <c r="C4852" t="s">
        <v>6999</v>
      </c>
      <c r="D4852" s="14" t="s">
        <v>7000</v>
      </c>
      <c r="E4852" s="12" t="s">
        <v>28</v>
      </c>
      <c r="F4852" s="13" t="s">
        <v>29</v>
      </c>
      <c r="G4852">
        <v>1</v>
      </c>
      <c r="H4852" t="s">
        <v>420</v>
      </c>
      <c r="I4852">
        <v>1</v>
      </c>
      <c r="J4852" s="15"/>
      <c r="K4852" s="16">
        <f>106.01 - (106.01 * $E$1)</f>
        <v>106.01</v>
      </c>
      <c r="L4852" s="16">
        <f>86.89 - (86.89 * $E$1)</f>
        <v>86.89</v>
      </c>
      <c r="M4852" s="1">
        <v>106.01</v>
      </c>
      <c r="N4852" s="1">
        <v>86.89</v>
      </c>
      <c r="O4852" s="1">
        <v>90.1</v>
      </c>
      <c r="P4852" s="1">
        <v>73.86</v>
      </c>
      <c r="Q4852">
        <v>7.0000000000000007E-2</v>
      </c>
      <c r="R4852">
        <v>4.1800000000000002E-4</v>
      </c>
    </row>
    <row r="4853" spans="1:18" ht="13.8" outlineLevel="2" x14ac:dyDescent="0.25">
      <c r="A4853">
        <v>59235</v>
      </c>
      <c r="B4853" t="s">
        <v>6986</v>
      </c>
      <c r="C4853" t="s">
        <v>7001</v>
      </c>
      <c r="D4853" s="14" t="s">
        <v>7002</v>
      </c>
      <c r="E4853" s="12" t="s">
        <v>28</v>
      </c>
      <c r="F4853" s="13" t="s">
        <v>29</v>
      </c>
      <c r="G4853">
        <v>1</v>
      </c>
      <c r="H4853" t="s">
        <v>420</v>
      </c>
      <c r="I4853">
        <v>1</v>
      </c>
      <c r="J4853" s="15"/>
      <c r="K4853" s="16">
        <f>99.76 - (99.76 * $E$1)</f>
        <v>99.76</v>
      </c>
      <c r="L4853" s="16">
        <f>81.77 - (81.77 * $E$1)</f>
        <v>81.77</v>
      </c>
      <c r="M4853" s="1">
        <v>99.76</v>
      </c>
      <c r="N4853" s="1">
        <v>81.77</v>
      </c>
      <c r="O4853" s="1">
        <v>84.8</v>
      </c>
      <c r="P4853" s="1">
        <v>69.5</v>
      </c>
      <c r="Q4853">
        <v>7.1999999999999995E-2</v>
      </c>
      <c r="R4853">
        <v>4.6200000000000001E-4</v>
      </c>
    </row>
    <row r="4854" spans="1:18" ht="13.8" outlineLevel="2" x14ac:dyDescent="0.25">
      <c r="A4854">
        <v>57159</v>
      </c>
      <c r="B4854" t="s">
        <v>6986</v>
      </c>
      <c r="C4854" t="s">
        <v>7003</v>
      </c>
      <c r="D4854" s="14" t="s">
        <v>7004</v>
      </c>
      <c r="E4854" s="12" t="s">
        <v>28</v>
      </c>
      <c r="F4854" s="13" t="s">
        <v>29</v>
      </c>
      <c r="G4854">
        <v>1</v>
      </c>
      <c r="H4854" t="s">
        <v>420</v>
      </c>
      <c r="I4854">
        <v>1</v>
      </c>
      <c r="J4854" s="15"/>
      <c r="K4854" s="16">
        <f>102.88 - (102.88 * $E$1)</f>
        <v>102.88</v>
      </c>
      <c r="L4854" s="16">
        <f>84.33 - (84.33 * $E$1)</f>
        <v>84.33</v>
      </c>
      <c r="M4854" s="1">
        <v>102.88</v>
      </c>
      <c r="N4854" s="1">
        <v>84.33</v>
      </c>
      <c r="O4854" s="1">
        <v>87.45</v>
      </c>
      <c r="P4854" s="1">
        <v>71.680000000000007</v>
      </c>
      <c r="Q4854">
        <v>7.3999999999999996E-2</v>
      </c>
      <c r="R4854">
        <v>5.31E-4</v>
      </c>
    </row>
    <row r="4855" spans="1:18" ht="13.8" outlineLevel="2" x14ac:dyDescent="0.25">
      <c r="A4855">
        <v>59388</v>
      </c>
      <c r="B4855" t="s">
        <v>6986</v>
      </c>
      <c r="C4855" t="s">
        <v>7005</v>
      </c>
      <c r="D4855" s="14" t="s">
        <v>7006</v>
      </c>
      <c r="E4855" s="12" t="s">
        <v>28</v>
      </c>
      <c r="F4855" s="13" t="s">
        <v>29</v>
      </c>
      <c r="G4855">
        <v>1</v>
      </c>
      <c r="H4855" t="s">
        <v>420</v>
      </c>
      <c r="I4855">
        <v>1</v>
      </c>
      <c r="J4855" s="15"/>
      <c r="K4855" s="16">
        <f>112.01 - (112.01 * $E$1)</f>
        <v>112.01</v>
      </c>
      <c r="L4855" s="16">
        <f>91.81 - (91.81 * $E$1)</f>
        <v>91.81</v>
      </c>
      <c r="M4855" s="1">
        <v>112.01</v>
      </c>
      <c r="N4855" s="1">
        <v>91.81</v>
      </c>
      <c r="O4855" s="1">
        <v>95.21</v>
      </c>
      <c r="P4855" s="1">
        <v>78.040000000000006</v>
      </c>
      <c r="Q4855">
        <v>7.6999999999999999E-2</v>
      </c>
      <c r="R4855">
        <v>6.4700000000000001E-4</v>
      </c>
    </row>
    <row r="4856" spans="1:18" ht="13.8" outlineLevel="2" x14ac:dyDescent="0.25">
      <c r="A4856">
        <v>81828</v>
      </c>
      <c r="B4856" t="s">
        <v>6986</v>
      </c>
      <c r="C4856" t="s">
        <v>7007</v>
      </c>
      <c r="D4856" s="14" t="s">
        <v>7008</v>
      </c>
      <c r="E4856" s="12" t="s">
        <v>28</v>
      </c>
      <c r="F4856" s="13" t="s">
        <v>29</v>
      </c>
      <c r="G4856">
        <v>1</v>
      </c>
      <c r="H4856" t="s">
        <v>420</v>
      </c>
      <c r="I4856">
        <v>1</v>
      </c>
      <c r="J4856" s="15"/>
      <c r="K4856" s="16">
        <f>107.03 - (107.03 * $E$1)</f>
        <v>107.03</v>
      </c>
      <c r="L4856" s="16">
        <f>87.73 - (87.73 * $E$1)</f>
        <v>87.73</v>
      </c>
      <c r="M4856" s="1">
        <v>107.03</v>
      </c>
      <c r="N4856" s="1">
        <v>87.73</v>
      </c>
      <c r="O4856" s="1">
        <v>90.98</v>
      </c>
      <c r="P4856" s="1">
        <v>74.569999999999993</v>
      </c>
      <c r="Q4856">
        <v>7.0000000000000007E-2</v>
      </c>
      <c r="R4856">
        <v>4.1800000000000002E-4</v>
      </c>
    </row>
    <row r="4857" spans="1:18" ht="13.8" outlineLevel="2" x14ac:dyDescent="0.25">
      <c r="A4857">
        <v>81829</v>
      </c>
      <c r="B4857" t="s">
        <v>6986</v>
      </c>
      <c r="C4857" t="s">
        <v>7009</v>
      </c>
      <c r="D4857" s="14" t="s">
        <v>7010</v>
      </c>
      <c r="E4857" s="12" t="s">
        <v>28</v>
      </c>
      <c r="F4857" s="13" t="s">
        <v>29</v>
      </c>
      <c r="G4857">
        <v>1</v>
      </c>
      <c r="H4857" t="s">
        <v>420</v>
      </c>
      <c r="I4857">
        <v>1</v>
      </c>
      <c r="J4857" s="15"/>
      <c r="K4857" s="16">
        <f>100.65 - (100.65 * $E$1)</f>
        <v>100.65</v>
      </c>
      <c r="L4857" s="16">
        <f>82.5 - (82.5 * $E$1)</f>
        <v>82.5</v>
      </c>
      <c r="M4857" s="1">
        <v>100.65</v>
      </c>
      <c r="N4857" s="1">
        <v>82.5</v>
      </c>
      <c r="O4857" s="1">
        <v>85.55</v>
      </c>
      <c r="P4857" s="1">
        <v>70.13</v>
      </c>
      <c r="Q4857">
        <v>7.1999999999999995E-2</v>
      </c>
      <c r="R4857">
        <v>4.6200000000000001E-4</v>
      </c>
    </row>
    <row r="4858" spans="1:18" ht="13.8" outlineLevel="2" x14ac:dyDescent="0.25">
      <c r="A4858">
        <v>81830</v>
      </c>
      <c r="B4858" t="s">
        <v>6986</v>
      </c>
      <c r="C4858" t="s">
        <v>7011</v>
      </c>
      <c r="D4858" s="14" t="s">
        <v>7012</v>
      </c>
      <c r="E4858" s="12" t="s">
        <v>28</v>
      </c>
      <c r="F4858" s="13" t="s">
        <v>29</v>
      </c>
      <c r="G4858">
        <v>1</v>
      </c>
      <c r="H4858" t="s">
        <v>420</v>
      </c>
      <c r="I4858">
        <v>1</v>
      </c>
      <c r="J4858" s="15"/>
      <c r="K4858" s="16">
        <f>103.79 - (103.79 * $E$1)</f>
        <v>103.79</v>
      </c>
      <c r="L4858" s="16">
        <f>85.07 - (85.07 * $E$1)</f>
        <v>85.07</v>
      </c>
      <c r="M4858" s="1">
        <v>103.79</v>
      </c>
      <c r="N4858" s="1">
        <v>85.07</v>
      </c>
      <c r="O4858" s="1">
        <v>88.22</v>
      </c>
      <c r="P4858" s="1">
        <v>72.31</v>
      </c>
      <c r="Q4858">
        <v>7.3999999999999996E-2</v>
      </c>
      <c r="R4858">
        <v>5.31E-4</v>
      </c>
    </row>
    <row r="4859" spans="1:18" ht="13.8" outlineLevel="2" x14ac:dyDescent="0.25">
      <c r="A4859">
        <v>81831</v>
      </c>
      <c r="B4859" t="s">
        <v>6986</v>
      </c>
      <c r="C4859" t="s">
        <v>7013</v>
      </c>
      <c r="D4859" s="14" t="s">
        <v>7014</v>
      </c>
      <c r="E4859" s="12" t="s">
        <v>28</v>
      </c>
      <c r="F4859" s="13" t="s">
        <v>29</v>
      </c>
      <c r="G4859">
        <v>1</v>
      </c>
      <c r="H4859" t="s">
        <v>420</v>
      </c>
      <c r="I4859">
        <v>1</v>
      </c>
      <c r="J4859" s="15"/>
      <c r="K4859" s="16">
        <f>112.11 - (112.11 * $E$1)</f>
        <v>112.11</v>
      </c>
      <c r="L4859" s="16">
        <f>91.89 - (91.89 * $E$1)</f>
        <v>91.89</v>
      </c>
      <c r="M4859" s="1">
        <v>112.11</v>
      </c>
      <c r="N4859" s="1">
        <v>91.89</v>
      </c>
      <c r="O4859" s="1">
        <v>95.29</v>
      </c>
      <c r="P4859" s="1">
        <v>78.11</v>
      </c>
      <c r="Q4859">
        <v>7.6999999999999999E-2</v>
      </c>
      <c r="R4859">
        <v>6.4700000000000001E-4</v>
      </c>
    </row>
    <row r="4860" spans="1:18" ht="13.8" outlineLevel="2" x14ac:dyDescent="0.25">
      <c r="A4860">
        <v>61082</v>
      </c>
      <c r="B4860" t="s">
        <v>7015</v>
      </c>
      <c r="C4860" t="s">
        <v>7016</v>
      </c>
      <c r="D4860" s="14" t="s">
        <v>7017</v>
      </c>
      <c r="E4860" s="12" t="s">
        <v>28</v>
      </c>
      <c r="F4860" s="13" t="s">
        <v>29</v>
      </c>
      <c r="G4860">
        <v>1</v>
      </c>
      <c r="H4860" t="s">
        <v>420</v>
      </c>
      <c r="I4860">
        <v>1</v>
      </c>
      <c r="J4860" s="15"/>
      <c r="K4860" s="16">
        <f>1422.53 - (1422.53 * $E$1)</f>
        <v>1422.53</v>
      </c>
      <c r="L4860" s="16">
        <f>1166.01 - (1166.01 * $E$1)</f>
        <v>1166.01</v>
      </c>
      <c r="M4860" s="1">
        <v>1422.53</v>
      </c>
      <c r="N4860" s="1">
        <v>1166.01</v>
      </c>
      <c r="O4860" s="1">
        <v>1209.1500000000001</v>
      </c>
      <c r="P4860" s="1">
        <v>991.11</v>
      </c>
      <c r="Q4860">
        <v>0.59</v>
      </c>
      <c r="R4860">
        <v>1.936E-3</v>
      </c>
    </row>
    <row r="4861" spans="1:18" ht="13.8" outlineLevel="2" x14ac:dyDescent="0.25">
      <c r="A4861">
        <v>60047</v>
      </c>
      <c r="B4861" t="s">
        <v>7015</v>
      </c>
      <c r="C4861" t="s">
        <v>7018</v>
      </c>
      <c r="D4861" s="14" t="s">
        <v>7017</v>
      </c>
      <c r="E4861" s="12" t="s">
        <v>28</v>
      </c>
      <c r="F4861" s="13" t="s">
        <v>29</v>
      </c>
      <c r="G4861">
        <v>1</v>
      </c>
      <c r="H4861" t="s">
        <v>420</v>
      </c>
      <c r="I4861">
        <v>1</v>
      </c>
      <c r="J4861" s="15"/>
      <c r="K4861" s="16">
        <f>2973.79 - (2973.79 * $E$1)</f>
        <v>2973.79</v>
      </c>
      <c r="L4861" s="16">
        <f>2437.53 - (2437.53 * $E$1)</f>
        <v>2437.5300000000002</v>
      </c>
      <c r="M4861" s="1">
        <v>2973.79</v>
      </c>
      <c r="N4861" s="1">
        <v>2437.5300000000002</v>
      </c>
      <c r="O4861" s="1">
        <v>2527.7199999999998</v>
      </c>
      <c r="P4861" s="1">
        <v>2071.9</v>
      </c>
      <c r="Q4861">
        <v>0.96</v>
      </c>
      <c r="R4861">
        <v>4.4099999999999999E-3</v>
      </c>
    </row>
    <row r="4862" spans="1:18" ht="16.5" customHeight="1" outlineLevel="1" x14ac:dyDescent="0.35">
      <c r="A4862" s="9"/>
      <c r="B4862" s="10" t="s">
        <v>7019</v>
      </c>
      <c r="C4862" s="10"/>
      <c r="D4862" s="10"/>
      <c r="E4862" s="10"/>
      <c r="F4862" s="10"/>
      <c r="G4862" s="10"/>
      <c r="H4862" s="10"/>
      <c r="I4862" s="10"/>
      <c r="J4862" s="10"/>
      <c r="K4862" s="10"/>
      <c r="L4862" s="10"/>
      <c r="M4862" s="10"/>
      <c r="N4862" s="10"/>
      <c r="O4862" s="10"/>
      <c r="P4862" s="10"/>
      <c r="Q4862" s="10"/>
      <c r="R4862" s="11"/>
    </row>
    <row r="4863" spans="1:18" ht="13.8" outlineLevel="2" x14ac:dyDescent="0.25">
      <c r="A4863">
        <v>62451</v>
      </c>
      <c r="B4863" t="s">
        <v>7020</v>
      </c>
      <c r="C4863" t="s">
        <v>7021</v>
      </c>
      <c r="D4863" s="14" t="s">
        <v>7022</v>
      </c>
      <c r="E4863" s="12" t="s">
        <v>28</v>
      </c>
      <c r="F4863" s="13" t="s">
        <v>29</v>
      </c>
      <c r="G4863">
        <v>1</v>
      </c>
      <c r="H4863" t="s">
        <v>420</v>
      </c>
      <c r="I4863">
        <v>1</v>
      </c>
      <c r="J4863" s="15"/>
      <c r="K4863" s="16">
        <f>126.54 - (126.54 * $E$1)</f>
        <v>126.54</v>
      </c>
      <c r="L4863" s="16">
        <f>103.72 - (103.72 * $E$1)</f>
        <v>103.72</v>
      </c>
      <c r="M4863" s="1">
        <v>126.54</v>
      </c>
      <c r="N4863" s="1">
        <v>103.72</v>
      </c>
      <c r="O4863" s="1">
        <v>107.56</v>
      </c>
      <c r="P4863" s="1">
        <v>88.16</v>
      </c>
      <c r="Q4863">
        <v>0.05</v>
      </c>
      <c r="R4863">
        <v>2.1599999999999999E-4</v>
      </c>
    </row>
    <row r="4864" spans="1:18" ht="13.8" outlineLevel="2" x14ac:dyDescent="0.25">
      <c r="A4864">
        <v>62452</v>
      </c>
      <c r="B4864" t="s">
        <v>7020</v>
      </c>
      <c r="C4864" t="s">
        <v>7023</v>
      </c>
      <c r="D4864" s="14" t="s">
        <v>7024</v>
      </c>
      <c r="E4864" s="12" t="s">
        <v>28</v>
      </c>
      <c r="F4864" s="13" t="s">
        <v>29</v>
      </c>
      <c r="G4864">
        <v>1</v>
      </c>
      <c r="H4864" t="s">
        <v>420</v>
      </c>
      <c r="I4864">
        <v>1</v>
      </c>
      <c r="J4864" s="15"/>
      <c r="K4864" s="16">
        <f>126.54 - (126.54 * $E$1)</f>
        <v>126.54</v>
      </c>
      <c r="L4864" s="16">
        <f>103.72 - (103.72 * $E$1)</f>
        <v>103.72</v>
      </c>
      <c r="M4864" s="1">
        <v>126.54</v>
      </c>
      <c r="N4864" s="1">
        <v>103.72</v>
      </c>
      <c r="O4864" s="1">
        <v>107.56</v>
      </c>
      <c r="P4864" s="1">
        <v>88.16</v>
      </c>
      <c r="Q4864">
        <v>0.05</v>
      </c>
      <c r="R4864">
        <v>2.1599999999999999E-4</v>
      </c>
    </row>
    <row r="4865" spans="1:18" ht="13.8" outlineLevel="2" x14ac:dyDescent="0.25">
      <c r="A4865">
        <v>53313</v>
      </c>
      <c r="B4865" t="s">
        <v>7020</v>
      </c>
      <c r="C4865" t="s">
        <v>7025</v>
      </c>
      <c r="D4865" s="14" t="s">
        <v>7026</v>
      </c>
      <c r="E4865" s="12" t="s">
        <v>28</v>
      </c>
      <c r="F4865" s="13" t="s">
        <v>29</v>
      </c>
      <c r="G4865">
        <v>1</v>
      </c>
      <c r="H4865" t="s">
        <v>420</v>
      </c>
      <c r="I4865">
        <v>1</v>
      </c>
      <c r="J4865" s="15"/>
      <c r="K4865" s="16">
        <f>178.8 - (178.8 * $E$1)</f>
        <v>178.8</v>
      </c>
      <c r="L4865" s="16">
        <f>146.56 - (146.56 * $E$1)</f>
        <v>146.56</v>
      </c>
      <c r="M4865" s="1">
        <v>178.8</v>
      </c>
      <c r="N4865" s="1">
        <v>146.56</v>
      </c>
      <c r="O4865" s="1">
        <v>151.97999999999999</v>
      </c>
      <c r="P4865" s="1">
        <v>124.58</v>
      </c>
      <c r="Q4865">
        <v>0.15</v>
      </c>
      <c r="R4865">
        <v>7.5600000000000005E-4</v>
      </c>
    </row>
    <row r="4866" spans="1:18" ht="13.8" outlineLevel="2" x14ac:dyDescent="0.25">
      <c r="A4866">
        <v>63096</v>
      </c>
      <c r="B4866" t="s">
        <v>7020</v>
      </c>
      <c r="C4866" t="s">
        <v>7027</v>
      </c>
      <c r="D4866" s="14" t="s">
        <v>7028</v>
      </c>
      <c r="E4866" s="12" t="s">
        <v>28</v>
      </c>
      <c r="F4866" s="13" t="s">
        <v>29</v>
      </c>
      <c r="G4866">
        <v>1</v>
      </c>
      <c r="H4866" t="s">
        <v>420</v>
      </c>
      <c r="I4866">
        <v>1</v>
      </c>
      <c r="J4866" s="15"/>
      <c r="K4866" s="16">
        <f>178.8 - (178.8 * $E$1)</f>
        <v>178.8</v>
      </c>
      <c r="L4866" s="16">
        <f>146.56 - (146.56 * $E$1)</f>
        <v>146.56</v>
      </c>
      <c r="M4866" s="1">
        <v>178.8</v>
      </c>
      <c r="N4866" s="1">
        <v>146.56</v>
      </c>
      <c r="O4866" s="1">
        <v>151.97999999999999</v>
      </c>
      <c r="P4866" s="1">
        <v>124.58</v>
      </c>
      <c r="Q4866">
        <v>0.15</v>
      </c>
      <c r="R4866">
        <v>4.6799999999999999E-4</v>
      </c>
    </row>
    <row r="4867" spans="1:18" ht="13.8" outlineLevel="2" x14ac:dyDescent="0.25">
      <c r="A4867">
        <v>89421</v>
      </c>
      <c r="B4867" t="s">
        <v>7029</v>
      </c>
      <c r="C4867" t="s">
        <v>7030</v>
      </c>
      <c r="D4867" s="14" t="s">
        <v>7031</v>
      </c>
      <c r="E4867" s="12" t="s">
        <v>28</v>
      </c>
      <c r="F4867" s="13" t="s">
        <v>29</v>
      </c>
      <c r="G4867">
        <v>1</v>
      </c>
      <c r="H4867" t="s">
        <v>420</v>
      </c>
      <c r="I4867">
        <v>1</v>
      </c>
      <c r="J4867" s="15"/>
      <c r="K4867" s="16">
        <f>402.38 - (402.38 * $E$1)</f>
        <v>402.38</v>
      </c>
      <c r="L4867" s="16">
        <f>329.82 - (329.82 * $E$1)</f>
        <v>329.82</v>
      </c>
      <c r="M4867" s="1">
        <v>402.38</v>
      </c>
      <c r="N4867" s="1">
        <v>329.82</v>
      </c>
      <c r="O4867" s="1">
        <v>342.02</v>
      </c>
      <c r="P4867" s="1">
        <v>280.35000000000002</v>
      </c>
      <c r="Q4867">
        <v>0.2</v>
      </c>
      <c r="R4867">
        <v>1.596E-3</v>
      </c>
    </row>
    <row r="4868" spans="1:18" ht="13.8" outlineLevel="2" x14ac:dyDescent="0.25">
      <c r="A4868">
        <v>89485</v>
      </c>
      <c r="B4868" t="s">
        <v>7029</v>
      </c>
      <c r="C4868" t="s">
        <v>7032</v>
      </c>
      <c r="D4868" s="14" t="s">
        <v>7033</v>
      </c>
      <c r="E4868" s="12" t="s">
        <v>28</v>
      </c>
      <c r="F4868" s="13" t="s">
        <v>29</v>
      </c>
      <c r="G4868">
        <v>1</v>
      </c>
      <c r="H4868" t="s">
        <v>420</v>
      </c>
      <c r="I4868">
        <v>1</v>
      </c>
      <c r="J4868" s="15"/>
      <c r="K4868" s="16">
        <f>402.38 - (402.38 * $E$1)</f>
        <v>402.38</v>
      </c>
      <c r="L4868" s="16">
        <f>329.82 - (329.82 * $E$1)</f>
        <v>329.82</v>
      </c>
      <c r="M4868" s="1">
        <v>402.38</v>
      </c>
      <c r="N4868" s="1">
        <v>329.82</v>
      </c>
      <c r="O4868" s="1">
        <v>342.02</v>
      </c>
      <c r="P4868" s="1">
        <v>280.35000000000002</v>
      </c>
      <c r="Q4868">
        <v>0.185</v>
      </c>
      <c r="R4868">
        <v>1.0499999999999999E-3</v>
      </c>
    </row>
    <row r="4869" spans="1:18" ht="13.8" outlineLevel="2" x14ac:dyDescent="0.25">
      <c r="A4869">
        <v>92034</v>
      </c>
      <c r="B4869" t="s">
        <v>7029</v>
      </c>
      <c r="C4869" t="s">
        <v>7034</v>
      </c>
      <c r="D4869" s="14" t="s">
        <v>7035</v>
      </c>
      <c r="E4869" s="12" t="s">
        <v>28</v>
      </c>
      <c r="F4869" s="13" t="s">
        <v>29</v>
      </c>
      <c r="G4869">
        <v>1</v>
      </c>
      <c r="H4869" t="s">
        <v>420</v>
      </c>
      <c r="I4869">
        <v>1</v>
      </c>
      <c r="J4869" s="15"/>
      <c r="K4869" s="16">
        <f>402.38 - (402.38 * $E$1)</f>
        <v>402.38</v>
      </c>
      <c r="L4869" s="16">
        <f>329.82 - (329.82 * $E$1)</f>
        <v>329.82</v>
      </c>
      <c r="M4869" s="1">
        <v>402.38</v>
      </c>
      <c r="N4869" s="1">
        <v>329.82</v>
      </c>
      <c r="O4869" s="1">
        <v>342.02</v>
      </c>
      <c r="P4869" s="1">
        <v>280.35000000000002</v>
      </c>
      <c r="Q4869">
        <v>0.2</v>
      </c>
      <c r="R4869">
        <v>1.596E-3</v>
      </c>
    </row>
    <row r="4870" spans="1:18" ht="13.8" outlineLevel="2" x14ac:dyDescent="0.25">
      <c r="A4870">
        <v>49444</v>
      </c>
      <c r="B4870" t="s">
        <v>7036</v>
      </c>
      <c r="C4870" t="s">
        <v>7037</v>
      </c>
      <c r="D4870" s="14" t="s">
        <v>7038</v>
      </c>
      <c r="E4870" s="12" t="s">
        <v>28</v>
      </c>
      <c r="F4870" s="13" t="s">
        <v>29</v>
      </c>
      <c r="G4870">
        <v>1</v>
      </c>
      <c r="H4870" t="s">
        <v>420</v>
      </c>
      <c r="I4870">
        <v>1</v>
      </c>
      <c r="J4870" s="15"/>
      <c r="K4870" s="16">
        <f>221.52 - (221.52 * $E$1)</f>
        <v>221.52</v>
      </c>
      <c r="L4870" s="16">
        <f>181.57 - (181.57 * $E$1)</f>
        <v>181.57</v>
      </c>
      <c r="M4870" s="1">
        <v>221.52</v>
      </c>
      <c r="N4870" s="1">
        <v>181.57</v>
      </c>
      <c r="O4870" s="1">
        <v>188.29</v>
      </c>
      <c r="P4870" s="1">
        <v>154.33000000000001</v>
      </c>
      <c r="Q4870">
        <v>7.0000000000000007E-2</v>
      </c>
      <c r="R4870">
        <v>4.3199999999999998E-4</v>
      </c>
    </row>
    <row r="4871" spans="1:18" ht="13.8" outlineLevel="2" x14ac:dyDescent="0.25">
      <c r="A4871">
        <v>63094</v>
      </c>
      <c r="B4871" t="s">
        <v>7036</v>
      </c>
      <c r="C4871" t="s">
        <v>7039</v>
      </c>
      <c r="D4871" s="14" t="s">
        <v>7040</v>
      </c>
      <c r="E4871" s="12" t="s">
        <v>28</v>
      </c>
      <c r="F4871" s="13" t="s">
        <v>29</v>
      </c>
      <c r="G4871">
        <v>1</v>
      </c>
      <c r="H4871" t="s">
        <v>420</v>
      </c>
      <c r="I4871">
        <v>1</v>
      </c>
      <c r="J4871" s="15"/>
      <c r="K4871" s="16">
        <f>221.52 - (221.52 * $E$1)</f>
        <v>221.52</v>
      </c>
      <c r="L4871" s="16">
        <f>181.57 - (181.57 * $E$1)</f>
        <v>181.57</v>
      </c>
      <c r="M4871" s="1">
        <v>221.52</v>
      </c>
      <c r="N4871" s="1">
        <v>181.57</v>
      </c>
      <c r="O4871" s="1">
        <v>188.29</v>
      </c>
      <c r="P4871" s="1">
        <v>154.33000000000001</v>
      </c>
      <c r="Q4871">
        <v>6.4000000000000001E-2</v>
      </c>
      <c r="R4871">
        <v>3.9599999999999998E-4</v>
      </c>
    </row>
    <row r="4872" spans="1:18" ht="13.8" outlineLevel="2" x14ac:dyDescent="0.25">
      <c r="A4872">
        <v>49445</v>
      </c>
      <c r="B4872" t="s">
        <v>7036</v>
      </c>
      <c r="C4872" t="s">
        <v>7041</v>
      </c>
      <c r="D4872" s="14" t="s">
        <v>7042</v>
      </c>
      <c r="E4872" s="12" t="s">
        <v>28</v>
      </c>
      <c r="F4872" s="13" t="s">
        <v>29</v>
      </c>
      <c r="G4872">
        <v>1</v>
      </c>
      <c r="H4872" t="s">
        <v>420</v>
      </c>
      <c r="I4872">
        <v>1</v>
      </c>
      <c r="J4872" s="15"/>
      <c r="K4872" s="16">
        <f>368.85 - (368.85 * $E$1)</f>
        <v>368.85</v>
      </c>
      <c r="L4872" s="16">
        <f>302.34 - (302.34 * $E$1)</f>
        <v>302.33999999999997</v>
      </c>
      <c r="M4872" s="1">
        <v>368.85</v>
      </c>
      <c r="N4872" s="1">
        <v>302.33999999999997</v>
      </c>
      <c r="O4872" s="1">
        <v>313.52999999999997</v>
      </c>
      <c r="P4872" s="1">
        <v>256.99</v>
      </c>
      <c r="Q4872">
        <v>0.92</v>
      </c>
      <c r="R4872">
        <v>6.6E-4</v>
      </c>
    </row>
    <row r="4873" spans="1:18" ht="13.8" outlineLevel="2" x14ac:dyDescent="0.25">
      <c r="A4873">
        <v>63095</v>
      </c>
      <c r="B4873" t="s">
        <v>7036</v>
      </c>
      <c r="C4873" t="s">
        <v>7043</v>
      </c>
      <c r="D4873" s="14" t="s">
        <v>7044</v>
      </c>
      <c r="E4873" s="12" t="s">
        <v>28</v>
      </c>
      <c r="F4873" s="13" t="s">
        <v>29</v>
      </c>
      <c r="G4873">
        <v>1</v>
      </c>
      <c r="H4873" t="s">
        <v>420</v>
      </c>
      <c r="I4873">
        <v>1</v>
      </c>
      <c r="J4873" s="15"/>
      <c r="K4873" s="16">
        <f>368.85 - (368.85 * $E$1)</f>
        <v>368.85</v>
      </c>
      <c r="L4873" s="16">
        <f>302.34 - (302.34 * $E$1)</f>
        <v>302.33999999999997</v>
      </c>
      <c r="M4873" s="1">
        <v>368.85</v>
      </c>
      <c r="N4873" s="1">
        <v>302.33999999999997</v>
      </c>
      <c r="O4873" s="1">
        <v>313.52999999999997</v>
      </c>
      <c r="P4873" s="1">
        <v>256.99</v>
      </c>
      <c r="Q4873">
        <v>9.1999999999999998E-2</v>
      </c>
      <c r="R4873">
        <v>4.4000000000000002E-4</v>
      </c>
    </row>
    <row r="4874" spans="1:18" ht="13.8" outlineLevel="2" x14ac:dyDescent="0.25">
      <c r="A4874">
        <v>49446</v>
      </c>
      <c r="B4874" t="s">
        <v>7036</v>
      </c>
      <c r="C4874" t="s">
        <v>7045</v>
      </c>
      <c r="D4874" s="14" t="s">
        <v>7046</v>
      </c>
      <c r="E4874" s="12" t="s">
        <v>28</v>
      </c>
      <c r="F4874" s="13" t="s">
        <v>29</v>
      </c>
      <c r="G4874">
        <v>1</v>
      </c>
      <c r="H4874" t="s">
        <v>420</v>
      </c>
      <c r="I4874">
        <v>1</v>
      </c>
      <c r="J4874" s="15"/>
      <c r="K4874" s="16">
        <f>461.29 - (461.29 * $E$1)</f>
        <v>461.29</v>
      </c>
      <c r="L4874" s="16">
        <f>378.11 - (378.11 * $E$1)</f>
        <v>378.11</v>
      </c>
      <c r="M4874" s="1">
        <v>461.29</v>
      </c>
      <c r="N4874" s="1">
        <v>378.11</v>
      </c>
      <c r="O4874" s="1">
        <v>392.1</v>
      </c>
      <c r="P4874" s="1">
        <v>321.39</v>
      </c>
      <c r="Q4874">
        <v>0.16</v>
      </c>
      <c r="R4874">
        <v>9.8799999999999995E-4</v>
      </c>
    </row>
    <row r="4875" spans="1:18" ht="13.8" outlineLevel="2" x14ac:dyDescent="0.25">
      <c r="A4875">
        <v>49447</v>
      </c>
      <c r="B4875" t="s">
        <v>7036</v>
      </c>
      <c r="C4875" t="s">
        <v>7047</v>
      </c>
      <c r="D4875" s="14" t="s">
        <v>7048</v>
      </c>
      <c r="E4875" s="12" t="s">
        <v>28</v>
      </c>
      <c r="F4875" s="13" t="s">
        <v>29</v>
      </c>
      <c r="G4875">
        <v>1</v>
      </c>
      <c r="H4875" t="s">
        <v>420</v>
      </c>
      <c r="I4875">
        <v>1</v>
      </c>
      <c r="J4875" s="15"/>
      <c r="K4875" s="16">
        <f>812.98 - (812.98 * $E$1)</f>
        <v>812.98</v>
      </c>
      <c r="L4875" s="16">
        <f>666.38 - (666.38 * $E$1)</f>
        <v>666.38</v>
      </c>
      <c r="M4875" s="1">
        <v>812.98</v>
      </c>
      <c r="N4875" s="1">
        <v>666.38</v>
      </c>
      <c r="O4875" s="1">
        <v>691.04</v>
      </c>
      <c r="P4875" s="1">
        <v>566.41999999999996</v>
      </c>
      <c r="Q4875">
        <v>0.26800000000000002</v>
      </c>
      <c r="R4875">
        <v>2.2499999999999998E-3</v>
      </c>
    </row>
    <row r="4876" spans="1:18" ht="13.8" outlineLevel="2" x14ac:dyDescent="0.25">
      <c r="A4876">
        <v>81462</v>
      </c>
      <c r="B4876" t="s">
        <v>7036</v>
      </c>
      <c r="C4876" t="s">
        <v>7049</v>
      </c>
      <c r="D4876" s="14" t="s">
        <v>7050</v>
      </c>
      <c r="E4876" s="12" t="s">
        <v>28</v>
      </c>
      <c r="F4876" s="13" t="s">
        <v>29</v>
      </c>
      <c r="G4876">
        <v>1</v>
      </c>
      <c r="H4876" t="s">
        <v>420</v>
      </c>
      <c r="I4876">
        <v>1</v>
      </c>
      <c r="J4876" s="15"/>
      <c r="K4876" s="16">
        <f>1472.25 - (1472.25 * $E$1)</f>
        <v>1472.25</v>
      </c>
      <c r="L4876" s="16">
        <f>1206.76 - (1206.76 * $E$1)</f>
        <v>1206.76</v>
      </c>
      <c r="M4876" s="1">
        <v>1472.25</v>
      </c>
      <c r="N4876" s="1">
        <v>1206.76</v>
      </c>
      <c r="O4876" s="1">
        <v>1251.4100000000001</v>
      </c>
      <c r="P4876" s="1">
        <v>1025.75</v>
      </c>
      <c r="Q4876">
        <v>0.17199999999999999</v>
      </c>
      <c r="R4876">
        <v>1.4959999999999999E-3</v>
      </c>
    </row>
    <row r="4877" spans="1:18" ht="13.8" outlineLevel="2" x14ac:dyDescent="0.25">
      <c r="A4877">
        <v>81463</v>
      </c>
      <c r="B4877" t="s">
        <v>7036</v>
      </c>
      <c r="C4877" t="s">
        <v>7051</v>
      </c>
      <c r="D4877" s="14" t="s">
        <v>7052</v>
      </c>
      <c r="E4877" s="12" t="s">
        <v>28</v>
      </c>
      <c r="F4877" s="13" t="s">
        <v>29</v>
      </c>
      <c r="G4877">
        <v>1</v>
      </c>
      <c r="H4877" t="s">
        <v>420</v>
      </c>
      <c r="I4877">
        <v>1</v>
      </c>
      <c r="J4877" s="15"/>
      <c r="K4877" s="16">
        <f>2269.83 - (2269.83 * $E$1)</f>
        <v>2269.83</v>
      </c>
      <c r="L4877" s="16">
        <f>1860.52 - (1860.52 * $E$1)</f>
        <v>1860.52</v>
      </c>
      <c r="M4877" s="1">
        <v>2269.83</v>
      </c>
      <c r="N4877" s="1">
        <v>1860.52</v>
      </c>
      <c r="O4877" s="1">
        <v>1929.36</v>
      </c>
      <c r="P4877" s="1">
        <v>1581.44</v>
      </c>
      <c r="Q4877">
        <v>0.33800000000000002</v>
      </c>
      <c r="R4877">
        <v>3.4020000000000001E-3</v>
      </c>
    </row>
    <row r="4878" spans="1:18" ht="13.8" outlineLevel="2" x14ac:dyDescent="0.25">
      <c r="A4878">
        <v>111263</v>
      </c>
      <c r="B4878" t="s">
        <v>7053</v>
      </c>
      <c r="C4878" t="s">
        <v>7054</v>
      </c>
      <c r="D4878" s="14" t="s">
        <v>7055</v>
      </c>
      <c r="E4878" s="12" t="s">
        <v>28</v>
      </c>
      <c r="F4878" s="18" t="s">
        <v>1467</v>
      </c>
      <c r="G4878">
        <v>1</v>
      </c>
      <c r="H4878" t="s">
        <v>420</v>
      </c>
      <c r="I4878">
        <v>1</v>
      </c>
      <c r="J4878" s="15"/>
      <c r="K4878" s="16">
        <f>1011.47 - (1011.47 * $E$1)</f>
        <v>1011.47</v>
      </c>
      <c r="L4878" s="16">
        <f>829.07 - (829.07 * $E$1)</f>
        <v>829.07</v>
      </c>
      <c r="M4878" s="1">
        <v>1011.47</v>
      </c>
      <c r="N4878" s="1">
        <v>829.07</v>
      </c>
      <c r="O4878" s="1">
        <v>859.75</v>
      </c>
      <c r="P4878" s="1">
        <v>704.71</v>
      </c>
      <c r="Q4878">
        <v>0.38</v>
      </c>
      <c r="R4878">
        <v>2.2539999999999999E-3</v>
      </c>
    </row>
    <row r="4879" spans="1:18" ht="16.5" customHeight="1" outlineLevel="1" x14ac:dyDescent="0.35">
      <c r="A4879" s="9"/>
      <c r="B4879" s="10" t="s">
        <v>7056</v>
      </c>
      <c r="C4879" s="10"/>
      <c r="D4879" s="10"/>
      <c r="E4879" s="10"/>
      <c r="F4879" s="10"/>
      <c r="G4879" s="10"/>
      <c r="H4879" s="10"/>
      <c r="I4879" s="10"/>
      <c r="J4879" s="10"/>
      <c r="K4879" s="10"/>
      <c r="L4879" s="10"/>
      <c r="M4879" s="10"/>
      <c r="N4879" s="10"/>
      <c r="O4879" s="10"/>
      <c r="P4879" s="10"/>
      <c r="Q4879" s="10"/>
      <c r="R4879" s="11"/>
    </row>
    <row r="4880" spans="1:18" ht="13.8" outlineLevel="2" x14ac:dyDescent="0.25">
      <c r="A4880">
        <v>66781</v>
      </c>
      <c r="B4880" t="s">
        <v>7057</v>
      </c>
      <c r="C4880" t="s">
        <v>7058</v>
      </c>
      <c r="D4880" s="14" t="s">
        <v>7059</v>
      </c>
      <c r="E4880" s="12" t="s">
        <v>28</v>
      </c>
      <c r="F4880" s="13" t="s">
        <v>29</v>
      </c>
      <c r="G4880">
        <v>1</v>
      </c>
      <c r="H4880" t="s">
        <v>420</v>
      </c>
      <c r="I4880">
        <v>1</v>
      </c>
      <c r="J4880" s="15"/>
      <c r="K4880" s="16">
        <f>297.07 - (297.07 * $E$1)</f>
        <v>297.07</v>
      </c>
      <c r="L4880" s="16">
        <f>243.5 - (243.5 * $E$1)</f>
        <v>243.5</v>
      </c>
      <c r="M4880" s="1">
        <v>297.07</v>
      </c>
      <c r="N4880" s="1">
        <v>243.5</v>
      </c>
      <c r="O4880" s="1">
        <v>252.51</v>
      </c>
      <c r="P4880" s="1">
        <v>206.98</v>
      </c>
      <c r="Q4880">
        <v>0.14199999999999999</v>
      </c>
      <c r="R4880">
        <v>3.3599999999999998E-4</v>
      </c>
    </row>
    <row r="4881" spans="1:18" ht="13.8" outlineLevel="2" x14ac:dyDescent="0.25">
      <c r="A4881">
        <v>66782</v>
      </c>
      <c r="B4881" t="s">
        <v>7057</v>
      </c>
      <c r="C4881" t="s">
        <v>7060</v>
      </c>
      <c r="D4881" s="14" t="s">
        <v>7061</v>
      </c>
      <c r="E4881" s="12" t="s">
        <v>28</v>
      </c>
      <c r="F4881" s="13" t="s">
        <v>29</v>
      </c>
      <c r="G4881">
        <v>1</v>
      </c>
      <c r="H4881" t="s">
        <v>420</v>
      </c>
      <c r="I4881">
        <v>1</v>
      </c>
      <c r="J4881" s="15"/>
      <c r="K4881" s="16">
        <f>282.78 - (282.78 * $E$1)</f>
        <v>282.77999999999997</v>
      </c>
      <c r="L4881" s="16">
        <f>231.79 - (231.79 * $E$1)</f>
        <v>231.79</v>
      </c>
      <c r="M4881" s="1">
        <v>282.77999999999997</v>
      </c>
      <c r="N4881" s="1">
        <v>231.79</v>
      </c>
      <c r="O4881" s="1">
        <v>240.37</v>
      </c>
      <c r="P4881" s="1">
        <v>197.02</v>
      </c>
      <c r="Q4881">
        <v>0.14000000000000001</v>
      </c>
      <c r="R4881">
        <v>6.7500000000000004E-4</v>
      </c>
    </row>
    <row r="4882" spans="1:18" ht="13.8" outlineLevel="2" x14ac:dyDescent="0.25">
      <c r="A4882">
        <v>66783</v>
      </c>
      <c r="B4882" t="s">
        <v>7057</v>
      </c>
      <c r="C4882" t="s">
        <v>7062</v>
      </c>
      <c r="D4882" s="14" t="s">
        <v>7063</v>
      </c>
      <c r="E4882" s="12" t="s">
        <v>28</v>
      </c>
      <c r="F4882" s="13" t="s">
        <v>29</v>
      </c>
      <c r="G4882">
        <v>1</v>
      </c>
      <c r="H4882" t="s">
        <v>420</v>
      </c>
      <c r="I4882">
        <v>1</v>
      </c>
      <c r="J4882" s="15"/>
      <c r="K4882" s="16">
        <f>280.38 - (280.38 * $E$1)</f>
        <v>280.38</v>
      </c>
      <c r="L4882" s="16">
        <f>229.82 - (229.82 * $E$1)</f>
        <v>229.82</v>
      </c>
      <c r="M4882" s="1">
        <v>280.38</v>
      </c>
      <c r="N4882" s="1">
        <v>229.82</v>
      </c>
      <c r="O4882" s="1">
        <v>238.32</v>
      </c>
      <c r="P4882" s="1">
        <v>195.35</v>
      </c>
      <c r="Q4882">
        <v>0.107</v>
      </c>
      <c r="R4882">
        <v>5.4299999999999997E-4</v>
      </c>
    </row>
    <row r="4883" spans="1:18" ht="13.8" outlineLevel="2" x14ac:dyDescent="0.25">
      <c r="A4883">
        <v>77678</v>
      </c>
      <c r="B4883" t="s">
        <v>7057</v>
      </c>
      <c r="C4883" t="s">
        <v>7064</v>
      </c>
      <c r="D4883" s="14" t="s">
        <v>7065</v>
      </c>
      <c r="E4883" s="12" t="s">
        <v>28</v>
      </c>
      <c r="F4883" s="13" t="s">
        <v>29</v>
      </c>
      <c r="G4883">
        <v>1</v>
      </c>
      <c r="H4883" t="s">
        <v>420</v>
      </c>
      <c r="I4883">
        <v>1</v>
      </c>
      <c r="J4883" s="15"/>
      <c r="K4883" s="16">
        <f>306.32 - (306.32 * $E$1)</f>
        <v>306.32</v>
      </c>
      <c r="L4883" s="16">
        <f>251.08 - (251.08 * $E$1)</f>
        <v>251.08</v>
      </c>
      <c r="M4883" s="1">
        <v>306.32</v>
      </c>
      <c r="N4883" s="1">
        <v>251.08</v>
      </c>
      <c r="O4883" s="1">
        <v>260.37</v>
      </c>
      <c r="P4883" s="1">
        <v>213.42</v>
      </c>
      <c r="Q4883">
        <v>0.11</v>
      </c>
      <c r="R4883">
        <v>7.0899999999999999E-4</v>
      </c>
    </row>
    <row r="4884" spans="1:18" ht="13.8" outlineLevel="2" x14ac:dyDescent="0.25">
      <c r="A4884">
        <v>53747</v>
      </c>
      <c r="B4884" t="s">
        <v>7057</v>
      </c>
      <c r="C4884" t="s">
        <v>7066</v>
      </c>
      <c r="D4884" s="14" t="s">
        <v>7067</v>
      </c>
      <c r="E4884" s="12" t="s">
        <v>28</v>
      </c>
      <c r="F4884" s="13" t="s">
        <v>29</v>
      </c>
      <c r="G4884">
        <v>1</v>
      </c>
      <c r="H4884" t="s">
        <v>420</v>
      </c>
      <c r="I4884">
        <v>1</v>
      </c>
      <c r="J4884" s="15"/>
      <c r="K4884" s="16">
        <f>212.9 - (212.9 * $E$1)</f>
        <v>212.9</v>
      </c>
      <c r="L4884" s="16">
        <f>174.51 - (174.51 * $E$1)</f>
        <v>174.51</v>
      </c>
      <c r="M4884" s="1">
        <v>212.9</v>
      </c>
      <c r="N4884" s="1">
        <v>174.51</v>
      </c>
      <c r="O4884" s="1">
        <v>180.97</v>
      </c>
      <c r="P4884" s="1">
        <v>148.33000000000001</v>
      </c>
      <c r="Q4884">
        <v>0.14499999999999999</v>
      </c>
      <c r="R4884">
        <v>1.0560000000000001E-3</v>
      </c>
    </row>
    <row r="4885" spans="1:18" ht="13.8" outlineLevel="2" x14ac:dyDescent="0.25">
      <c r="A4885">
        <v>70221</v>
      </c>
      <c r="B4885" t="s">
        <v>7057</v>
      </c>
      <c r="C4885" t="s">
        <v>7068</v>
      </c>
      <c r="D4885" s="14" t="s">
        <v>7069</v>
      </c>
      <c r="E4885" s="12" t="s">
        <v>28</v>
      </c>
      <c r="F4885" s="13" t="s">
        <v>29</v>
      </c>
      <c r="G4885">
        <v>1</v>
      </c>
      <c r="H4885" t="s">
        <v>420</v>
      </c>
      <c r="I4885">
        <v>1</v>
      </c>
      <c r="J4885" s="15"/>
      <c r="K4885" s="16">
        <f>233.74 - (233.74 * $E$1)</f>
        <v>233.74</v>
      </c>
      <c r="L4885" s="16">
        <f>191.59 - (191.59 * $E$1)</f>
        <v>191.59</v>
      </c>
      <c r="M4885" s="1">
        <v>233.74</v>
      </c>
      <c r="N4885" s="1">
        <v>191.59</v>
      </c>
      <c r="O4885" s="1">
        <v>198.68</v>
      </c>
      <c r="P4885" s="1">
        <v>162.85</v>
      </c>
      <c r="Q4885">
        <v>0.224</v>
      </c>
      <c r="R4885">
        <v>6.1200000000000002E-4</v>
      </c>
    </row>
    <row r="4886" spans="1:18" ht="13.8" outlineLevel="2" x14ac:dyDescent="0.25">
      <c r="A4886">
        <v>67394</v>
      </c>
      <c r="B4886" t="s">
        <v>7057</v>
      </c>
      <c r="C4886" t="s">
        <v>7070</v>
      </c>
      <c r="D4886" s="14" t="s">
        <v>7071</v>
      </c>
      <c r="E4886" s="12" t="s">
        <v>28</v>
      </c>
      <c r="F4886" s="13" t="s">
        <v>29</v>
      </c>
      <c r="G4886">
        <v>10</v>
      </c>
      <c r="H4886" t="s">
        <v>30</v>
      </c>
      <c r="I4886">
        <v>10</v>
      </c>
      <c r="J4886" s="15"/>
      <c r="K4886" s="16">
        <f>60.26 - (60.26 * $E$1)</f>
        <v>60.26</v>
      </c>
      <c r="L4886" s="16">
        <f>49.39 - (49.39 * $E$1)</f>
        <v>49.39</v>
      </c>
      <c r="M4886" s="1">
        <v>60.26</v>
      </c>
      <c r="N4886" s="1">
        <v>49.39</v>
      </c>
      <c r="O4886" s="1">
        <v>51.22</v>
      </c>
      <c r="P4886" s="1">
        <v>41.98</v>
      </c>
      <c r="Q4886">
        <v>1.32E-2</v>
      </c>
      <c r="R4886">
        <v>3.0000000000000001E-5</v>
      </c>
    </row>
    <row r="4887" spans="1:18" ht="13.8" outlineLevel="2" x14ac:dyDescent="0.25">
      <c r="A4887">
        <v>104907</v>
      </c>
      <c r="B4887" t="s">
        <v>7057</v>
      </c>
      <c r="C4887" t="s">
        <v>7072</v>
      </c>
      <c r="D4887" s="14" t="s">
        <v>7073</v>
      </c>
      <c r="E4887" s="12" t="s">
        <v>28</v>
      </c>
      <c r="F4887" s="13" t="s">
        <v>29</v>
      </c>
      <c r="G4887">
        <v>1</v>
      </c>
      <c r="H4887" t="s">
        <v>420</v>
      </c>
      <c r="I4887">
        <v>1</v>
      </c>
      <c r="J4887" s="15"/>
      <c r="K4887" s="16">
        <f>1227.56 - (1227.56 * $E$1)</f>
        <v>1227.56</v>
      </c>
      <c r="L4887" s="16">
        <f>1006.2 - (1006.2 * $E$1)</f>
        <v>1006.2</v>
      </c>
      <c r="M4887" s="1">
        <v>1227.56</v>
      </c>
      <c r="N4887" s="1">
        <v>1006.2</v>
      </c>
      <c r="O4887" s="1">
        <v>1043.43</v>
      </c>
      <c r="P4887" s="1">
        <v>855.27</v>
      </c>
      <c r="Q4887">
        <v>0.215</v>
      </c>
      <c r="R4887">
        <v>5.4000000000000001E-4</v>
      </c>
    </row>
    <row r="4888" spans="1:18" ht="13.8" outlineLevel="2" x14ac:dyDescent="0.25">
      <c r="A4888">
        <v>79600</v>
      </c>
      <c r="B4888" t="s">
        <v>7057</v>
      </c>
      <c r="C4888" t="s">
        <v>7074</v>
      </c>
      <c r="D4888" s="14" t="s">
        <v>7074</v>
      </c>
      <c r="E4888" s="12" t="s">
        <v>28</v>
      </c>
      <c r="F4888" s="13" t="s">
        <v>29</v>
      </c>
      <c r="G4888">
        <v>10</v>
      </c>
      <c r="H4888" t="s">
        <v>30</v>
      </c>
      <c r="I4888">
        <v>10</v>
      </c>
      <c r="J4888" s="15"/>
      <c r="K4888" s="16">
        <f>53.22 - (53.22 * $E$1)</f>
        <v>53.22</v>
      </c>
      <c r="L4888" s="16">
        <f>43.62 - (43.62 * $E$1)</f>
        <v>43.62</v>
      </c>
      <c r="M4888" s="1">
        <v>53.22</v>
      </c>
      <c r="N4888" s="1">
        <v>43.62</v>
      </c>
      <c r="O4888" s="1">
        <v>45.23</v>
      </c>
      <c r="P4888" s="1">
        <v>37.08</v>
      </c>
      <c r="Q4888">
        <v>0.01</v>
      </c>
      <c r="R4888">
        <v>5.2599999999999998E-5</v>
      </c>
    </row>
    <row r="4889" spans="1:18" ht="13.8" outlineLevel="2" x14ac:dyDescent="0.25">
      <c r="A4889">
        <v>90943</v>
      </c>
      <c r="B4889" t="s">
        <v>7075</v>
      </c>
      <c r="C4889" t="s">
        <v>7076</v>
      </c>
      <c r="D4889" s="14" t="s">
        <v>7077</v>
      </c>
      <c r="E4889" s="12" t="s">
        <v>28</v>
      </c>
      <c r="F4889" s="13" t="s">
        <v>29</v>
      </c>
      <c r="G4889">
        <v>25</v>
      </c>
      <c r="H4889" t="s">
        <v>30</v>
      </c>
      <c r="I4889">
        <v>25</v>
      </c>
      <c r="J4889" s="15"/>
      <c r="K4889" s="16">
        <f>54.97 - (54.97 * $E$1)</f>
        <v>54.97</v>
      </c>
      <c r="L4889" s="16">
        <f>45.06 - (45.06 * $E$1)</f>
        <v>45.06</v>
      </c>
      <c r="M4889" s="1">
        <v>54.97</v>
      </c>
      <c r="N4889" s="1">
        <v>45.06</v>
      </c>
      <c r="O4889" s="1">
        <v>46.73</v>
      </c>
      <c r="P4889" s="1">
        <v>38.299999999999997</v>
      </c>
      <c r="Q4889">
        <v>8.0000000000000002E-3</v>
      </c>
      <c r="R4889">
        <v>2.0000000000000002E-5</v>
      </c>
    </row>
    <row r="4890" spans="1:18" ht="13.8" outlineLevel="2" x14ac:dyDescent="0.25">
      <c r="A4890">
        <v>79659</v>
      </c>
      <c r="B4890" t="s">
        <v>7057</v>
      </c>
      <c r="C4890" t="s">
        <v>7078</v>
      </c>
      <c r="D4890" s="14" t="s">
        <v>7079</v>
      </c>
      <c r="E4890" s="12" t="s">
        <v>28</v>
      </c>
      <c r="F4890" s="13" t="s">
        <v>29</v>
      </c>
      <c r="G4890">
        <v>1</v>
      </c>
      <c r="H4890" t="s">
        <v>420</v>
      </c>
      <c r="I4890">
        <v>1</v>
      </c>
      <c r="J4890" s="15"/>
      <c r="K4890" s="16">
        <f>250 - (250 * $E$1)</f>
        <v>250</v>
      </c>
      <c r="L4890" s="16">
        <f>204.92 - (204.92 * $E$1)</f>
        <v>204.92</v>
      </c>
      <c r="M4890" s="1">
        <v>250</v>
      </c>
      <c r="N4890" s="1">
        <v>204.92</v>
      </c>
      <c r="O4890" s="1">
        <v>212.5</v>
      </c>
      <c r="P4890" s="1">
        <v>174.18</v>
      </c>
      <c r="Q4890">
        <v>0.38</v>
      </c>
      <c r="R4890">
        <v>5.9999999999999995E-4</v>
      </c>
    </row>
    <row r="4891" spans="1:18" ht="13.8" outlineLevel="2" x14ac:dyDescent="0.25">
      <c r="A4891">
        <v>79660</v>
      </c>
      <c r="B4891" t="s">
        <v>7057</v>
      </c>
      <c r="C4891" t="s">
        <v>7080</v>
      </c>
      <c r="D4891" s="14" t="s">
        <v>7081</v>
      </c>
      <c r="E4891" s="12" t="s">
        <v>28</v>
      </c>
      <c r="F4891" s="17" t="s">
        <v>549</v>
      </c>
      <c r="G4891">
        <v>1</v>
      </c>
      <c r="H4891" t="s">
        <v>420</v>
      </c>
      <c r="I4891">
        <v>1</v>
      </c>
      <c r="J4891" s="15"/>
      <c r="K4891" s="16">
        <f>265.14 - (265.14 * $E$1)</f>
        <v>265.14</v>
      </c>
      <c r="L4891" s="16">
        <f>217.33 - (217.33 * $E$1)</f>
        <v>217.33</v>
      </c>
      <c r="M4891" s="1">
        <v>265.14</v>
      </c>
      <c r="N4891" s="1">
        <v>217.33</v>
      </c>
      <c r="O4891" s="1">
        <v>225.37</v>
      </c>
      <c r="P4891" s="1">
        <v>184.73</v>
      </c>
      <c r="Q4891">
        <v>0.28999999999999998</v>
      </c>
      <c r="R4891">
        <v>5.9999999999999995E-4</v>
      </c>
    </row>
    <row r="4892" spans="1:18" ht="13.8" outlineLevel="2" x14ac:dyDescent="0.25">
      <c r="A4892">
        <v>79836</v>
      </c>
      <c r="B4892" t="s">
        <v>7082</v>
      </c>
      <c r="C4892" t="s">
        <v>7083</v>
      </c>
      <c r="D4892" s="14" t="s">
        <v>7083</v>
      </c>
      <c r="E4892" s="12" t="s">
        <v>28</v>
      </c>
      <c r="F4892" s="13" t="s">
        <v>29</v>
      </c>
      <c r="G4892">
        <v>1</v>
      </c>
      <c r="H4892" t="s">
        <v>30</v>
      </c>
      <c r="I4892">
        <v>1</v>
      </c>
      <c r="J4892" s="15"/>
      <c r="K4892" s="16">
        <f>5337.76 - (5337.76 * $E$1)</f>
        <v>5337.76</v>
      </c>
      <c r="L4892" s="16">
        <f>4375.21 - (4375.21 * $E$1)</f>
        <v>4375.21</v>
      </c>
      <c r="M4892" s="1">
        <v>5337.76</v>
      </c>
      <c r="N4892" s="1">
        <v>4375.21</v>
      </c>
      <c r="O4892" s="1">
        <v>4537.09</v>
      </c>
      <c r="P4892" s="1">
        <v>3718.93</v>
      </c>
      <c r="Q4892">
        <v>0.6</v>
      </c>
      <c r="R4892">
        <v>5.1869999999999998E-3</v>
      </c>
    </row>
    <row r="4893" spans="1:18" ht="13.8" outlineLevel="2" x14ac:dyDescent="0.25">
      <c r="A4893">
        <v>79837</v>
      </c>
      <c r="B4893" t="s">
        <v>7082</v>
      </c>
      <c r="C4893" t="s">
        <v>7084</v>
      </c>
      <c r="D4893" s="14" t="s">
        <v>7084</v>
      </c>
      <c r="E4893" s="12" t="s">
        <v>28</v>
      </c>
      <c r="F4893" s="13" t="s">
        <v>29</v>
      </c>
      <c r="G4893">
        <v>1</v>
      </c>
      <c r="H4893" t="s">
        <v>30</v>
      </c>
      <c r="I4893">
        <v>1</v>
      </c>
      <c r="J4893" s="15"/>
      <c r="K4893" s="16">
        <f>5337.76 - (5337.76 * $E$1)</f>
        <v>5337.76</v>
      </c>
      <c r="L4893" s="16">
        <f>4375.21 - (4375.21 * $E$1)</f>
        <v>4375.21</v>
      </c>
      <c r="M4893" s="1">
        <v>5337.76</v>
      </c>
      <c r="N4893" s="1">
        <v>4375.21</v>
      </c>
      <c r="O4893" s="1">
        <v>4537.09</v>
      </c>
      <c r="P4893" s="1">
        <v>3718.93</v>
      </c>
      <c r="Q4893">
        <v>0.6</v>
      </c>
      <c r="R4893">
        <v>5.1869999999999998E-3</v>
      </c>
    </row>
    <row r="4894" spans="1:18" ht="13.8" outlineLevel="2" x14ac:dyDescent="0.25">
      <c r="A4894">
        <v>79838</v>
      </c>
      <c r="B4894" t="s">
        <v>7082</v>
      </c>
      <c r="C4894" t="s">
        <v>7085</v>
      </c>
      <c r="D4894" s="14" t="s">
        <v>7085</v>
      </c>
      <c r="E4894" s="12" t="s">
        <v>28</v>
      </c>
      <c r="F4894" s="13" t="s">
        <v>29</v>
      </c>
      <c r="G4894">
        <v>1</v>
      </c>
      <c r="H4894" t="s">
        <v>30</v>
      </c>
      <c r="I4894">
        <v>1</v>
      </c>
      <c r="J4894" s="15"/>
      <c r="K4894" s="16">
        <f>5337.76 - (5337.76 * $E$1)</f>
        <v>5337.76</v>
      </c>
      <c r="L4894" s="16">
        <f>4375.21 - (4375.21 * $E$1)</f>
        <v>4375.21</v>
      </c>
      <c r="M4894" s="1">
        <v>5337.76</v>
      </c>
      <c r="N4894" s="1">
        <v>4375.21</v>
      </c>
      <c r="O4894" s="1">
        <v>4537.09</v>
      </c>
      <c r="P4894" s="1">
        <v>3718.93</v>
      </c>
      <c r="Q4894">
        <v>0.6</v>
      </c>
      <c r="R4894">
        <v>5.1869999999999998E-3</v>
      </c>
    </row>
    <row r="4895" spans="1:18" ht="13.8" outlineLevel="2" x14ac:dyDescent="0.25">
      <c r="A4895">
        <v>102087</v>
      </c>
      <c r="B4895" t="s">
        <v>7086</v>
      </c>
      <c r="C4895" t="s">
        <v>7087</v>
      </c>
      <c r="D4895" s="14" t="s">
        <v>7088</v>
      </c>
      <c r="E4895" s="12" t="s">
        <v>28</v>
      </c>
      <c r="F4895" s="13" t="s">
        <v>29</v>
      </c>
      <c r="G4895">
        <v>1000</v>
      </c>
      <c r="H4895" t="s">
        <v>30</v>
      </c>
      <c r="I4895">
        <v>1000</v>
      </c>
      <c r="J4895" s="15"/>
      <c r="K4895" s="16">
        <f>11.42 - (11.42 * $E$1)</f>
        <v>11.42</v>
      </c>
      <c r="L4895" s="16">
        <f>9.36 - (9.36 * $E$1)</f>
        <v>9.36</v>
      </c>
      <c r="M4895" s="1">
        <v>11.42</v>
      </c>
      <c r="N4895" s="1">
        <v>9.36</v>
      </c>
      <c r="O4895" s="1">
        <v>9.7100000000000009</v>
      </c>
      <c r="P4895" s="1">
        <v>7.96</v>
      </c>
      <c r="Q4895">
        <v>3.0699999999999998E-3</v>
      </c>
      <c r="R4895">
        <v>2.1624000000000002E-5</v>
      </c>
    </row>
    <row r="4896" spans="1:18" ht="13.8" outlineLevel="2" x14ac:dyDescent="0.25">
      <c r="A4896">
        <v>102088</v>
      </c>
      <c r="B4896" t="s">
        <v>7086</v>
      </c>
      <c r="C4896" t="s">
        <v>7089</v>
      </c>
      <c r="D4896" s="14" t="s">
        <v>7088</v>
      </c>
      <c r="E4896" s="12" t="s">
        <v>28</v>
      </c>
      <c r="F4896" s="13" t="s">
        <v>29</v>
      </c>
      <c r="G4896">
        <v>1000</v>
      </c>
      <c r="H4896" t="s">
        <v>30</v>
      </c>
      <c r="I4896">
        <v>1000</v>
      </c>
      <c r="J4896" s="15"/>
      <c r="K4896" s="16">
        <f>11.42 - (11.42 * $E$1)</f>
        <v>11.42</v>
      </c>
      <c r="L4896" s="16">
        <f>9.36 - (9.36 * $E$1)</f>
        <v>9.36</v>
      </c>
      <c r="M4896" s="1">
        <v>11.42</v>
      </c>
      <c r="N4896" s="1">
        <v>9.36</v>
      </c>
      <c r="O4896" s="1">
        <v>9.7100000000000009</v>
      </c>
      <c r="P4896" s="1">
        <v>7.96</v>
      </c>
      <c r="Q4896">
        <v>3.0699999999999998E-3</v>
      </c>
      <c r="R4896">
        <v>2.1624000000000002E-5</v>
      </c>
    </row>
    <row r="4897" spans="1:18" ht="13.8" outlineLevel="2" x14ac:dyDescent="0.25">
      <c r="A4897">
        <v>102089</v>
      </c>
      <c r="B4897" t="s">
        <v>7086</v>
      </c>
      <c r="C4897" t="s">
        <v>7090</v>
      </c>
      <c r="D4897" s="14" t="s">
        <v>7088</v>
      </c>
      <c r="E4897" s="12" t="s">
        <v>28</v>
      </c>
      <c r="F4897" s="13" t="s">
        <v>29</v>
      </c>
      <c r="G4897">
        <v>1000</v>
      </c>
      <c r="H4897" t="s">
        <v>30</v>
      </c>
      <c r="I4897">
        <v>1000</v>
      </c>
      <c r="J4897" s="15"/>
      <c r="K4897" s="16">
        <f>11.42 - (11.42 * $E$1)</f>
        <v>11.42</v>
      </c>
      <c r="L4897" s="16">
        <f>9.36 - (9.36 * $E$1)</f>
        <v>9.36</v>
      </c>
      <c r="M4897" s="1">
        <v>11.42</v>
      </c>
      <c r="N4897" s="1">
        <v>9.36</v>
      </c>
      <c r="O4897" s="1">
        <v>9.7100000000000009</v>
      </c>
      <c r="P4897" s="1">
        <v>7.96</v>
      </c>
      <c r="Q4897">
        <v>3.0699999999999998E-3</v>
      </c>
      <c r="R4897">
        <v>2.1624000000000002E-5</v>
      </c>
    </row>
    <row r="4898" spans="1:18" ht="13.8" outlineLevel="2" x14ac:dyDescent="0.25">
      <c r="A4898">
        <v>102090</v>
      </c>
      <c r="B4898" t="s">
        <v>7086</v>
      </c>
      <c r="C4898" t="s">
        <v>7091</v>
      </c>
      <c r="D4898" s="14" t="s">
        <v>7088</v>
      </c>
      <c r="E4898" s="12" t="s">
        <v>28</v>
      </c>
      <c r="F4898" s="13" t="s">
        <v>29</v>
      </c>
      <c r="G4898">
        <v>1000</v>
      </c>
      <c r="H4898" t="s">
        <v>30</v>
      </c>
      <c r="I4898">
        <v>1000</v>
      </c>
      <c r="J4898" s="15"/>
      <c r="K4898" s="16">
        <f>11.42 - (11.42 * $E$1)</f>
        <v>11.42</v>
      </c>
      <c r="L4898" s="16">
        <f>9.36 - (9.36 * $E$1)</f>
        <v>9.36</v>
      </c>
      <c r="M4898" s="1">
        <v>11.42</v>
      </c>
      <c r="N4898" s="1">
        <v>9.36</v>
      </c>
      <c r="O4898" s="1">
        <v>9.7100000000000009</v>
      </c>
      <c r="P4898" s="1">
        <v>7.96</v>
      </c>
      <c r="Q4898">
        <v>3.0699999999999998E-3</v>
      </c>
      <c r="R4898">
        <v>2.1624000000000002E-5</v>
      </c>
    </row>
    <row r="4899" spans="1:18" ht="13.8" outlineLevel="2" x14ac:dyDescent="0.25">
      <c r="A4899">
        <v>55863</v>
      </c>
      <c r="B4899" t="s">
        <v>7092</v>
      </c>
      <c r="C4899" t="s">
        <v>7093</v>
      </c>
      <c r="D4899" s="14" t="s">
        <v>7094</v>
      </c>
      <c r="E4899" s="12" t="s">
        <v>28</v>
      </c>
      <c r="F4899" s="13" t="s">
        <v>29</v>
      </c>
      <c r="G4899">
        <v>1000</v>
      </c>
      <c r="H4899" t="s">
        <v>30</v>
      </c>
      <c r="I4899">
        <v>1000</v>
      </c>
      <c r="J4899" s="15"/>
      <c r="K4899" s="16">
        <f t="shared" ref="K4899:K4904" si="14">8.3 - (8.3 * $E$1)</f>
        <v>8.3000000000000007</v>
      </c>
      <c r="L4899" s="16">
        <f t="shared" ref="L4899:L4904" si="15">6.8 - (6.8 * $E$1)</f>
        <v>6.8</v>
      </c>
      <c r="M4899" s="1">
        <v>8.3000000000000007</v>
      </c>
      <c r="N4899" s="1">
        <v>6.8</v>
      </c>
      <c r="O4899" s="1">
        <v>7.05</v>
      </c>
      <c r="P4899" s="1">
        <v>5.78</v>
      </c>
      <c r="Q4899">
        <v>2.7000000000000001E-3</v>
      </c>
      <c r="R4899">
        <v>2.0089999999999999E-5</v>
      </c>
    </row>
    <row r="4900" spans="1:18" ht="13.8" outlineLevel="2" x14ac:dyDescent="0.25">
      <c r="A4900">
        <v>55889</v>
      </c>
      <c r="B4900" t="s">
        <v>7092</v>
      </c>
      <c r="C4900" t="s">
        <v>7095</v>
      </c>
      <c r="D4900" s="14" t="s">
        <v>7094</v>
      </c>
      <c r="E4900" s="12" t="s">
        <v>28</v>
      </c>
      <c r="F4900" s="13" t="s">
        <v>29</v>
      </c>
      <c r="G4900">
        <v>1000</v>
      </c>
      <c r="H4900" t="s">
        <v>30</v>
      </c>
      <c r="I4900">
        <v>1000</v>
      </c>
      <c r="J4900" s="15"/>
      <c r="K4900" s="16">
        <f t="shared" si="14"/>
        <v>8.3000000000000007</v>
      </c>
      <c r="L4900" s="16">
        <f t="shared" si="15"/>
        <v>6.8</v>
      </c>
      <c r="M4900" s="1">
        <v>8.3000000000000007</v>
      </c>
      <c r="N4900" s="1">
        <v>6.8</v>
      </c>
      <c r="O4900" s="1">
        <v>7.05</v>
      </c>
      <c r="P4900" s="1">
        <v>5.78</v>
      </c>
      <c r="Q4900">
        <v>2.7000000000000001E-3</v>
      </c>
      <c r="R4900">
        <v>2.0089999999999999E-5</v>
      </c>
    </row>
    <row r="4901" spans="1:18" ht="13.8" outlineLevel="2" x14ac:dyDescent="0.25">
      <c r="A4901">
        <v>55890</v>
      </c>
      <c r="B4901" t="s">
        <v>7092</v>
      </c>
      <c r="C4901" t="s">
        <v>7096</v>
      </c>
      <c r="D4901" s="14" t="s">
        <v>7094</v>
      </c>
      <c r="E4901" s="12" t="s">
        <v>28</v>
      </c>
      <c r="F4901" s="13" t="s">
        <v>29</v>
      </c>
      <c r="G4901">
        <v>1000</v>
      </c>
      <c r="H4901" t="s">
        <v>30</v>
      </c>
      <c r="I4901">
        <v>1000</v>
      </c>
      <c r="J4901" s="15"/>
      <c r="K4901" s="16">
        <f t="shared" si="14"/>
        <v>8.3000000000000007</v>
      </c>
      <c r="L4901" s="16">
        <f t="shared" si="15"/>
        <v>6.8</v>
      </c>
      <c r="M4901" s="1">
        <v>8.3000000000000007</v>
      </c>
      <c r="N4901" s="1">
        <v>6.8</v>
      </c>
      <c r="O4901" s="1">
        <v>7.05</v>
      </c>
      <c r="P4901" s="1">
        <v>5.78</v>
      </c>
      <c r="Q4901">
        <v>2.7000000000000001E-3</v>
      </c>
      <c r="R4901">
        <v>2.0089999999999999E-5</v>
      </c>
    </row>
    <row r="4902" spans="1:18" ht="13.8" outlineLevel="2" x14ac:dyDescent="0.25">
      <c r="A4902">
        <v>56276</v>
      </c>
      <c r="B4902" t="s">
        <v>7092</v>
      </c>
      <c r="C4902" t="s">
        <v>7097</v>
      </c>
      <c r="D4902" s="14" t="s">
        <v>7094</v>
      </c>
      <c r="E4902" s="12" t="s">
        <v>28</v>
      </c>
      <c r="F4902" s="13" t="s">
        <v>29</v>
      </c>
      <c r="G4902">
        <v>1000</v>
      </c>
      <c r="H4902" t="s">
        <v>30</v>
      </c>
      <c r="I4902">
        <v>1000</v>
      </c>
      <c r="J4902" s="15"/>
      <c r="K4902" s="16">
        <f t="shared" si="14"/>
        <v>8.3000000000000007</v>
      </c>
      <c r="L4902" s="16">
        <f t="shared" si="15"/>
        <v>6.8</v>
      </c>
      <c r="M4902" s="1">
        <v>8.3000000000000007</v>
      </c>
      <c r="N4902" s="1">
        <v>6.8</v>
      </c>
      <c r="O4902" s="1">
        <v>7.05</v>
      </c>
      <c r="P4902" s="1">
        <v>5.78</v>
      </c>
      <c r="Q4902">
        <v>2.7000000000000001E-3</v>
      </c>
      <c r="R4902">
        <v>2.0089999999999999E-5</v>
      </c>
    </row>
    <row r="4903" spans="1:18" ht="13.8" outlineLevel="2" x14ac:dyDescent="0.25">
      <c r="A4903">
        <v>55864</v>
      </c>
      <c r="B4903" t="s">
        <v>7092</v>
      </c>
      <c r="C4903" t="s">
        <v>7098</v>
      </c>
      <c r="D4903" s="14" t="s">
        <v>7094</v>
      </c>
      <c r="E4903" s="12" t="s">
        <v>28</v>
      </c>
      <c r="F4903" s="13" t="s">
        <v>29</v>
      </c>
      <c r="G4903">
        <v>1000</v>
      </c>
      <c r="H4903" t="s">
        <v>30</v>
      </c>
      <c r="I4903">
        <v>1000</v>
      </c>
      <c r="J4903" s="15"/>
      <c r="K4903" s="16">
        <f t="shared" si="14"/>
        <v>8.3000000000000007</v>
      </c>
      <c r="L4903" s="16">
        <f t="shared" si="15"/>
        <v>6.8</v>
      </c>
      <c r="M4903" s="1">
        <v>8.3000000000000007</v>
      </c>
      <c r="N4903" s="1">
        <v>6.8</v>
      </c>
      <c r="O4903" s="1">
        <v>7.05</v>
      </c>
      <c r="P4903" s="1">
        <v>5.78</v>
      </c>
      <c r="Q4903">
        <v>2.7000000000000001E-3</v>
      </c>
      <c r="R4903">
        <v>2.0089999999999999E-5</v>
      </c>
    </row>
    <row r="4904" spans="1:18" ht="13.8" outlineLevel="2" x14ac:dyDescent="0.25">
      <c r="A4904">
        <v>55865</v>
      </c>
      <c r="B4904" t="s">
        <v>7092</v>
      </c>
      <c r="C4904" t="s">
        <v>7099</v>
      </c>
      <c r="D4904" s="14" t="s">
        <v>7094</v>
      </c>
      <c r="E4904" s="12" t="s">
        <v>28</v>
      </c>
      <c r="F4904" s="13" t="s">
        <v>29</v>
      </c>
      <c r="G4904">
        <v>1000</v>
      </c>
      <c r="H4904" t="s">
        <v>30</v>
      </c>
      <c r="I4904">
        <v>1000</v>
      </c>
      <c r="J4904" s="15"/>
      <c r="K4904" s="16">
        <f t="shared" si="14"/>
        <v>8.3000000000000007</v>
      </c>
      <c r="L4904" s="16">
        <f t="shared" si="15"/>
        <v>6.8</v>
      </c>
      <c r="M4904" s="1">
        <v>8.3000000000000007</v>
      </c>
      <c r="N4904" s="1">
        <v>6.8</v>
      </c>
      <c r="O4904" s="1">
        <v>7.05</v>
      </c>
      <c r="P4904" s="1">
        <v>5.78</v>
      </c>
      <c r="Q4904">
        <v>2.7000000000000001E-3</v>
      </c>
      <c r="R4904">
        <v>2.0089999999999999E-5</v>
      </c>
    </row>
    <row r="4905" spans="1:18" ht="13.8" outlineLevel="2" x14ac:dyDescent="0.25">
      <c r="A4905">
        <v>83407</v>
      </c>
      <c r="B4905" t="s">
        <v>7100</v>
      </c>
      <c r="C4905" t="s">
        <v>7101</v>
      </c>
      <c r="D4905" s="14" t="s">
        <v>7102</v>
      </c>
      <c r="E4905" s="12" t="s">
        <v>28</v>
      </c>
      <c r="F4905" s="13" t="s">
        <v>29</v>
      </c>
      <c r="G4905">
        <v>1</v>
      </c>
      <c r="H4905" t="s">
        <v>30</v>
      </c>
      <c r="I4905">
        <v>1</v>
      </c>
      <c r="J4905" s="15"/>
      <c r="K4905" s="16">
        <f>457.13 - (457.13 * $E$1)</f>
        <v>457.13</v>
      </c>
      <c r="L4905" s="16">
        <f>374.7 - (374.7 * $E$1)</f>
        <v>374.7</v>
      </c>
      <c r="M4905" s="1">
        <v>457.13</v>
      </c>
      <c r="N4905" s="1">
        <v>374.7</v>
      </c>
      <c r="O4905" s="1">
        <v>388.56</v>
      </c>
      <c r="P4905" s="1">
        <v>318.5</v>
      </c>
      <c r="Q4905">
        <v>4.8611000000000001E-2</v>
      </c>
      <c r="R4905">
        <v>2.6600000000000001E-4</v>
      </c>
    </row>
    <row r="4906" spans="1:18" ht="13.8" outlineLevel="2" x14ac:dyDescent="0.25">
      <c r="A4906">
        <v>83406</v>
      </c>
      <c r="B4906" t="s">
        <v>7103</v>
      </c>
      <c r="C4906" t="s">
        <v>7104</v>
      </c>
      <c r="D4906" s="14" t="s">
        <v>7105</v>
      </c>
      <c r="E4906" s="12" t="s">
        <v>28</v>
      </c>
      <c r="F4906" s="13" t="s">
        <v>29</v>
      </c>
      <c r="G4906">
        <v>5</v>
      </c>
      <c r="H4906" t="s">
        <v>30</v>
      </c>
      <c r="I4906">
        <v>5</v>
      </c>
      <c r="J4906" s="15"/>
      <c r="K4906" s="16">
        <f>137.12 - (137.12 * $E$1)</f>
        <v>137.12</v>
      </c>
      <c r="L4906" s="16">
        <f>112.39 - (112.39 * $E$1)</f>
        <v>112.39</v>
      </c>
      <c r="M4906" s="1">
        <v>137.12</v>
      </c>
      <c r="N4906" s="1">
        <v>112.39</v>
      </c>
      <c r="O4906" s="1">
        <v>116.55</v>
      </c>
      <c r="P4906" s="1">
        <v>95.53</v>
      </c>
      <c r="Q4906">
        <v>8.0000000000000002E-3</v>
      </c>
      <c r="R4906">
        <v>2.0999999999999999E-5</v>
      </c>
    </row>
    <row r="4907" spans="1:18" ht="13.8" outlineLevel="2" x14ac:dyDescent="0.25">
      <c r="A4907">
        <v>83403</v>
      </c>
      <c r="B4907" t="s">
        <v>7103</v>
      </c>
      <c r="C4907" t="s">
        <v>7106</v>
      </c>
      <c r="D4907" s="14" t="s">
        <v>7107</v>
      </c>
      <c r="E4907" s="12" t="s">
        <v>28</v>
      </c>
      <c r="F4907" s="13" t="s">
        <v>29</v>
      </c>
      <c r="G4907">
        <v>5</v>
      </c>
      <c r="H4907" t="s">
        <v>30</v>
      </c>
      <c r="I4907">
        <v>5</v>
      </c>
      <c r="J4907" s="15"/>
      <c r="K4907" s="16">
        <f>127.81 - (127.81 * $E$1)</f>
        <v>127.81</v>
      </c>
      <c r="L4907" s="16">
        <f>104.76 - (104.76 * $E$1)</f>
        <v>104.76</v>
      </c>
      <c r="M4907" s="1">
        <v>127.81</v>
      </c>
      <c r="N4907" s="1">
        <v>104.76</v>
      </c>
      <c r="O4907" s="1">
        <v>108.64</v>
      </c>
      <c r="P4907" s="1">
        <v>89.05</v>
      </c>
      <c r="Q4907">
        <v>8.0000000000000002E-3</v>
      </c>
      <c r="R4907">
        <v>2.1800000000000001E-5</v>
      </c>
    </row>
    <row r="4908" spans="1:18" ht="13.8" outlineLevel="2" x14ac:dyDescent="0.25">
      <c r="A4908">
        <v>83404</v>
      </c>
      <c r="B4908" t="s">
        <v>7103</v>
      </c>
      <c r="C4908" t="s">
        <v>7108</v>
      </c>
      <c r="D4908" s="14" t="s">
        <v>7109</v>
      </c>
      <c r="E4908" s="12" t="s">
        <v>28</v>
      </c>
      <c r="F4908" s="13" t="s">
        <v>29</v>
      </c>
      <c r="G4908">
        <v>5</v>
      </c>
      <c r="H4908" t="s">
        <v>30</v>
      </c>
      <c r="I4908">
        <v>5</v>
      </c>
      <c r="J4908" s="15"/>
      <c r="K4908" s="16">
        <f>121.3 - (121.3 * $E$1)</f>
        <v>121.3</v>
      </c>
      <c r="L4908" s="16">
        <f>99.43 - (99.43 * $E$1)</f>
        <v>99.43</v>
      </c>
      <c r="M4908" s="1">
        <v>121.3</v>
      </c>
      <c r="N4908" s="1">
        <v>99.43</v>
      </c>
      <c r="O4908" s="1">
        <v>103.11</v>
      </c>
      <c r="P4908" s="1">
        <v>84.52</v>
      </c>
      <c r="Q4908">
        <v>7.1999999999999998E-3</v>
      </c>
      <c r="R4908">
        <v>1.6799999999999998E-5</v>
      </c>
    </row>
    <row r="4909" spans="1:18" ht="33.75" customHeight="1" x14ac:dyDescent="0.35">
      <c r="A4909" s="9"/>
      <c r="B4909" s="10" t="s">
        <v>7110</v>
      </c>
      <c r="C4909" s="10"/>
      <c r="D4909" s="10"/>
      <c r="E4909" s="10"/>
      <c r="F4909" s="10"/>
      <c r="G4909" s="10"/>
      <c r="H4909" s="10"/>
      <c r="I4909" s="10"/>
      <c r="J4909" s="10"/>
      <c r="K4909" s="10"/>
      <c r="L4909" s="10"/>
      <c r="M4909" s="10"/>
      <c r="N4909" s="10"/>
      <c r="O4909" s="10"/>
      <c r="P4909" s="10"/>
      <c r="Q4909" s="10"/>
      <c r="R4909" s="11"/>
    </row>
    <row r="4910" spans="1:18" ht="16.5" customHeight="1" outlineLevel="1" x14ac:dyDescent="0.35">
      <c r="A4910" s="9"/>
      <c r="B4910" s="10" t="s">
        <v>7111</v>
      </c>
      <c r="C4910" s="10"/>
      <c r="D4910" s="10"/>
      <c r="E4910" s="10"/>
      <c r="F4910" s="10"/>
      <c r="G4910" s="10"/>
      <c r="H4910" s="10"/>
      <c r="I4910" s="10"/>
      <c r="J4910" s="10"/>
      <c r="K4910" s="10"/>
      <c r="L4910" s="10"/>
      <c r="M4910" s="10"/>
      <c r="N4910" s="10"/>
      <c r="O4910" s="10"/>
      <c r="P4910" s="10"/>
      <c r="Q4910" s="10"/>
      <c r="R4910" s="11"/>
    </row>
    <row r="4911" spans="1:18" ht="13.8" outlineLevel="2" x14ac:dyDescent="0.25">
      <c r="A4911">
        <v>79372</v>
      </c>
      <c r="B4911" t="s">
        <v>7112</v>
      </c>
      <c r="C4911" t="s">
        <v>7113</v>
      </c>
      <c r="D4911" s="14" t="s">
        <v>7114</v>
      </c>
      <c r="E4911" s="12" t="s">
        <v>28</v>
      </c>
      <c r="F4911" s="13" t="s">
        <v>29</v>
      </c>
      <c r="G4911">
        <v>100</v>
      </c>
      <c r="H4911" t="s">
        <v>30</v>
      </c>
      <c r="I4911">
        <v>100</v>
      </c>
      <c r="J4911" s="15"/>
      <c r="K4911" s="16">
        <f>10.74 - (10.74 * $E$1)</f>
        <v>10.74</v>
      </c>
      <c r="L4911" s="16">
        <f>8.8 - (8.8 * $E$1)</f>
        <v>8.8000000000000007</v>
      </c>
      <c r="M4911" s="1">
        <v>10.74</v>
      </c>
      <c r="N4911" s="1">
        <v>8.8000000000000007</v>
      </c>
      <c r="O4911" s="1">
        <v>9.1300000000000008</v>
      </c>
      <c r="P4911" s="1">
        <v>7.48</v>
      </c>
      <c r="Q4911">
        <v>1.6000000000000001E-3</v>
      </c>
      <c r="R4911">
        <v>2.1500000000000002E-6</v>
      </c>
    </row>
    <row r="4912" spans="1:18" ht="13.8" outlineLevel="2" x14ac:dyDescent="0.25">
      <c r="A4912">
        <v>74867</v>
      </c>
      <c r="B4912" t="s">
        <v>7112</v>
      </c>
      <c r="C4912" t="s">
        <v>7115</v>
      </c>
      <c r="D4912" s="14" t="s">
        <v>7114</v>
      </c>
      <c r="E4912" s="12" t="s">
        <v>28</v>
      </c>
      <c r="F4912" s="13" t="s">
        <v>29</v>
      </c>
      <c r="G4912">
        <v>100</v>
      </c>
      <c r="H4912" t="s">
        <v>30</v>
      </c>
      <c r="I4912">
        <v>100</v>
      </c>
      <c r="J4912" s="15"/>
      <c r="K4912" s="16">
        <f>12.11 - (12.11 * $E$1)</f>
        <v>12.11</v>
      </c>
      <c r="L4912" s="16">
        <f>9.93 - (9.93 * $E$1)</f>
        <v>9.93</v>
      </c>
      <c r="M4912" s="1">
        <v>12.11</v>
      </c>
      <c r="N4912" s="1">
        <v>9.93</v>
      </c>
      <c r="O4912" s="1">
        <v>10.3</v>
      </c>
      <c r="P4912" s="1">
        <v>8.44</v>
      </c>
      <c r="Q4912">
        <v>3.7000000000000002E-3</v>
      </c>
      <c r="R4912">
        <v>2.3099999999999999E-6</v>
      </c>
    </row>
    <row r="4913" spans="1:18" ht="13.8" outlineLevel="2" x14ac:dyDescent="0.25">
      <c r="A4913">
        <v>74868</v>
      </c>
      <c r="B4913" t="s">
        <v>7112</v>
      </c>
      <c r="C4913" t="s">
        <v>7116</v>
      </c>
      <c r="D4913" s="14" t="s">
        <v>7114</v>
      </c>
      <c r="E4913" s="12" t="s">
        <v>28</v>
      </c>
      <c r="F4913" s="13" t="s">
        <v>29</v>
      </c>
      <c r="G4913">
        <v>100</v>
      </c>
      <c r="H4913" t="s">
        <v>30</v>
      </c>
      <c r="I4913">
        <v>100</v>
      </c>
      <c r="J4913" s="15"/>
      <c r="K4913" s="16">
        <f>13.46 - (13.46 * $E$1)</f>
        <v>13.46</v>
      </c>
      <c r="L4913" s="16">
        <f>11.03 - (11.03 * $E$1)</f>
        <v>11.03</v>
      </c>
      <c r="M4913" s="1">
        <v>13.46</v>
      </c>
      <c r="N4913" s="1">
        <v>11.03</v>
      </c>
      <c r="O4913" s="1">
        <v>11.44</v>
      </c>
      <c r="P4913" s="1">
        <v>9.3800000000000008</v>
      </c>
      <c r="Q4913">
        <v>4.1000000000000003E-3</v>
      </c>
      <c r="R4913">
        <v>2.8600000000000001E-6</v>
      </c>
    </row>
    <row r="4914" spans="1:18" ht="13.8" outlineLevel="2" x14ac:dyDescent="0.25">
      <c r="A4914">
        <v>74869</v>
      </c>
      <c r="B4914" t="s">
        <v>7112</v>
      </c>
      <c r="C4914" t="s">
        <v>7117</v>
      </c>
      <c r="D4914" s="14" t="s">
        <v>7114</v>
      </c>
      <c r="E4914" s="12" t="s">
        <v>28</v>
      </c>
      <c r="F4914" s="13" t="s">
        <v>29</v>
      </c>
      <c r="G4914">
        <v>100</v>
      </c>
      <c r="H4914" t="s">
        <v>30</v>
      </c>
      <c r="I4914">
        <v>100</v>
      </c>
      <c r="J4914" s="15"/>
      <c r="K4914" s="16">
        <f>14.98 - (14.98 * $E$1)</f>
        <v>14.98</v>
      </c>
      <c r="L4914" s="16">
        <f>12.28 - (12.28 * $E$1)</f>
        <v>12.28</v>
      </c>
      <c r="M4914" s="1">
        <v>14.98</v>
      </c>
      <c r="N4914" s="1">
        <v>12.28</v>
      </c>
      <c r="O4914" s="1">
        <v>12.73</v>
      </c>
      <c r="P4914" s="1">
        <v>10.44</v>
      </c>
      <c r="Q4914">
        <v>4.5999999999999999E-3</v>
      </c>
      <c r="R4914">
        <v>3.41E-6</v>
      </c>
    </row>
    <row r="4915" spans="1:18" ht="13.8" outlineLevel="2" x14ac:dyDescent="0.25">
      <c r="A4915">
        <v>74870</v>
      </c>
      <c r="B4915" t="s">
        <v>7112</v>
      </c>
      <c r="C4915" t="s">
        <v>7118</v>
      </c>
      <c r="D4915" s="14" t="s">
        <v>7114</v>
      </c>
      <c r="E4915" s="12" t="s">
        <v>28</v>
      </c>
      <c r="F4915" s="13" t="s">
        <v>29</v>
      </c>
      <c r="G4915">
        <v>100</v>
      </c>
      <c r="H4915" t="s">
        <v>30</v>
      </c>
      <c r="I4915">
        <v>100</v>
      </c>
      <c r="J4915" s="15"/>
      <c r="K4915" s="16">
        <f>16.52 - (16.52 * $E$1)</f>
        <v>16.52</v>
      </c>
      <c r="L4915" s="16">
        <f>13.54 - (13.54 * $E$1)</f>
        <v>13.54</v>
      </c>
      <c r="M4915" s="1">
        <v>16.52</v>
      </c>
      <c r="N4915" s="1">
        <v>13.54</v>
      </c>
      <c r="O4915" s="1">
        <v>14.04</v>
      </c>
      <c r="P4915" s="1">
        <v>11.51</v>
      </c>
      <c r="Q4915">
        <v>4.8999999999999998E-3</v>
      </c>
      <c r="R4915">
        <v>3.9600000000000002E-6</v>
      </c>
    </row>
    <row r="4916" spans="1:18" ht="13.8" outlineLevel="2" x14ac:dyDescent="0.25">
      <c r="A4916">
        <v>74871</v>
      </c>
      <c r="B4916" t="s">
        <v>7112</v>
      </c>
      <c r="C4916" t="s">
        <v>7119</v>
      </c>
      <c r="D4916" s="14" t="s">
        <v>7114</v>
      </c>
      <c r="E4916" s="12" t="s">
        <v>28</v>
      </c>
      <c r="F4916" s="13" t="s">
        <v>29</v>
      </c>
      <c r="G4916">
        <v>100</v>
      </c>
      <c r="H4916" t="s">
        <v>30</v>
      </c>
      <c r="I4916">
        <v>100</v>
      </c>
      <c r="J4916" s="15"/>
      <c r="K4916" s="16">
        <f>18 - (18 * $E$1)</f>
        <v>18</v>
      </c>
      <c r="L4916" s="16">
        <f>14.75 - (14.75 * $E$1)</f>
        <v>14.75</v>
      </c>
      <c r="M4916" s="1">
        <v>18</v>
      </c>
      <c r="N4916" s="1">
        <v>14.75</v>
      </c>
      <c r="O4916" s="1">
        <v>15.3</v>
      </c>
      <c r="P4916" s="1">
        <v>12.54</v>
      </c>
      <c r="Q4916">
        <v>5.4000000000000003E-3</v>
      </c>
      <c r="R4916">
        <v>4.51E-6</v>
      </c>
    </row>
    <row r="4917" spans="1:18" ht="13.8" outlineLevel="2" x14ac:dyDescent="0.25">
      <c r="A4917">
        <v>74872</v>
      </c>
      <c r="B4917" t="s">
        <v>7112</v>
      </c>
      <c r="C4917" t="s">
        <v>7120</v>
      </c>
      <c r="D4917" s="14" t="s">
        <v>7114</v>
      </c>
      <c r="E4917" s="12" t="s">
        <v>28</v>
      </c>
      <c r="F4917" s="13" t="s">
        <v>29</v>
      </c>
      <c r="G4917">
        <v>100</v>
      </c>
      <c r="H4917" t="s">
        <v>30</v>
      </c>
      <c r="I4917">
        <v>100</v>
      </c>
      <c r="J4917" s="15"/>
      <c r="K4917" s="16">
        <f>19.45 - (19.45 * $E$1)</f>
        <v>19.45</v>
      </c>
      <c r="L4917" s="16">
        <f>15.94 - (15.94 * $E$1)</f>
        <v>15.94</v>
      </c>
      <c r="M4917" s="1">
        <v>19.45</v>
      </c>
      <c r="N4917" s="1">
        <v>15.94</v>
      </c>
      <c r="O4917" s="1">
        <v>16.53</v>
      </c>
      <c r="P4917" s="1">
        <v>13.55</v>
      </c>
      <c r="Q4917">
        <v>5.8999999999999999E-3</v>
      </c>
      <c r="R4917">
        <v>5.0599999999999998E-6</v>
      </c>
    </row>
    <row r="4918" spans="1:18" ht="13.8" outlineLevel="2" x14ac:dyDescent="0.25">
      <c r="A4918">
        <v>74873</v>
      </c>
      <c r="B4918" t="s">
        <v>7112</v>
      </c>
      <c r="C4918" t="s">
        <v>7121</v>
      </c>
      <c r="D4918" s="14" t="s">
        <v>7114</v>
      </c>
      <c r="E4918" s="12" t="s">
        <v>28</v>
      </c>
      <c r="F4918" s="13" t="s">
        <v>29</v>
      </c>
      <c r="G4918">
        <v>100</v>
      </c>
      <c r="H4918" t="s">
        <v>30</v>
      </c>
      <c r="I4918">
        <v>100</v>
      </c>
      <c r="J4918" s="15"/>
      <c r="K4918" s="16">
        <f>22.28 - (22.28 * $E$1)</f>
        <v>22.28</v>
      </c>
      <c r="L4918" s="16">
        <f>18.26 - (18.26 * $E$1)</f>
        <v>18.260000000000002</v>
      </c>
      <c r="M4918" s="1">
        <v>22.28</v>
      </c>
      <c r="N4918" s="1">
        <v>18.260000000000002</v>
      </c>
      <c r="O4918" s="1">
        <v>18.940000000000001</v>
      </c>
      <c r="P4918" s="1">
        <v>15.52</v>
      </c>
      <c r="Q4918">
        <v>6.7999999999999996E-3</v>
      </c>
      <c r="R4918">
        <v>6.1600000000000003E-6</v>
      </c>
    </row>
    <row r="4919" spans="1:18" ht="13.8" outlineLevel="2" x14ac:dyDescent="0.25">
      <c r="A4919">
        <v>74874</v>
      </c>
      <c r="B4919" t="s">
        <v>7112</v>
      </c>
      <c r="C4919" t="s">
        <v>7122</v>
      </c>
      <c r="D4919" s="14" t="s">
        <v>7114</v>
      </c>
      <c r="E4919" s="12" t="s">
        <v>28</v>
      </c>
      <c r="F4919" s="13" t="s">
        <v>29</v>
      </c>
      <c r="G4919">
        <v>100</v>
      </c>
      <c r="H4919" t="s">
        <v>30</v>
      </c>
      <c r="I4919">
        <v>100</v>
      </c>
      <c r="J4919" s="15"/>
      <c r="K4919" s="16">
        <f>25.46 - (25.46 * $E$1)</f>
        <v>25.46</v>
      </c>
      <c r="L4919" s="16">
        <f>20.87 - (20.87 * $E$1)</f>
        <v>20.87</v>
      </c>
      <c r="M4919" s="1">
        <v>25.46</v>
      </c>
      <c r="N4919" s="1">
        <v>20.87</v>
      </c>
      <c r="O4919" s="1">
        <v>21.64</v>
      </c>
      <c r="P4919" s="1">
        <v>17.739999999999998</v>
      </c>
      <c r="Q4919">
        <v>7.7000000000000002E-3</v>
      </c>
      <c r="R4919">
        <v>7.2599999999999999E-6</v>
      </c>
    </row>
    <row r="4920" spans="1:18" ht="13.8" outlineLevel="2" x14ac:dyDescent="0.25">
      <c r="A4920">
        <v>74875</v>
      </c>
      <c r="B4920" t="s">
        <v>7112</v>
      </c>
      <c r="C4920" t="s">
        <v>7123</v>
      </c>
      <c r="D4920" s="14" t="s">
        <v>7114</v>
      </c>
      <c r="E4920" s="12" t="s">
        <v>28</v>
      </c>
      <c r="F4920" s="13" t="s">
        <v>29</v>
      </c>
      <c r="G4920">
        <v>100</v>
      </c>
      <c r="H4920" t="s">
        <v>30</v>
      </c>
      <c r="I4920">
        <v>100</v>
      </c>
      <c r="J4920" s="15"/>
      <c r="K4920" s="16">
        <f>31.17 - (31.17 * $E$1)</f>
        <v>31.17</v>
      </c>
      <c r="L4920" s="16">
        <f>25.55 - (25.55 * $E$1)</f>
        <v>25.55</v>
      </c>
      <c r="M4920" s="1">
        <v>31.17</v>
      </c>
      <c r="N4920" s="1">
        <v>25.55</v>
      </c>
      <c r="O4920" s="1">
        <v>26.5</v>
      </c>
      <c r="P4920" s="1">
        <v>21.72</v>
      </c>
      <c r="Q4920">
        <v>9.4999999999999998E-3</v>
      </c>
      <c r="R4920">
        <v>9.4599999999999992E-6</v>
      </c>
    </row>
    <row r="4921" spans="1:18" ht="13.8" outlineLevel="2" x14ac:dyDescent="0.25">
      <c r="A4921">
        <v>74876</v>
      </c>
      <c r="B4921" t="s">
        <v>7112</v>
      </c>
      <c r="C4921" t="s">
        <v>7124</v>
      </c>
      <c r="D4921" s="14" t="s">
        <v>7114</v>
      </c>
      <c r="E4921" s="12" t="s">
        <v>28</v>
      </c>
      <c r="F4921" s="13" t="s">
        <v>29</v>
      </c>
      <c r="G4921">
        <v>100</v>
      </c>
      <c r="H4921" t="s">
        <v>30</v>
      </c>
      <c r="I4921">
        <v>100</v>
      </c>
      <c r="J4921" s="15"/>
      <c r="K4921" s="16">
        <f>37.01 - (37.01 * $E$1)</f>
        <v>37.01</v>
      </c>
      <c r="L4921" s="16">
        <f>30.34 - (30.34 * $E$1)</f>
        <v>30.34</v>
      </c>
      <c r="M4921" s="1">
        <v>37.01</v>
      </c>
      <c r="N4921" s="1">
        <v>30.34</v>
      </c>
      <c r="O4921" s="1">
        <v>31.46</v>
      </c>
      <c r="P4921" s="1">
        <v>25.79</v>
      </c>
      <c r="Q4921">
        <v>1.1299999999999999E-2</v>
      </c>
      <c r="R4921">
        <v>1.166E-5</v>
      </c>
    </row>
    <row r="4922" spans="1:18" ht="13.8" outlineLevel="2" x14ac:dyDescent="0.25">
      <c r="A4922">
        <v>74877</v>
      </c>
      <c r="B4922" t="s">
        <v>7112</v>
      </c>
      <c r="C4922" t="s">
        <v>7125</v>
      </c>
      <c r="D4922" s="14" t="s">
        <v>7114</v>
      </c>
      <c r="E4922" s="12" t="s">
        <v>28</v>
      </c>
      <c r="F4922" s="13" t="s">
        <v>29</v>
      </c>
      <c r="G4922">
        <v>100</v>
      </c>
      <c r="H4922" t="s">
        <v>30</v>
      </c>
      <c r="I4922">
        <v>100</v>
      </c>
      <c r="J4922" s="15"/>
      <c r="K4922" s="16">
        <f>17.31 - (17.31 * $E$1)</f>
        <v>17.309999999999999</v>
      </c>
      <c r="L4922" s="16">
        <f>14.19 - (14.19 * $E$1)</f>
        <v>14.19</v>
      </c>
      <c r="M4922" s="1">
        <v>17.309999999999999</v>
      </c>
      <c r="N4922" s="1">
        <v>14.19</v>
      </c>
      <c r="O4922" s="1">
        <v>14.72</v>
      </c>
      <c r="P4922" s="1">
        <v>12.06</v>
      </c>
      <c r="Q4922">
        <v>4.0000000000000001E-3</v>
      </c>
      <c r="R4922">
        <v>3.8399999999999997E-6</v>
      </c>
    </row>
    <row r="4923" spans="1:18" ht="13.8" outlineLevel="2" x14ac:dyDescent="0.25">
      <c r="A4923">
        <v>74878</v>
      </c>
      <c r="B4923" t="s">
        <v>7112</v>
      </c>
      <c r="C4923" t="s">
        <v>7126</v>
      </c>
      <c r="D4923" s="14" t="s">
        <v>7114</v>
      </c>
      <c r="E4923" s="12" t="s">
        <v>28</v>
      </c>
      <c r="F4923" s="13" t="s">
        <v>29</v>
      </c>
      <c r="G4923">
        <v>100</v>
      </c>
      <c r="H4923" t="s">
        <v>30</v>
      </c>
      <c r="I4923">
        <v>100</v>
      </c>
      <c r="J4923" s="15"/>
      <c r="K4923" s="16">
        <f>19.5 - (19.5 * $E$1)</f>
        <v>19.5</v>
      </c>
      <c r="L4923" s="16">
        <f>15.98 - (15.98 * $E$1)</f>
        <v>15.98</v>
      </c>
      <c r="M4923" s="1">
        <v>19.5</v>
      </c>
      <c r="N4923" s="1">
        <v>15.98</v>
      </c>
      <c r="O4923" s="1">
        <v>16.57</v>
      </c>
      <c r="P4923" s="1">
        <v>13.58</v>
      </c>
      <c r="Q4923">
        <v>4.7999999999999996E-3</v>
      </c>
      <c r="R4923">
        <v>4.6399999999999996E-6</v>
      </c>
    </row>
    <row r="4924" spans="1:18" ht="13.8" outlineLevel="2" x14ac:dyDescent="0.25">
      <c r="A4924">
        <v>74879</v>
      </c>
      <c r="B4924" t="s">
        <v>7112</v>
      </c>
      <c r="C4924" t="s">
        <v>7127</v>
      </c>
      <c r="D4924" s="14" t="s">
        <v>7114</v>
      </c>
      <c r="E4924" s="12" t="s">
        <v>28</v>
      </c>
      <c r="F4924" s="13" t="s">
        <v>29</v>
      </c>
      <c r="G4924">
        <v>100</v>
      </c>
      <c r="H4924" t="s">
        <v>30</v>
      </c>
      <c r="I4924">
        <v>100</v>
      </c>
      <c r="J4924" s="15"/>
      <c r="K4924" s="16">
        <f>21.87 - (21.87 * $E$1)</f>
        <v>21.87</v>
      </c>
      <c r="L4924" s="16">
        <f>17.93 - (17.93 * $E$1)</f>
        <v>17.93</v>
      </c>
      <c r="M4924" s="1">
        <v>21.87</v>
      </c>
      <c r="N4924" s="1">
        <v>17.93</v>
      </c>
      <c r="O4924" s="1">
        <v>18.59</v>
      </c>
      <c r="P4924" s="1">
        <v>15.24</v>
      </c>
      <c r="Q4924">
        <v>5.5999999999999999E-3</v>
      </c>
      <c r="R4924">
        <v>5.4399999999999996E-6</v>
      </c>
    </row>
    <row r="4925" spans="1:18" ht="13.8" outlineLevel="2" x14ac:dyDescent="0.25">
      <c r="A4925">
        <v>74880</v>
      </c>
      <c r="B4925" t="s">
        <v>7112</v>
      </c>
      <c r="C4925" t="s">
        <v>7128</v>
      </c>
      <c r="D4925" s="14" t="s">
        <v>7114</v>
      </c>
      <c r="E4925" s="12" t="s">
        <v>28</v>
      </c>
      <c r="F4925" s="13" t="s">
        <v>29</v>
      </c>
      <c r="G4925">
        <v>100</v>
      </c>
      <c r="H4925" t="s">
        <v>30</v>
      </c>
      <c r="I4925">
        <v>100</v>
      </c>
      <c r="J4925" s="15"/>
      <c r="K4925" s="16">
        <f>24.07 - (24.07 * $E$1)</f>
        <v>24.07</v>
      </c>
      <c r="L4925" s="16">
        <f>19.73 - (19.73 * $E$1)</f>
        <v>19.73</v>
      </c>
      <c r="M4925" s="1">
        <v>24.07</v>
      </c>
      <c r="N4925" s="1">
        <v>19.73</v>
      </c>
      <c r="O4925" s="1">
        <v>20.46</v>
      </c>
      <c r="P4925" s="1">
        <v>16.77</v>
      </c>
      <c r="Q4925">
        <v>6.4000000000000003E-3</v>
      </c>
      <c r="R4925">
        <v>6.2400000000000004E-6</v>
      </c>
    </row>
    <row r="4926" spans="1:18" ht="13.8" outlineLevel="2" x14ac:dyDescent="0.25">
      <c r="A4926">
        <v>74881</v>
      </c>
      <c r="B4926" t="s">
        <v>7112</v>
      </c>
      <c r="C4926" t="s">
        <v>7129</v>
      </c>
      <c r="D4926" s="14" t="s">
        <v>7114</v>
      </c>
      <c r="E4926" s="12" t="s">
        <v>28</v>
      </c>
      <c r="F4926" s="13" t="s">
        <v>29</v>
      </c>
      <c r="G4926">
        <v>100</v>
      </c>
      <c r="H4926" t="s">
        <v>30</v>
      </c>
      <c r="I4926">
        <v>100</v>
      </c>
      <c r="J4926" s="15"/>
      <c r="K4926" s="16">
        <f>26.47 - (26.47 * $E$1)</f>
        <v>26.47</v>
      </c>
      <c r="L4926" s="16">
        <f>21.7 - (21.7 * $E$1)</f>
        <v>21.7</v>
      </c>
      <c r="M4926" s="1">
        <v>26.47</v>
      </c>
      <c r="N4926" s="1">
        <v>21.7</v>
      </c>
      <c r="O4926" s="1">
        <v>22.5</v>
      </c>
      <c r="P4926" s="1">
        <v>18.45</v>
      </c>
      <c r="Q4926">
        <v>7.1999999999999998E-3</v>
      </c>
      <c r="R4926">
        <v>7.0400000000000004E-6</v>
      </c>
    </row>
    <row r="4927" spans="1:18" ht="13.8" outlineLevel="2" x14ac:dyDescent="0.25">
      <c r="A4927">
        <v>74882</v>
      </c>
      <c r="B4927" t="s">
        <v>7112</v>
      </c>
      <c r="C4927" t="s">
        <v>7130</v>
      </c>
      <c r="D4927" s="14" t="s">
        <v>7114</v>
      </c>
      <c r="E4927" s="12" t="s">
        <v>28</v>
      </c>
      <c r="F4927" s="13" t="s">
        <v>29</v>
      </c>
      <c r="G4927">
        <v>100</v>
      </c>
      <c r="H4927" t="s">
        <v>30</v>
      </c>
      <c r="I4927">
        <v>100</v>
      </c>
      <c r="J4927" s="15"/>
      <c r="K4927" s="16">
        <f>28.67 - (28.67 * $E$1)</f>
        <v>28.67</v>
      </c>
      <c r="L4927" s="16">
        <f>23.5 - (23.5 * $E$1)</f>
        <v>23.5</v>
      </c>
      <c r="M4927" s="1">
        <v>28.67</v>
      </c>
      <c r="N4927" s="1">
        <v>23.5</v>
      </c>
      <c r="O4927" s="1">
        <v>24.37</v>
      </c>
      <c r="P4927" s="1">
        <v>19.98</v>
      </c>
      <c r="Q4927">
        <v>7.7999999999999996E-3</v>
      </c>
      <c r="R4927">
        <v>7.8399999999999995E-6</v>
      </c>
    </row>
    <row r="4928" spans="1:18" ht="13.8" outlineLevel="2" x14ac:dyDescent="0.25">
      <c r="A4928">
        <v>74883</v>
      </c>
      <c r="B4928" t="s">
        <v>7112</v>
      </c>
      <c r="C4928" t="s">
        <v>7131</v>
      </c>
      <c r="D4928" s="14" t="s">
        <v>7114</v>
      </c>
      <c r="E4928" s="12" t="s">
        <v>28</v>
      </c>
      <c r="F4928" s="13" t="s">
        <v>29</v>
      </c>
      <c r="G4928">
        <v>100</v>
      </c>
      <c r="H4928" t="s">
        <v>30</v>
      </c>
      <c r="I4928">
        <v>100</v>
      </c>
      <c r="J4928" s="15"/>
      <c r="K4928" s="16">
        <f>33.25 - (33.25 * $E$1)</f>
        <v>33.25</v>
      </c>
      <c r="L4928" s="16">
        <f>27.25 - (27.25 * $E$1)</f>
        <v>27.25</v>
      </c>
      <c r="M4928" s="1">
        <v>33.25</v>
      </c>
      <c r="N4928" s="1">
        <v>27.25</v>
      </c>
      <c r="O4928" s="1">
        <v>28.26</v>
      </c>
      <c r="P4928" s="1">
        <v>23.16</v>
      </c>
      <c r="Q4928">
        <v>9.4000000000000004E-3</v>
      </c>
      <c r="R4928">
        <v>8.6400000000000003E-6</v>
      </c>
    </row>
    <row r="4929" spans="1:18" ht="13.8" outlineLevel="2" x14ac:dyDescent="0.25">
      <c r="A4929">
        <v>74884</v>
      </c>
      <c r="B4929" t="s">
        <v>7112</v>
      </c>
      <c r="C4929" t="s">
        <v>7132</v>
      </c>
      <c r="D4929" s="14" t="s">
        <v>7114</v>
      </c>
      <c r="E4929" s="12" t="s">
        <v>28</v>
      </c>
      <c r="F4929" s="13" t="s">
        <v>29</v>
      </c>
      <c r="G4929">
        <v>100</v>
      </c>
      <c r="H4929" t="s">
        <v>30</v>
      </c>
      <c r="I4929">
        <v>100</v>
      </c>
      <c r="J4929" s="15"/>
      <c r="K4929" s="16">
        <f>37.84 - (37.84 * $E$1)</f>
        <v>37.840000000000003</v>
      </c>
      <c r="L4929" s="16">
        <f>31.02 - (31.02 * $E$1)</f>
        <v>31.02</v>
      </c>
      <c r="M4929" s="1">
        <v>37.840000000000003</v>
      </c>
      <c r="N4929" s="1">
        <v>31.02</v>
      </c>
      <c r="O4929" s="1">
        <v>32.17</v>
      </c>
      <c r="P4929" s="1">
        <v>26.37</v>
      </c>
      <c r="Q4929">
        <v>1.0999999999999999E-2</v>
      </c>
      <c r="R4929">
        <v>1.0879999999999999E-5</v>
      </c>
    </row>
    <row r="4930" spans="1:18" ht="13.8" outlineLevel="2" x14ac:dyDescent="0.25">
      <c r="A4930">
        <v>74885</v>
      </c>
      <c r="B4930" t="s">
        <v>7112</v>
      </c>
      <c r="C4930" t="s">
        <v>7133</v>
      </c>
      <c r="D4930" s="14" t="s">
        <v>7114</v>
      </c>
      <c r="E4930" s="12" t="s">
        <v>28</v>
      </c>
      <c r="F4930" s="13" t="s">
        <v>29</v>
      </c>
      <c r="G4930">
        <v>100</v>
      </c>
      <c r="H4930" t="s">
        <v>30</v>
      </c>
      <c r="I4930">
        <v>100</v>
      </c>
      <c r="J4930" s="15"/>
      <c r="K4930" s="16">
        <f>46.82 - (46.82 * $E$1)</f>
        <v>46.82</v>
      </c>
      <c r="L4930" s="16">
        <f>38.38 - (38.38 * $E$1)</f>
        <v>38.380000000000003</v>
      </c>
      <c r="M4930" s="1">
        <v>46.82</v>
      </c>
      <c r="N4930" s="1">
        <v>38.380000000000003</v>
      </c>
      <c r="O4930" s="1">
        <v>39.799999999999997</v>
      </c>
      <c r="P4930" s="1">
        <v>32.619999999999997</v>
      </c>
      <c r="Q4930">
        <v>1.4E-2</v>
      </c>
      <c r="R4930">
        <v>1.4080000000000001E-5</v>
      </c>
    </row>
    <row r="4931" spans="1:18" ht="13.8" outlineLevel="2" x14ac:dyDescent="0.25">
      <c r="A4931">
        <v>74886</v>
      </c>
      <c r="B4931" t="s">
        <v>7112</v>
      </c>
      <c r="C4931" t="s">
        <v>7134</v>
      </c>
      <c r="D4931" s="14" t="s">
        <v>7114</v>
      </c>
      <c r="E4931" s="12" t="s">
        <v>28</v>
      </c>
      <c r="F4931" s="13" t="s">
        <v>29</v>
      </c>
      <c r="G4931">
        <v>100</v>
      </c>
      <c r="H4931" t="s">
        <v>30</v>
      </c>
      <c r="I4931">
        <v>100</v>
      </c>
      <c r="J4931" s="15"/>
      <c r="K4931" s="16">
        <f>55.92 - (55.92 * $E$1)</f>
        <v>55.92</v>
      </c>
      <c r="L4931" s="16">
        <f>45.84 - (45.84 * $E$1)</f>
        <v>45.84</v>
      </c>
      <c r="M4931" s="1">
        <v>55.92</v>
      </c>
      <c r="N4931" s="1">
        <v>45.84</v>
      </c>
      <c r="O4931" s="1">
        <v>47.54</v>
      </c>
      <c r="P4931" s="1">
        <v>38.96</v>
      </c>
      <c r="Q4931">
        <v>1.72E-2</v>
      </c>
      <c r="R4931">
        <v>1.7280000000000001E-5</v>
      </c>
    </row>
    <row r="4932" spans="1:18" ht="13.8" outlineLevel="2" x14ac:dyDescent="0.25">
      <c r="A4932">
        <v>103067</v>
      </c>
      <c r="B4932" t="s">
        <v>7112</v>
      </c>
      <c r="C4932" t="s">
        <v>7135</v>
      </c>
      <c r="D4932" s="14" t="s">
        <v>7114</v>
      </c>
      <c r="E4932" s="12" t="s">
        <v>28</v>
      </c>
      <c r="F4932" s="13" t="s">
        <v>29</v>
      </c>
      <c r="G4932">
        <v>100</v>
      </c>
      <c r="H4932" t="s">
        <v>30</v>
      </c>
      <c r="I4932">
        <v>100</v>
      </c>
      <c r="J4932" s="15"/>
      <c r="K4932" s="16">
        <f>62.31 - (62.31 * $E$1)</f>
        <v>62.31</v>
      </c>
      <c r="L4932" s="16">
        <f>51.07 - (51.07 * $E$1)</f>
        <v>51.07</v>
      </c>
      <c r="M4932" s="1">
        <v>62.31</v>
      </c>
      <c r="N4932" s="1">
        <v>51.07</v>
      </c>
      <c r="O4932" s="1">
        <v>52.96</v>
      </c>
      <c r="P4932" s="1">
        <v>43.41</v>
      </c>
      <c r="Q4932">
        <v>2.0199999999999999E-2</v>
      </c>
      <c r="R4932">
        <v>1.99E-6</v>
      </c>
    </row>
    <row r="4933" spans="1:18" ht="13.8" outlineLevel="2" x14ac:dyDescent="0.25">
      <c r="A4933">
        <v>74715</v>
      </c>
      <c r="B4933" t="s">
        <v>7112</v>
      </c>
      <c r="C4933" t="s">
        <v>7136</v>
      </c>
      <c r="D4933" s="14" t="s">
        <v>7114</v>
      </c>
      <c r="E4933" s="12" t="s">
        <v>28</v>
      </c>
      <c r="F4933" s="13" t="s">
        <v>29</v>
      </c>
      <c r="G4933">
        <v>50</v>
      </c>
      <c r="H4933" t="s">
        <v>30</v>
      </c>
      <c r="I4933">
        <v>50</v>
      </c>
      <c r="J4933" s="15"/>
      <c r="K4933" s="16">
        <f>45.23 - (45.23 * $E$1)</f>
        <v>45.23</v>
      </c>
      <c r="L4933" s="16">
        <f>37.07 - (37.07 * $E$1)</f>
        <v>37.07</v>
      </c>
      <c r="M4933" s="1">
        <v>45.23</v>
      </c>
      <c r="N4933" s="1">
        <v>37.07</v>
      </c>
      <c r="O4933" s="1">
        <v>38.44</v>
      </c>
      <c r="P4933" s="1">
        <v>31.51</v>
      </c>
      <c r="Q4933">
        <v>1.34E-2</v>
      </c>
      <c r="R4933">
        <v>1.152E-5</v>
      </c>
    </row>
    <row r="4934" spans="1:18" ht="13.8" outlineLevel="2" x14ac:dyDescent="0.25">
      <c r="A4934">
        <v>74716</v>
      </c>
      <c r="B4934" t="s">
        <v>7112</v>
      </c>
      <c r="C4934" t="s">
        <v>7137</v>
      </c>
      <c r="D4934" s="14" t="s">
        <v>7114</v>
      </c>
      <c r="E4934" s="12" t="s">
        <v>28</v>
      </c>
      <c r="F4934" s="13" t="s">
        <v>29</v>
      </c>
      <c r="G4934">
        <v>50</v>
      </c>
      <c r="H4934" t="s">
        <v>30</v>
      </c>
      <c r="I4934">
        <v>50</v>
      </c>
      <c r="J4934" s="15"/>
      <c r="K4934" s="16">
        <f>53.81 - (53.81 * $E$1)</f>
        <v>53.81</v>
      </c>
      <c r="L4934" s="16">
        <f>44.11 - (44.11 * $E$1)</f>
        <v>44.11</v>
      </c>
      <c r="M4934" s="1">
        <v>53.81</v>
      </c>
      <c r="N4934" s="1">
        <v>44.11</v>
      </c>
      <c r="O4934" s="1">
        <v>45.74</v>
      </c>
      <c r="P4934" s="1">
        <v>37.49</v>
      </c>
      <c r="Q4934">
        <v>1.7000000000000001E-2</v>
      </c>
      <c r="R4934">
        <v>1.472E-5</v>
      </c>
    </row>
    <row r="4935" spans="1:18" ht="13.8" outlineLevel="2" x14ac:dyDescent="0.25">
      <c r="A4935">
        <v>74718</v>
      </c>
      <c r="B4935" t="s">
        <v>7112</v>
      </c>
      <c r="C4935" t="s">
        <v>7138</v>
      </c>
      <c r="D4935" s="14" t="s">
        <v>7114</v>
      </c>
      <c r="E4935" s="12" t="s">
        <v>28</v>
      </c>
      <c r="F4935" s="13" t="s">
        <v>29</v>
      </c>
      <c r="G4935">
        <v>50</v>
      </c>
      <c r="H4935" t="s">
        <v>30</v>
      </c>
      <c r="I4935">
        <v>50</v>
      </c>
      <c r="J4935" s="15"/>
      <c r="K4935" s="16">
        <f>70.88 - (70.88 * $E$1)</f>
        <v>70.88</v>
      </c>
      <c r="L4935" s="16">
        <f>58.1 - (58.1 * $E$1)</f>
        <v>58.1</v>
      </c>
      <c r="M4935" s="1">
        <v>70.88</v>
      </c>
      <c r="N4935" s="1">
        <v>58.1</v>
      </c>
      <c r="O4935" s="1">
        <v>60.25</v>
      </c>
      <c r="P4935" s="1">
        <v>49.39</v>
      </c>
      <c r="Q4935">
        <v>2.4E-2</v>
      </c>
      <c r="R4935">
        <v>2.1120000000000001E-5</v>
      </c>
    </row>
    <row r="4936" spans="1:18" ht="13.8" outlineLevel="2" x14ac:dyDescent="0.25">
      <c r="A4936">
        <v>74719</v>
      </c>
      <c r="B4936" t="s">
        <v>7112</v>
      </c>
      <c r="C4936" t="s">
        <v>7139</v>
      </c>
      <c r="D4936" s="14" t="s">
        <v>7114</v>
      </c>
      <c r="E4936" s="12" t="s">
        <v>28</v>
      </c>
      <c r="F4936" s="13" t="s">
        <v>29</v>
      </c>
      <c r="G4936">
        <v>50</v>
      </c>
      <c r="H4936" t="s">
        <v>30</v>
      </c>
      <c r="I4936">
        <v>50</v>
      </c>
      <c r="J4936" s="15"/>
      <c r="K4936" s="16">
        <f>87.8 - (87.8 * $E$1)</f>
        <v>87.8</v>
      </c>
      <c r="L4936" s="16">
        <f>71.97 - (71.97 * $E$1)</f>
        <v>71.97</v>
      </c>
      <c r="M4936" s="1">
        <v>87.8</v>
      </c>
      <c r="N4936" s="1">
        <v>71.97</v>
      </c>
      <c r="O4936" s="1">
        <v>74.63</v>
      </c>
      <c r="P4936" s="1">
        <v>61.17</v>
      </c>
      <c r="Q4936">
        <v>3.1E-2</v>
      </c>
      <c r="R4936">
        <v>2.7520000000000001E-5</v>
      </c>
    </row>
    <row r="4937" spans="1:18" ht="13.8" outlineLevel="2" x14ac:dyDescent="0.25">
      <c r="A4937">
        <v>74720</v>
      </c>
      <c r="B4937" t="s">
        <v>7112</v>
      </c>
      <c r="C4937" t="s">
        <v>7140</v>
      </c>
      <c r="D4937" s="14" t="s">
        <v>7114</v>
      </c>
      <c r="E4937" s="12" t="s">
        <v>28</v>
      </c>
      <c r="F4937" s="13" t="s">
        <v>29</v>
      </c>
      <c r="G4937">
        <v>50</v>
      </c>
      <c r="H4937" t="s">
        <v>30</v>
      </c>
      <c r="I4937">
        <v>50</v>
      </c>
      <c r="J4937" s="15"/>
      <c r="K4937" s="16">
        <f>104.94 - (104.94 * $E$1)</f>
        <v>104.94</v>
      </c>
      <c r="L4937" s="16">
        <f>86.02 - (86.02 * $E$1)</f>
        <v>86.02</v>
      </c>
      <c r="M4937" s="1">
        <v>104.94</v>
      </c>
      <c r="N4937" s="1">
        <v>86.02</v>
      </c>
      <c r="O4937" s="1">
        <v>89.2</v>
      </c>
      <c r="P4937" s="1">
        <v>73.12</v>
      </c>
      <c r="Q4937">
        <v>3.7400000000000003E-2</v>
      </c>
      <c r="R4937">
        <v>3.392E-5</v>
      </c>
    </row>
    <row r="4938" spans="1:18" ht="13.8" outlineLevel="2" x14ac:dyDescent="0.25">
      <c r="A4938">
        <v>103068</v>
      </c>
      <c r="B4938" t="s">
        <v>7112</v>
      </c>
      <c r="C4938" t="s">
        <v>7141</v>
      </c>
      <c r="D4938" s="14" t="s">
        <v>7114</v>
      </c>
      <c r="E4938" s="12" t="s">
        <v>28</v>
      </c>
      <c r="F4938" s="13" t="s">
        <v>29</v>
      </c>
      <c r="G4938">
        <v>50</v>
      </c>
      <c r="H4938" t="s">
        <v>30</v>
      </c>
      <c r="I4938">
        <v>50</v>
      </c>
      <c r="J4938" s="15"/>
      <c r="K4938" s="16">
        <f>115.91 - (115.91 * $E$1)</f>
        <v>115.91</v>
      </c>
      <c r="L4938" s="16">
        <f>95.01 - (95.01 * $E$1)</f>
        <v>95.01</v>
      </c>
      <c r="M4938" s="1">
        <v>115.91</v>
      </c>
      <c r="N4938" s="1">
        <v>95.01</v>
      </c>
      <c r="O4938" s="1">
        <v>98.53</v>
      </c>
      <c r="P4938" s="1">
        <v>80.760000000000005</v>
      </c>
      <c r="Q4938">
        <v>4.3999999999999997E-2</v>
      </c>
      <c r="R4938">
        <v>9.2800000000000006E-5</v>
      </c>
    </row>
    <row r="4939" spans="1:18" ht="13.8" outlineLevel="2" x14ac:dyDescent="0.25">
      <c r="A4939">
        <v>79374</v>
      </c>
      <c r="B4939" t="s">
        <v>7112</v>
      </c>
      <c r="C4939" t="s">
        <v>7142</v>
      </c>
      <c r="D4939" s="14" t="s">
        <v>7143</v>
      </c>
      <c r="E4939" s="12" t="s">
        <v>28</v>
      </c>
      <c r="F4939" s="13" t="s">
        <v>29</v>
      </c>
      <c r="G4939">
        <v>100</v>
      </c>
      <c r="H4939" t="s">
        <v>30</v>
      </c>
      <c r="I4939">
        <v>100</v>
      </c>
      <c r="J4939" s="15"/>
      <c r="K4939" s="16">
        <f>6.87 - (6.87 * $E$1)</f>
        <v>6.87</v>
      </c>
      <c r="L4939" s="16">
        <f>5.63 - (5.63 * $E$1)</f>
        <v>5.63</v>
      </c>
      <c r="M4939" s="1">
        <v>6.87</v>
      </c>
      <c r="N4939" s="1">
        <v>5.63</v>
      </c>
      <c r="O4939" s="1">
        <v>5.84</v>
      </c>
      <c r="P4939" s="1">
        <v>4.79</v>
      </c>
      <c r="Q4939">
        <v>1.6000000000000001E-3</v>
      </c>
      <c r="R4939">
        <v>4.5000000000000001E-6</v>
      </c>
    </row>
    <row r="4940" spans="1:18" ht="13.8" outlineLevel="2" x14ac:dyDescent="0.25">
      <c r="A4940">
        <v>74909</v>
      </c>
      <c r="B4940" t="s">
        <v>7112</v>
      </c>
      <c r="C4940" t="s">
        <v>7144</v>
      </c>
      <c r="D4940" s="14" t="s">
        <v>7143</v>
      </c>
      <c r="E4940" s="12" t="s">
        <v>28</v>
      </c>
      <c r="F4940" s="13" t="s">
        <v>29</v>
      </c>
      <c r="G4940">
        <v>100</v>
      </c>
      <c r="H4940" t="s">
        <v>30</v>
      </c>
      <c r="I4940">
        <v>100</v>
      </c>
      <c r="J4940" s="15"/>
      <c r="K4940" s="16">
        <f>7.63 - (7.63 * $E$1)</f>
        <v>7.63</v>
      </c>
      <c r="L4940" s="16">
        <f>6.25 - (6.25 * $E$1)</f>
        <v>6.25</v>
      </c>
      <c r="M4940" s="1">
        <v>7.63</v>
      </c>
      <c r="N4940" s="1">
        <v>6.25</v>
      </c>
      <c r="O4940" s="1">
        <v>6.48</v>
      </c>
      <c r="P4940" s="1">
        <v>5.31</v>
      </c>
      <c r="Q4940">
        <v>3.7000000000000002E-3</v>
      </c>
      <c r="R4940">
        <v>3.5200000000000002E-6</v>
      </c>
    </row>
    <row r="4941" spans="1:18" ht="13.8" outlineLevel="2" x14ac:dyDescent="0.25">
      <c r="A4941">
        <v>74910</v>
      </c>
      <c r="B4941" t="s">
        <v>7112</v>
      </c>
      <c r="C4941" t="s">
        <v>7145</v>
      </c>
      <c r="D4941" s="14" t="s">
        <v>7143</v>
      </c>
      <c r="E4941" s="12" t="s">
        <v>28</v>
      </c>
      <c r="F4941" s="13" t="s">
        <v>29</v>
      </c>
      <c r="G4941">
        <v>100</v>
      </c>
      <c r="H4941" t="s">
        <v>30</v>
      </c>
      <c r="I4941">
        <v>100</v>
      </c>
      <c r="J4941" s="15"/>
      <c r="K4941" s="16">
        <f>8.43 - (8.43 * $E$1)</f>
        <v>8.43</v>
      </c>
      <c r="L4941" s="16">
        <f>6.91 - (6.91 * $E$1)</f>
        <v>6.91</v>
      </c>
      <c r="M4941" s="1">
        <v>8.43</v>
      </c>
      <c r="N4941" s="1">
        <v>6.91</v>
      </c>
      <c r="O4941" s="1">
        <v>7.17</v>
      </c>
      <c r="P4941" s="1">
        <v>5.87</v>
      </c>
      <c r="Q4941">
        <v>2.5000000000000001E-3</v>
      </c>
      <c r="R4941">
        <v>5.0000000000000004E-6</v>
      </c>
    </row>
    <row r="4942" spans="1:18" ht="13.8" outlineLevel="2" x14ac:dyDescent="0.25">
      <c r="A4942">
        <v>74911</v>
      </c>
      <c r="B4942" t="s">
        <v>7112</v>
      </c>
      <c r="C4942" t="s">
        <v>7146</v>
      </c>
      <c r="D4942" s="14" t="s">
        <v>7143</v>
      </c>
      <c r="E4942" s="12" t="s">
        <v>28</v>
      </c>
      <c r="F4942" s="13" t="s">
        <v>29</v>
      </c>
      <c r="G4942">
        <v>100</v>
      </c>
      <c r="H4942" t="s">
        <v>30</v>
      </c>
      <c r="I4942">
        <v>100</v>
      </c>
      <c r="J4942" s="15"/>
      <c r="K4942" s="16">
        <f>9.36 - (9.36 * $E$1)</f>
        <v>9.36</v>
      </c>
      <c r="L4942" s="16">
        <f>7.67 - (7.67 * $E$1)</f>
        <v>7.67</v>
      </c>
      <c r="M4942" s="1">
        <v>9.36</v>
      </c>
      <c r="N4942" s="1">
        <v>7.67</v>
      </c>
      <c r="O4942" s="1">
        <v>7.95</v>
      </c>
      <c r="P4942" s="1">
        <v>6.52</v>
      </c>
      <c r="Q4942">
        <v>4.5999999999999999E-3</v>
      </c>
      <c r="R4942">
        <v>5.1200000000000001E-6</v>
      </c>
    </row>
    <row r="4943" spans="1:18" ht="13.8" outlineLevel="2" x14ac:dyDescent="0.25">
      <c r="A4943">
        <v>74912</v>
      </c>
      <c r="B4943" t="s">
        <v>7112</v>
      </c>
      <c r="C4943" t="s">
        <v>7147</v>
      </c>
      <c r="D4943" s="14" t="s">
        <v>7143</v>
      </c>
      <c r="E4943" s="12" t="s">
        <v>28</v>
      </c>
      <c r="F4943" s="13" t="s">
        <v>29</v>
      </c>
      <c r="G4943">
        <v>100</v>
      </c>
      <c r="H4943" t="s">
        <v>30</v>
      </c>
      <c r="I4943">
        <v>100</v>
      </c>
      <c r="J4943" s="15"/>
      <c r="K4943" s="16">
        <f>10.26 - (10.26 * $E$1)</f>
        <v>10.26</v>
      </c>
      <c r="L4943" s="16">
        <f>8.41 - (8.41 * $E$1)</f>
        <v>8.41</v>
      </c>
      <c r="M4943" s="1">
        <v>10.26</v>
      </c>
      <c r="N4943" s="1">
        <v>8.41</v>
      </c>
      <c r="O4943" s="1">
        <v>8.7200000000000006</v>
      </c>
      <c r="P4943" s="1">
        <v>7.15</v>
      </c>
      <c r="Q4943">
        <v>4.8999999999999998E-3</v>
      </c>
      <c r="R4943">
        <v>5.9200000000000001E-6</v>
      </c>
    </row>
    <row r="4944" spans="1:18" ht="13.8" outlineLevel="2" x14ac:dyDescent="0.25">
      <c r="A4944">
        <v>74913</v>
      </c>
      <c r="B4944" t="s">
        <v>7112</v>
      </c>
      <c r="C4944" t="s">
        <v>7148</v>
      </c>
      <c r="D4944" s="14" t="s">
        <v>7143</v>
      </c>
      <c r="E4944" s="12" t="s">
        <v>28</v>
      </c>
      <c r="F4944" s="13" t="s">
        <v>29</v>
      </c>
      <c r="G4944">
        <v>100</v>
      </c>
      <c r="H4944" t="s">
        <v>30</v>
      </c>
      <c r="I4944">
        <v>100</v>
      </c>
      <c r="J4944" s="15"/>
      <c r="K4944" s="16">
        <f>11.18 - (11.18 * $E$1)</f>
        <v>11.18</v>
      </c>
      <c r="L4944" s="16">
        <f>9.16 - (9.16 * $E$1)</f>
        <v>9.16</v>
      </c>
      <c r="M4944" s="1">
        <v>11.18</v>
      </c>
      <c r="N4944" s="1">
        <v>9.16</v>
      </c>
      <c r="O4944" s="1">
        <v>9.5</v>
      </c>
      <c r="P4944" s="1">
        <v>7.79</v>
      </c>
      <c r="Q4944">
        <v>5.4000000000000003E-3</v>
      </c>
      <c r="R4944">
        <v>6.72E-6</v>
      </c>
    </row>
    <row r="4945" spans="1:18" ht="13.8" outlineLevel="2" x14ac:dyDescent="0.25">
      <c r="A4945">
        <v>74914</v>
      </c>
      <c r="B4945" t="s">
        <v>7112</v>
      </c>
      <c r="C4945" t="s">
        <v>7149</v>
      </c>
      <c r="D4945" s="14" t="s">
        <v>7143</v>
      </c>
      <c r="E4945" s="12" t="s">
        <v>28</v>
      </c>
      <c r="F4945" s="13" t="s">
        <v>29</v>
      </c>
      <c r="G4945">
        <v>100</v>
      </c>
      <c r="H4945" t="s">
        <v>30</v>
      </c>
      <c r="I4945">
        <v>100</v>
      </c>
      <c r="J4945" s="15"/>
      <c r="K4945" s="16">
        <f>12 - (12 * $E$1)</f>
        <v>12</v>
      </c>
      <c r="L4945" s="16">
        <f>9.84 - (9.84 * $E$1)</f>
        <v>9.84</v>
      </c>
      <c r="M4945" s="1">
        <v>12</v>
      </c>
      <c r="N4945" s="1">
        <v>9.84</v>
      </c>
      <c r="O4945" s="1">
        <v>10.199999999999999</v>
      </c>
      <c r="P4945" s="1">
        <v>8.36</v>
      </c>
      <c r="Q4945">
        <v>5.8999999999999999E-3</v>
      </c>
      <c r="R4945">
        <v>7.52E-6</v>
      </c>
    </row>
    <row r="4946" spans="1:18" ht="13.8" outlineLevel="2" x14ac:dyDescent="0.25">
      <c r="A4946">
        <v>74915</v>
      </c>
      <c r="B4946" t="s">
        <v>7112</v>
      </c>
      <c r="C4946" t="s">
        <v>7150</v>
      </c>
      <c r="D4946" s="14" t="s">
        <v>7143</v>
      </c>
      <c r="E4946" s="12" t="s">
        <v>28</v>
      </c>
      <c r="F4946" s="13" t="s">
        <v>29</v>
      </c>
      <c r="G4946">
        <v>100</v>
      </c>
      <c r="H4946" t="s">
        <v>30</v>
      </c>
      <c r="I4946">
        <v>100</v>
      </c>
      <c r="J4946" s="15"/>
      <c r="K4946" s="16">
        <f>13.7 - (13.7 * $E$1)</f>
        <v>13.7</v>
      </c>
      <c r="L4946" s="16">
        <f>11.23 - (11.23 * $E$1)</f>
        <v>11.23</v>
      </c>
      <c r="M4946" s="1">
        <v>13.7</v>
      </c>
      <c r="N4946" s="1">
        <v>11.23</v>
      </c>
      <c r="O4946" s="1">
        <v>11.65</v>
      </c>
      <c r="P4946" s="1">
        <v>9.5500000000000007</v>
      </c>
      <c r="Q4946">
        <v>6.7999999999999996E-3</v>
      </c>
      <c r="R4946">
        <v>9.1200000000000008E-6</v>
      </c>
    </row>
    <row r="4947" spans="1:18" ht="13.8" outlineLevel="2" x14ac:dyDescent="0.25">
      <c r="A4947">
        <v>74916</v>
      </c>
      <c r="B4947" t="s">
        <v>7112</v>
      </c>
      <c r="C4947" t="s">
        <v>7151</v>
      </c>
      <c r="D4947" s="14" t="s">
        <v>7143</v>
      </c>
      <c r="E4947" s="12" t="s">
        <v>28</v>
      </c>
      <c r="F4947" s="13" t="s">
        <v>29</v>
      </c>
      <c r="G4947">
        <v>100</v>
      </c>
      <c r="H4947" t="s">
        <v>30</v>
      </c>
      <c r="I4947">
        <v>100</v>
      </c>
      <c r="J4947" s="15"/>
      <c r="K4947" s="16">
        <f>15.58 - (15.58 * $E$1)</f>
        <v>15.58</v>
      </c>
      <c r="L4947" s="16">
        <f>12.77 - (12.77 * $E$1)</f>
        <v>12.77</v>
      </c>
      <c r="M4947" s="1">
        <v>15.58</v>
      </c>
      <c r="N4947" s="1">
        <v>12.77</v>
      </c>
      <c r="O4947" s="1">
        <v>13.24</v>
      </c>
      <c r="P4947" s="1">
        <v>10.85</v>
      </c>
      <c r="Q4947">
        <v>7.7000000000000002E-3</v>
      </c>
      <c r="R4947">
        <v>1.0720000000000001E-5</v>
      </c>
    </row>
    <row r="4948" spans="1:18" ht="13.8" outlineLevel="2" x14ac:dyDescent="0.25">
      <c r="A4948">
        <v>74917</v>
      </c>
      <c r="B4948" t="s">
        <v>7112</v>
      </c>
      <c r="C4948" t="s">
        <v>7152</v>
      </c>
      <c r="D4948" s="14" t="s">
        <v>7143</v>
      </c>
      <c r="E4948" s="12" t="s">
        <v>28</v>
      </c>
      <c r="F4948" s="13" t="s">
        <v>29</v>
      </c>
      <c r="G4948">
        <v>100</v>
      </c>
      <c r="H4948" t="s">
        <v>30</v>
      </c>
      <c r="I4948">
        <v>100</v>
      </c>
      <c r="J4948" s="15"/>
      <c r="K4948" s="16">
        <f>19.03 - (19.03 * $E$1)</f>
        <v>19.03</v>
      </c>
      <c r="L4948" s="16">
        <f>15.6 - (15.6 * $E$1)</f>
        <v>15.6</v>
      </c>
      <c r="M4948" s="1">
        <v>19.03</v>
      </c>
      <c r="N4948" s="1">
        <v>15.6</v>
      </c>
      <c r="O4948" s="1">
        <v>16.18</v>
      </c>
      <c r="P4948" s="1">
        <v>13.26</v>
      </c>
      <c r="Q4948">
        <v>9.4999999999999998E-3</v>
      </c>
      <c r="R4948">
        <v>1.3920000000000001E-5</v>
      </c>
    </row>
    <row r="4949" spans="1:18" ht="13.8" outlineLevel="2" x14ac:dyDescent="0.25">
      <c r="A4949">
        <v>74918</v>
      </c>
      <c r="B4949" t="s">
        <v>7112</v>
      </c>
      <c r="C4949" t="s">
        <v>7153</v>
      </c>
      <c r="D4949" s="14" t="s">
        <v>7143</v>
      </c>
      <c r="E4949" s="12" t="s">
        <v>28</v>
      </c>
      <c r="F4949" s="13" t="s">
        <v>29</v>
      </c>
      <c r="G4949">
        <v>100</v>
      </c>
      <c r="H4949" t="s">
        <v>30</v>
      </c>
      <c r="I4949">
        <v>100</v>
      </c>
      <c r="J4949" s="15"/>
      <c r="K4949" s="16">
        <f>22.46 - (22.46 * $E$1)</f>
        <v>22.46</v>
      </c>
      <c r="L4949" s="16">
        <f>18.41 - (18.41 * $E$1)</f>
        <v>18.41</v>
      </c>
      <c r="M4949" s="1">
        <v>22.46</v>
      </c>
      <c r="N4949" s="1">
        <v>18.41</v>
      </c>
      <c r="O4949" s="1">
        <v>19.09</v>
      </c>
      <c r="P4949" s="1">
        <v>15.65</v>
      </c>
      <c r="Q4949">
        <v>1.1299999999999999E-2</v>
      </c>
      <c r="R4949">
        <v>1.7119999999999999E-5</v>
      </c>
    </row>
    <row r="4950" spans="1:18" ht="13.8" outlineLevel="2" x14ac:dyDescent="0.25">
      <c r="A4950">
        <v>74919</v>
      </c>
      <c r="B4950" t="s">
        <v>7112</v>
      </c>
      <c r="C4950" t="s">
        <v>7154</v>
      </c>
      <c r="D4950" s="14" t="s">
        <v>7143</v>
      </c>
      <c r="E4950" s="12" t="s">
        <v>28</v>
      </c>
      <c r="F4950" s="13" t="s">
        <v>29</v>
      </c>
      <c r="G4950">
        <v>100</v>
      </c>
      <c r="H4950" t="s">
        <v>30</v>
      </c>
      <c r="I4950">
        <v>100</v>
      </c>
      <c r="J4950" s="15"/>
      <c r="K4950" s="16">
        <f>10.85 - (10.85 * $E$1)</f>
        <v>10.85</v>
      </c>
      <c r="L4950" s="16">
        <f>8.89 - (8.89 * $E$1)</f>
        <v>8.89</v>
      </c>
      <c r="M4950" s="1">
        <v>10.85</v>
      </c>
      <c r="N4950" s="1">
        <v>8.89</v>
      </c>
      <c r="O4950" s="1">
        <v>9.2200000000000006</v>
      </c>
      <c r="P4950" s="1">
        <v>7.56</v>
      </c>
      <c r="Q4950">
        <v>4.0000000000000001E-3</v>
      </c>
      <c r="R4950">
        <v>3.8399999999999997E-6</v>
      </c>
    </row>
    <row r="4951" spans="1:18" ht="13.8" outlineLevel="2" x14ac:dyDescent="0.25">
      <c r="A4951">
        <v>74920</v>
      </c>
      <c r="B4951" t="s">
        <v>7112</v>
      </c>
      <c r="C4951" t="s">
        <v>7155</v>
      </c>
      <c r="D4951" s="14" t="s">
        <v>7143</v>
      </c>
      <c r="E4951" s="12" t="s">
        <v>28</v>
      </c>
      <c r="F4951" s="13" t="s">
        <v>29</v>
      </c>
      <c r="G4951">
        <v>100</v>
      </c>
      <c r="H4951" t="s">
        <v>30</v>
      </c>
      <c r="I4951">
        <v>100</v>
      </c>
      <c r="J4951" s="15"/>
      <c r="K4951" s="16">
        <f>12.1 - (12.1 * $E$1)</f>
        <v>12.1</v>
      </c>
      <c r="L4951" s="16">
        <f>9.92 - (9.92 * $E$1)</f>
        <v>9.92</v>
      </c>
      <c r="M4951" s="1">
        <v>12.1</v>
      </c>
      <c r="N4951" s="1">
        <v>9.92</v>
      </c>
      <c r="O4951" s="1">
        <v>10.29</v>
      </c>
      <c r="P4951" s="1">
        <v>8.43</v>
      </c>
      <c r="Q4951">
        <v>4.7999999999999996E-3</v>
      </c>
      <c r="R4951">
        <v>4.6399999999999996E-6</v>
      </c>
    </row>
    <row r="4952" spans="1:18" ht="13.8" outlineLevel="2" x14ac:dyDescent="0.25">
      <c r="A4952">
        <v>74921</v>
      </c>
      <c r="B4952" t="s">
        <v>7112</v>
      </c>
      <c r="C4952" t="s">
        <v>7156</v>
      </c>
      <c r="D4952" s="14" t="s">
        <v>7143</v>
      </c>
      <c r="E4952" s="12" t="s">
        <v>28</v>
      </c>
      <c r="F4952" s="13" t="s">
        <v>29</v>
      </c>
      <c r="G4952">
        <v>100</v>
      </c>
      <c r="H4952" t="s">
        <v>30</v>
      </c>
      <c r="I4952">
        <v>100</v>
      </c>
      <c r="J4952" s="15"/>
      <c r="K4952" s="16">
        <f>13.51 - (13.51 * $E$1)</f>
        <v>13.51</v>
      </c>
      <c r="L4952" s="16">
        <f>11.07 - (11.07 * $E$1)</f>
        <v>11.07</v>
      </c>
      <c r="M4952" s="1">
        <v>13.51</v>
      </c>
      <c r="N4952" s="1">
        <v>11.07</v>
      </c>
      <c r="O4952" s="1">
        <v>11.48</v>
      </c>
      <c r="P4952" s="1">
        <v>9.41</v>
      </c>
      <c r="Q4952">
        <v>5.5999999999999999E-3</v>
      </c>
      <c r="R4952">
        <v>5.4399999999999996E-6</v>
      </c>
    </row>
    <row r="4953" spans="1:18" ht="13.8" outlineLevel="2" x14ac:dyDescent="0.25">
      <c r="A4953">
        <v>74922</v>
      </c>
      <c r="B4953" t="s">
        <v>7112</v>
      </c>
      <c r="C4953" t="s">
        <v>7157</v>
      </c>
      <c r="D4953" s="14" t="s">
        <v>7143</v>
      </c>
      <c r="E4953" s="12" t="s">
        <v>28</v>
      </c>
      <c r="F4953" s="13" t="s">
        <v>29</v>
      </c>
      <c r="G4953">
        <v>100</v>
      </c>
      <c r="H4953" t="s">
        <v>30</v>
      </c>
      <c r="I4953">
        <v>100</v>
      </c>
      <c r="J4953" s="15"/>
      <c r="K4953" s="16">
        <f>14.81 - (14.81 * $E$1)</f>
        <v>14.81</v>
      </c>
      <c r="L4953" s="16">
        <f>12.14 - (12.14 * $E$1)</f>
        <v>12.14</v>
      </c>
      <c r="M4953" s="1">
        <v>14.81</v>
      </c>
      <c r="N4953" s="1">
        <v>12.14</v>
      </c>
      <c r="O4953" s="1">
        <v>12.59</v>
      </c>
      <c r="P4953" s="1">
        <v>10.32</v>
      </c>
      <c r="Q4953">
        <v>6.4000000000000003E-3</v>
      </c>
      <c r="R4953">
        <v>6.2400000000000004E-6</v>
      </c>
    </row>
    <row r="4954" spans="1:18" ht="13.8" outlineLevel="2" x14ac:dyDescent="0.25">
      <c r="A4954">
        <v>74923</v>
      </c>
      <c r="B4954" t="s">
        <v>7112</v>
      </c>
      <c r="C4954" t="s">
        <v>7158</v>
      </c>
      <c r="D4954" s="14" t="s">
        <v>7143</v>
      </c>
      <c r="E4954" s="12" t="s">
        <v>28</v>
      </c>
      <c r="F4954" s="13" t="s">
        <v>29</v>
      </c>
      <c r="G4954">
        <v>100</v>
      </c>
      <c r="H4954" t="s">
        <v>30</v>
      </c>
      <c r="I4954">
        <v>100</v>
      </c>
      <c r="J4954" s="15"/>
      <c r="K4954" s="16">
        <f>16.23 - (16.23 * $E$1)</f>
        <v>16.23</v>
      </c>
      <c r="L4954" s="16">
        <f>13.3 - (13.3 * $E$1)</f>
        <v>13.3</v>
      </c>
      <c r="M4954" s="1">
        <v>16.23</v>
      </c>
      <c r="N4954" s="1">
        <v>13.3</v>
      </c>
      <c r="O4954" s="1">
        <v>13.79</v>
      </c>
      <c r="P4954" s="1">
        <v>11.31</v>
      </c>
      <c r="Q4954">
        <v>7.1999999999999998E-3</v>
      </c>
      <c r="R4954">
        <v>7.0400000000000004E-6</v>
      </c>
    </row>
    <row r="4955" spans="1:18" ht="13.8" outlineLevel="2" x14ac:dyDescent="0.25">
      <c r="A4955">
        <v>74924</v>
      </c>
      <c r="B4955" t="s">
        <v>7112</v>
      </c>
      <c r="C4955" t="s">
        <v>7159</v>
      </c>
      <c r="D4955" s="14" t="s">
        <v>7143</v>
      </c>
      <c r="E4955" s="12" t="s">
        <v>28</v>
      </c>
      <c r="F4955" s="13" t="s">
        <v>29</v>
      </c>
      <c r="G4955">
        <v>100</v>
      </c>
      <c r="H4955" t="s">
        <v>30</v>
      </c>
      <c r="I4955">
        <v>100</v>
      </c>
      <c r="J4955" s="15"/>
      <c r="K4955" s="16">
        <f>17.51 - (17.51 * $E$1)</f>
        <v>17.510000000000002</v>
      </c>
      <c r="L4955" s="16">
        <f>14.35 - (14.35 * $E$1)</f>
        <v>14.35</v>
      </c>
      <c r="M4955" s="1">
        <v>17.510000000000002</v>
      </c>
      <c r="N4955" s="1">
        <v>14.35</v>
      </c>
      <c r="O4955" s="1">
        <v>14.88</v>
      </c>
      <c r="P4955" s="1">
        <v>12.2</v>
      </c>
      <c r="Q4955">
        <v>7.7999999999999996E-3</v>
      </c>
      <c r="R4955">
        <v>7.8399999999999995E-6</v>
      </c>
    </row>
    <row r="4956" spans="1:18" ht="13.8" outlineLevel="2" x14ac:dyDescent="0.25">
      <c r="A4956">
        <v>74925</v>
      </c>
      <c r="B4956" t="s">
        <v>7112</v>
      </c>
      <c r="C4956" t="s">
        <v>7160</v>
      </c>
      <c r="D4956" s="14" t="s">
        <v>7143</v>
      </c>
      <c r="E4956" s="12" t="s">
        <v>28</v>
      </c>
      <c r="F4956" s="13" t="s">
        <v>29</v>
      </c>
      <c r="G4956">
        <v>100</v>
      </c>
      <c r="H4956" t="s">
        <v>30</v>
      </c>
      <c r="I4956">
        <v>100</v>
      </c>
      <c r="J4956" s="15"/>
      <c r="K4956" s="16">
        <f>20.22 - (20.22 * $E$1)</f>
        <v>20.22</v>
      </c>
      <c r="L4956" s="16">
        <f>16.57 - (16.57 * $E$1)</f>
        <v>16.57</v>
      </c>
      <c r="M4956" s="1">
        <v>20.22</v>
      </c>
      <c r="N4956" s="1">
        <v>16.57</v>
      </c>
      <c r="O4956" s="1">
        <v>17.18</v>
      </c>
      <c r="P4956" s="1">
        <v>14.08</v>
      </c>
      <c r="Q4956">
        <v>6.0000000000000001E-3</v>
      </c>
      <c r="R4956">
        <v>7.7999999999999999E-6</v>
      </c>
    </row>
    <row r="4957" spans="1:18" ht="13.8" outlineLevel="2" x14ac:dyDescent="0.25">
      <c r="A4957">
        <v>74926</v>
      </c>
      <c r="B4957" t="s">
        <v>7112</v>
      </c>
      <c r="C4957" t="s">
        <v>7161</v>
      </c>
      <c r="D4957" s="14" t="s">
        <v>7143</v>
      </c>
      <c r="E4957" s="12" t="s">
        <v>28</v>
      </c>
      <c r="F4957" s="13" t="s">
        <v>29</v>
      </c>
      <c r="G4957">
        <v>100</v>
      </c>
      <c r="H4957" t="s">
        <v>30</v>
      </c>
      <c r="I4957">
        <v>100</v>
      </c>
      <c r="J4957" s="15"/>
      <c r="K4957" s="16">
        <f>22.92 - (22.92 * $E$1)</f>
        <v>22.92</v>
      </c>
      <c r="L4957" s="16">
        <f>18.79 - (18.79 * $E$1)</f>
        <v>18.79</v>
      </c>
      <c r="M4957" s="1">
        <v>22.92</v>
      </c>
      <c r="N4957" s="1">
        <v>18.79</v>
      </c>
      <c r="O4957" s="1">
        <v>19.489999999999998</v>
      </c>
      <c r="P4957" s="1">
        <v>15.97</v>
      </c>
      <c r="Q4957">
        <v>1.0999999999999999E-2</v>
      </c>
      <c r="R4957">
        <v>1.0879999999999999E-5</v>
      </c>
    </row>
    <row r="4958" spans="1:18" ht="13.8" outlineLevel="2" x14ac:dyDescent="0.25">
      <c r="A4958">
        <v>74927</v>
      </c>
      <c r="B4958" t="s">
        <v>7112</v>
      </c>
      <c r="C4958" t="s">
        <v>7162</v>
      </c>
      <c r="D4958" s="14" t="s">
        <v>7143</v>
      </c>
      <c r="E4958" s="12" t="s">
        <v>28</v>
      </c>
      <c r="F4958" s="13" t="s">
        <v>29</v>
      </c>
      <c r="G4958">
        <v>100</v>
      </c>
      <c r="H4958" t="s">
        <v>30</v>
      </c>
      <c r="I4958">
        <v>100</v>
      </c>
      <c r="J4958" s="15"/>
      <c r="K4958" s="16">
        <f>28.17 - (28.17 * $E$1)</f>
        <v>28.17</v>
      </c>
      <c r="L4958" s="16">
        <f>23.09 - (23.09 * $E$1)</f>
        <v>23.09</v>
      </c>
      <c r="M4958" s="1">
        <v>28.17</v>
      </c>
      <c r="N4958" s="1">
        <v>23.09</v>
      </c>
      <c r="O4958" s="1">
        <v>23.94</v>
      </c>
      <c r="P4958" s="1">
        <v>19.63</v>
      </c>
      <c r="Q4958">
        <v>1.4E-2</v>
      </c>
      <c r="R4958">
        <v>1.4080000000000001E-5</v>
      </c>
    </row>
    <row r="4959" spans="1:18" ht="13.8" outlineLevel="2" x14ac:dyDescent="0.25">
      <c r="A4959">
        <v>74928</v>
      </c>
      <c r="B4959" t="s">
        <v>7112</v>
      </c>
      <c r="C4959" t="s">
        <v>7163</v>
      </c>
      <c r="D4959" s="14" t="s">
        <v>7143</v>
      </c>
      <c r="E4959" s="12" t="s">
        <v>28</v>
      </c>
      <c r="F4959" s="13" t="s">
        <v>29</v>
      </c>
      <c r="G4959">
        <v>100</v>
      </c>
      <c r="H4959" t="s">
        <v>30</v>
      </c>
      <c r="I4959">
        <v>100</v>
      </c>
      <c r="J4959" s="15"/>
      <c r="K4959" s="16">
        <f>33.56 - (33.56 * $E$1)</f>
        <v>33.56</v>
      </c>
      <c r="L4959" s="16">
        <f>27.51 - (27.51 * $E$1)</f>
        <v>27.51</v>
      </c>
      <c r="M4959" s="1">
        <v>33.56</v>
      </c>
      <c r="N4959" s="1">
        <v>27.51</v>
      </c>
      <c r="O4959" s="1">
        <v>28.53</v>
      </c>
      <c r="P4959" s="1">
        <v>23.38</v>
      </c>
      <c r="Q4959">
        <v>1.72E-2</v>
      </c>
      <c r="R4959">
        <v>1.7280000000000001E-5</v>
      </c>
    </row>
    <row r="4960" spans="1:18" ht="13.8" outlineLevel="2" x14ac:dyDescent="0.25">
      <c r="A4960">
        <v>103072</v>
      </c>
      <c r="B4960" t="s">
        <v>7112</v>
      </c>
      <c r="C4960" t="s">
        <v>7164</v>
      </c>
      <c r="D4960" s="14" t="s">
        <v>7143</v>
      </c>
      <c r="E4960" s="12" t="s">
        <v>28</v>
      </c>
      <c r="F4960" s="13" t="s">
        <v>29</v>
      </c>
      <c r="G4960">
        <v>100</v>
      </c>
      <c r="H4960" t="s">
        <v>30</v>
      </c>
      <c r="I4960">
        <v>100</v>
      </c>
      <c r="J4960" s="15"/>
      <c r="K4960" s="16">
        <f>36.97 - (36.97 * $E$1)</f>
        <v>36.97</v>
      </c>
      <c r="L4960" s="16">
        <f>30.3 - (30.3 * $E$1)</f>
        <v>30.3</v>
      </c>
      <c r="M4960" s="1">
        <v>36.97</v>
      </c>
      <c r="N4960" s="1">
        <v>30.3</v>
      </c>
      <c r="O4960" s="1">
        <v>31.42</v>
      </c>
      <c r="P4960" s="1">
        <v>25.76</v>
      </c>
      <c r="Q4960">
        <v>2.0199999999999999E-2</v>
      </c>
      <c r="R4960">
        <v>1.99E-6</v>
      </c>
    </row>
    <row r="4961" spans="1:18" ht="13.8" outlineLevel="2" x14ac:dyDescent="0.25">
      <c r="A4961">
        <v>74731</v>
      </c>
      <c r="B4961" t="s">
        <v>7112</v>
      </c>
      <c r="C4961" t="s">
        <v>7165</v>
      </c>
      <c r="D4961" s="14" t="s">
        <v>7143</v>
      </c>
      <c r="E4961" s="12" t="s">
        <v>28</v>
      </c>
      <c r="F4961" s="13" t="s">
        <v>29</v>
      </c>
      <c r="G4961">
        <v>50</v>
      </c>
      <c r="H4961" t="s">
        <v>30</v>
      </c>
      <c r="I4961">
        <v>50</v>
      </c>
      <c r="J4961" s="15"/>
      <c r="K4961" s="16">
        <f>30.43 - (30.43 * $E$1)</f>
        <v>30.43</v>
      </c>
      <c r="L4961" s="16">
        <f>24.94 - (24.94 * $E$1)</f>
        <v>24.94</v>
      </c>
      <c r="M4961" s="1">
        <v>30.43</v>
      </c>
      <c r="N4961" s="1">
        <v>24.94</v>
      </c>
      <c r="O4961" s="1">
        <v>25.86</v>
      </c>
      <c r="P4961" s="1">
        <v>21.2</v>
      </c>
      <c r="Q4961">
        <v>1.34E-2</v>
      </c>
      <c r="R4961">
        <v>1.2480000000000001E-5</v>
      </c>
    </row>
    <row r="4962" spans="1:18" ht="13.8" outlineLevel="2" x14ac:dyDescent="0.25">
      <c r="A4962">
        <v>74732</v>
      </c>
      <c r="B4962" t="s">
        <v>7112</v>
      </c>
      <c r="C4962" t="s">
        <v>7166</v>
      </c>
      <c r="D4962" s="14" t="s">
        <v>7143</v>
      </c>
      <c r="E4962" s="12" t="s">
        <v>28</v>
      </c>
      <c r="F4962" s="13" t="s">
        <v>29</v>
      </c>
      <c r="G4962">
        <v>50</v>
      </c>
      <c r="H4962" t="s">
        <v>30</v>
      </c>
      <c r="I4962">
        <v>50</v>
      </c>
      <c r="J4962" s="15"/>
      <c r="K4962" s="16">
        <f>35.89 - (35.89 * $E$1)</f>
        <v>35.89</v>
      </c>
      <c r="L4962" s="16">
        <f>29.42 - (29.42 * $E$1)</f>
        <v>29.42</v>
      </c>
      <c r="M4962" s="1">
        <v>35.89</v>
      </c>
      <c r="N4962" s="1">
        <v>29.42</v>
      </c>
      <c r="O4962" s="1">
        <v>30.51</v>
      </c>
      <c r="P4962" s="1">
        <v>25.01</v>
      </c>
      <c r="Q4962">
        <v>1.7000000000000001E-2</v>
      </c>
      <c r="R4962">
        <v>1.5679999999999999E-5</v>
      </c>
    </row>
    <row r="4963" spans="1:18" ht="13.8" outlineLevel="2" x14ac:dyDescent="0.25">
      <c r="A4963">
        <v>74734</v>
      </c>
      <c r="B4963" t="s">
        <v>7112</v>
      </c>
      <c r="C4963" t="s">
        <v>7167</v>
      </c>
      <c r="D4963" s="14" t="s">
        <v>7143</v>
      </c>
      <c r="E4963" s="12" t="s">
        <v>28</v>
      </c>
      <c r="F4963" s="13" t="s">
        <v>29</v>
      </c>
      <c r="G4963">
        <v>50</v>
      </c>
      <c r="H4963" t="s">
        <v>30</v>
      </c>
      <c r="I4963">
        <v>50</v>
      </c>
      <c r="J4963" s="15"/>
      <c r="K4963" s="16">
        <f>46.74 - (46.74 * $E$1)</f>
        <v>46.74</v>
      </c>
      <c r="L4963" s="16">
        <f>38.31 - (38.31 * $E$1)</f>
        <v>38.31</v>
      </c>
      <c r="M4963" s="1">
        <v>46.74</v>
      </c>
      <c r="N4963" s="1">
        <v>38.31</v>
      </c>
      <c r="O4963" s="1">
        <v>39.729999999999997</v>
      </c>
      <c r="P4963" s="1">
        <v>32.56</v>
      </c>
      <c r="Q4963">
        <v>2.4E-2</v>
      </c>
      <c r="R4963">
        <v>2.1759999999999998E-5</v>
      </c>
    </row>
    <row r="4964" spans="1:18" ht="13.8" outlineLevel="2" x14ac:dyDescent="0.25">
      <c r="A4964">
        <v>74735</v>
      </c>
      <c r="B4964" t="s">
        <v>7112</v>
      </c>
      <c r="C4964" t="s">
        <v>7168</v>
      </c>
      <c r="D4964" s="14" t="s">
        <v>7143</v>
      </c>
      <c r="E4964" s="12" t="s">
        <v>28</v>
      </c>
      <c r="F4964" s="13" t="s">
        <v>29</v>
      </c>
      <c r="G4964">
        <v>50</v>
      </c>
      <c r="H4964" t="s">
        <v>30</v>
      </c>
      <c r="I4964">
        <v>50</v>
      </c>
      <c r="J4964" s="15"/>
      <c r="K4964" s="16">
        <f>57.47 - (57.47 * $E$1)</f>
        <v>57.47</v>
      </c>
      <c r="L4964" s="16">
        <f>47.11 - (47.11 * $E$1)</f>
        <v>47.11</v>
      </c>
      <c r="M4964" s="1">
        <v>57.47</v>
      </c>
      <c r="N4964" s="1">
        <v>47.11</v>
      </c>
      <c r="O4964" s="1">
        <v>48.85</v>
      </c>
      <c r="P4964" s="1">
        <v>40.04</v>
      </c>
      <c r="Q4964">
        <v>3.1E-2</v>
      </c>
      <c r="R4964">
        <v>2.8160000000000001E-5</v>
      </c>
    </row>
    <row r="4965" spans="1:18" ht="13.8" outlineLevel="2" x14ac:dyDescent="0.25">
      <c r="A4965">
        <v>74736</v>
      </c>
      <c r="B4965" t="s">
        <v>7112</v>
      </c>
      <c r="C4965" t="s">
        <v>7169</v>
      </c>
      <c r="D4965" s="14" t="s">
        <v>7143</v>
      </c>
      <c r="E4965" s="12" t="s">
        <v>28</v>
      </c>
      <c r="F4965" s="13" t="s">
        <v>29</v>
      </c>
      <c r="G4965">
        <v>50</v>
      </c>
      <c r="H4965" t="s">
        <v>30</v>
      </c>
      <c r="I4965">
        <v>50</v>
      </c>
      <c r="J4965" s="15"/>
      <c r="K4965" s="16">
        <f>68.41 - (68.41 * $E$1)</f>
        <v>68.41</v>
      </c>
      <c r="L4965" s="16">
        <f>56.07 - (56.07 * $E$1)</f>
        <v>56.07</v>
      </c>
      <c r="M4965" s="1">
        <v>68.41</v>
      </c>
      <c r="N4965" s="1">
        <v>56.07</v>
      </c>
      <c r="O4965" s="1">
        <v>58.14</v>
      </c>
      <c r="P4965" s="1">
        <v>47.66</v>
      </c>
      <c r="Q4965">
        <v>3.2000000000000001E-2</v>
      </c>
      <c r="R4965">
        <v>1.08E-4</v>
      </c>
    </row>
    <row r="4966" spans="1:18" ht="13.8" outlineLevel="2" x14ac:dyDescent="0.25">
      <c r="A4966">
        <v>103073</v>
      </c>
      <c r="B4966" t="s">
        <v>7112</v>
      </c>
      <c r="C4966" t="s">
        <v>7170</v>
      </c>
      <c r="D4966" s="14" t="s">
        <v>7143</v>
      </c>
      <c r="E4966" s="12" t="s">
        <v>28</v>
      </c>
      <c r="F4966" s="13" t="s">
        <v>29</v>
      </c>
      <c r="G4966">
        <v>50</v>
      </c>
      <c r="H4966" t="s">
        <v>30</v>
      </c>
      <c r="I4966">
        <v>50</v>
      </c>
      <c r="J4966" s="15"/>
      <c r="K4966" s="16">
        <f>75.82 - (75.82 * $E$1)</f>
        <v>75.819999999999993</v>
      </c>
      <c r="L4966" s="16">
        <f>62.15 - (62.15 * $E$1)</f>
        <v>62.15</v>
      </c>
      <c r="M4966" s="1">
        <v>75.819999999999993</v>
      </c>
      <c r="N4966" s="1">
        <v>62.15</v>
      </c>
      <c r="O4966" s="1">
        <v>64.45</v>
      </c>
      <c r="P4966" s="1">
        <v>52.83</v>
      </c>
      <c r="Q4966">
        <v>4.3999999999999997E-2</v>
      </c>
      <c r="R4966">
        <v>9.2800000000000006E-5</v>
      </c>
    </row>
    <row r="4967" spans="1:18" ht="13.8" outlineLevel="2" x14ac:dyDescent="0.25">
      <c r="A4967">
        <v>103077</v>
      </c>
      <c r="B4967" t="s">
        <v>7112</v>
      </c>
      <c r="C4967" t="s">
        <v>7171</v>
      </c>
      <c r="D4967" s="14" t="s">
        <v>7172</v>
      </c>
      <c r="E4967" s="12" t="s">
        <v>28</v>
      </c>
      <c r="F4967" s="13" t="s">
        <v>29</v>
      </c>
      <c r="G4967">
        <v>1</v>
      </c>
      <c r="H4967" t="s">
        <v>420</v>
      </c>
      <c r="I4967">
        <v>1</v>
      </c>
      <c r="J4967" s="15"/>
      <c r="K4967" s="16">
        <f>421.16 - (421.16 * $E$1)</f>
        <v>421.16</v>
      </c>
      <c r="L4967" s="16">
        <f>345.21 - (345.21 * $E$1)</f>
        <v>345.21</v>
      </c>
      <c r="M4967" s="1">
        <v>421.16</v>
      </c>
      <c r="N4967" s="1">
        <v>345.21</v>
      </c>
      <c r="O4967" s="1">
        <v>357.98</v>
      </c>
      <c r="P4967" s="1">
        <v>293.43</v>
      </c>
      <c r="Q4967">
        <v>0.19</v>
      </c>
      <c r="R4967">
        <v>2.42E-4</v>
      </c>
    </row>
    <row r="4968" spans="1:18" ht="13.8" outlineLevel="2" x14ac:dyDescent="0.25">
      <c r="A4968">
        <v>103078</v>
      </c>
      <c r="B4968" t="s">
        <v>7112</v>
      </c>
      <c r="C4968" t="s">
        <v>7173</v>
      </c>
      <c r="D4968" s="14" t="s">
        <v>7172</v>
      </c>
      <c r="E4968" s="12" t="s">
        <v>28</v>
      </c>
      <c r="F4968" s="13" t="s">
        <v>29</v>
      </c>
      <c r="G4968">
        <v>1</v>
      </c>
      <c r="H4968" t="s">
        <v>420</v>
      </c>
      <c r="I4968">
        <v>1</v>
      </c>
      <c r="J4968" s="15"/>
      <c r="K4968" s="16">
        <f>465.81 - (465.81 * $E$1)</f>
        <v>465.81</v>
      </c>
      <c r="L4968" s="16">
        <f>381.81 - (381.81 * $E$1)</f>
        <v>381.81</v>
      </c>
      <c r="M4968" s="1">
        <v>465.81</v>
      </c>
      <c r="N4968" s="1">
        <v>381.81</v>
      </c>
      <c r="O4968" s="1">
        <v>395.94</v>
      </c>
      <c r="P4968" s="1">
        <v>324.54000000000002</v>
      </c>
      <c r="Q4968">
        <v>0.21</v>
      </c>
      <c r="R4968">
        <v>2.9700000000000001E-4</v>
      </c>
    </row>
    <row r="4969" spans="1:18" ht="13.8" outlineLevel="2" x14ac:dyDescent="0.25">
      <c r="A4969">
        <v>103079</v>
      </c>
      <c r="B4969" t="s">
        <v>7112</v>
      </c>
      <c r="C4969" t="s">
        <v>7174</v>
      </c>
      <c r="D4969" s="14" t="s">
        <v>7172</v>
      </c>
      <c r="E4969" s="12" t="s">
        <v>28</v>
      </c>
      <c r="F4969" s="13" t="s">
        <v>29</v>
      </c>
      <c r="G4969">
        <v>1</v>
      </c>
      <c r="H4969" t="s">
        <v>420</v>
      </c>
      <c r="I4969">
        <v>1</v>
      </c>
      <c r="J4969" s="15"/>
      <c r="K4969" s="16">
        <f>566.69 - (566.69 * $E$1)</f>
        <v>566.69000000000005</v>
      </c>
      <c r="L4969" s="16">
        <f>464.5 - (464.5 * $E$1)</f>
        <v>464.5</v>
      </c>
      <c r="M4969" s="1">
        <v>566.69000000000005</v>
      </c>
      <c r="N4969" s="1">
        <v>464.5</v>
      </c>
      <c r="O4969" s="1">
        <v>481.69</v>
      </c>
      <c r="P4969" s="1">
        <v>394.83</v>
      </c>
      <c r="Q4969">
        <v>0.25</v>
      </c>
      <c r="R4969">
        <v>4.0700000000000003E-4</v>
      </c>
    </row>
    <row r="4970" spans="1:18" ht="13.8" outlineLevel="2" x14ac:dyDescent="0.25">
      <c r="A4970">
        <v>103080</v>
      </c>
      <c r="B4970" t="s">
        <v>7112</v>
      </c>
      <c r="C4970" t="s">
        <v>7175</v>
      </c>
      <c r="D4970" s="14" t="s">
        <v>7172</v>
      </c>
      <c r="E4970" s="12" t="s">
        <v>28</v>
      </c>
      <c r="F4970" s="13" t="s">
        <v>29</v>
      </c>
      <c r="G4970">
        <v>1</v>
      </c>
      <c r="H4970" t="s">
        <v>420</v>
      </c>
      <c r="I4970">
        <v>1</v>
      </c>
      <c r="J4970" s="15"/>
      <c r="K4970" s="16">
        <f>663.69 - (663.69 * $E$1)</f>
        <v>663.69</v>
      </c>
      <c r="L4970" s="16">
        <f>544.01 - (544.01 * $E$1)</f>
        <v>544.01</v>
      </c>
      <c r="M4970" s="1">
        <v>663.69</v>
      </c>
      <c r="N4970" s="1">
        <v>544.01</v>
      </c>
      <c r="O4970" s="1">
        <v>564.14</v>
      </c>
      <c r="P4970" s="1">
        <v>462.41</v>
      </c>
      <c r="Q4970">
        <v>0.3</v>
      </c>
      <c r="R4970">
        <v>5.1699999999999999E-4</v>
      </c>
    </row>
    <row r="4971" spans="1:18" ht="13.8" outlineLevel="2" x14ac:dyDescent="0.25">
      <c r="A4971">
        <v>103081</v>
      </c>
      <c r="B4971" t="s">
        <v>7112</v>
      </c>
      <c r="C4971" t="s">
        <v>7176</v>
      </c>
      <c r="D4971" s="14" t="s">
        <v>7172</v>
      </c>
      <c r="E4971" s="12" t="s">
        <v>28</v>
      </c>
      <c r="F4971" s="13" t="s">
        <v>29</v>
      </c>
      <c r="G4971">
        <v>1</v>
      </c>
      <c r="H4971" t="s">
        <v>420</v>
      </c>
      <c r="I4971">
        <v>1</v>
      </c>
      <c r="J4971" s="15"/>
      <c r="K4971" s="16">
        <f>668.67 - (668.67 * $E$1)</f>
        <v>668.67</v>
      </c>
      <c r="L4971" s="16">
        <f>548.09 - (548.09 * $E$1)</f>
        <v>548.09</v>
      </c>
      <c r="M4971" s="1">
        <v>668.67</v>
      </c>
      <c r="N4971" s="1">
        <v>548.09</v>
      </c>
      <c r="O4971" s="1">
        <v>568.37</v>
      </c>
      <c r="P4971" s="1">
        <v>465.88</v>
      </c>
      <c r="Q4971">
        <v>0.25</v>
      </c>
      <c r="R4971">
        <v>4.64E-4</v>
      </c>
    </row>
    <row r="4972" spans="1:18" ht="13.8" outlineLevel="2" x14ac:dyDescent="0.25">
      <c r="A4972">
        <v>103082</v>
      </c>
      <c r="B4972" t="s">
        <v>7112</v>
      </c>
      <c r="C4972" t="s">
        <v>7177</v>
      </c>
      <c r="D4972" s="14" t="s">
        <v>7172</v>
      </c>
      <c r="E4972" s="12" t="s">
        <v>28</v>
      </c>
      <c r="F4972" s="13" t="s">
        <v>29</v>
      </c>
      <c r="G4972">
        <v>1</v>
      </c>
      <c r="H4972" t="s">
        <v>420</v>
      </c>
      <c r="I4972">
        <v>1</v>
      </c>
      <c r="J4972" s="15"/>
      <c r="K4972" s="16">
        <f>818.06 - (818.06 * $E$1)</f>
        <v>818.06</v>
      </c>
      <c r="L4972" s="16">
        <f>670.54 - (670.54 * $E$1)</f>
        <v>670.54</v>
      </c>
      <c r="M4972" s="1">
        <v>818.06</v>
      </c>
      <c r="N4972" s="1">
        <v>670.54</v>
      </c>
      <c r="O4972" s="1">
        <v>695.35</v>
      </c>
      <c r="P4972" s="1">
        <v>569.96</v>
      </c>
      <c r="Q4972">
        <v>0.33</v>
      </c>
      <c r="R4972">
        <v>6.2399999999999999E-4</v>
      </c>
    </row>
    <row r="4973" spans="1:18" ht="13.8" outlineLevel="2" x14ac:dyDescent="0.25">
      <c r="A4973">
        <v>103083</v>
      </c>
      <c r="B4973" t="s">
        <v>7112</v>
      </c>
      <c r="C4973" t="s">
        <v>7178</v>
      </c>
      <c r="D4973" s="14" t="s">
        <v>7172</v>
      </c>
      <c r="E4973" s="12" t="s">
        <v>28</v>
      </c>
      <c r="F4973" s="13" t="s">
        <v>29</v>
      </c>
      <c r="G4973">
        <v>1</v>
      </c>
      <c r="H4973" t="s">
        <v>420</v>
      </c>
      <c r="I4973">
        <v>1</v>
      </c>
      <c r="J4973" s="15"/>
      <c r="K4973" s="16">
        <f>968.01 - (968.01 * $E$1)</f>
        <v>968.01</v>
      </c>
      <c r="L4973" s="16">
        <f>793.45 - (793.45 * $E$1)</f>
        <v>793.45</v>
      </c>
      <c r="M4973" s="1">
        <v>968.01</v>
      </c>
      <c r="N4973" s="1">
        <v>793.45</v>
      </c>
      <c r="O4973" s="1">
        <v>822.81</v>
      </c>
      <c r="P4973" s="1">
        <v>674.43</v>
      </c>
      <c r="Q4973">
        <v>0.39</v>
      </c>
      <c r="R4973">
        <v>7.8399999999999997E-4</v>
      </c>
    </row>
    <row r="4974" spans="1:18" ht="13.8" outlineLevel="2" x14ac:dyDescent="0.25">
      <c r="A4974">
        <v>103084</v>
      </c>
      <c r="B4974" t="s">
        <v>7112</v>
      </c>
      <c r="C4974" t="s">
        <v>7179</v>
      </c>
      <c r="D4974" s="14" t="s">
        <v>7172</v>
      </c>
      <c r="E4974" s="12" t="s">
        <v>28</v>
      </c>
      <c r="F4974" s="13" t="s">
        <v>29</v>
      </c>
      <c r="G4974">
        <v>1</v>
      </c>
      <c r="H4974" t="s">
        <v>420</v>
      </c>
      <c r="I4974">
        <v>1</v>
      </c>
      <c r="J4974" s="15"/>
      <c r="K4974" s="16">
        <f>1116.82 - (1116.82 * $E$1)</f>
        <v>1116.82</v>
      </c>
      <c r="L4974" s="16">
        <f>915.43 - (915.43 * $E$1)</f>
        <v>915.43</v>
      </c>
      <c r="M4974" s="1">
        <v>1116.82</v>
      </c>
      <c r="N4974" s="1">
        <v>915.43</v>
      </c>
      <c r="O4974" s="1">
        <v>949.3</v>
      </c>
      <c r="P4974" s="1">
        <v>778.12</v>
      </c>
      <c r="Q4974">
        <v>0.48</v>
      </c>
      <c r="R4974">
        <v>9.2800000000000001E-4</v>
      </c>
    </row>
    <row r="4975" spans="1:18" ht="13.8" outlineLevel="2" x14ac:dyDescent="0.25">
      <c r="A4975">
        <v>79373</v>
      </c>
      <c r="B4975" t="s">
        <v>7112</v>
      </c>
      <c r="C4975" t="s">
        <v>7180</v>
      </c>
      <c r="D4975" s="14" t="s">
        <v>7181</v>
      </c>
      <c r="E4975" s="12" t="s">
        <v>28</v>
      </c>
      <c r="F4975" s="13" t="s">
        <v>29</v>
      </c>
      <c r="G4975">
        <v>100</v>
      </c>
      <c r="H4975" t="s">
        <v>30</v>
      </c>
      <c r="I4975">
        <v>100</v>
      </c>
      <c r="J4975" s="15"/>
      <c r="K4975" s="16">
        <f>12.42 - (12.42 * $E$1)</f>
        <v>12.42</v>
      </c>
      <c r="L4975" s="16">
        <f>10.18 - (10.18 * $E$1)</f>
        <v>10.18</v>
      </c>
      <c r="M4975" s="1">
        <v>12.42</v>
      </c>
      <c r="N4975" s="1">
        <v>10.18</v>
      </c>
      <c r="O4975" s="1">
        <v>10.56</v>
      </c>
      <c r="P4975" s="1">
        <v>8.65</v>
      </c>
      <c r="Q4975">
        <v>1.8E-3</v>
      </c>
      <c r="R4975">
        <v>4.1300000000000003E-6</v>
      </c>
    </row>
    <row r="4976" spans="1:18" ht="13.8" outlineLevel="2" x14ac:dyDescent="0.25">
      <c r="A4976">
        <v>74888</v>
      </c>
      <c r="B4976" t="s">
        <v>7112</v>
      </c>
      <c r="C4976" t="s">
        <v>7182</v>
      </c>
      <c r="D4976" s="14" t="s">
        <v>7181</v>
      </c>
      <c r="E4976" s="12" t="s">
        <v>28</v>
      </c>
      <c r="F4976" s="13" t="s">
        <v>29</v>
      </c>
      <c r="G4976">
        <v>100</v>
      </c>
      <c r="H4976" t="s">
        <v>30</v>
      </c>
      <c r="I4976">
        <v>100</v>
      </c>
      <c r="J4976" s="15"/>
      <c r="K4976" s="16">
        <f>14.54 - (14.54 * $E$1)</f>
        <v>14.54</v>
      </c>
      <c r="L4976" s="16">
        <f>11.92 - (11.92 * $E$1)</f>
        <v>11.92</v>
      </c>
      <c r="M4976" s="1">
        <v>14.54</v>
      </c>
      <c r="N4976" s="1">
        <v>11.92</v>
      </c>
      <c r="O4976" s="1">
        <v>12.36</v>
      </c>
      <c r="P4976" s="1">
        <v>10.130000000000001</v>
      </c>
      <c r="Q4976">
        <v>3.2000000000000002E-3</v>
      </c>
      <c r="R4976">
        <v>2.4200000000000001E-6</v>
      </c>
    </row>
    <row r="4977" spans="1:18" ht="13.8" outlineLevel="2" x14ac:dyDescent="0.25">
      <c r="A4977">
        <v>74889</v>
      </c>
      <c r="B4977" t="s">
        <v>7112</v>
      </c>
      <c r="C4977" t="s">
        <v>7183</v>
      </c>
      <c r="D4977" s="14" t="s">
        <v>7181</v>
      </c>
      <c r="E4977" s="12" t="s">
        <v>28</v>
      </c>
      <c r="F4977" s="13" t="s">
        <v>29</v>
      </c>
      <c r="G4977">
        <v>100</v>
      </c>
      <c r="H4977" t="s">
        <v>30</v>
      </c>
      <c r="I4977">
        <v>100</v>
      </c>
      <c r="J4977" s="15"/>
      <c r="K4977" s="16">
        <f>16.67 - (16.67 * $E$1)</f>
        <v>16.670000000000002</v>
      </c>
      <c r="L4977" s="16">
        <f>13.66 - (13.66 * $E$1)</f>
        <v>13.66</v>
      </c>
      <c r="M4977" s="1">
        <v>16.670000000000002</v>
      </c>
      <c r="N4977" s="1">
        <v>13.66</v>
      </c>
      <c r="O4977" s="1">
        <v>14.17</v>
      </c>
      <c r="P4977" s="1">
        <v>11.61</v>
      </c>
      <c r="Q4977">
        <v>2.7000000000000001E-3</v>
      </c>
      <c r="R4977">
        <v>4.6E-6</v>
      </c>
    </row>
    <row r="4978" spans="1:18" ht="13.8" outlineLevel="2" x14ac:dyDescent="0.25">
      <c r="A4978">
        <v>74890</v>
      </c>
      <c r="B4978" t="s">
        <v>7112</v>
      </c>
      <c r="C4978" t="s">
        <v>7184</v>
      </c>
      <c r="D4978" s="14" t="s">
        <v>7181</v>
      </c>
      <c r="E4978" s="12" t="s">
        <v>28</v>
      </c>
      <c r="F4978" s="13" t="s">
        <v>29</v>
      </c>
      <c r="G4978">
        <v>100</v>
      </c>
      <c r="H4978" t="s">
        <v>30</v>
      </c>
      <c r="I4978">
        <v>100</v>
      </c>
      <c r="J4978" s="15"/>
      <c r="K4978" s="16">
        <f>19.01 - (19.01 * $E$1)</f>
        <v>19.010000000000002</v>
      </c>
      <c r="L4978" s="16">
        <f>15.58 - (15.58 * $E$1)</f>
        <v>15.58</v>
      </c>
      <c r="M4978" s="1">
        <v>19.010000000000002</v>
      </c>
      <c r="N4978" s="1">
        <v>15.58</v>
      </c>
      <c r="O4978" s="1">
        <v>16.16</v>
      </c>
      <c r="P4978" s="1">
        <v>13.24</v>
      </c>
      <c r="Q4978">
        <v>3.2000000000000002E-3</v>
      </c>
      <c r="R4978">
        <v>6.0000000000000002E-6</v>
      </c>
    </row>
    <row r="4979" spans="1:18" ht="13.8" outlineLevel="2" x14ac:dyDescent="0.25">
      <c r="A4979">
        <v>74891</v>
      </c>
      <c r="B4979" t="s">
        <v>7112</v>
      </c>
      <c r="C4979" t="s">
        <v>7185</v>
      </c>
      <c r="D4979" s="14" t="s">
        <v>7181</v>
      </c>
      <c r="E4979" s="12" t="s">
        <v>28</v>
      </c>
      <c r="F4979" s="13" t="s">
        <v>29</v>
      </c>
      <c r="G4979">
        <v>100</v>
      </c>
      <c r="H4979" t="s">
        <v>30</v>
      </c>
      <c r="I4979">
        <v>100</v>
      </c>
      <c r="J4979" s="15"/>
      <c r="K4979" s="16">
        <f>21.25 - (21.25 * $E$1)</f>
        <v>21.25</v>
      </c>
      <c r="L4979" s="16">
        <f>17.42 - (17.42 * $E$1)</f>
        <v>17.420000000000002</v>
      </c>
      <c r="M4979" s="1">
        <v>21.25</v>
      </c>
      <c r="N4979" s="1">
        <v>17.420000000000002</v>
      </c>
      <c r="O4979" s="1">
        <v>18.059999999999999</v>
      </c>
      <c r="P4979" s="1">
        <v>14.81</v>
      </c>
      <c r="Q4979">
        <v>3.7000000000000002E-3</v>
      </c>
      <c r="R4979">
        <v>7.4000000000000003E-6</v>
      </c>
    </row>
    <row r="4980" spans="1:18" ht="13.8" outlineLevel="2" x14ac:dyDescent="0.25">
      <c r="A4980">
        <v>74892</v>
      </c>
      <c r="B4980" t="s">
        <v>7112</v>
      </c>
      <c r="C4980" t="s">
        <v>7186</v>
      </c>
      <c r="D4980" s="14" t="s">
        <v>7181</v>
      </c>
      <c r="E4980" s="12" t="s">
        <v>28</v>
      </c>
      <c r="F4980" s="13" t="s">
        <v>29</v>
      </c>
      <c r="G4980">
        <v>100</v>
      </c>
      <c r="H4980" t="s">
        <v>30</v>
      </c>
      <c r="I4980">
        <v>100</v>
      </c>
      <c r="J4980" s="15"/>
      <c r="K4980" s="16">
        <f>23.55 - (23.55 * $E$1)</f>
        <v>23.55</v>
      </c>
      <c r="L4980" s="16">
        <f>19.3 - (19.3 * $E$1)</f>
        <v>19.3</v>
      </c>
      <c r="M4980" s="1">
        <v>23.55</v>
      </c>
      <c r="N4980" s="1">
        <v>19.3</v>
      </c>
      <c r="O4980" s="1">
        <v>20.010000000000002</v>
      </c>
      <c r="P4980" s="1">
        <v>16.41</v>
      </c>
      <c r="Q4980">
        <v>3.7000000000000002E-3</v>
      </c>
      <c r="R4980">
        <v>2.9699999999999999E-6</v>
      </c>
    </row>
    <row r="4981" spans="1:18" ht="13.8" outlineLevel="2" x14ac:dyDescent="0.25">
      <c r="A4981">
        <v>74893</v>
      </c>
      <c r="B4981" t="s">
        <v>7112</v>
      </c>
      <c r="C4981" t="s">
        <v>7187</v>
      </c>
      <c r="D4981" s="14" t="s">
        <v>7181</v>
      </c>
      <c r="E4981" s="12" t="s">
        <v>28</v>
      </c>
      <c r="F4981" s="13" t="s">
        <v>29</v>
      </c>
      <c r="G4981">
        <v>100</v>
      </c>
      <c r="H4981" t="s">
        <v>30</v>
      </c>
      <c r="I4981">
        <v>100</v>
      </c>
      <c r="J4981" s="15"/>
      <c r="K4981" s="16">
        <f>25.75 - (25.75 * $E$1)</f>
        <v>25.75</v>
      </c>
      <c r="L4981" s="16">
        <f>21.11 - (21.11 * $E$1)</f>
        <v>21.11</v>
      </c>
      <c r="M4981" s="1">
        <v>25.75</v>
      </c>
      <c r="N4981" s="1">
        <v>21.11</v>
      </c>
      <c r="O4981" s="1">
        <v>21.89</v>
      </c>
      <c r="P4981" s="1">
        <v>17.940000000000001</v>
      </c>
      <c r="Q4981">
        <v>4.7000000000000002E-3</v>
      </c>
      <c r="R4981">
        <v>8.6000000000000007E-6</v>
      </c>
    </row>
    <row r="4982" spans="1:18" ht="13.8" outlineLevel="2" x14ac:dyDescent="0.25">
      <c r="A4982">
        <v>74894</v>
      </c>
      <c r="B4982" t="s">
        <v>7112</v>
      </c>
      <c r="C4982" t="s">
        <v>7188</v>
      </c>
      <c r="D4982" s="14" t="s">
        <v>7181</v>
      </c>
      <c r="E4982" s="12" t="s">
        <v>28</v>
      </c>
      <c r="F4982" s="13" t="s">
        <v>29</v>
      </c>
      <c r="G4982">
        <v>100</v>
      </c>
      <c r="H4982" t="s">
        <v>30</v>
      </c>
      <c r="I4982">
        <v>100</v>
      </c>
      <c r="J4982" s="15"/>
      <c r="K4982" s="16">
        <f>30.12 - (30.12 * $E$1)</f>
        <v>30.12</v>
      </c>
      <c r="L4982" s="16">
        <f>24.69 - (24.69 * $E$1)</f>
        <v>24.69</v>
      </c>
      <c r="M4982" s="1">
        <v>30.12</v>
      </c>
      <c r="N4982" s="1">
        <v>24.69</v>
      </c>
      <c r="O4982" s="1">
        <v>25.6</v>
      </c>
      <c r="P4982" s="1">
        <v>20.99</v>
      </c>
      <c r="Q4982">
        <v>6.6E-3</v>
      </c>
      <c r="R4982">
        <v>6.2700000000000001E-6</v>
      </c>
    </row>
    <row r="4983" spans="1:18" ht="13.8" outlineLevel="2" x14ac:dyDescent="0.25">
      <c r="A4983">
        <v>74895</v>
      </c>
      <c r="B4983" t="s">
        <v>7112</v>
      </c>
      <c r="C4983" t="s">
        <v>7189</v>
      </c>
      <c r="D4983" s="14" t="s">
        <v>7181</v>
      </c>
      <c r="E4983" s="12" t="s">
        <v>28</v>
      </c>
      <c r="F4983" s="13" t="s">
        <v>29</v>
      </c>
      <c r="G4983">
        <v>100</v>
      </c>
      <c r="H4983" t="s">
        <v>30</v>
      </c>
      <c r="I4983">
        <v>100</v>
      </c>
      <c r="J4983" s="15"/>
      <c r="K4983" s="16">
        <f>34.79 - (34.79 * $E$1)</f>
        <v>34.79</v>
      </c>
      <c r="L4983" s="16">
        <f>28.52 - (28.52 * $E$1)</f>
        <v>28.52</v>
      </c>
      <c r="M4983" s="1">
        <v>34.79</v>
      </c>
      <c r="N4983" s="1">
        <v>28.52</v>
      </c>
      <c r="O4983" s="1">
        <v>29.58</v>
      </c>
      <c r="P4983" s="1">
        <v>24.24</v>
      </c>
      <c r="Q4983">
        <v>7.4999999999999997E-3</v>
      </c>
      <c r="R4983">
        <v>7.3699999999999997E-6</v>
      </c>
    </row>
    <row r="4984" spans="1:18" ht="13.8" outlineLevel="2" x14ac:dyDescent="0.25">
      <c r="A4984">
        <v>74896</v>
      </c>
      <c r="B4984" t="s">
        <v>7112</v>
      </c>
      <c r="C4984" t="s">
        <v>7190</v>
      </c>
      <c r="D4984" s="14" t="s">
        <v>7181</v>
      </c>
      <c r="E4984" s="12" t="s">
        <v>28</v>
      </c>
      <c r="F4984" s="13" t="s">
        <v>29</v>
      </c>
      <c r="G4984">
        <v>100</v>
      </c>
      <c r="H4984" t="s">
        <v>30</v>
      </c>
      <c r="I4984">
        <v>100</v>
      </c>
      <c r="J4984" s="15"/>
      <c r="K4984" s="16">
        <f>43.65 - (43.65 * $E$1)</f>
        <v>43.65</v>
      </c>
      <c r="L4984" s="16">
        <f>35.78 - (35.78 * $E$1)</f>
        <v>35.78</v>
      </c>
      <c r="M4984" s="1">
        <v>43.65</v>
      </c>
      <c r="N4984" s="1">
        <v>35.78</v>
      </c>
      <c r="O4984" s="1">
        <v>37.1</v>
      </c>
      <c r="P4984" s="1">
        <v>30.41</v>
      </c>
      <c r="Q4984">
        <v>9.4000000000000004E-3</v>
      </c>
      <c r="R4984">
        <v>9.5699999999999999E-6</v>
      </c>
    </row>
    <row r="4985" spans="1:18" ht="13.8" outlineLevel="2" x14ac:dyDescent="0.25">
      <c r="A4985">
        <v>74897</v>
      </c>
      <c r="B4985" t="s">
        <v>7112</v>
      </c>
      <c r="C4985" t="s">
        <v>7191</v>
      </c>
      <c r="D4985" s="14" t="s">
        <v>7181</v>
      </c>
      <c r="E4985" s="12" t="s">
        <v>28</v>
      </c>
      <c r="F4985" s="13" t="s">
        <v>29</v>
      </c>
      <c r="G4985">
        <v>100</v>
      </c>
      <c r="H4985" t="s">
        <v>30</v>
      </c>
      <c r="I4985">
        <v>100</v>
      </c>
      <c r="J4985" s="15"/>
      <c r="K4985" s="16">
        <f>52.52 - (52.52 * $E$1)</f>
        <v>52.52</v>
      </c>
      <c r="L4985" s="16">
        <f>43.05 - (43.05 * $E$1)</f>
        <v>43.05</v>
      </c>
      <c r="M4985" s="1">
        <v>52.52</v>
      </c>
      <c r="N4985" s="1">
        <v>43.05</v>
      </c>
      <c r="O4985" s="1">
        <v>44.64</v>
      </c>
      <c r="P4985" s="1">
        <v>36.590000000000003</v>
      </c>
      <c r="Q4985">
        <v>1.1299999999999999E-2</v>
      </c>
      <c r="R4985">
        <v>1.1770000000000001E-5</v>
      </c>
    </row>
    <row r="4986" spans="1:18" ht="13.8" outlineLevel="2" x14ac:dyDescent="0.25">
      <c r="A4986">
        <v>74898</v>
      </c>
      <c r="B4986" t="s">
        <v>7112</v>
      </c>
      <c r="C4986" t="s">
        <v>7192</v>
      </c>
      <c r="D4986" s="14" t="s">
        <v>7181</v>
      </c>
      <c r="E4986" s="12" t="s">
        <v>28</v>
      </c>
      <c r="F4986" s="13" t="s">
        <v>29</v>
      </c>
      <c r="G4986">
        <v>100</v>
      </c>
      <c r="H4986" t="s">
        <v>30</v>
      </c>
      <c r="I4986">
        <v>100</v>
      </c>
      <c r="J4986" s="15"/>
      <c r="K4986" s="16">
        <f>19.9 - (19.9 * $E$1)</f>
        <v>19.899999999999999</v>
      </c>
      <c r="L4986" s="16">
        <f>16.31 - (16.31 * $E$1)</f>
        <v>16.309999999999999</v>
      </c>
      <c r="M4986" s="1">
        <v>19.899999999999999</v>
      </c>
      <c r="N4986" s="1">
        <v>16.309999999999999</v>
      </c>
      <c r="O4986" s="1">
        <v>16.91</v>
      </c>
      <c r="P4986" s="1">
        <v>13.86</v>
      </c>
      <c r="Q4986">
        <v>4.1999999999999997E-3</v>
      </c>
      <c r="R4986">
        <v>3.8399999999999997E-6</v>
      </c>
    </row>
    <row r="4987" spans="1:18" ht="13.8" outlineLevel="2" x14ac:dyDescent="0.25">
      <c r="A4987">
        <v>74899</v>
      </c>
      <c r="B4987" t="s">
        <v>7112</v>
      </c>
      <c r="C4987" t="s">
        <v>7193</v>
      </c>
      <c r="D4987" s="14" t="s">
        <v>7181</v>
      </c>
      <c r="E4987" s="12" t="s">
        <v>28</v>
      </c>
      <c r="F4987" s="13" t="s">
        <v>29</v>
      </c>
      <c r="G4987">
        <v>100</v>
      </c>
      <c r="H4987" t="s">
        <v>30</v>
      </c>
      <c r="I4987">
        <v>100</v>
      </c>
      <c r="J4987" s="15"/>
      <c r="K4987" s="16">
        <f>22.89 - (22.89 * $E$1)</f>
        <v>22.89</v>
      </c>
      <c r="L4987" s="16">
        <f>18.76 - (18.76 * $E$1)</f>
        <v>18.760000000000002</v>
      </c>
      <c r="M4987" s="1">
        <v>22.89</v>
      </c>
      <c r="N4987" s="1">
        <v>18.760000000000002</v>
      </c>
      <c r="O4987" s="1">
        <v>19.45</v>
      </c>
      <c r="P4987" s="1">
        <v>15.95</v>
      </c>
      <c r="Q4987">
        <v>5.0000000000000001E-3</v>
      </c>
      <c r="R4987">
        <v>4.6399999999999996E-6</v>
      </c>
    </row>
    <row r="4988" spans="1:18" ht="13.8" outlineLevel="2" x14ac:dyDescent="0.25">
      <c r="A4988">
        <v>74900</v>
      </c>
      <c r="B4988" t="s">
        <v>7112</v>
      </c>
      <c r="C4988" t="s">
        <v>7194</v>
      </c>
      <c r="D4988" s="14" t="s">
        <v>7181</v>
      </c>
      <c r="E4988" s="12" t="s">
        <v>28</v>
      </c>
      <c r="F4988" s="13" t="s">
        <v>29</v>
      </c>
      <c r="G4988">
        <v>100</v>
      </c>
      <c r="H4988" t="s">
        <v>30</v>
      </c>
      <c r="I4988">
        <v>100</v>
      </c>
      <c r="J4988" s="15"/>
      <c r="K4988" s="16">
        <f>26.08 - (26.08 * $E$1)</f>
        <v>26.08</v>
      </c>
      <c r="L4988" s="16">
        <f>21.38 - (21.38 * $E$1)</f>
        <v>21.38</v>
      </c>
      <c r="M4988" s="1">
        <v>26.08</v>
      </c>
      <c r="N4988" s="1">
        <v>21.38</v>
      </c>
      <c r="O4988" s="1">
        <v>22.17</v>
      </c>
      <c r="P4988" s="1">
        <v>18.170000000000002</v>
      </c>
      <c r="Q4988">
        <v>6.4000000000000003E-3</v>
      </c>
      <c r="R4988">
        <v>5.4399999999999996E-6</v>
      </c>
    </row>
    <row r="4989" spans="1:18" ht="13.8" outlineLevel="2" x14ac:dyDescent="0.25">
      <c r="A4989">
        <v>74901</v>
      </c>
      <c r="B4989" t="s">
        <v>7112</v>
      </c>
      <c r="C4989" t="s">
        <v>7195</v>
      </c>
      <c r="D4989" s="14" t="s">
        <v>7181</v>
      </c>
      <c r="E4989" s="12" t="s">
        <v>28</v>
      </c>
      <c r="F4989" s="13" t="s">
        <v>29</v>
      </c>
      <c r="G4989">
        <v>100</v>
      </c>
      <c r="H4989" t="s">
        <v>30</v>
      </c>
      <c r="I4989">
        <v>100</v>
      </c>
      <c r="J4989" s="15"/>
      <c r="K4989" s="16">
        <f>29.07 - (29.07 * $E$1)</f>
        <v>29.07</v>
      </c>
      <c r="L4989" s="16">
        <f>23.83 - (23.83 * $E$1)</f>
        <v>23.83</v>
      </c>
      <c r="M4989" s="1">
        <v>29.07</v>
      </c>
      <c r="N4989" s="1">
        <v>23.83</v>
      </c>
      <c r="O4989" s="1">
        <v>24.71</v>
      </c>
      <c r="P4989" s="1">
        <v>20.260000000000002</v>
      </c>
      <c r="Q4989">
        <v>6.6E-3</v>
      </c>
      <c r="R4989">
        <v>6.2400000000000004E-6</v>
      </c>
    </row>
    <row r="4990" spans="1:18" ht="13.8" outlineLevel="2" x14ac:dyDescent="0.25">
      <c r="A4990">
        <v>74902</v>
      </c>
      <c r="B4990" t="s">
        <v>7112</v>
      </c>
      <c r="C4990" t="s">
        <v>7196</v>
      </c>
      <c r="D4990" s="14" t="s">
        <v>7181</v>
      </c>
      <c r="E4990" s="12" t="s">
        <v>28</v>
      </c>
      <c r="F4990" s="13" t="s">
        <v>29</v>
      </c>
      <c r="G4990">
        <v>100</v>
      </c>
      <c r="H4990" t="s">
        <v>30</v>
      </c>
      <c r="I4990">
        <v>100</v>
      </c>
      <c r="J4990" s="15"/>
      <c r="K4990" s="16">
        <f>32.31 - (32.31 * $E$1)</f>
        <v>32.31</v>
      </c>
      <c r="L4990" s="16">
        <f>26.48 - (26.48 * $E$1)</f>
        <v>26.48</v>
      </c>
      <c r="M4990" s="1">
        <v>32.31</v>
      </c>
      <c r="N4990" s="1">
        <v>26.48</v>
      </c>
      <c r="O4990" s="1">
        <v>27.46</v>
      </c>
      <c r="P4990" s="1">
        <v>22.51</v>
      </c>
      <c r="Q4990">
        <v>7.4000000000000003E-3</v>
      </c>
      <c r="R4990">
        <v>7.0400000000000004E-6</v>
      </c>
    </row>
    <row r="4991" spans="1:18" ht="13.8" outlineLevel="2" x14ac:dyDescent="0.25">
      <c r="A4991">
        <v>74903</v>
      </c>
      <c r="B4991" t="s">
        <v>7112</v>
      </c>
      <c r="C4991" t="s">
        <v>7197</v>
      </c>
      <c r="D4991" s="14" t="s">
        <v>7181</v>
      </c>
      <c r="E4991" s="12" t="s">
        <v>28</v>
      </c>
      <c r="F4991" s="13" t="s">
        <v>29</v>
      </c>
      <c r="G4991">
        <v>100</v>
      </c>
      <c r="H4991" t="s">
        <v>30</v>
      </c>
      <c r="I4991">
        <v>100</v>
      </c>
      <c r="J4991" s="15"/>
      <c r="K4991" s="16">
        <f>35.29 - (35.29 * $E$1)</f>
        <v>35.29</v>
      </c>
      <c r="L4991" s="16">
        <f>28.93 - (28.93 * $E$1)</f>
        <v>28.93</v>
      </c>
      <c r="M4991" s="1">
        <v>35.29</v>
      </c>
      <c r="N4991" s="1">
        <v>28.93</v>
      </c>
      <c r="O4991" s="1">
        <v>30</v>
      </c>
      <c r="P4991" s="1">
        <v>24.59</v>
      </c>
      <c r="Q4991">
        <v>8.2000000000000007E-3</v>
      </c>
      <c r="R4991">
        <v>7.8399999999999995E-6</v>
      </c>
    </row>
    <row r="4992" spans="1:18" ht="13.8" outlineLevel="2" x14ac:dyDescent="0.25">
      <c r="A4992">
        <v>74904</v>
      </c>
      <c r="B4992" t="s">
        <v>7112</v>
      </c>
      <c r="C4992" t="s">
        <v>7198</v>
      </c>
      <c r="D4992" s="14" t="s">
        <v>7181</v>
      </c>
      <c r="E4992" s="12" t="s">
        <v>28</v>
      </c>
      <c r="F4992" s="13" t="s">
        <v>29</v>
      </c>
      <c r="G4992">
        <v>100</v>
      </c>
      <c r="H4992" t="s">
        <v>30</v>
      </c>
      <c r="I4992">
        <v>100</v>
      </c>
      <c r="J4992" s="15"/>
      <c r="K4992" s="16">
        <f>41.46 - (41.46 * $E$1)</f>
        <v>41.46</v>
      </c>
      <c r="L4992" s="16">
        <f>33.98 - (33.98 * $E$1)</f>
        <v>33.979999999999997</v>
      </c>
      <c r="M4992" s="1">
        <v>41.46</v>
      </c>
      <c r="N4992" s="1">
        <v>33.979999999999997</v>
      </c>
      <c r="O4992" s="1">
        <v>35.24</v>
      </c>
      <c r="P4992" s="1">
        <v>28.88</v>
      </c>
      <c r="Q4992">
        <v>0.01</v>
      </c>
      <c r="R4992">
        <v>2.69E-5</v>
      </c>
    </row>
    <row r="4993" spans="1:18" ht="13.8" outlineLevel="2" x14ac:dyDescent="0.25">
      <c r="A4993">
        <v>74905</v>
      </c>
      <c r="B4993" t="s">
        <v>7112</v>
      </c>
      <c r="C4993" t="s">
        <v>7199</v>
      </c>
      <c r="D4993" s="14" t="s">
        <v>7181</v>
      </c>
      <c r="E4993" s="12" t="s">
        <v>28</v>
      </c>
      <c r="F4993" s="13" t="s">
        <v>29</v>
      </c>
      <c r="G4993">
        <v>100</v>
      </c>
      <c r="H4993" t="s">
        <v>30</v>
      </c>
      <c r="I4993">
        <v>100</v>
      </c>
      <c r="J4993" s="15"/>
      <c r="K4993" s="16">
        <f>47.68 - (47.68 * $E$1)</f>
        <v>47.68</v>
      </c>
      <c r="L4993" s="16">
        <f>39.08 - (39.08 * $E$1)</f>
        <v>39.08</v>
      </c>
      <c r="M4993" s="1">
        <v>47.68</v>
      </c>
      <c r="N4993" s="1">
        <v>39.08</v>
      </c>
      <c r="O4993" s="1">
        <v>40.53</v>
      </c>
      <c r="P4993" s="1">
        <v>33.22</v>
      </c>
      <c r="Q4993">
        <v>1.14E-2</v>
      </c>
      <c r="R4993">
        <v>1.0879999999999999E-5</v>
      </c>
    </row>
    <row r="4994" spans="1:18" ht="13.8" outlineLevel="2" x14ac:dyDescent="0.25">
      <c r="A4994">
        <v>74906</v>
      </c>
      <c r="B4994" t="s">
        <v>7112</v>
      </c>
      <c r="C4994" t="s">
        <v>7200</v>
      </c>
      <c r="D4994" s="14" t="s">
        <v>7181</v>
      </c>
      <c r="E4994" s="12" t="s">
        <v>28</v>
      </c>
      <c r="F4994" s="13" t="s">
        <v>29</v>
      </c>
      <c r="G4994">
        <v>100</v>
      </c>
      <c r="H4994" t="s">
        <v>30</v>
      </c>
      <c r="I4994">
        <v>100</v>
      </c>
      <c r="J4994" s="15"/>
      <c r="K4994" s="16">
        <f>59.89 - (59.89 * $E$1)</f>
        <v>59.89</v>
      </c>
      <c r="L4994" s="16">
        <f>49.09 - (49.09 * $E$1)</f>
        <v>49.09</v>
      </c>
      <c r="M4994" s="1">
        <v>59.89</v>
      </c>
      <c r="N4994" s="1">
        <v>49.09</v>
      </c>
      <c r="O4994" s="1">
        <v>50.91</v>
      </c>
      <c r="P4994" s="1">
        <v>41.73</v>
      </c>
      <c r="Q4994">
        <v>1.46E-2</v>
      </c>
      <c r="R4994">
        <v>1.4080000000000001E-5</v>
      </c>
    </row>
    <row r="4995" spans="1:18" ht="13.8" outlineLevel="2" x14ac:dyDescent="0.25">
      <c r="A4995">
        <v>74907</v>
      </c>
      <c r="B4995" t="s">
        <v>7112</v>
      </c>
      <c r="C4995" t="s">
        <v>7201</v>
      </c>
      <c r="D4995" s="14" t="s">
        <v>7181</v>
      </c>
      <c r="E4995" s="12" t="s">
        <v>28</v>
      </c>
      <c r="F4995" s="13" t="s">
        <v>29</v>
      </c>
      <c r="G4995">
        <v>100</v>
      </c>
      <c r="H4995" t="s">
        <v>30</v>
      </c>
      <c r="I4995">
        <v>100</v>
      </c>
      <c r="J4995" s="15"/>
      <c r="K4995" s="16">
        <f>72.24 - (72.24 * $E$1)</f>
        <v>72.239999999999995</v>
      </c>
      <c r="L4995" s="16">
        <f>59.21 - (59.21 * $E$1)</f>
        <v>59.21</v>
      </c>
      <c r="M4995" s="1">
        <v>72.239999999999995</v>
      </c>
      <c r="N4995" s="1">
        <v>59.21</v>
      </c>
      <c r="O4995" s="1">
        <v>61.4</v>
      </c>
      <c r="P4995" s="1">
        <v>50.33</v>
      </c>
      <c r="Q4995">
        <v>1.7600000000000001E-2</v>
      </c>
      <c r="R4995">
        <v>1.7280000000000001E-5</v>
      </c>
    </row>
    <row r="4996" spans="1:18" ht="13.8" outlineLevel="2" x14ac:dyDescent="0.25">
      <c r="A4996">
        <v>103070</v>
      </c>
      <c r="B4996" t="s">
        <v>7112</v>
      </c>
      <c r="C4996" t="s">
        <v>7202</v>
      </c>
      <c r="D4996" s="14" t="s">
        <v>7181</v>
      </c>
      <c r="E4996" s="12" t="s">
        <v>28</v>
      </c>
      <c r="F4996" s="13" t="s">
        <v>29</v>
      </c>
      <c r="G4996">
        <v>100</v>
      </c>
      <c r="H4996" t="s">
        <v>30</v>
      </c>
      <c r="I4996">
        <v>100</v>
      </c>
      <c r="J4996" s="15"/>
      <c r="K4996" s="16">
        <f>81.67 - (81.67 * $E$1)</f>
        <v>81.67</v>
      </c>
      <c r="L4996" s="16">
        <f>66.94 - (66.94 * $E$1)</f>
        <v>66.94</v>
      </c>
      <c r="M4996" s="1">
        <v>81.67</v>
      </c>
      <c r="N4996" s="1">
        <v>66.94</v>
      </c>
      <c r="O4996" s="1">
        <v>69.42</v>
      </c>
      <c r="P4996" s="1">
        <v>56.9</v>
      </c>
      <c r="Q4996">
        <v>2.0199999999999999E-2</v>
      </c>
      <c r="R4996">
        <v>1.9919999999999999E-5</v>
      </c>
    </row>
    <row r="4997" spans="1:18" ht="13.8" outlineLevel="2" x14ac:dyDescent="0.25">
      <c r="A4997">
        <v>74723</v>
      </c>
      <c r="B4997" t="s">
        <v>7112</v>
      </c>
      <c r="C4997" t="s">
        <v>7203</v>
      </c>
      <c r="D4997" s="14" t="s">
        <v>7181</v>
      </c>
      <c r="E4997" s="12" t="s">
        <v>28</v>
      </c>
      <c r="F4997" s="13" t="s">
        <v>29</v>
      </c>
      <c r="G4997">
        <v>50</v>
      </c>
      <c r="H4997" t="s">
        <v>30</v>
      </c>
      <c r="I4997">
        <v>50</v>
      </c>
      <c r="J4997" s="15"/>
      <c r="K4997" s="16">
        <f>53.7 - (53.7 * $E$1)</f>
        <v>53.7</v>
      </c>
      <c r="L4997" s="16">
        <f>44.02 - (44.02 * $E$1)</f>
        <v>44.02</v>
      </c>
      <c r="M4997" s="1">
        <v>53.7</v>
      </c>
      <c r="N4997" s="1">
        <v>44.02</v>
      </c>
      <c r="O4997" s="1">
        <v>45.65</v>
      </c>
      <c r="P4997" s="1">
        <v>37.42</v>
      </c>
      <c r="Q4997">
        <v>1.4E-2</v>
      </c>
      <c r="R4997">
        <v>1.2480000000000001E-5</v>
      </c>
    </row>
    <row r="4998" spans="1:18" ht="13.8" outlineLevel="2" x14ac:dyDescent="0.25">
      <c r="A4998">
        <v>74724</v>
      </c>
      <c r="B4998" t="s">
        <v>7112</v>
      </c>
      <c r="C4998" t="s">
        <v>7204</v>
      </c>
      <c r="D4998" s="14" t="s">
        <v>7181</v>
      </c>
      <c r="E4998" s="12" t="s">
        <v>28</v>
      </c>
      <c r="F4998" s="13" t="s">
        <v>29</v>
      </c>
      <c r="G4998">
        <v>50</v>
      </c>
      <c r="H4998" t="s">
        <v>30</v>
      </c>
      <c r="I4998">
        <v>50</v>
      </c>
      <c r="J4998" s="15"/>
      <c r="K4998" s="16">
        <f>64.94 - (64.94 * $E$1)</f>
        <v>64.94</v>
      </c>
      <c r="L4998" s="16">
        <f>53.23 - (53.23 * $E$1)</f>
        <v>53.23</v>
      </c>
      <c r="M4998" s="1">
        <v>64.94</v>
      </c>
      <c r="N4998" s="1">
        <v>53.23</v>
      </c>
      <c r="O4998" s="1">
        <v>55.2</v>
      </c>
      <c r="P4998" s="1">
        <v>45.25</v>
      </c>
      <c r="Q4998">
        <v>1.7399999999999999E-2</v>
      </c>
      <c r="R4998">
        <v>1.5679999999999999E-5</v>
      </c>
    </row>
    <row r="4999" spans="1:18" ht="13.8" outlineLevel="2" x14ac:dyDescent="0.25">
      <c r="A4999">
        <v>74726</v>
      </c>
      <c r="B4999" t="s">
        <v>7112</v>
      </c>
      <c r="C4999" t="s">
        <v>7205</v>
      </c>
      <c r="D4999" s="14" t="s">
        <v>7181</v>
      </c>
      <c r="E4999" s="12" t="s">
        <v>28</v>
      </c>
      <c r="F4999" s="13" t="s">
        <v>29</v>
      </c>
      <c r="G4999">
        <v>50</v>
      </c>
      <c r="H4999" t="s">
        <v>30</v>
      </c>
      <c r="I4999">
        <v>50</v>
      </c>
      <c r="J4999" s="15"/>
      <c r="K4999" s="16">
        <f>87.32 - (87.32 * $E$1)</f>
        <v>87.32</v>
      </c>
      <c r="L4999" s="16">
        <f>71.57 - (71.57 * $E$1)</f>
        <v>71.569999999999993</v>
      </c>
      <c r="M4999" s="1">
        <v>87.32</v>
      </c>
      <c r="N4999" s="1">
        <v>71.569999999999993</v>
      </c>
      <c r="O4999" s="1">
        <v>74.22</v>
      </c>
      <c r="P4999" s="1">
        <v>60.83</v>
      </c>
      <c r="Q4999">
        <v>2.46E-2</v>
      </c>
      <c r="R4999">
        <v>2.1759999999999998E-5</v>
      </c>
    </row>
    <row r="5000" spans="1:18" ht="13.8" outlineLevel="2" x14ac:dyDescent="0.25">
      <c r="A5000">
        <v>74727</v>
      </c>
      <c r="B5000" t="s">
        <v>7112</v>
      </c>
      <c r="C5000" t="s">
        <v>7206</v>
      </c>
      <c r="D5000" s="14" t="s">
        <v>7181</v>
      </c>
      <c r="E5000" s="12" t="s">
        <v>28</v>
      </c>
      <c r="F5000" s="13" t="s">
        <v>29</v>
      </c>
      <c r="G5000">
        <v>50</v>
      </c>
      <c r="H5000" t="s">
        <v>30</v>
      </c>
      <c r="I5000">
        <v>50</v>
      </c>
      <c r="J5000" s="15"/>
      <c r="K5000" s="16">
        <f>109.57 - (109.57 * $E$1)</f>
        <v>109.57</v>
      </c>
      <c r="L5000" s="16">
        <f>89.81 - (89.81 * $E$1)</f>
        <v>89.81</v>
      </c>
      <c r="M5000" s="1">
        <v>109.57</v>
      </c>
      <c r="N5000" s="1">
        <v>89.81</v>
      </c>
      <c r="O5000" s="1">
        <v>93.13</v>
      </c>
      <c r="P5000" s="1">
        <v>76.34</v>
      </c>
      <c r="Q5000">
        <v>3.2000000000000001E-2</v>
      </c>
      <c r="R5000">
        <v>2.8160000000000001E-5</v>
      </c>
    </row>
    <row r="5001" spans="1:18" ht="13.8" outlineLevel="2" x14ac:dyDescent="0.25">
      <c r="A5001">
        <v>74728</v>
      </c>
      <c r="B5001" t="s">
        <v>7112</v>
      </c>
      <c r="C5001" t="s">
        <v>7207</v>
      </c>
      <c r="D5001" s="14" t="s">
        <v>7181</v>
      </c>
      <c r="E5001" s="12" t="s">
        <v>28</v>
      </c>
      <c r="F5001" s="13" t="s">
        <v>29</v>
      </c>
      <c r="G5001">
        <v>50</v>
      </c>
      <c r="H5001" t="s">
        <v>30</v>
      </c>
      <c r="I5001">
        <v>50</v>
      </c>
      <c r="J5001" s="15"/>
      <c r="K5001" s="16">
        <f>132 - (132 * $E$1)</f>
        <v>132</v>
      </c>
      <c r="L5001" s="16">
        <f>108.2 - (108.2 * $E$1)</f>
        <v>108.2</v>
      </c>
      <c r="M5001" s="1">
        <v>132</v>
      </c>
      <c r="N5001" s="1">
        <v>108.2</v>
      </c>
      <c r="O5001" s="1">
        <v>112.2</v>
      </c>
      <c r="P5001" s="1">
        <v>91.97</v>
      </c>
      <c r="Q5001">
        <v>3.6999999999999998E-2</v>
      </c>
      <c r="R5001">
        <v>1.08E-4</v>
      </c>
    </row>
    <row r="5002" spans="1:18" ht="13.8" outlineLevel="2" x14ac:dyDescent="0.25">
      <c r="A5002">
        <v>103071</v>
      </c>
      <c r="B5002" t="s">
        <v>7112</v>
      </c>
      <c r="C5002" t="s">
        <v>7208</v>
      </c>
      <c r="D5002" s="14" t="s">
        <v>7181</v>
      </c>
      <c r="E5002" s="12" t="s">
        <v>28</v>
      </c>
      <c r="F5002" s="13" t="s">
        <v>29</v>
      </c>
      <c r="G5002">
        <v>50</v>
      </c>
      <c r="H5002" t="s">
        <v>30</v>
      </c>
      <c r="I5002">
        <v>50</v>
      </c>
      <c r="J5002" s="15"/>
      <c r="K5002" s="16">
        <f>145.27 - (145.27 * $E$1)</f>
        <v>145.27000000000001</v>
      </c>
      <c r="L5002" s="16">
        <f>119.07 - (119.07 * $E$1)</f>
        <v>119.07</v>
      </c>
      <c r="M5002" s="1">
        <v>145.27000000000001</v>
      </c>
      <c r="N5002" s="1">
        <v>119.07</v>
      </c>
      <c r="O5002" s="1">
        <v>123.48</v>
      </c>
      <c r="P5002" s="1">
        <v>101.21</v>
      </c>
      <c r="Q5002">
        <v>4.3999999999999997E-2</v>
      </c>
      <c r="R5002">
        <v>9.2800000000000006E-5</v>
      </c>
    </row>
    <row r="5003" spans="1:18" ht="13.8" outlineLevel="2" x14ac:dyDescent="0.25">
      <c r="A5003">
        <v>83066</v>
      </c>
      <c r="B5003" t="s">
        <v>7112</v>
      </c>
      <c r="C5003" t="s">
        <v>7209</v>
      </c>
      <c r="D5003" s="14" t="s">
        <v>7210</v>
      </c>
      <c r="E5003" s="12" t="s">
        <v>28</v>
      </c>
      <c r="F5003" s="13" t="s">
        <v>29</v>
      </c>
      <c r="G5003">
        <v>100</v>
      </c>
      <c r="H5003" t="s">
        <v>30</v>
      </c>
      <c r="I5003">
        <v>100</v>
      </c>
      <c r="J5003" s="15"/>
      <c r="K5003" s="16">
        <f>16.01 - (16.01 * $E$1)</f>
        <v>16.010000000000002</v>
      </c>
      <c r="L5003" s="16">
        <f>13.12 - (13.12 * $E$1)</f>
        <v>13.12</v>
      </c>
      <c r="M5003" s="1">
        <v>16.010000000000002</v>
      </c>
      <c r="N5003" s="1">
        <v>13.12</v>
      </c>
      <c r="O5003" s="1">
        <v>13.61</v>
      </c>
      <c r="P5003" s="1">
        <v>11.15</v>
      </c>
      <c r="Q5003">
        <v>4.5999999999999999E-3</v>
      </c>
      <c r="R5003">
        <v>8.6000000000000007E-6</v>
      </c>
    </row>
    <row r="5004" spans="1:18" ht="13.8" outlineLevel="2" x14ac:dyDescent="0.25">
      <c r="A5004">
        <v>83072</v>
      </c>
      <c r="B5004" t="s">
        <v>7112</v>
      </c>
      <c r="C5004" t="s">
        <v>7211</v>
      </c>
      <c r="D5004" s="14" t="s">
        <v>7210</v>
      </c>
      <c r="E5004" s="12" t="s">
        <v>28</v>
      </c>
      <c r="F5004" s="13" t="s">
        <v>29</v>
      </c>
      <c r="G5004">
        <v>100</v>
      </c>
      <c r="H5004" t="s">
        <v>30</v>
      </c>
      <c r="I5004">
        <v>100</v>
      </c>
      <c r="J5004" s="15"/>
      <c r="K5004" s="16">
        <f>13.44 - (13.44 * $E$1)</f>
        <v>13.44</v>
      </c>
      <c r="L5004" s="16">
        <f>11.02 - (11.02 * $E$1)</f>
        <v>11.02</v>
      </c>
      <c r="M5004" s="1">
        <v>13.44</v>
      </c>
      <c r="N5004" s="1">
        <v>11.02</v>
      </c>
      <c r="O5004" s="1">
        <v>11.43</v>
      </c>
      <c r="P5004" s="1">
        <v>9.3699999999999992</v>
      </c>
      <c r="Q5004">
        <v>5.0000000000000001E-3</v>
      </c>
      <c r="R5004">
        <v>1.0139999999999999E-5</v>
      </c>
    </row>
    <row r="5005" spans="1:18" ht="13.8" outlineLevel="2" x14ac:dyDescent="0.25">
      <c r="A5005">
        <v>83076</v>
      </c>
      <c r="B5005" t="s">
        <v>7112</v>
      </c>
      <c r="C5005" t="s">
        <v>7212</v>
      </c>
      <c r="D5005" s="14" t="s">
        <v>7210</v>
      </c>
      <c r="E5005" s="12" t="s">
        <v>28</v>
      </c>
      <c r="F5005" s="13" t="s">
        <v>29</v>
      </c>
      <c r="G5005">
        <v>100</v>
      </c>
      <c r="H5005" t="s">
        <v>30</v>
      </c>
      <c r="I5005">
        <v>100</v>
      </c>
      <c r="J5005" s="15"/>
      <c r="K5005" s="16">
        <f>20.4 - (20.4 * $E$1)</f>
        <v>20.399999999999999</v>
      </c>
      <c r="L5005" s="16">
        <f>16.72 - (16.72 * $E$1)</f>
        <v>16.72</v>
      </c>
      <c r="M5005" s="1">
        <v>20.399999999999999</v>
      </c>
      <c r="N5005" s="1">
        <v>16.72</v>
      </c>
      <c r="O5005" s="1">
        <v>17.34</v>
      </c>
      <c r="P5005" s="1">
        <v>14.21</v>
      </c>
      <c r="Q5005">
        <v>8.3000000000000001E-3</v>
      </c>
      <c r="R5005">
        <v>1.6379999999999999E-5</v>
      </c>
    </row>
    <row r="5006" spans="1:18" ht="13.8" outlineLevel="2" x14ac:dyDescent="0.25">
      <c r="A5006">
        <v>83079</v>
      </c>
      <c r="B5006" t="s">
        <v>7112</v>
      </c>
      <c r="C5006" t="s">
        <v>7213</v>
      </c>
      <c r="D5006" s="14" t="s">
        <v>7210</v>
      </c>
      <c r="E5006" s="12" t="s">
        <v>28</v>
      </c>
      <c r="F5006" s="13" t="s">
        <v>29</v>
      </c>
      <c r="G5006">
        <v>100</v>
      </c>
      <c r="H5006" t="s">
        <v>30</v>
      </c>
      <c r="I5006">
        <v>100</v>
      </c>
      <c r="J5006" s="15"/>
      <c r="K5006" s="16">
        <f>34.18 - (34.18 * $E$1)</f>
        <v>34.18</v>
      </c>
      <c r="L5006" s="16">
        <f>28.02 - (28.02 * $E$1)</f>
        <v>28.02</v>
      </c>
      <c r="M5006" s="1">
        <v>34.18</v>
      </c>
      <c r="N5006" s="1">
        <v>28.02</v>
      </c>
      <c r="O5006" s="1">
        <v>29.06</v>
      </c>
      <c r="P5006" s="1">
        <v>23.82</v>
      </c>
      <c r="Q5006">
        <v>1.4E-2</v>
      </c>
      <c r="R5006">
        <v>2.8880000000000001E-5</v>
      </c>
    </row>
    <row r="5007" spans="1:18" ht="13.8" outlineLevel="2" x14ac:dyDescent="0.25">
      <c r="A5007">
        <v>79375</v>
      </c>
      <c r="B5007" t="s">
        <v>7112</v>
      </c>
      <c r="C5007" t="s">
        <v>7214</v>
      </c>
      <c r="D5007" s="14" t="s">
        <v>7215</v>
      </c>
      <c r="E5007" s="12" t="s">
        <v>28</v>
      </c>
      <c r="F5007" s="13" t="s">
        <v>29</v>
      </c>
      <c r="G5007">
        <v>100</v>
      </c>
      <c r="H5007" t="s">
        <v>30</v>
      </c>
      <c r="I5007">
        <v>100</v>
      </c>
      <c r="J5007" s="15"/>
      <c r="K5007" s="16">
        <f>8.85 - (8.85 * $E$1)</f>
        <v>8.85</v>
      </c>
      <c r="L5007" s="16">
        <f>7.25 - (7.25 * $E$1)</f>
        <v>7.25</v>
      </c>
      <c r="M5007" s="1">
        <v>8.85</v>
      </c>
      <c r="N5007" s="1">
        <v>7.25</v>
      </c>
      <c r="O5007" s="1">
        <v>7.52</v>
      </c>
      <c r="P5007" s="1">
        <v>6.16</v>
      </c>
      <c r="Q5007">
        <v>1.74E-3</v>
      </c>
      <c r="R5007">
        <v>4.1300000000000003E-6</v>
      </c>
    </row>
    <row r="5008" spans="1:18" ht="13.8" outlineLevel="2" x14ac:dyDescent="0.25">
      <c r="A5008">
        <v>74930</v>
      </c>
      <c r="B5008" t="s">
        <v>7112</v>
      </c>
      <c r="C5008" t="s">
        <v>7216</v>
      </c>
      <c r="D5008" s="14" t="s">
        <v>7215</v>
      </c>
      <c r="E5008" s="12" t="s">
        <v>28</v>
      </c>
      <c r="F5008" s="13" t="s">
        <v>29</v>
      </c>
      <c r="G5008">
        <v>100</v>
      </c>
      <c r="H5008" t="s">
        <v>30</v>
      </c>
      <c r="I5008">
        <v>100</v>
      </c>
      <c r="J5008" s="15"/>
      <c r="K5008" s="16">
        <f>10.35 - (10.35 * $E$1)</f>
        <v>10.35</v>
      </c>
      <c r="L5008" s="16">
        <f>8.48 - (8.48 * $E$1)</f>
        <v>8.48</v>
      </c>
      <c r="M5008" s="1">
        <v>10.35</v>
      </c>
      <c r="N5008" s="1">
        <v>8.48</v>
      </c>
      <c r="O5008" s="1">
        <v>8.7899999999999991</v>
      </c>
      <c r="P5008" s="1">
        <v>7.21</v>
      </c>
      <c r="Q5008">
        <v>3.2000000000000002E-3</v>
      </c>
      <c r="R5008">
        <v>2.4200000000000001E-6</v>
      </c>
    </row>
    <row r="5009" spans="1:18" ht="13.8" outlineLevel="2" x14ac:dyDescent="0.25">
      <c r="A5009">
        <v>74931</v>
      </c>
      <c r="B5009" t="s">
        <v>7112</v>
      </c>
      <c r="C5009" t="s">
        <v>7217</v>
      </c>
      <c r="D5009" s="14" t="s">
        <v>7215</v>
      </c>
      <c r="E5009" s="12" t="s">
        <v>28</v>
      </c>
      <c r="F5009" s="13" t="s">
        <v>29</v>
      </c>
      <c r="G5009">
        <v>100</v>
      </c>
      <c r="H5009" t="s">
        <v>30</v>
      </c>
      <c r="I5009">
        <v>100</v>
      </c>
      <c r="J5009" s="15"/>
      <c r="K5009" s="16">
        <f>11.88 - (11.88 * $E$1)</f>
        <v>11.88</v>
      </c>
      <c r="L5009" s="16">
        <f>9.74 - (9.74 * $E$1)</f>
        <v>9.74</v>
      </c>
      <c r="M5009" s="1">
        <v>11.88</v>
      </c>
      <c r="N5009" s="1">
        <v>9.74</v>
      </c>
      <c r="O5009" s="1">
        <v>10.1</v>
      </c>
      <c r="P5009" s="1">
        <v>8.2799999999999994</v>
      </c>
      <c r="Q5009">
        <v>3.7000000000000002E-3</v>
      </c>
      <c r="R5009">
        <v>2.9699999999999999E-6</v>
      </c>
    </row>
    <row r="5010" spans="1:18" ht="13.8" outlineLevel="2" x14ac:dyDescent="0.25">
      <c r="A5010">
        <v>74932</v>
      </c>
      <c r="B5010" t="s">
        <v>7112</v>
      </c>
      <c r="C5010" t="s">
        <v>7218</v>
      </c>
      <c r="D5010" s="14" t="s">
        <v>7215</v>
      </c>
      <c r="E5010" s="12" t="s">
        <v>28</v>
      </c>
      <c r="F5010" s="13" t="s">
        <v>29</v>
      </c>
      <c r="G5010">
        <v>100</v>
      </c>
      <c r="H5010" t="s">
        <v>30</v>
      </c>
      <c r="I5010">
        <v>100</v>
      </c>
      <c r="J5010" s="15"/>
      <c r="K5010" s="16">
        <f>13.51 - (13.51 * $E$1)</f>
        <v>13.51</v>
      </c>
      <c r="L5010" s="16">
        <f>11.07 - (11.07 * $E$1)</f>
        <v>11.07</v>
      </c>
      <c r="M5010" s="1">
        <v>13.51</v>
      </c>
      <c r="N5010" s="1">
        <v>11.07</v>
      </c>
      <c r="O5010" s="1">
        <v>11.48</v>
      </c>
      <c r="P5010" s="1">
        <v>9.41</v>
      </c>
      <c r="Q5010">
        <v>4.1999999999999997E-3</v>
      </c>
      <c r="R5010">
        <v>3.5200000000000002E-6</v>
      </c>
    </row>
    <row r="5011" spans="1:18" ht="13.8" outlineLevel="2" x14ac:dyDescent="0.25">
      <c r="A5011">
        <v>74933</v>
      </c>
      <c r="B5011" t="s">
        <v>7112</v>
      </c>
      <c r="C5011" t="s">
        <v>7219</v>
      </c>
      <c r="D5011" s="14" t="s">
        <v>7215</v>
      </c>
      <c r="E5011" s="12" t="s">
        <v>28</v>
      </c>
      <c r="F5011" s="13" t="s">
        <v>29</v>
      </c>
      <c r="G5011">
        <v>100</v>
      </c>
      <c r="H5011" t="s">
        <v>30</v>
      </c>
      <c r="I5011">
        <v>100</v>
      </c>
      <c r="J5011" s="15"/>
      <c r="K5011" s="16">
        <f>15.1 - (15.1 * $E$1)</f>
        <v>15.1</v>
      </c>
      <c r="L5011" s="16">
        <f>12.38 - (12.38 * $E$1)</f>
        <v>12.38</v>
      </c>
      <c r="M5011" s="1">
        <v>15.1</v>
      </c>
      <c r="N5011" s="1">
        <v>12.38</v>
      </c>
      <c r="O5011" s="1">
        <v>12.84</v>
      </c>
      <c r="P5011" s="1">
        <v>10.52</v>
      </c>
      <c r="Q5011">
        <v>4.7000000000000002E-3</v>
      </c>
      <c r="R5011">
        <v>4.07E-6</v>
      </c>
    </row>
    <row r="5012" spans="1:18" ht="13.8" outlineLevel="2" x14ac:dyDescent="0.25">
      <c r="A5012">
        <v>74934</v>
      </c>
      <c r="B5012" t="s">
        <v>7112</v>
      </c>
      <c r="C5012" t="s">
        <v>7220</v>
      </c>
      <c r="D5012" s="14" t="s">
        <v>7215</v>
      </c>
      <c r="E5012" s="12" t="s">
        <v>28</v>
      </c>
      <c r="F5012" s="13" t="s">
        <v>29</v>
      </c>
      <c r="G5012">
        <v>100</v>
      </c>
      <c r="H5012" t="s">
        <v>30</v>
      </c>
      <c r="I5012">
        <v>100</v>
      </c>
      <c r="J5012" s="15"/>
      <c r="K5012" s="16">
        <f>16.7 - (16.7 * $E$1)</f>
        <v>16.7</v>
      </c>
      <c r="L5012" s="16">
        <f>13.69 - (13.69 * $E$1)</f>
        <v>13.69</v>
      </c>
      <c r="M5012" s="1">
        <v>16.7</v>
      </c>
      <c r="N5012" s="1">
        <v>13.69</v>
      </c>
      <c r="O5012" s="1">
        <v>14.2</v>
      </c>
      <c r="P5012" s="1">
        <v>11.64</v>
      </c>
      <c r="Q5012">
        <v>5.1000000000000004E-3</v>
      </c>
      <c r="R5012">
        <v>4.6199999999999998E-6</v>
      </c>
    </row>
    <row r="5013" spans="1:18" ht="13.8" outlineLevel="2" x14ac:dyDescent="0.25">
      <c r="A5013">
        <v>74935</v>
      </c>
      <c r="B5013" t="s">
        <v>7112</v>
      </c>
      <c r="C5013" t="s">
        <v>7221</v>
      </c>
      <c r="D5013" s="14" t="s">
        <v>7215</v>
      </c>
      <c r="E5013" s="12" t="s">
        <v>28</v>
      </c>
      <c r="F5013" s="13" t="s">
        <v>29</v>
      </c>
      <c r="G5013">
        <v>100</v>
      </c>
      <c r="H5013" t="s">
        <v>30</v>
      </c>
      <c r="I5013">
        <v>100</v>
      </c>
      <c r="J5013" s="15"/>
      <c r="K5013" s="16">
        <f>18.26 - (18.26 * $E$1)</f>
        <v>18.260000000000002</v>
      </c>
      <c r="L5013" s="16">
        <f>14.97 - (14.97 * $E$1)</f>
        <v>14.97</v>
      </c>
      <c r="M5013" s="1">
        <v>18.260000000000002</v>
      </c>
      <c r="N5013" s="1">
        <v>14.97</v>
      </c>
      <c r="O5013" s="1">
        <v>15.52</v>
      </c>
      <c r="P5013" s="1">
        <v>12.72</v>
      </c>
      <c r="Q5013">
        <v>5.5999999999999999E-3</v>
      </c>
      <c r="R5013">
        <v>5.1699999999999996E-6</v>
      </c>
    </row>
    <row r="5014" spans="1:18" ht="13.8" outlineLevel="2" x14ac:dyDescent="0.25">
      <c r="A5014">
        <v>74936</v>
      </c>
      <c r="B5014" t="s">
        <v>7112</v>
      </c>
      <c r="C5014" t="s">
        <v>7222</v>
      </c>
      <c r="D5014" s="14" t="s">
        <v>7215</v>
      </c>
      <c r="E5014" s="12" t="s">
        <v>28</v>
      </c>
      <c r="F5014" s="13" t="s">
        <v>29</v>
      </c>
      <c r="G5014">
        <v>100</v>
      </c>
      <c r="H5014" t="s">
        <v>30</v>
      </c>
      <c r="I5014">
        <v>100</v>
      </c>
      <c r="J5014" s="15"/>
      <c r="K5014" s="16">
        <f>21.36 - (21.36 * $E$1)</f>
        <v>21.36</v>
      </c>
      <c r="L5014" s="16">
        <f>17.51 - (17.51 * $E$1)</f>
        <v>17.510000000000002</v>
      </c>
      <c r="M5014" s="1">
        <v>21.36</v>
      </c>
      <c r="N5014" s="1">
        <v>17.510000000000002</v>
      </c>
      <c r="O5014" s="1">
        <v>18.16</v>
      </c>
      <c r="P5014" s="1">
        <v>14.88</v>
      </c>
      <c r="Q5014">
        <v>6.6E-3</v>
      </c>
      <c r="R5014">
        <v>6.2700000000000001E-6</v>
      </c>
    </row>
    <row r="5015" spans="1:18" ht="13.8" outlineLevel="2" x14ac:dyDescent="0.25">
      <c r="A5015">
        <v>74937</v>
      </c>
      <c r="B5015" t="s">
        <v>7112</v>
      </c>
      <c r="C5015" t="s">
        <v>7223</v>
      </c>
      <c r="D5015" s="14" t="s">
        <v>7215</v>
      </c>
      <c r="E5015" s="12" t="s">
        <v>28</v>
      </c>
      <c r="F5015" s="13" t="s">
        <v>29</v>
      </c>
      <c r="G5015">
        <v>100</v>
      </c>
      <c r="H5015" t="s">
        <v>30</v>
      </c>
      <c r="I5015">
        <v>100</v>
      </c>
      <c r="J5015" s="15"/>
      <c r="K5015" s="16">
        <f>24.66 - (24.66 * $E$1)</f>
        <v>24.66</v>
      </c>
      <c r="L5015" s="16">
        <f>20.21 - (20.21 * $E$1)</f>
        <v>20.21</v>
      </c>
      <c r="M5015" s="1">
        <v>24.66</v>
      </c>
      <c r="N5015" s="1">
        <v>20.21</v>
      </c>
      <c r="O5015" s="1">
        <v>20.96</v>
      </c>
      <c r="P5015" s="1">
        <v>17.18</v>
      </c>
      <c r="Q5015">
        <v>7.4999999999999997E-3</v>
      </c>
      <c r="R5015">
        <v>7.3699999999999997E-6</v>
      </c>
    </row>
    <row r="5016" spans="1:18" ht="13.8" outlineLevel="2" x14ac:dyDescent="0.25">
      <c r="A5016">
        <v>74938</v>
      </c>
      <c r="B5016" t="s">
        <v>7112</v>
      </c>
      <c r="C5016" t="s">
        <v>7224</v>
      </c>
      <c r="D5016" s="14" t="s">
        <v>7215</v>
      </c>
      <c r="E5016" s="12" t="s">
        <v>28</v>
      </c>
      <c r="F5016" s="13" t="s">
        <v>29</v>
      </c>
      <c r="G5016">
        <v>100</v>
      </c>
      <c r="H5016" t="s">
        <v>30</v>
      </c>
      <c r="I5016">
        <v>100</v>
      </c>
      <c r="J5016" s="15"/>
      <c r="K5016" s="16">
        <f>30.91 - (30.91 * $E$1)</f>
        <v>30.91</v>
      </c>
      <c r="L5016" s="16">
        <f>25.34 - (25.34 * $E$1)</f>
        <v>25.34</v>
      </c>
      <c r="M5016" s="1">
        <v>30.91</v>
      </c>
      <c r="N5016" s="1">
        <v>25.34</v>
      </c>
      <c r="O5016" s="1">
        <v>26.28</v>
      </c>
      <c r="P5016" s="1">
        <v>21.54</v>
      </c>
      <c r="Q5016">
        <v>9.4000000000000004E-3</v>
      </c>
      <c r="R5016">
        <v>9.5699999999999999E-6</v>
      </c>
    </row>
    <row r="5017" spans="1:18" ht="13.8" outlineLevel="2" x14ac:dyDescent="0.25">
      <c r="A5017">
        <v>74939</v>
      </c>
      <c r="B5017" t="s">
        <v>7112</v>
      </c>
      <c r="C5017" t="s">
        <v>7225</v>
      </c>
      <c r="D5017" s="14" t="s">
        <v>7215</v>
      </c>
      <c r="E5017" s="12" t="s">
        <v>28</v>
      </c>
      <c r="F5017" s="13" t="s">
        <v>29</v>
      </c>
      <c r="G5017">
        <v>100</v>
      </c>
      <c r="H5017" t="s">
        <v>30</v>
      </c>
      <c r="I5017">
        <v>100</v>
      </c>
      <c r="J5017" s="15"/>
      <c r="K5017" s="16">
        <f>37.21 - (37.21 * $E$1)</f>
        <v>37.21</v>
      </c>
      <c r="L5017" s="16">
        <f>30.5 - (30.5 * $E$1)</f>
        <v>30.5</v>
      </c>
      <c r="M5017" s="1">
        <v>37.21</v>
      </c>
      <c r="N5017" s="1">
        <v>30.5</v>
      </c>
      <c r="O5017" s="1">
        <v>31.63</v>
      </c>
      <c r="P5017" s="1">
        <v>25.93</v>
      </c>
      <c r="Q5017">
        <v>1.1299999999999999E-2</v>
      </c>
      <c r="R5017">
        <v>1.1770000000000001E-5</v>
      </c>
    </row>
    <row r="5018" spans="1:18" ht="13.8" outlineLevel="2" x14ac:dyDescent="0.25">
      <c r="A5018">
        <v>74940</v>
      </c>
      <c r="B5018" t="s">
        <v>7112</v>
      </c>
      <c r="C5018" t="s">
        <v>7226</v>
      </c>
      <c r="D5018" s="14" t="s">
        <v>7215</v>
      </c>
      <c r="E5018" s="12" t="s">
        <v>28</v>
      </c>
      <c r="F5018" s="13" t="s">
        <v>29</v>
      </c>
      <c r="G5018">
        <v>100</v>
      </c>
      <c r="H5018" t="s">
        <v>30</v>
      </c>
      <c r="I5018">
        <v>100</v>
      </c>
      <c r="J5018" s="15"/>
      <c r="K5018" s="16">
        <f>13.9 - (13.9 * $E$1)</f>
        <v>13.9</v>
      </c>
      <c r="L5018" s="16">
        <f>11.39 - (11.39 * $E$1)</f>
        <v>11.39</v>
      </c>
      <c r="M5018" s="1">
        <v>13.9</v>
      </c>
      <c r="N5018" s="1">
        <v>11.39</v>
      </c>
      <c r="O5018" s="1">
        <v>11.81</v>
      </c>
      <c r="P5018" s="1">
        <v>9.68</v>
      </c>
      <c r="Q5018">
        <v>4.1999999999999997E-3</v>
      </c>
      <c r="R5018">
        <v>3.8399999999999997E-6</v>
      </c>
    </row>
    <row r="5019" spans="1:18" ht="13.8" outlineLevel="2" x14ac:dyDescent="0.25">
      <c r="A5019">
        <v>74941</v>
      </c>
      <c r="B5019" t="s">
        <v>7112</v>
      </c>
      <c r="C5019" t="s">
        <v>7227</v>
      </c>
      <c r="D5019" s="14" t="s">
        <v>7215</v>
      </c>
      <c r="E5019" s="12" t="s">
        <v>28</v>
      </c>
      <c r="F5019" s="13" t="s">
        <v>29</v>
      </c>
      <c r="G5019">
        <v>100</v>
      </c>
      <c r="H5019" t="s">
        <v>30</v>
      </c>
      <c r="I5019">
        <v>100</v>
      </c>
      <c r="J5019" s="15"/>
      <c r="K5019" s="16">
        <f>15.95 - (15.95 * $E$1)</f>
        <v>15.95</v>
      </c>
      <c r="L5019" s="16">
        <f>13.07 - (13.07 * $E$1)</f>
        <v>13.07</v>
      </c>
      <c r="M5019" s="1">
        <v>15.95</v>
      </c>
      <c r="N5019" s="1">
        <v>13.07</v>
      </c>
      <c r="O5019" s="1">
        <v>13.55</v>
      </c>
      <c r="P5019" s="1">
        <v>11.11</v>
      </c>
      <c r="Q5019">
        <v>5.0000000000000001E-3</v>
      </c>
      <c r="R5019">
        <v>4.6399999999999996E-6</v>
      </c>
    </row>
    <row r="5020" spans="1:18" ht="13.8" outlineLevel="2" x14ac:dyDescent="0.25">
      <c r="A5020">
        <v>74942</v>
      </c>
      <c r="B5020" t="s">
        <v>7112</v>
      </c>
      <c r="C5020" t="s">
        <v>7228</v>
      </c>
      <c r="D5020" s="14" t="s">
        <v>7215</v>
      </c>
      <c r="E5020" s="12" t="s">
        <v>28</v>
      </c>
      <c r="F5020" s="13" t="s">
        <v>29</v>
      </c>
      <c r="G5020">
        <v>100</v>
      </c>
      <c r="H5020" t="s">
        <v>30</v>
      </c>
      <c r="I5020">
        <v>100</v>
      </c>
      <c r="J5020" s="15"/>
      <c r="K5020" s="16">
        <f>18.17 - (18.17 * $E$1)</f>
        <v>18.170000000000002</v>
      </c>
      <c r="L5020" s="16">
        <f>14.89 - (14.89 * $E$1)</f>
        <v>14.89</v>
      </c>
      <c r="M5020" s="1">
        <v>18.170000000000002</v>
      </c>
      <c r="N5020" s="1">
        <v>14.89</v>
      </c>
      <c r="O5020" s="1">
        <v>15.44</v>
      </c>
      <c r="P5020" s="1">
        <v>12.66</v>
      </c>
      <c r="Q5020">
        <v>6.4000000000000003E-3</v>
      </c>
      <c r="R5020">
        <v>5.4399999999999996E-6</v>
      </c>
    </row>
    <row r="5021" spans="1:18" ht="13.8" outlineLevel="2" x14ac:dyDescent="0.25">
      <c r="A5021">
        <v>74943</v>
      </c>
      <c r="B5021" t="s">
        <v>7112</v>
      </c>
      <c r="C5021" t="s">
        <v>7229</v>
      </c>
      <c r="D5021" s="14" t="s">
        <v>7215</v>
      </c>
      <c r="E5021" s="12" t="s">
        <v>28</v>
      </c>
      <c r="F5021" s="13" t="s">
        <v>29</v>
      </c>
      <c r="G5021">
        <v>100</v>
      </c>
      <c r="H5021" t="s">
        <v>30</v>
      </c>
      <c r="I5021">
        <v>100</v>
      </c>
      <c r="J5021" s="15"/>
      <c r="K5021" s="16">
        <f>20.19 - (20.19 * $E$1)</f>
        <v>20.190000000000001</v>
      </c>
      <c r="L5021" s="16">
        <f>16.55 - (16.55 * $E$1)</f>
        <v>16.55</v>
      </c>
      <c r="M5021" s="1">
        <v>20.190000000000001</v>
      </c>
      <c r="N5021" s="1">
        <v>16.55</v>
      </c>
      <c r="O5021" s="1">
        <v>17.16</v>
      </c>
      <c r="P5021" s="1">
        <v>14.07</v>
      </c>
      <c r="Q5021">
        <v>6.6E-3</v>
      </c>
      <c r="R5021">
        <v>6.2400000000000004E-6</v>
      </c>
    </row>
    <row r="5022" spans="1:18" ht="13.8" outlineLevel="2" x14ac:dyDescent="0.25">
      <c r="A5022">
        <v>74944</v>
      </c>
      <c r="B5022" t="s">
        <v>7112</v>
      </c>
      <c r="C5022" t="s">
        <v>7230</v>
      </c>
      <c r="D5022" s="14" t="s">
        <v>7215</v>
      </c>
      <c r="E5022" s="12" t="s">
        <v>28</v>
      </c>
      <c r="F5022" s="13" t="s">
        <v>29</v>
      </c>
      <c r="G5022">
        <v>100</v>
      </c>
      <c r="H5022" t="s">
        <v>30</v>
      </c>
      <c r="I5022">
        <v>100</v>
      </c>
      <c r="J5022" s="15"/>
      <c r="K5022" s="16">
        <f>22.44 - (22.44 * $E$1)</f>
        <v>22.44</v>
      </c>
      <c r="L5022" s="16">
        <f>18.39 - (18.39 * $E$1)</f>
        <v>18.39</v>
      </c>
      <c r="M5022" s="1">
        <v>22.44</v>
      </c>
      <c r="N5022" s="1">
        <v>18.39</v>
      </c>
      <c r="O5022" s="1">
        <v>19.07</v>
      </c>
      <c r="P5022" s="1">
        <v>15.63</v>
      </c>
      <c r="Q5022">
        <v>7.4000000000000003E-3</v>
      </c>
      <c r="R5022">
        <v>7.0400000000000004E-6</v>
      </c>
    </row>
    <row r="5023" spans="1:18" ht="13.8" outlineLevel="2" x14ac:dyDescent="0.25">
      <c r="A5023">
        <v>74945</v>
      </c>
      <c r="B5023" t="s">
        <v>7231</v>
      </c>
      <c r="C5023" t="s">
        <v>7232</v>
      </c>
      <c r="D5023" s="14" t="s">
        <v>7215</v>
      </c>
      <c r="E5023" s="12" t="s">
        <v>28</v>
      </c>
      <c r="F5023" s="13" t="s">
        <v>29</v>
      </c>
      <c r="G5023">
        <v>100</v>
      </c>
      <c r="H5023" t="s">
        <v>30</v>
      </c>
      <c r="I5023">
        <v>100</v>
      </c>
      <c r="J5023" s="15"/>
      <c r="K5023" s="16">
        <f>24.47 - (24.47 * $E$1)</f>
        <v>24.47</v>
      </c>
      <c r="L5023" s="16">
        <f>20.06 - (20.06 * $E$1)</f>
        <v>20.059999999999999</v>
      </c>
      <c r="M5023" s="1">
        <v>24.47</v>
      </c>
      <c r="N5023" s="1">
        <v>20.059999999999999</v>
      </c>
      <c r="O5023" s="1">
        <v>20.8</v>
      </c>
      <c r="P5023" s="1">
        <v>17.05</v>
      </c>
      <c r="Q5023">
        <v>8.2000000000000007E-3</v>
      </c>
      <c r="R5023">
        <v>7.8399999999999995E-6</v>
      </c>
    </row>
    <row r="5024" spans="1:18" ht="13.8" outlineLevel="2" x14ac:dyDescent="0.25">
      <c r="A5024">
        <v>74946</v>
      </c>
      <c r="B5024" t="s">
        <v>7112</v>
      </c>
      <c r="C5024" t="s">
        <v>7233</v>
      </c>
      <c r="D5024" s="14" t="s">
        <v>7215</v>
      </c>
      <c r="E5024" s="12" t="s">
        <v>28</v>
      </c>
      <c r="F5024" s="13" t="s">
        <v>29</v>
      </c>
      <c r="G5024">
        <v>100</v>
      </c>
      <c r="H5024" t="s">
        <v>30</v>
      </c>
      <c r="I5024">
        <v>100</v>
      </c>
      <c r="J5024" s="15"/>
      <c r="K5024" s="16">
        <f>28.73 - (28.73 * $E$1)</f>
        <v>28.73</v>
      </c>
      <c r="L5024" s="16">
        <f>23.55 - (23.55 * $E$1)</f>
        <v>23.55</v>
      </c>
      <c r="M5024" s="1">
        <v>28.73</v>
      </c>
      <c r="N5024" s="1">
        <v>23.55</v>
      </c>
      <c r="O5024" s="1">
        <v>24.42</v>
      </c>
      <c r="P5024" s="1">
        <v>20.02</v>
      </c>
      <c r="Q5024">
        <v>9.7999999999999997E-3</v>
      </c>
      <c r="R5024">
        <v>9.2799999999999992E-6</v>
      </c>
    </row>
    <row r="5025" spans="1:18" ht="13.8" outlineLevel="2" x14ac:dyDescent="0.25">
      <c r="A5025">
        <v>74947</v>
      </c>
      <c r="B5025" t="s">
        <v>7112</v>
      </c>
      <c r="C5025" t="s">
        <v>7234</v>
      </c>
      <c r="D5025" s="14" t="s">
        <v>7215</v>
      </c>
      <c r="E5025" s="12" t="s">
        <v>28</v>
      </c>
      <c r="F5025" s="13" t="s">
        <v>29</v>
      </c>
      <c r="G5025">
        <v>100</v>
      </c>
      <c r="H5025" t="s">
        <v>30</v>
      </c>
      <c r="I5025">
        <v>100</v>
      </c>
      <c r="J5025" s="15"/>
      <c r="K5025" s="16">
        <f>33.03 - (33.03 * $E$1)</f>
        <v>33.03</v>
      </c>
      <c r="L5025" s="16">
        <f>27.07 - (27.07 * $E$1)</f>
        <v>27.07</v>
      </c>
      <c r="M5025" s="1">
        <v>33.03</v>
      </c>
      <c r="N5025" s="1">
        <v>27.07</v>
      </c>
      <c r="O5025" s="1">
        <v>28.07</v>
      </c>
      <c r="P5025" s="1">
        <v>23.01</v>
      </c>
      <c r="Q5025">
        <v>1.14E-2</v>
      </c>
      <c r="R5025">
        <v>1.0879999999999999E-5</v>
      </c>
    </row>
    <row r="5026" spans="1:18" ht="13.8" outlineLevel="2" x14ac:dyDescent="0.25">
      <c r="A5026">
        <v>74948</v>
      </c>
      <c r="B5026" t="s">
        <v>7112</v>
      </c>
      <c r="C5026" t="s">
        <v>7235</v>
      </c>
      <c r="D5026" s="14" t="s">
        <v>7215</v>
      </c>
      <c r="E5026" s="12" t="s">
        <v>28</v>
      </c>
      <c r="F5026" s="13" t="s">
        <v>29</v>
      </c>
      <c r="G5026">
        <v>100</v>
      </c>
      <c r="H5026" t="s">
        <v>30</v>
      </c>
      <c r="I5026">
        <v>100</v>
      </c>
      <c r="J5026" s="15"/>
      <c r="K5026" s="16">
        <f>41.36 - (41.36 * $E$1)</f>
        <v>41.36</v>
      </c>
      <c r="L5026" s="16">
        <f>33.9 - (33.9 * $E$1)</f>
        <v>33.9</v>
      </c>
      <c r="M5026" s="1">
        <v>41.36</v>
      </c>
      <c r="N5026" s="1">
        <v>33.9</v>
      </c>
      <c r="O5026" s="1">
        <v>35.15</v>
      </c>
      <c r="P5026" s="1">
        <v>28.82</v>
      </c>
      <c r="Q5026">
        <v>1.46E-2</v>
      </c>
      <c r="R5026">
        <v>1.4080000000000001E-5</v>
      </c>
    </row>
    <row r="5027" spans="1:18" ht="13.8" outlineLevel="2" x14ac:dyDescent="0.25">
      <c r="A5027">
        <v>74949</v>
      </c>
      <c r="B5027" t="s">
        <v>7112</v>
      </c>
      <c r="C5027" t="s">
        <v>7236</v>
      </c>
      <c r="D5027" s="14" t="s">
        <v>7215</v>
      </c>
      <c r="E5027" s="12" t="s">
        <v>28</v>
      </c>
      <c r="F5027" s="13" t="s">
        <v>29</v>
      </c>
      <c r="G5027">
        <v>100</v>
      </c>
      <c r="H5027" t="s">
        <v>30</v>
      </c>
      <c r="I5027">
        <v>100</v>
      </c>
      <c r="J5027" s="15"/>
      <c r="K5027" s="16">
        <f>49.82 - (49.82 * $E$1)</f>
        <v>49.82</v>
      </c>
      <c r="L5027" s="16">
        <f>40.84 - (40.84 * $E$1)</f>
        <v>40.840000000000003</v>
      </c>
      <c r="M5027" s="1">
        <v>49.82</v>
      </c>
      <c r="N5027" s="1">
        <v>40.840000000000003</v>
      </c>
      <c r="O5027" s="1">
        <v>42.35</v>
      </c>
      <c r="P5027" s="1">
        <v>34.71</v>
      </c>
      <c r="Q5027">
        <v>1.7600000000000001E-2</v>
      </c>
      <c r="R5027">
        <v>1.7280000000000001E-5</v>
      </c>
    </row>
    <row r="5028" spans="1:18" ht="13.8" outlineLevel="2" x14ac:dyDescent="0.25">
      <c r="A5028">
        <v>103075</v>
      </c>
      <c r="B5028" t="s">
        <v>7112</v>
      </c>
      <c r="C5028" t="s">
        <v>7237</v>
      </c>
      <c r="D5028" s="14" t="s">
        <v>7215</v>
      </c>
      <c r="E5028" s="12" t="s">
        <v>28</v>
      </c>
      <c r="F5028" s="13" t="s">
        <v>29</v>
      </c>
      <c r="G5028">
        <v>100</v>
      </c>
      <c r="H5028" t="s">
        <v>30</v>
      </c>
      <c r="I5028">
        <v>100</v>
      </c>
      <c r="J5028" s="15"/>
      <c r="K5028" s="16">
        <f>55.82 - (55.82 * $E$1)</f>
        <v>55.82</v>
      </c>
      <c r="L5028" s="16">
        <f>45.75 - (45.75 * $E$1)</f>
        <v>45.75</v>
      </c>
      <c r="M5028" s="1">
        <v>55.82</v>
      </c>
      <c r="N5028" s="1">
        <v>45.75</v>
      </c>
      <c r="O5028" s="1">
        <v>47.44</v>
      </c>
      <c r="P5028" s="1">
        <v>38.89</v>
      </c>
      <c r="Q5028">
        <v>2.0199999999999999E-2</v>
      </c>
      <c r="R5028">
        <v>1.99E-6</v>
      </c>
    </row>
    <row r="5029" spans="1:18" ht="13.8" outlineLevel="2" x14ac:dyDescent="0.25">
      <c r="A5029">
        <v>74739</v>
      </c>
      <c r="B5029" t="s">
        <v>7112</v>
      </c>
      <c r="C5029" t="s">
        <v>7238</v>
      </c>
      <c r="D5029" s="14" t="s">
        <v>7215</v>
      </c>
      <c r="E5029" s="12" t="s">
        <v>28</v>
      </c>
      <c r="F5029" s="13" t="s">
        <v>29</v>
      </c>
      <c r="G5029">
        <v>50</v>
      </c>
      <c r="H5029" t="s">
        <v>30</v>
      </c>
      <c r="I5029">
        <v>50</v>
      </c>
      <c r="J5029" s="15"/>
      <c r="K5029" s="16">
        <f>41.11 - (41.11 * $E$1)</f>
        <v>41.11</v>
      </c>
      <c r="L5029" s="16">
        <f>33.7 - (33.7 * $E$1)</f>
        <v>33.700000000000003</v>
      </c>
      <c r="M5029" s="1">
        <v>41.11</v>
      </c>
      <c r="N5029" s="1">
        <v>33.700000000000003</v>
      </c>
      <c r="O5029" s="1">
        <v>34.950000000000003</v>
      </c>
      <c r="P5029" s="1">
        <v>28.65</v>
      </c>
      <c r="Q5029">
        <v>1.4E-2</v>
      </c>
      <c r="R5029">
        <v>1.0879999999999999E-5</v>
      </c>
    </row>
    <row r="5030" spans="1:18" ht="13.8" outlineLevel="2" x14ac:dyDescent="0.25">
      <c r="A5030">
        <v>74740</v>
      </c>
      <c r="B5030" t="s">
        <v>7112</v>
      </c>
      <c r="C5030" t="s">
        <v>7239</v>
      </c>
      <c r="D5030" s="14" t="s">
        <v>7215</v>
      </c>
      <c r="E5030" s="12" t="s">
        <v>28</v>
      </c>
      <c r="F5030" s="13" t="s">
        <v>29</v>
      </c>
      <c r="G5030">
        <v>50</v>
      </c>
      <c r="H5030" t="s">
        <v>30</v>
      </c>
      <c r="I5030">
        <v>50</v>
      </c>
      <c r="J5030" s="15"/>
      <c r="K5030" s="16">
        <f>49.57 - (49.57 * $E$1)</f>
        <v>49.57</v>
      </c>
      <c r="L5030" s="16">
        <f>40.63 - (40.63 * $E$1)</f>
        <v>40.630000000000003</v>
      </c>
      <c r="M5030" s="1">
        <v>49.57</v>
      </c>
      <c r="N5030" s="1">
        <v>40.630000000000003</v>
      </c>
      <c r="O5030" s="1">
        <v>42.13</v>
      </c>
      <c r="P5030" s="1">
        <v>34.54</v>
      </c>
      <c r="Q5030">
        <v>1.7399999999999999E-2</v>
      </c>
      <c r="R5030">
        <v>1.4080000000000001E-5</v>
      </c>
    </row>
    <row r="5031" spans="1:18" ht="13.8" outlineLevel="2" x14ac:dyDescent="0.25">
      <c r="A5031">
        <v>74742</v>
      </c>
      <c r="B5031" t="s">
        <v>7112</v>
      </c>
      <c r="C5031" t="s">
        <v>7240</v>
      </c>
      <c r="D5031" s="14" t="s">
        <v>7215</v>
      </c>
      <c r="E5031" s="12" t="s">
        <v>28</v>
      </c>
      <c r="F5031" s="13" t="s">
        <v>29</v>
      </c>
      <c r="G5031">
        <v>50</v>
      </c>
      <c r="H5031" t="s">
        <v>30</v>
      </c>
      <c r="I5031">
        <v>50</v>
      </c>
      <c r="J5031" s="15"/>
      <c r="K5031" s="16">
        <f>66.34 - (66.34 * $E$1)</f>
        <v>66.34</v>
      </c>
      <c r="L5031" s="16">
        <f>54.38 - (54.38 * $E$1)</f>
        <v>54.38</v>
      </c>
      <c r="M5031" s="1">
        <v>66.34</v>
      </c>
      <c r="N5031" s="1">
        <v>54.38</v>
      </c>
      <c r="O5031" s="1">
        <v>56.39</v>
      </c>
      <c r="P5031" s="1">
        <v>46.22</v>
      </c>
      <c r="Q5031">
        <v>2.46E-2</v>
      </c>
      <c r="R5031">
        <v>2.048E-5</v>
      </c>
    </row>
    <row r="5032" spans="1:18" ht="13.8" outlineLevel="2" x14ac:dyDescent="0.25">
      <c r="A5032">
        <v>74743</v>
      </c>
      <c r="B5032" t="s">
        <v>7112</v>
      </c>
      <c r="C5032" t="s">
        <v>7241</v>
      </c>
      <c r="D5032" s="14" t="s">
        <v>7215</v>
      </c>
      <c r="E5032" s="12" t="s">
        <v>28</v>
      </c>
      <c r="F5032" s="13" t="s">
        <v>29</v>
      </c>
      <c r="G5032">
        <v>50</v>
      </c>
      <c r="H5032" t="s">
        <v>30</v>
      </c>
      <c r="I5032">
        <v>50</v>
      </c>
      <c r="J5032" s="15"/>
      <c r="K5032" s="16">
        <f>83.03 - (83.03 * $E$1)</f>
        <v>83.03</v>
      </c>
      <c r="L5032" s="16">
        <f>68.06 - (68.06 * $E$1)</f>
        <v>68.06</v>
      </c>
      <c r="M5032" s="1">
        <v>83.03</v>
      </c>
      <c r="N5032" s="1">
        <v>68.06</v>
      </c>
      <c r="O5032" s="1">
        <v>70.58</v>
      </c>
      <c r="P5032" s="1">
        <v>57.85</v>
      </c>
      <c r="Q5032">
        <v>3.2000000000000001E-2</v>
      </c>
      <c r="R5032">
        <v>2.688E-5</v>
      </c>
    </row>
    <row r="5033" spans="1:18" ht="13.8" outlineLevel="2" x14ac:dyDescent="0.25">
      <c r="A5033">
        <v>74744</v>
      </c>
      <c r="B5033" t="s">
        <v>7112</v>
      </c>
      <c r="C5033" t="s">
        <v>7242</v>
      </c>
      <c r="D5033" s="14" t="s">
        <v>7215</v>
      </c>
      <c r="E5033" s="12" t="s">
        <v>28</v>
      </c>
      <c r="F5033" s="13" t="s">
        <v>29</v>
      </c>
      <c r="G5033">
        <v>50</v>
      </c>
      <c r="H5033" t="s">
        <v>30</v>
      </c>
      <c r="I5033">
        <v>50</v>
      </c>
      <c r="J5033" s="15"/>
      <c r="K5033" s="16">
        <f>99.88 - (99.88 * $E$1)</f>
        <v>99.88</v>
      </c>
      <c r="L5033" s="16">
        <f>81.87 - (81.87 * $E$1)</f>
        <v>81.87</v>
      </c>
      <c r="M5033" s="1">
        <v>99.88</v>
      </c>
      <c r="N5033" s="1">
        <v>81.87</v>
      </c>
      <c r="O5033" s="1">
        <v>84.9</v>
      </c>
      <c r="P5033" s="1">
        <v>69.59</v>
      </c>
      <c r="Q5033">
        <v>3.9E-2</v>
      </c>
      <c r="R5033">
        <v>1.26E-4</v>
      </c>
    </row>
    <row r="5034" spans="1:18" ht="13.8" outlineLevel="2" x14ac:dyDescent="0.25">
      <c r="A5034">
        <v>103076</v>
      </c>
      <c r="B5034" t="s">
        <v>7112</v>
      </c>
      <c r="C5034" t="s">
        <v>7243</v>
      </c>
      <c r="D5034" s="14" t="s">
        <v>7215</v>
      </c>
      <c r="E5034" s="12" t="s">
        <v>28</v>
      </c>
      <c r="F5034" s="13" t="s">
        <v>29</v>
      </c>
      <c r="G5034">
        <v>50</v>
      </c>
      <c r="H5034" t="s">
        <v>30</v>
      </c>
      <c r="I5034">
        <v>50</v>
      </c>
      <c r="J5034" s="15"/>
      <c r="K5034" s="16">
        <f>108.71 - (108.71 * $E$1)</f>
        <v>108.71</v>
      </c>
      <c r="L5034" s="16">
        <f>89.11 - (89.11 * $E$1)</f>
        <v>89.11</v>
      </c>
      <c r="M5034" s="1">
        <v>108.71</v>
      </c>
      <c r="N5034" s="1">
        <v>89.11</v>
      </c>
      <c r="O5034" s="1">
        <v>92.41</v>
      </c>
      <c r="P5034" s="1">
        <v>75.739999999999995</v>
      </c>
      <c r="Q5034">
        <v>4.3999999999999997E-2</v>
      </c>
      <c r="R5034">
        <v>9.2800000000000006E-5</v>
      </c>
    </row>
    <row r="5035" spans="1:18" ht="13.8" outlineLevel="2" x14ac:dyDescent="0.25">
      <c r="A5035">
        <v>103085</v>
      </c>
      <c r="B5035" t="s">
        <v>7112</v>
      </c>
      <c r="C5035" t="s">
        <v>7244</v>
      </c>
      <c r="D5035" s="14" t="s">
        <v>7245</v>
      </c>
      <c r="E5035" s="12" t="s">
        <v>28</v>
      </c>
      <c r="F5035" s="13" t="s">
        <v>29</v>
      </c>
      <c r="G5035">
        <v>1</v>
      </c>
      <c r="H5035" t="s">
        <v>420</v>
      </c>
      <c r="I5035">
        <v>1</v>
      </c>
      <c r="J5035" s="15"/>
      <c r="K5035" s="16">
        <f>571.09 - (571.09 * $E$1)</f>
        <v>571.09</v>
      </c>
      <c r="L5035" s="16">
        <f>468.11 - (468.11 * $E$1)</f>
        <v>468.11</v>
      </c>
      <c r="M5035" s="1">
        <v>571.09</v>
      </c>
      <c r="N5035" s="1">
        <v>468.11</v>
      </c>
      <c r="O5035" s="1">
        <v>485.43</v>
      </c>
      <c r="P5035" s="1">
        <v>397.89</v>
      </c>
      <c r="Q5035">
        <v>0.19</v>
      </c>
      <c r="R5035">
        <v>2.42E-4</v>
      </c>
    </row>
    <row r="5036" spans="1:18" ht="13.8" outlineLevel="2" x14ac:dyDescent="0.25">
      <c r="A5036">
        <v>103086</v>
      </c>
      <c r="B5036" t="s">
        <v>7112</v>
      </c>
      <c r="C5036" t="s">
        <v>7246</v>
      </c>
      <c r="D5036" s="14" t="s">
        <v>7245</v>
      </c>
      <c r="E5036" s="12" t="s">
        <v>28</v>
      </c>
      <c r="F5036" s="13" t="s">
        <v>29</v>
      </c>
      <c r="G5036">
        <v>1</v>
      </c>
      <c r="H5036" t="s">
        <v>420</v>
      </c>
      <c r="I5036">
        <v>1</v>
      </c>
      <c r="J5036" s="15"/>
      <c r="K5036" s="16">
        <f>655.99 - (655.99 * $E$1)</f>
        <v>655.99</v>
      </c>
      <c r="L5036" s="16">
        <f>537.7 - (537.7 * $E$1)</f>
        <v>537.70000000000005</v>
      </c>
      <c r="M5036" s="1">
        <v>655.99</v>
      </c>
      <c r="N5036" s="1">
        <v>537.70000000000005</v>
      </c>
      <c r="O5036" s="1">
        <v>557.59</v>
      </c>
      <c r="P5036" s="1">
        <v>457.05</v>
      </c>
      <c r="Q5036">
        <v>0.21</v>
      </c>
      <c r="R5036">
        <v>2.9700000000000001E-4</v>
      </c>
    </row>
    <row r="5037" spans="1:18" ht="13.8" outlineLevel="2" x14ac:dyDescent="0.25">
      <c r="A5037">
        <v>103087</v>
      </c>
      <c r="B5037" t="s">
        <v>7112</v>
      </c>
      <c r="C5037" t="s">
        <v>7247</v>
      </c>
      <c r="D5037" s="14" t="s">
        <v>7245</v>
      </c>
      <c r="E5037" s="12" t="s">
        <v>28</v>
      </c>
      <c r="F5037" s="13" t="s">
        <v>29</v>
      </c>
      <c r="G5037">
        <v>1</v>
      </c>
      <c r="H5037" t="s">
        <v>420</v>
      </c>
      <c r="I5037">
        <v>1</v>
      </c>
      <c r="J5037" s="15"/>
      <c r="K5037" s="16">
        <f>834.59 - (834.59 * $E$1)</f>
        <v>834.59</v>
      </c>
      <c r="L5037" s="16">
        <f>684.09 - (684.09 * $E$1)</f>
        <v>684.09</v>
      </c>
      <c r="M5037" s="1">
        <v>834.59</v>
      </c>
      <c r="N5037" s="1">
        <v>684.09</v>
      </c>
      <c r="O5037" s="1">
        <v>709.4</v>
      </c>
      <c r="P5037" s="1">
        <v>581.48</v>
      </c>
      <c r="Q5037">
        <v>0.25</v>
      </c>
      <c r="R5037">
        <v>4.0700000000000003E-4</v>
      </c>
    </row>
    <row r="5038" spans="1:18" ht="13.8" outlineLevel="2" x14ac:dyDescent="0.25">
      <c r="A5038">
        <v>103088</v>
      </c>
      <c r="B5038" t="s">
        <v>7112</v>
      </c>
      <c r="C5038" t="s">
        <v>7248</v>
      </c>
      <c r="D5038" s="14" t="s">
        <v>7245</v>
      </c>
      <c r="E5038" s="12" t="s">
        <v>28</v>
      </c>
      <c r="F5038" s="13" t="s">
        <v>29</v>
      </c>
      <c r="G5038">
        <v>1</v>
      </c>
      <c r="H5038" t="s">
        <v>420</v>
      </c>
      <c r="I5038">
        <v>1</v>
      </c>
      <c r="J5038" s="15"/>
      <c r="K5038" s="16">
        <f>1009.33 - (1009.33 * $E$1)</f>
        <v>1009.33</v>
      </c>
      <c r="L5038" s="16">
        <f>827.32 - (827.32 * $E$1)</f>
        <v>827.32</v>
      </c>
      <c r="M5038" s="1">
        <v>1009.33</v>
      </c>
      <c r="N5038" s="1">
        <v>827.32</v>
      </c>
      <c r="O5038" s="1">
        <v>857.93</v>
      </c>
      <c r="P5038" s="1">
        <v>703.22</v>
      </c>
      <c r="Q5038">
        <v>0.3</v>
      </c>
      <c r="R5038">
        <v>5.1699999999999999E-4</v>
      </c>
    </row>
    <row r="5039" spans="1:18" ht="13.8" outlineLevel="2" x14ac:dyDescent="0.25">
      <c r="A5039">
        <v>103089</v>
      </c>
      <c r="B5039" t="s">
        <v>7112</v>
      </c>
      <c r="C5039" t="s">
        <v>7249</v>
      </c>
      <c r="D5039" s="14" t="s">
        <v>7245</v>
      </c>
      <c r="E5039" s="12" t="s">
        <v>28</v>
      </c>
      <c r="F5039" s="13" t="s">
        <v>29</v>
      </c>
      <c r="G5039">
        <v>1</v>
      </c>
      <c r="H5039" t="s">
        <v>420</v>
      </c>
      <c r="I5039">
        <v>1</v>
      </c>
      <c r="J5039" s="15"/>
      <c r="K5039" s="16">
        <f>881.45 - (881.45 * $E$1)</f>
        <v>881.45</v>
      </c>
      <c r="L5039" s="16">
        <f>722.5 - (722.5 * $E$1)</f>
        <v>722.5</v>
      </c>
      <c r="M5039" s="1">
        <v>881.45</v>
      </c>
      <c r="N5039" s="1">
        <v>722.5</v>
      </c>
      <c r="O5039" s="1">
        <v>749.23</v>
      </c>
      <c r="P5039" s="1">
        <v>614.13</v>
      </c>
      <c r="Q5039">
        <v>0.25</v>
      </c>
      <c r="R5039">
        <v>4.64E-4</v>
      </c>
    </row>
    <row r="5040" spans="1:18" ht="13.8" outlineLevel="2" x14ac:dyDescent="0.25">
      <c r="A5040">
        <v>103090</v>
      </c>
      <c r="B5040" t="s">
        <v>7112</v>
      </c>
      <c r="C5040" t="s">
        <v>7250</v>
      </c>
      <c r="D5040" s="14" t="s">
        <v>7245</v>
      </c>
      <c r="E5040" s="12" t="s">
        <v>28</v>
      </c>
      <c r="F5040" s="13" t="s">
        <v>29</v>
      </c>
      <c r="G5040">
        <v>1</v>
      </c>
      <c r="H5040" t="s">
        <v>420</v>
      </c>
      <c r="I5040">
        <v>1</v>
      </c>
      <c r="J5040" s="15"/>
      <c r="K5040" s="16">
        <f>1115.73 - (1115.73 * $E$1)</f>
        <v>1115.73</v>
      </c>
      <c r="L5040" s="16">
        <f>914.53 - (914.53 * $E$1)</f>
        <v>914.53</v>
      </c>
      <c r="M5040" s="1">
        <v>1115.73</v>
      </c>
      <c r="N5040" s="1">
        <v>914.53</v>
      </c>
      <c r="O5040" s="1">
        <v>948.37</v>
      </c>
      <c r="P5040" s="1">
        <v>777.35</v>
      </c>
      <c r="Q5040">
        <v>0.33</v>
      </c>
      <c r="R5040">
        <v>6.2399999999999999E-4</v>
      </c>
    </row>
    <row r="5041" spans="1:18" ht="13.8" outlineLevel="2" x14ac:dyDescent="0.25">
      <c r="A5041">
        <v>103091</v>
      </c>
      <c r="B5041" t="s">
        <v>7112</v>
      </c>
      <c r="C5041" t="s">
        <v>7251</v>
      </c>
      <c r="D5041" s="14" t="s">
        <v>7245</v>
      </c>
      <c r="E5041" s="12" t="s">
        <v>28</v>
      </c>
      <c r="F5041" s="13" t="s">
        <v>29</v>
      </c>
      <c r="G5041">
        <v>1</v>
      </c>
      <c r="H5041" t="s">
        <v>420</v>
      </c>
      <c r="I5041">
        <v>1</v>
      </c>
      <c r="J5041" s="15"/>
      <c r="K5041" s="16">
        <f>1352.22 - (1352.22 * $E$1)</f>
        <v>1352.22</v>
      </c>
      <c r="L5041" s="16">
        <f>1108.38 - (1108.38 * $E$1)</f>
        <v>1108.3800000000001</v>
      </c>
      <c r="M5041" s="1">
        <v>1352.22</v>
      </c>
      <c r="N5041" s="1">
        <v>1108.3800000000001</v>
      </c>
      <c r="O5041" s="1">
        <v>1149.3900000000001</v>
      </c>
      <c r="P5041" s="1">
        <v>942.12</v>
      </c>
      <c r="Q5041">
        <v>0.39</v>
      </c>
      <c r="R5041">
        <v>7.8399999999999997E-4</v>
      </c>
    </row>
    <row r="5042" spans="1:18" ht="13.8" outlineLevel="2" x14ac:dyDescent="0.25">
      <c r="A5042">
        <v>103092</v>
      </c>
      <c r="B5042" t="s">
        <v>7112</v>
      </c>
      <c r="C5042" t="s">
        <v>7252</v>
      </c>
      <c r="D5042" s="14" t="s">
        <v>7245</v>
      </c>
      <c r="E5042" s="12" t="s">
        <v>28</v>
      </c>
      <c r="F5042" s="13" t="s">
        <v>29</v>
      </c>
      <c r="G5042">
        <v>1</v>
      </c>
      <c r="H5042" t="s">
        <v>420</v>
      </c>
      <c r="I5042">
        <v>1</v>
      </c>
      <c r="J5042" s="15"/>
      <c r="K5042" s="16">
        <f>1587.59 - (1587.59 * $E$1)</f>
        <v>1587.59</v>
      </c>
      <c r="L5042" s="16">
        <f>1301.3 - (1301.3 * $E$1)</f>
        <v>1301.3</v>
      </c>
      <c r="M5042" s="1">
        <v>1587.59</v>
      </c>
      <c r="N5042" s="1">
        <v>1301.3</v>
      </c>
      <c r="O5042" s="1">
        <v>1349.45</v>
      </c>
      <c r="P5042" s="1">
        <v>1106.1099999999999</v>
      </c>
      <c r="Q5042">
        <v>0.48</v>
      </c>
      <c r="R5042">
        <v>9.2800000000000001E-4</v>
      </c>
    </row>
    <row r="5043" spans="1:18" ht="13.8" outlineLevel="2" x14ac:dyDescent="0.25">
      <c r="A5043">
        <v>74969</v>
      </c>
      <c r="B5043" t="s">
        <v>7112</v>
      </c>
      <c r="C5043" t="s">
        <v>7253</v>
      </c>
      <c r="D5043" s="14" t="s">
        <v>7254</v>
      </c>
      <c r="E5043" s="12" t="s">
        <v>28</v>
      </c>
      <c r="F5043" s="13" t="s">
        <v>29</v>
      </c>
      <c r="G5043">
        <v>100</v>
      </c>
      <c r="H5043" t="s">
        <v>30</v>
      </c>
      <c r="I5043">
        <v>100</v>
      </c>
      <c r="J5043" s="15"/>
      <c r="K5043" s="16">
        <f>28.67 - (28.67 * $E$1)</f>
        <v>28.67</v>
      </c>
      <c r="L5043" s="16">
        <f>23.5 - (23.5 * $E$1)</f>
        <v>23.5</v>
      </c>
      <c r="M5043" s="1">
        <v>28.67</v>
      </c>
      <c r="N5043" s="1">
        <v>23.5</v>
      </c>
      <c r="O5043" s="1">
        <v>24.37</v>
      </c>
      <c r="P5043" s="1">
        <v>19.98</v>
      </c>
      <c r="Q5043">
        <v>8.2000000000000007E-3</v>
      </c>
      <c r="R5043">
        <v>7.8399999999999995E-6</v>
      </c>
    </row>
    <row r="5044" spans="1:18" ht="13.8" outlineLevel="2" x14ac:dyDescent="0.25">
      <c r="A5044">
        <v>74970</v>
      </c>
      <c r="B5044" t="s">
        <v>7112</v>
      </c>
      <c r="C5044" t="s">
        <v>7255</v>
      </c>
      <c r="D5044" s="14" t="s">
        <v>7254</v>
      </c>
      <c r="E5044" s="12" t="s">
        <v>28</v>
      </c>
      <c r="F5044" s="13" t="s">
        <v>29</v>
      </c>
      <c r="G5044">
        <v>100</v>
      </c>
      <c r="H5044" t="s">
        <v>30</v>
      </c>
      <c r="I5044">
        <v>100</v>
      </c>
      <c r="J5044" s="15"/>
      <c r="K5044" s="16">
        <f>37.7 - (37.7 * $E$1)</f>
        <v>37.700000000000003</v>
      </c>
      <c r="L5044" s="16">
        <f>30.9 - (30.9 * $E$1)</f>
        <v>30.9</v>
      </c>
      <c r="M5044" s="1">
        <v>37.700000000000003</v>
      </c>
      <c r="N5044" s="1">
        <v>30.9</v>
      </c>
      <c r="O5044" s="1">
        <v>32.04</v>
      </c>
      <c r="P5044" s="1">
        <v>26.27</v>
      </c>
      <c r="Q5044">
        <v>1.14E-2</v>
      </c>
      <c r="R5044">
        <v>1.0879999999999999E-5</v>
      </c>
    </row>
    <row r="5045" spans="1:18" ht="13.8" outlineLevel="2" x14ac:dyDescent="0.25">
      <c r="A5045">
        <v>74971</v>
      </c>
      <c r="B5045" t="s">
        <v>7112</v>
      </c>
      <c r="C5045" t="s">
        <v>7256</v>
      </c>
      <c r="D5045" s="14" t="s">
        <v>7254</v>
      </c>
      <c r="E5045" s="12" t="s">
        <v>28</v>
      </c>
      <c r="F5045" s="13" t="s">
        <v>29</v>
      </c>
      <c r="G5045">
        <v>100</v>
      </c>
      <c r="H5045" t="s">
        <v>30</v>
      </c>
      <c r="I5045">
        <v>100</v>
      </c>
      <c r="J5045" s="15"/>
      <c r="K5045" s="16">
        <f>46.7 - (46.7 * $E$1)</f>
        <v>46.7</v>
      </c>
      <c r="L5045" s="16">
        <f>38.28 - (38.28 * $E$1)</f>
        <v>38.28</v>
      </c>
      <c r="M5045" s="1">
        <v>46.7</v>
      </c>
      <c r="N5045" s="1">
        <v>38.28</v>
      </c>
      <c r="O5045" s="1">
        <v>39.700000000000003</v>
      </c>
      <c r="P5045" s="1">
        <v>32.54</v>
      </c>
      <c r="Q5045">
        <v>1.46E-2</v>
      </c>
      <c r="R5045">
        <v>1.4080000000000001E-5</v>
      </c>
    </row>
    <row r="5046" spans="1:18" ht="13.8" outlineLevel="2" x14ac:dyDescent="0.25">
      <c r="A5046">
        <v>74972</v>
      </c>
      <c r="B5046" t="s">
        <v>7112</v>
      </c>
      <c r="C5046" t="s">
        <v>7257</v>
      </c>
      <c r="D5046" s="14" t="s">
        <v>7254</v>
      </c>
      <c r="E5046" s="12" t="s">
        <v>28</v>
      </c>
      <c r="F5046" s="13" t="s">
        <v>29</v>
      </c>
      <c r="G5046">
        <v>100</v>
      </c>
      <c r="H5046" t="s">
        <v>30</v>
      </c>
      <c r="I5046">
        <v>100</v>
      </c>
      <c r="J5046" s="15"/>
      <c r="K5046" s="16">
        <f>55.73 - (55.73 * $E$1)</f>
        <v>55.73</v>
      </c>
      <c r="L5046" s="16">
        <f>45.68 - (45.68 * $E$1)</f>
        <v>45.68</v>
      </c>
      <c r="M5046" s="1">
        <v>55.73</v>
      </c>
      <c r="N5046" s="1">
        <v>45.68</v>
      </c>
      <c r="O5046" s="1">
        <v>47.37</v>
      </c>
      <c r="P5046" s="1">
        <v>38.83</v>
      </c>
      <c r="Q5046">
        <v>1.7600000000000001E-2</v>
      </c>
      <c r="R5046">
        <v>1.7280000000000001E-5</v>
      </c>
    </row>
    <row r="5047" spans="1:18" ht="13.8" outlineLevel="2" x14ac:dyDescent="0.25">
      <c r="A5047">
        <v>74977</v>
      </c>
      <c r="B5047" t="s">
        <v>7112</v>
      </c>
      <c r="C5047" t="s">
        <v>7258</v>
      </c>
      <c r="D5047" s="14" t="s">
        <v>7254</v>
      </c>
      <c r="E5047" s="12" t="s">
        <v>28</v>
      </c>
      <c r="F5047" s="13" t="s">
        <v>29</v>
      </c>
      <c r="G5047">
        <v>50</v>
      </c>
      <c r="H5047" t="s">
        <v>30</v>
      </c>
      <c r="I5047">
        <v>50</v>
      </c>
      <c r="J5047" s="15"/>
      <c r="K5047" s="16">
        <f>104.81 - (104.81 * $E$1)</f>
        <v>104.81</v>
      </c>
      <c r="L5047" s="16">
        <f>85.91 - (85.91 * $E$1)</f>
        <v>85.91</v>
      </c>
      <c r="M5047" s="1">
        <v>104.81</v>
      </c>
      <c r="N5047" s="1">
        <v>85.91</v>
      </c>
      <c r="O5047" s="1">
        <v>89.09</v>
      </c>
      <c r="P5047" s="1">
        <v>73.02</v>
      </c>
      <c r="Q5047">
        <v>3.7400000000000003E-2</v>
      </c>
      <c r="R5047">
        <v>1.4336000000000001E-4</v>
      </c>
    </row>
    <row r="5048" spans="1:18" ht="13.8" outlineLevel="2" x14ac:dyDescent="0.25">
      <c r="A5048">
        <v>74978</v>
      </c>
      <c r="B5048" t="s">
        <v>7112</v>
      </c>
      <c r="C5048" t="s">
        <v>7259</v>
      </c>
      <c r="D5048" s="14" t="s">
        <v>7254</v>
      </c>
      <c r="E5048" s="12" t="s">
        <v>28</v>
      </c>
      <c r="F5048" s="13" t="s">
        <v>29</v>
      </c>
      <c r="G5048">
        <v>50</v>
      </c>
      <c r="H5048" t="s">
        <v>30</v>
      </c>
      <c r="I5048">
        <v>50</v>
      </c>
      <c r="J5048" s="15"/>
      <c r="K5048" s="16">
        <f>122.55 - (122.55 * $E$1)</f>
        <v>122.55</v>
      </c>
      <c r="L5048" s="16">
        <f>100.45 - (100.45 * $E$1)</f>
        <v>100.45</v>
      </c>
      <c r="M5048" s="1">
        <v>122.55</v>
      </c>
      <c r="N5048" s="1">
        <v>100.45</v>
      </c>
      <c r="O5048" s="1">
        <v>104.17</v>
      </c>
      <c r="P5048" s="1">
        <v>85.38</v>
      </c>
      <c r="Q5048">
        <v>4.4600000000000001E-2</v>
      </c>
      <c r="R5048">
        <v>4.0960000000000001E-5</v>
      </c>
    </row>
    <row r="5049" spans="1:18" ht="13.8" outlineLevel="2" x14ac:dyDescent="0.25">
      <c r="A5049">
        <v>74979</v>
      </c>
      <c r="B5049" t="s">
        <v>7112</v>
      </c>
      <c r="C5049" t="s">
        <v>7260</v>
      </c>
      <c r="D5049" s="14" t="s">
        <v>7254</v>
      </c>
      <c r="E5049" s="12" t="s">
        <v>28</v>
      </c>
      <c r="F5049" s="13" t="s">
        <v>29</v>
      </c>
      <c r="G5049">
        <v>50</v>
      </c>
      <c r="H5049" t="s">
        <v>30</v>
      </c>
      <c r="I5049">
        <v>50</v>
      </c>
      <c r="J5049" s="15"/>
      <c r="K5049" s="16">
        <f>139.35 - (139.35 * $E$1)</f>
        <v>139.35</v>
      </c>
      <c r="L5049" s="16">
        <f>114.22 - (114.22 * $E$1)</f>
        <v>114.22</v>
      </c>
      <c r="M5049" s="1">
        <v>139.35</v>
      </c>
      <c r="N5049" s="1">
        <v>114.22</v>
      </c>
      <c r="O5049" s="1">
        <v>118.45</v>
      </c>
      <c r="P5049" s="1">
        <v>97.09</v>
      </c>
      <c r="Q5049">
        <v>5.16E-2</v>
      </c>
      <c r="R5049">
        <v>4.7360000000000001E-5</v>
      </c>
    </row>
    <row r="5050" spans="1:18" ht="13.8" outlineLevel="2" x14ac:dyDescent="0.25">
      <c r="A5050">
        <v>103069</v>
      </c>
      <c r="B5050" t="s">
        <v>7112</v>
      </c>
      <c r="C5050" t="s">
        <v>7261</v>
      </c>
      <c r="D5050" s="14" t="s">
        <v>7254</v>
      </c>
      <c r="E5050" s="12" t="s">
        <v>28</v>
      </c>
      <c r="F5050" s="13" t="s">
        <v>29</v>
      </c>
      <c r="G5050">
        <v>50</v>
      </c>
      <c r="H5050" t="s">
        <v>30</v>
      </c>
      <c r="I5050">
        <v>50</v>
      </c>
      <c r="J5050" s="15"/>
      <c r="K5050" s="16">
        <f>152.46 - (152.46 * $E$1)</f>
        <v>152.46</v>
      </c>
      <c r="L5050" s="16">
        <f>124.97 - (124.97 * $E$1)</f>
        <v>124.97</v>
      </c>
      <c r="M5050" s="1">
        <v>152.46</v>
      </c>
      <c r="N5050" s="1">
        <v>124.97</v>
      </c>
      <c r="O5050" s="1">
        <v>129.59</v>
      </c>
      <c r="P5050" s="1">
        <v>106.22</v>
      </c>
      <c r="Q5050">
        <v>5.8999999999999997E-2</v>
      </c>
      <c r="R5050">
        <v>1.2180000000000001E-4</v>
      </c>
    </row>
    <row r="5051" spans="1:18" ht="13.8" outlineLevel="2" x14ac:dyDescent="0.25">
      <c r="A5051">
        <v>74981</v>
      </c>
      <c r="B5051" t="s">
        <v>7112</v>
      </c>
      <c r="C5051" t="s">
        <v>7262</v>
      </c>
      <c r="D5051" s="14" t="s">
        <v>7263</v>
      </c>
      <c r="E5051" s="12" t="s">
        <v>28</v>
      </c>
      <c r="F5051" s="13" t="s">
        <v>29</v>
      </c>
      <c r="G5051">
        <v>100</v>
      </c>
      <c r="H5051" t="s">
        <v>30</v>
      </c>
      <c r="I5051">
        <v>100</v>
      </c>
      <c r="J5051" s="15"/>
      <c r="K5051" s="16">
        <f>18.41 - (18.41 * $E$1)</f>
        <v>18.41</v>
      </c>
      <c r="L5051" s="16">
        <f>15.09 - (15.09 * $E$1)</f>
        <v>15.09</v>
      </c>
      <c r="M5051" s="1">
        <v>18.41</v>
      </c>
      <c r="N5051" s="1">
        <v>15.09</v>
      </c>
      <c r="O5051" s="1">
        <v>15.65</v>
      </c>
      <c r="P5051" s="1">
        <v>12.83</v>
      </c>
      <c r="Q5051">
        <v>8.2000000000000007E-3</v>
      </c>
      <c r="R5051">
        <v>7.8399999999999995E-6</v>
      </c>
    </row>
    <row r="5052" spans="1:18" ht="13.8" outlineLevel="2" x14ac:dyDescent="0.25">
      <c r="A5052">
        <v>74982</v>
      </c>
      <c r="B5052" t="s">
        <v>7112</v>
      </c>
      <c r="C5052" t="s">
        <v>7264</v>
      </c>
      <c r="D5052" s="14" t="s">
        <v>7263</v>
      </c>
      <c r="E5052" s="12" t="s">
        <v>28</v>
      </c>
      <c r="F5052" s="13" t="s">
        <v>29</v>
      </c>
      <c r="G5052">
        <v>100</v>
      </c>
      <c r="H5052" t="s">
        <v>30</v>
      </c>
      <c r="I5052">
        <v>100</v>
      </c>
      <c r="J5052" s="15"/>
      <c r="K5052" s="16">
        <f>24.02 - (24.02 * $E$1)</f>
        <v>24.02</v>
      </c>
      <c r="L5052" s="16">
        <f>19.69 - (19.69 * $E$1)</f>
        <v>19.690000000000001</v>
      </c>
      <c r="M5052" s="1">
        <v>24.02</v>
      </c>
      <c r="N5052" s="1">
        <v>19.690000000000001</v>
      </c>
      <c r="O5052" s="1">
        <v>20.420000000000002</v>
      </c>
      <c r="P5052" s="1">
        <v>16.739999999999998</v>
      </c>
      <c r="Q5052">
        <v>1.14E-2</v>
      </c>
      <c r="R5052">
        <v>1.0879999999999999E-5</v>
      </c>
    </row>
    <row r="5053" spans="1:18" ht="13.8" outlineLevel="2" x14ac:dyDescent="0.25">
      <c r="A5053">
        <v>74983</v>
      </c>
      <c r="B5053" t="s">
        <v>7112</v>
      </c>
      <c r="C5053" t="s">
        <v>7265</v>
      </c>
      <c r="D5053" s="14" t="s">
        <v>7263</v>
      </c>
      <c r="E5053" s="12" t="s">
        <v>28</v>
      </c>
      <c r="F5053" s="13" t="s">
        <v>29</v>
      </c>
      <c r="G5053">
        <v>100</v>
      </c>
      <c r="H5053" t="s">
        <v>30</v>
      </c>
      <c r="I5053">
        <v>100</v>
      </c>
      <c r="J5053" s="15"/>
      <c r="K5053" s="16">
        <f>29.57 - (29.57 * $E$1)</f>
        <v>29.57</v>
      </c>
      <c r="L5053" s="16">
        <f>24.24 - (24.24 * $E$1)</f>
        <v>24.24</v>
      </c>
      <c r="M5053" s="1">
        <v>29.57</v>
      </c>
      <c r="N5053" s="1">
        <v>24.24</v>
      </c>
      <c r="O5053" s="1">
        <v>25.14</v>
      </c>
      <c r="P5053" s="1">
        <v>20.6</v>
      </c>
      <c r="Q5053">
        <v>1.46E-2</v>
      </c>
      <c r="R5053">
        <v>1.4080000000000001E-5</v>
      </c>
    </row>
    <row r="5054" spans="1:18" ht="13.8" outlineLevel="2" x14ac:dyDescent="0.25">
      <c r="A5054">
        <v>74984</v>
      </c>
      <c r="B5054" t="s">
        <v>7112</v>
      </c>
      <c r="C5054" t="s">
        <v>7266</v>
      </c>
      <c r="D5054" s="14" t="s">
        <v>7263</v>
      </c>
      <c r="E5054" s="12" t="s">
        <v>28</v>
      </c>
      <c r="F5054" s="13" t="s">
        <v>29</v>
      </c>
      <c r="G5054">
        <v>100</v>
      </c>
      <c r="H5054" t="s">
        <v>30</v>
      </c>
      <c r="I5054">
        <v>100</v>
      </c>
      <c r="J5054" s="15"/>
      <c r="K5054" s="16">
        <f>35.15 - (35.15 * $E$1)</f>
        <v>35.15</v>
      </c>
      <c r="L5054" s="16">
        <f>28.81 - (28.81 * $E$1)</f>
        <v>28.81</v>
      </c>
      <c r="M5054" s="1">
        <v>35.15</v>
      </c>
      <c r="N5054" s="1">
        <v>28.81</v>
      </c>
      <c r="O5054" s="1">
        <v>29.88</v>
      </c>
      <c r="P5054" s="1">
        <v>24.49</v>
      </c>
      <c r="Q5054">
        <v>1.7600000000000001E-2</v>
      </c>
      <c r="R5054">
        <v>1.7280000000000001E-5</v>
      </c>
    </row>
    <row r="5055" spans="1:18" ht="13.8" outlineLevel="2" x14ac:dyDescent="0.25">
      <c r="A5055">
        <v>74989</v>
      </c>
      <c r="B5055" t="s">
        <v>7112</v>
      </c>
      <c r="C5055" t="s">
        <v>7267</v>
      </c>
      <c r="D5055" s="14" t="s">
        <v>7263</v>
      </c>
      <c r="E5055" s="12" t="s">
        <v>28</v>
      </c>
      <c r="F5055" s="13" t="s">
        <v>29</v>
      </c>
      <c r="G5055">
        <v>50</v>
      </c>
      <c r="H5055" t="s">
        <v>30</v>
      </c>
      <c r="I5055">
        <v>50</v>
      </c>
      <c r="J5055" s="15"/>
      <c r="K5055" s="16">
        <f>68.23 - (68.23 * $E$1)</f>
        <v>68.23</v>
      </c>
      <c r="L5055" s="16">
        <f>55.93 - (55.93 * $E$1)</f>
        <v>55.93</v>
      </c>
      <c r="M5055" s="1">
        <v>68.23</v>
      </c>
      <c r="N5055" s="1">
        <v>55.93</v>
      </c>
      <c r="O5055" s="1">
        <v>58</v>
      </c>
      <c r="P5055" s="1">
        <v>47.54</v>
      </c>
      <c r="Q5055">
        <v>3.56E-2</v>
      </c>
      <c r="R5055">
        <v>1.4336000000000001E-4</v>
      </c>
    </row>
    <row r="5056" spans="1:18" ht="13.8" outlineLevel="2" x14ac:dyDescent="0.25">
      <c r="A5056">
        <v>74990</v>
      </c>
      <c r="B5056" t="s">
        <v>7112</v>
      </c>
      <c r="C5056" t="s">
        <v>7268</v>
      </c>
      <c r="D5056" s="14" t="s">
        <v>7263</v>
      </c>
      <c r="E5056" s="12" t="s">
        <v>28</v>
      </c>
      <c r="F5056" s="13" t="s">
        <v>29</v>
      </c>
      <c r="G5056">
        <v>50</v>
      </c>
      <c r="H5056" t="s">
        <v>30</v>
      </c>
      <c r="I5056">
        <v>50</v>
      </c>
      <c r="J5056" s="15"/>
      <c r="K5056" s="16">
        <f>79.71 - (79.71 * $E$1)</f>
        <v>79.709999999999994</v>
      </c>
      <c r="L5056" s="16">
        <f>65.34 - (65.34 * $E$1)</f>
        <v>65.34</v>
      </c>
      <c r="M5056" s="1">
        <v>79.709999999999994</v>
      </c>
      <c r="N5056" s="1">
        <v>65.34</v>
      </c>
      <c r="O5056" s="1">
        <v>67.760000000000005</v>
      </c>
      <c r="P5056" s="1">
        <v>55.54</v>
      </c>
      <c r="Q5056">
        <v>3.78E-2</v>
      </c>
      <c r="R5056">
        <v>1.26E-4</v>
      </c>
    </row>
    <row r="5057" spans="1:18" ht="13.8" outlineLevel="2" x14ac:dyDescent="0.25">
      <c r="A5057">
        <v>74991</v>
      </c>
      <c r="B5057" t="s">
        <v>7112</v>
      </c>
      <c r="C5057" t="s">
        <v>7269</v>
      </c>
      <c r="D5057" s="14" t="s">
        <v>7263</v>
      </c>
      <c r="E5057" s="12" t="s">
        <v>28</v>
      </c>
      <c r="F5057" s="13" t="s">
        <v>29</v>
      </c>
      <c r="G5057">
        <v>50</v>
      </c>
      <c r="H5057" t="s">
        <v>30</v>
      </c>
      <c r="I5057">
        <v>50</v>
      </c>
      <c r="J5057" s="15"/>
      <c r="K5057" s="16">
        <f>90.29 - (90.29 * $E$1)</f>
        <v>90.29</v>
      </c>
      <c r="L5057" s="16">
        <f>74.01 - (74.01 * $E$1)</f>
        <v>74.010000000000005</v>
      </c>
      <c r="M5057" s="1">
        <v>90.29</v>
      </c>
      <c r="N5057" s="1">
        <v>74.010000000000005</v>
      </c>
      <c r="O5057" s="1">
        <v>76.75</v>
      </c>
      <c r="P5057" s="1">
        <v>62.91</v>
      </c>
      <c r="Q5057">
        <v>4.9399999999999999E-2</v>
      </c>
      <c r="R5057">
        <v>1.1773999999999999E-4</v>
      </c>
    </row>
    <row r="5058" spans="1:18" ht="13.8" outlineLevel="2" x14ac:dyDescent="0.25">
      <c r="A5058">
        <v>103074</v>
      </c>
      <c r="B5058" t="s">
        <v>7112</v>
      </c>
      <c r="C5058" t="s">
        <v>7270</v>
      </c>
      <c r="D5058" s="14" t="s">
        <v>7263</v>
      </c>
      <c r="E5058" s="12" t="s">
        <v>28</v>
      </c>
      <c r="F5058" s="13" t="s">
        <v>29</v>
      </c>
      <c r="G5058">
        <v>50</v>
      </c>
      <c r="H5058" t="s">
        <v>30</v>
      </c>
      <c r="I5058">
        <v>50</v>
      </c>
      <c r="J5058" s="15"/>
      <c r="K5058" s="16">
        <f>97.77 - (97.77 * $E$1)</f>
        <v>97.77</v>
      </c>
      <c r="L5058" s="16">
        <f>80.14 - (80.14 * $E$1)</f>
        <v>80.14</v>
      </c>
      <c r="M5058" s="1">
        <v>97.77</v>
      </c>
      <c r="N5058" s="1">
        <v>80.14</v>
      </c>
      <c r="O5058" s="1">
        <v>83.11</v>
      </c>
      <c r="P5058" s="1">
        <v>68.12</v>
      </c>
      <c r="Q5058">
        <v>4.0399999999999998E-2</v>
      </c>
      <c r="R5058">
        <v>1.2180000000000001E-4</v>
      </c>
    </row>
    <row r="5059" spans="1:18" ht="13.8" outlineLevel="2" x14ac:dyDescent="0.25">
      <c r="A5059">
        <v>74156</v>
      </c>
      <c r="B5059" t="s">
        <v>7112</v>
      </c>
      <c r="C5059" t="s">
        <v>7271</v>
      </c>
      <c r="D5059" s="14" t="s">
        <v>7272</v>
      </c>
      <c r="E5059" s="12" t="s">
        <v>28</v>
      </c>
      <c r="F5059" s="13" t="s">
        <v>29</v>
      </c>
      <c r="G5059">
        <v>100</v>
      </c>
      <c r="H5059" t="s">
        <v>30</v>
      </c>
      <c r="I5059">
        <v>100</v>
      </c>
      <c r="J5059" s="15"/>
      <c r="K5059" s="16">
        <f>43.92 - (43.92 * $E$1)</f>
        <v>43.92</v>
      </c>
      <c r="L5059" s="16">
        <f>36 - (36 * $E$1)</f>
        <v>36</v>
      </c>
      <c r="M5059" s="1">
        <v>43.92</v>
      </c>
      <c r="N5059" s="1">
        <v>36</v>
      </c>
      <c r="O5059" s="1">
        <v>37.33</v>
      </c>
      <c r="P5059" s="1">
        <v>30.6</v>
      </c>
      <c r="Q5059">
        <v>3.62E-3</v>
      </c>
      <c r="R5059">
        <v>9.5999999999999996E-6</v>
      </c>
    </row>
    <row r="5060" spans="1:18" ht="13.8" outlineLevel="2" x14ac:dyDescent="0.25">
      <c r="A5060">
        <v>74157</v>
      </c>
      <c r="B5060" t="s">
        <v>7112</v>
      </c>
      <c r="C5060" t="s">
        <v>7273</v>
      </c>
      <c r="D5060" s="14" t="s">
        <v>7272</v>
      </c>
      <c r="E5060" s="12" t="s">
        <v>28</v>
      </c>
      <c r="F5060" s="13" t="s">
        <v>29</v>
      </c>
      <c r="G5060">
        <v>100</v>
      </c>
      <c r="H5060" t="s">
        <v>30</v>
      </c>
      <c r="I5060">
        <v>100</v>
      </c>
      <c r="J5060" s="15"/>
      <c r="K5060" s="16">
        <f>52.59 - (52.59 * $E$1)</f>
        <v>52.59</v>
      </c>
      <c r="L5060" s="16">
        <f>43.11 - (43.11 * $E$1)</f>
        <v>43.11</v>
      </c>
      <c r="M5060" s="1">
        <v>52.59</v>
      </c>
      <c r="N5060" s="1">
        <v>43.11</v>
      </c>
      <c r="O5060" s="1">
        <v>44.71</v>
      </c>
      <c r="P5060" s="1">
        <v>36.64</v>
      </c>
      <c r="Q5060">
        <v>4.6499999999999996E-3</v>
      </c>
      <c r="R5060">
        <v>1.296E-5</v>
      </c>
    </row>
    <row r="5061" spans="1:18" ht="13.8" outlineLevel="2" x14ac:dyDescent="0.25">
      <c r="A5061">
        <v>74158</v>
      </c>
      <c r="B5061" t="s">
        <v>7112</v>
      </c>
      <c r="C5061" t="s">
        <v>7274</v>
      </c>
      <c r="D5061" s="14" t="s">
        <v>7272</v>
      </c>
      <c r="E5061" s="12" t="s">
        <v>28</v>
      </c>
      <c r="F5061" s="13" t="s">
        <v>29</v>
      </c>
      <c r="G5061">
        <v>100</v>
      </c>
      <c r="H5061" t="s">
        <v>30</v>
      </c>
      <c r="I5061">
        <v>100</v>
      </c>
      <c r="J5061" s="15"/>
      <c r="K5061" s="16">
        <f>65.64 - (65.64 * $E$1)</f>
        <v>65.64</v>
      </c>
      <c r="L5061" s="16">
        <f>53.8 - (53.8 * $E$1)</f>
        <v>53.8</v>
      </c>
      <c r="M5061" s="1">
        <v>65.64</v>
      </c>
      <c r="N5061" s="1">
        <v>53.8</v>
      </c>
      <c r="O5061" s="1">
        <v>55.79</v>
      </c>
      <c r="P5061" s="1">
        <v>45.73</v>
      </c>
      <c r="Q5061">
        <v>6.3499999999999997E-3</v>
      </c>
      <c r="R5061">
        <v>1.925E-5</v>
      </c>
    </row>
    <row r="5062" spans="1:18" ht="13.8" outlineLevel="2" x14ac:dyDescent="0.25">
      <c r="A5062">
        <v>74159</v>
      </c>
      <c r="B5062" t="s">
        <v>7112</v>
      </c>
      <c r="C5062" t="s">
        <v>7275</v>
      </c>
      <c r="D5062" s="14" t="s">
        <v>7272</v>
      </c>
      <c r="E5062" s="12" t="s">
        <v>28</v>
      </c>
      <c r="F5062" s="13" t="s">
        <v>29</v>
      </c>
      <c r="G5062">
        <v>100</v>
      </c>
      <c r="H5062" t="s">
        <v>30</v>
      </c>
      <c r="I5062">
        <v>100</v>
      </c>
      <c r="J5062" s="15"/>
      <c r="K5062" s="16">
        <f>63.81 - (63.81 * $E$1)</f>
        <v>63.81</v>
      </c>
      <c r="L5062" s="16">
        <f>52.3 - (52.3 * $E$1)</f>
        <v>52.3</v>
      </c>
      <c r="M5062" s="1">
        <v>63.81</v>
      </c>
      <c r="N5062" s="1">
        <v>52.3</v>
      </c>
      <c r="O5062" s="1">
        <v>54.24</v>
      </c>
      <c r="P5062" s="1">
        <v>44.46</v>
      </c>
      <c r="Q5062">
        <v>8.2500000000000004E-3</v>
      </c>
      <c r="R5062">
        <v>3.218E-5</v>
      </c>
    </row>
    <row r="5063" spans="1:18" ht="13.8" outlineLevel="2" x14ac:dyDescent="0.25">
      <c r="A5063">
        <v>74146</v>
      </c>
      <c r="B5063" t="s">
        <v>7112</v>
      </c>
      <c r="C5063" t="s">
        <v>7276</v>
      </c>
      <c r="D5063" s="14" t="s">
        <v>7277</v>
      </c>
      <c r="E5063" s="12" t="s">
        <v>28</v>
      </c>
      <c r="F5063" s="13" t="s">
        <v>29</v>
      </c>
      <c r="G5063">
        <v>100</v>
      </c>
      <c r="H5063" t="s">
        <v>30</v>
      </c>
      <c r="I5063">
        <v>100</v>
      </c>
      <c r="J5063" s="15"/>
      <c r="K5063" s="16">
        <f>29.93 - (29.93 * $E$1)</f>
        <v>29.93</v>
      </c>
      <c r="L5063" s="16">
        <f>24.53 - (24.53 * $E$1)</f>
        <v>24.53</v>
      </c>
      <c r="M5063" s="1">
        <v>29.93</v>
      </c>
      <c r="N5063" s="1">
        <v>24.53</v>
      </c>
      <c r="O5063" s="1">
        <v>25.44</v>
      </c>
      <c r="P5063" s="1">
        <v>20.85</v>
      </c>
      <c r="Q5063">
        <v>3.31E-3</v>
      </c>
      <c r="R5063">
        <v>1.188E-5</v>
      </c>
    </row>
    <row r="5064" spans="1:18" ht="13.8" outlineLevel="2" x14ac:dyDescent="0.25">
      <c r="A5064">
        <v>74147</v>
      </c>
      <c r="B5064" t="s">
        <v>7112</v>
      </c>
      <c r="C5064" t="s">
        <v>7278</v>
      </c>
      <c r="D5064" s="14" t="s">
        <v>7277</v>
      </c>
      <c r="E5064" s="12" t="s">
        <v>28</v>
      </c>
      <c r="F5064" s="13" t="s">
        <v>29</v>
      </c>
      <c r="G5064">
        <v>100</v>
      </c>
      <c r="H5064" t="s">
        <v>30</v>
      </c>
      <c r="I5064">
        <v>100</v>
      </c>
      <c r="J5064" s="15"/>
      <c r="K5064" s="16">
        <f>37.12 - (37.12 * $E$1)</f>
        <v>37.119999999999997</v>
      </c>
      <c r="L5064" s="16">
        <f>30.43 - (30.43 * $E$1)</f>
        <v>30.43</v>
      </c>
      <c r="M5064" s="1">
        <v>37.119999999999997</v>
      </c>
      <c r="N5064" s="1">
        <v>30.43</v>
      </c>
      <c r="O5064" s="1">
        <v>31.56</v>
      </c>
      <c r="P5064" s="1">
        <v>25.87</v>
      </c>
      <c r="Q5064">
        <v>4.1799999999999997E-3</v>
      </c>
      <c r="R5064">
        <v>1.08E-5</v>
      </c>
    </row>
    <row r="5065" spans="1:18" ht="13.8" outlineLevel="2" x14ac:dyDescent="0.25">
      <c r="A5065">
        <v>74148</v>
      </c>
      <c r="B5065" t="s">
        <v>7112</v>
      </c>
      <c r="C5065" t="s">
        <v>7279</v>
      </c>
      <c r="D5065" s="14" t="s">
        <v>7277</v>
      </c>
      <c r="E5065" s="12" t="s">
        <v>28</v>
      </c>
      <c r="F5065" s="13" t="s">
        <v>29</v>
      </c>
      <c r="G5065">
        <v>100</v>
      </c>
      <c r="H5065" t="s">
        <v>30</v>
      </c>
      <c r="I5065">
        <v>100</v>
      </c>
      <c r="J5065" s="15"/>
      <c r="K5065" s="16">
        <f>47.71 - (47.71 * $E$1)</f>
        <v>47.71</v>
      </c>
      <c r="L5065" s="16">
        <f>39.11 - (39.11 * $E$1)</f>
        <v>39.11</v>
      </c>
      <c r="M5065" s="1">
        <v>47.71</v>
      </c>
      <c r="N5065" s="1">
        <v>39.11</v>
      </c>
      <c r="O5065" s="1">
        <v>40.56</v>
      </c>
      <c r="P5065" s="1">
        <v>33.24</v>
      </c>
      <c r="Q5065">
        <v>5.9800000000000001E-3</v>
      </c>
      <c r="R5065">
        <v>1.95E-5</v>
      </c>
    </row>
    <row r="5066" spans="1:18" ht="13.8" outlineLevel="2" x14ac:dyDescent="0.25">
      <c r="A5066">
        <v>74149</v>
      </c>
      <c r="B5066" t="s">
        <v>7112</v>
      </c>
      <c r="C5066" t="s">
        <v>7280</v>
      </c>
      <c r="D5066" s="14" t="s">
        <v>7277</v>
      </c>
      <c r="E5066" s="12" t="s">
        <v>28</v>
      </c>
      <c r="F5066" s="13" t="s">
        <v>29</v>
      </c>
      <c r="G5066">
        <v>100</v>
      </c>
      <c r="H5066" t="s">
        <v>30</v>
      </c>
      <c r="I5066">
        <v>100</v>
      </c>
      <c r="J5066" s="15"/>
      <c r="K5066" s="16">
        <f>43.83 - (43.83 * $E$1)</f>
        <v>43.83</v>
      </c>
      <c r="L5066" s="16">
        <f>35.93 - (35.93 * $E$1)</f>
        <v>35.93</v>
      </c>
      <c r="M5066" s="1">
        <v>43.83</v>
      </c>
      <c r="N5066" s="1">
        <v>35.93</v>
      </c>
      <c r="O5066" s="1">
        <v>37.26</v>
      </c>
      <c r="P5066" s="1">
        <v>30.54</v>
      </c>
      <c r="Q5066">
        <v>7.6E-3</v>
      </c>
      <c r="R5066">
        <v>3.1199999999999999E-5</v>
      </c>
    </row>
    <row r="5067" spans="1:18" ht="13.8" outlineLevel="2" x14ac:dyDescent="0.25">
      <c r="A5067">
        <v>74165</v>
      </c>
      <c r="B5067" t="s">
        <v>7112</v>
      </c>
      <c r="C5067" t="s">
        <v>7281</v>
      </c>
      <c r="D5067" s="14" t="s">
        <v>7282</v>
      </c>
      <c r="E5067" s="12" t="s">
        <v>28</v>
      </c>
      <c r="F5067" s="13" t="s">
        <v>29</v>
      </c>
      <c r="G5067">
        <v>100</v>
      </c>
      <c r="H5067" t="s">
        <v>30</v>
      </c>
      <c r="I5067">
        <v>100</v>
      </c>
      <c r="J5067" s="15"/>
      <c r="K5067" s="16">
        <f>38.98 - (38.98 * $E$1)</f>
        <v>38.979999999999997</v>
      </c>
      <c r="L5067" s="16">
        <f>31.95 - (31.95 * $E$1)</f>
        <v>31.95</v>
      </c>
      <c r="M5067" s="1">
        <v>38.979999999999997</v>
      </c>
      <c r="N5067" s="1">
        <v>31.95</v>
      </c>
      <c r="O5067" s="1">
        <v>33.130000000000003</v>
      </c>
      <c r="P5067" s="1">
        <v>27.16</v>
      </c>
      <c r="Q5067">
        <v>1.025E-2</v>
      </c>
      <c r="R5067">
        <v>3.5639999999999998E-5</v>
      </c>
    </row>
    <row r="5068" spans="1:18" ht="13.8" outlineLevel="2" x14ac:dyDescent="0.25">
      <c r="A5068">
        <v>74166</v>
      </c>
      <c r="B5068" t="s">
        <v>7112</v>
      </c>
      <c r="C5068" t="s">
        <v>7283</v>
      </c>
      <c r="D5068" s="14" t="s">
        <v>7282</v>
      </c>
      <c r="E5068" s="12" t="s">
        <v>28</v>
      </c>
      <c r="F5068" s="13" t="s">
        <v>29</v>
      </c>
      <c r="G5068">
        <v>100</v>
      </c>
      <c r="H5068" t="s">
        <v>30</v>
      </c>
      <c r="I5068">
        <v>100</v>
      </c>
      <c r="J5068" s="15"/>
      <c r="K5068" s="16">
        <f>50.22 - (50.22 * $E$1)</f>
        <v>50.22</v>
      </c>
      <c r="L5068" s="16">
        <f>41.16 - (41.16 * $E$1)</f>
        <v>41.16</v>
      </c>
      <c r="M5068" s="1">
        <v>50.22</v>
      </c>
      <c r="N5068" s="1">
        <v>41.16</v>
      </c>
      <c r="O5068" s="1">
        <v>42.68</v>
      </c>
      <c r="P5068" s="1">
        <v>34.99</v>
      </c>
      <c r="Q5068">
        <v>1.3780000000000001E-2</v>
      </c>
      <c r="R5068">
        <v>4.3859999999999997E-5</v>
      </c>
    </row>
    <row r="5069" spans="1:18" ht="13.8" outlineLevel="2" x14ac:dyDescent="0.25">
      <c r="A5069">
        <v>74167</v>
      </c>
      <c r="B5069" t="s">
        <v>7112</v>
      </c>
      <c r="C5069" t="s">
        <v>7284</v>
      </c>
      <c r="D5069" s="14" t="s">
        <v>7282</v>
      </c>
      <c r="E5069" s="12" t="s">
        <v>28</v>
      </c>
      <c r="F5069" s="13" t="s">
        <v>29</v>
      </c>
      <c r="G5069">
        <v>100</v>
      </c>
      <c r="H5069" t="s">
        <v>30</v>
      </c>
      <c r="I5069">
        <v>100</v>
      </c>
      <c r="J5069" s="15"/>
      <c r="K5069" s="16">
        <f>59.68 - (59.68 * $E$1)</f>
        <v>59.68</v>
      </c>
      <c r="L5069" s="16">
        <f>48.92 - (48.92 * $E$1)</f>
        <v>48.92</v>
      </c>
      <c r="M5069" s="1">
        <v>59.68</v>
      </c>
      <c r="N5069" s="1">
        <v>48.92</v>
      </c>
      <c r="O5069" s="1">
        <v>50.73</v>
      </c>
      <c r="P5069" s="1">
        <v>41.58</v>
      </c>
      <c r="Q5069">
        <v>1.546E-2</v>
      </c>
      <c r="R5069">
        <v>5.2469999999999997E-5</v>
      </c>
    </row>
    <row r="5070" spans="1:18" ht="13.8" outlineLevel="2" x14ac:dyDescent="0.25">
      <c r="A5070">
        <v>71878</v>
      </c>
      <c r="B5070" t="s">
        <v>7285</v>
      </c>
      <c r="C5070" t="s">
        <v>7286</v>
      </c>
      <c r="D5070" s="14" t="s">
        <v>7287</v>
      </c>
      <c r="E5070" s="12" t="s">
        <v>28</v>
      </c>
      <c r="F5070" s="13" t="s">
        <v>29</v>
      </c>
      <c r="G5070">
        <v>100</v>
      </c>
      <c r="H5070" t="s">
        <v>30</v>
      </c>
      <c r="I5070">
        <v>100</v>
      </c>
      <c r="J5070" s="15"/>
      <c r="K5070" s="16">
        <f>8.43 - (8.43 * $E$1)</f>
        <v>8.43</v>
      </c>
      <c r="L5070" s="16">
        <f>6.91 - (6.91 * $E$1)</f>
        <v>6.91</v>
      </c>
      <c r="M5070" s="1">
        <v>8.43</v>
      </c>
      <c r="N5070" s="1">
        <v>6.91</v>
      </c>
      <c r="O5070" s="1">
        <v>7.17</v>
      </c>
      <c r="P5070" s="1">
        <v>5.87</v>
      </c>
      <c r="Q5070">
        <v>1.7600000000000001E-3</v>
      </c>
      <c r="R5070">
        <v>1.26E-6</v>
      </c>
    </row>
    <row r="5071" spans="1:18" ht="13.8" outlineLevel="2" x14ac:dyDescent="0.25">
      <c r="A5071">
        <v>74142</v>
      </c>
      <c r="B5071" t="s">
        <v>7285</v>
      </c>
      <c r="C5071" t="s">
        <v>7288</v>
      </c>
      <c r="D5071" s="14" t="s">
        <v>7289</v>
      </c>
      <c r="E5071" s="12" t="s">
        <v>28</v>
      </c>
      <c r="F5071" s="13" t="s">
        <v>29</v>
      </c>
      <c r="G5071">
        <v>100</v>
      </c>
      <c r="H5071" t="s">
        <v>30</v>
      </c>
      <c r="I5071">
        <v>100</v>
      </c>
      <c r="J5071" s="15"/>
      <c r="K5071" s="16">
        <f>9.82 - (9.82 * $E$1)</f>
        <v>9.82</v>
      </c>
      <c r="L5071" s="16">
        <f>8.05 - (8.05 * $E$1)</f>
        <v>8.0500000000000007</v>
      </c>
      <c r="M5071" s="1">
        <v>9.82</v>
      </c>
      <c r="N5071" s="1">
        <v>8.0500000000000007</v>
      </c>
      <c r="O5071" s="1">
        <v>8.35</v>
      </c>
      <c r="P5071" s="1">
        <v>6.84</v>
      </c>
      <c r="Q5071">
        <v>1.66E-3</v>
      </c>
      <c r="R5071">
        <v>1.44E-6</v>
      </c>
    </row>
    <row r="5072" spans="1:18" ht="13.8" outlineLevel="2" x14ac:dyDescent="0.25">
      <c r="A5072">
        <v>71879</v>
      </c>
      <c r="B5072" t="s">
        <v>7285</v>
      </c>
      <c r="C5072" t="s">
        <v>7290</v>
      </c>
      <c r="D5072" s="14" t="s">
        <v>7291</v>
      </c>
      <c r="E5072" s="12" t="s">
        <v>28</v>
      </c>
      <c r="F5072" s="13" t="s">
        <v>29</v>
      </c>
      <c r="G5072">
        <v>100</v>
      </c>
      <c r="H5072" t="s">
        <v>30</v>
      </c>
      <c r="I5072">
        <v>100</v>
      </c>
      <c r="J5072" s="15"/>
      <c r="K5072" s="16">
        <f>15.24 - (15.24 * $E$1)</f>
        <v>15.24</v>
      </c>
      <c r="L5072" s="16">
        <f>12.49 - (12.49 * $E$1)</f>
        <v>12.49</v>
      </c>
      <c r="M5072" s="1">
        <v>15.24</v>
      </c>
      <c r="N5072" s="1">
        <v>12.49</v>
      </c>
      <c r="O5072" s="1">
        <v>12.95</v>
      </c>
      <c r="P5072" s="1">
        <v>10.62</v>
      </c>
      <c r="Q5072">
        <v>3.3E-3</v>
      </c>
      <c r="R5072">
        <v>1.26E-6</v>
      </c>
    </row>
    <row r="5073" spans="1:18" ht="13.8" outlineLevel="2" x14ac:dyDescent="0.25">
      <c r="A5073">
        <v>71476</v>
      </c>
      <c r="B5073" t="s">
        <v>7285</v>
      </c>
      <c r="C5073" t="s">
        <v>7292</v>
      </c>
      <c r="D5073" s="14" t="s">
        <v>7293</v>
      </c>
      <c r="E5073" s="12" t="s">
        <v>28</v>
      </c>
      <c r="F5073" s="13" t="s">
        <v>29</v>
      </c>
      <c r="G5073">
        <v>100</v>
      </c>
      <c r="H5073" t="s">
        <v>30</v>
      </c>
      <c r="I5073">
        <v>100</v>
      </c>
      <c r="J5073" s="15"/>
      <c r="K5073" s="16">
        <f>17.93 - (17.93 * $E$1)</f>
        <v>17.93</v>
      </c>
      <c r="L5073" s="16">
        <f>14.7 - (14.7 * $E$1)</f>
        <v>14.7</v>
      </c>
      <c r="M5073" s="1">
        <v>17.93</v>
      </c>
      <c r="N5073" s="1">
        <v>14.7</v>
      </c>
      <c r="O5073" s="1">
        <v>15.24</v>
      </c>
      <c r="P5073" s="1">
        <v>12.5</v>
      </c>
      <c r="Q5073">
        <v>3.3E-3</v>
      </c>
      <c r="R5073">
        <v>3.0000000000000001E-6</v>
      </c>
    </row>
    <row r="5074" spans="1:18" ht="16.5" customHeight="1" outlineLevel="1" x14ac:dyDescent="0.35">
      <c r="A5074" s="9"/>
      <c r="B5074" s="10" t="s">
        <v>7294</v>
      </c>
      <c r="C5074" s="10"/>
      <c r="D5074" s="10"/>
      <c r="E5074" s="10"/>
      <c r="F5074" s="10"/>
      <c r="G5074" s="10"/>
      <c r="H5074" s="10"/>
      <c r="I5074" s="10"/>
      <c r="J5074" s="10"/>
      <c r="K5074" s="10"/>
      <c r="L5074" s="10"/>
      <c r="M5074" s="10"/>
      <c r="N5074" s="10"/>
      <c r="O5074" s="10"/>
      <c r="P5074" s="10"/>
      <c r="Q5074" s="10"/>
      <c r="R5074" s="11"/>
    </row>
    <row r="5075" spans="1:18" ht="13.8" outlineLevel="2" x14ac:dyDescent="0.25">
      <c r="A5075">
        <v>74123</v>
      </c>
      <c r="B5075" t="s">
        <v>7295</v>
      </c>
      <c r="C5075" t="s">
        <v>7296</v>
      </c>
      <c r="D5075" s="14" t="s">
        <v>7297</v>
      </c>
      <c r="E5075" s="12" t="s">
        <v>28</v>
      </c>
      <c r="F5075" s="13" t="s">
        <v>29</v>
      </c>
      <c r="G5075">
        <v>1</v>
      </c>
      <c r="H5075" t="s">
        <v>2364</v>
      </c>
      <c r="I5075">
        <v>1</v>
      </c>
      <c r="J5075" s="15"/>
      <c r="K5075" s="16">
        <f>3848.67 - (3848.67 * $E$1)</f>
        <v>3848.67</v>
      </c>
      <c r="L5075" s="16">
        <f>3154.65 - (3154.65 * $E$1)</f>
        <v>3154.65</v>
      </c>
      <c r="M5075" s="1">
        <v>3848.67</v>
      </c>
      <c r="N5075" s="1">
        <v>3154.65</v>
      </c>
      <c r="O5075" s="1">
        <v>3271.37</v>
      </c>
      <c r="P5075" s="1">
        <v>2681.45</v>
      </c>
      <c r="Q5075">
        <v>5.8</v>
      </c>
      <c r="R5075">
        <v>2.5730000000000002E-3</v>
      </c>
    </row>
    <row r="5076" spans="1:18" ht="13.8" outlineLevel="2" x14ac:dyDescent="0.25">
      <c r="A5076">
        <v>101755</v>
      </c>
      <c r="B5076" t="s">
        <v>7295</v>
      </c>
      <c r="C5076" t="s">
        <v>7298</v>
      </c>
      <c r="D5076" s="14" t="s">
        <v>7297</v>
      </c>
      <c r="E5076" s="12" t="s">
        <v>28</v>
      </c>
      <c r="F5076" s="13" t="s">
        <v>29</v>
      </c>
      <c r="G5076">
        <v>1</v>
      </c>
      <c r="H5076" t="s">
        <v>2364</v>
      </c>
      <c r="I5076">
        <v>1</v>
      </c>
      <c r="J5076" s="15"/>
      <c r="K5076" s="16">
        <f>2310.92 - (2310.92 * $E$1)</f>
        <v>2310.92</v>
      </c>
      <c r="L5076" s="16">
        <f>1894.2 - (1894.2 * $E$1)</f>
        <v>1894.2</v>
      </c>
      <c r="M5076" s="1">
        <v>2310.92</v>
      </c>
      <c r="N5076" s="1">
        <v>1894.2</v>
      </c>
      <c r="O5076" s="1">
        <v>1964.29</v>
      </c>
      <c r="P5076" s="1">
        <v>1610.07</v>
      </c>
      <c r="Q5076">
        <v>2.77</v>
      </c>
      <c r="R5076">
        <v>2.5730000000000002E-3</v>
      </c>
    </row>
    <row r="5077" spans="1:18" ht="13.8" outlineLevel="2" x14ac:dyDescent="0.25">
      <c r="A5077">
        <v>74124</v>
      </c>
      <c r="B5077" t="s">
        <v>7295</v>
      </c>
      <c r="C5077" t="s">
        <v>7299</v>
      </c>
      <c r="D5077" s="14" t="s">
        <v>7300</v>
      </c>
      <c r="E5077" s="12" t="s">
        <v>28</v>
      </c>
      <c r="F5077" s="13" t="s">
        <v>29</v>
      </c>
      <c r="G5077">
        <v>1</v>
      </c>
      <c r="H5077" t="s">
        <v>2364</v>
      </c>
      <c r="I5077">
        <v>1</v>
      </c>
      <c r="J5077" s="15"/>
      <c r="K5077" s="16">
        <f>2723.96 - (2723.96 * $E$1)</f>
        <v>2723.96</v>
      </c>
      <c r="L5077" s="16">
        <f>2232.75 - (2232.75 * $E$1)</f>
        <v>2232.75</v>
      </c>
      <c r="M5077" s="1">
        <v>2723.96</v>
      </c>
      <c r="N5077" s="1">
        <v>2232.75</v>
      </c>
      <c r="O5077" s="1">
        <v>2315.36</v>
      </c>
      <c r="P5077" s="1">
        <v>1897.84</v>
      </c>
      <c r="Q5077">
        <v>2.66</v>
      </c>
      <c r="R5077">
        <v>2.8800000000000002E-3</v>
      </c>
    </row>
    <row r="5078" spans="1:18" ht="13.8" outlineLevel="2" x14ac:dyDescent="0.25">
      <c r="A5078">
        <v>101754</v>
      </c>
      <c r="B5078" t="s">
        <v>7295</v>
      </c>
      <c r="C5078" t="s">
        <v>7301</v>
      </c>
      <c r="D5078" s="14" t="s">
        <v>7300</v>
      </c>
      <c r="E5078" s="12" t="s">
        <v>28</v>
      </c>
      <c r="F5078" s="13" t="s">
        <v>29</v>
      </c>
      <c r="G5078">
        <v>1</v>
      </c>
      <c r="H5078" t="s">
        <v>2364</v>
      </c>
      <c r="I5078">
        <v>1</v>
      </c>
      <c r="J5078" s="15"/>
      <c r="K5078" s="16">
        <f>5270.16 - (5270.16 * $E$1)</f>
        <v>5270.16</v>
      </c>
      <c r="L5078" s="16">
        <f>4319.8 - (4319.8 * $E$1)</f>
        <v>4319.8</v>
      </c>
      <c r="M5078" s="1">
        <v>5270.16</v>
      </c>
      <c r="N5078" s="1">
        <v>4319.8</v>
      </c>
      <c r="O5078" s="1">
        <v>4479.63</v>
      </c>
      <c r="P5078" s="1">
        <v>3671.83</v>
      </c>
      <c r="Q5078">
        <v>5.4</v>
      </c>
      <c r="R5078">
        <v>2.6580000000000002E-3</v>
      </c>
    </row>
    <row r="5079" spans="1:18" ht="13.8" outlineLevel="2" x14ac:dyDescent="0.25">
      <c r="A5079">
        <v>104986</v>
      </c>
      <c r="B5079" t="s">
        <v>7302</v>
      </c>
      <c r="C5079" t="s">
        <v>7303</v>
      </c>
      <c r="D5079" s="14" t="s">
        <v>7304</v>
      </c>
      <c r="E5079" s="12" t="s">
        <v>28</v>
      </c>
      <c r="F5079" s="13" t="s">
        <v>29</v>
      </c>
      <c r="G5079">
        <v>1</v>
      </c>
      <c r="H5079" t="s">
        <v>2364</v>
      </c>
      <c r="I5079">
        <v>1</v>
      </c>
      <c r="J5079" s="15"/>
      <c r="K5079" s="16">
        <f>7386.9 - (7386.9 * $E$1)</f>
        <v>7386.9</v>
      </c>
      <c r="L5079" s="16">
        <f>6054.84 - (6054.84 * $E$1)</f>
        <v>6054.84</v>
      </c>
      <c r="M5079" s="1">
        <v>7386.9</v>
      </c>
      <c r="N5079" s="1">
        <v>6054.84</v>
      </c>
      <c r="O5079" s="1">
        <v>6278.87</v>
      </c>
      <c r="P5079" s="1">
        <v>5146.6099999999997</v>
      </c>
      <c r="Q5079">
        <v>1.2</v>
      </c>
      <c r="R5079">
        <v>1.555E-3</v>
      </c>
    </row>
    <row r="5080" spans="1:18" ht="13.8" outlineLevel="2" x14ac:dyDescent="0.25">
      <c r="A5080">
        <v>89761</v>
      </c>
      <c r="B5080" t="s">
        <v>7302</v>
      </c>
      <c r="C5080" t="s">
        <v>7305</v>
      </c>
      <c r="D5080" s="14" t="s">
        <v>7304</v>
      </c>
      <c r="E5080" s="12" t="s">
        <v>28</v>
      </c>
      <c r="F5080" s="13" t="s">
        <v>29</v>
      </c>
      <c r="G5080">
        <v>1</v>
      </c>
      <c r="H5080" t="s">
        <v>2364</v>
      </c>
      <c r="I5080">
        <v>1</v>
      </c>
      <c r="J5080" s="15"/>
      <c r="K5080" s="16">
        <f>8357.07 - (8357.07 * $E$1)</f>
        <v>8357.07</v>
      </c>
      <c r="L5080" s="16">
        <f>6850.06 - (6850.06 * $E$1)</f>
        <v>6850.06</v>
      </c>
      <c r="M5080" s="1">
        <v>8357.07</v>
      </c>
      <c r="N5080" s="1">
        <v>6850.06</v>
      </c>
      <c r="O5080" s="1">
        <v>7103.51</v>
      </c>
      <c r="P5080" s="1">
        <v>5822.55</v>
      </c>
      <c r="Q5080">
        <v>1.27</v>
      </c>
      <c r="R5080">
        <v>1.5E-3</v>
      </c>
    </row>
    <row r="5081" spans="1:18" ht="13.8" outlineLevel="2" x14ac:dyDescent="0.25">
      <c r="A5081">
        <v>101756</v>
      </c>
      <c r="B5081" t="s">
        <v>7295</v>
      </c>
      <c r="C5081" t="s">
        <v>7306</v>
      </c>
      <c r="D5081" s="14" t="s">
        <v>7297</v>
      </c>
      <c r="E5081" s="12" t="s">
        <v>28</v>
      </c>
      <c r="F5081" s="13" t="s">
        <v>29</v>
      </c>
      <c r="G5081">
        <v>1</v>
      </c>
      <c r="H5081" t="s">
        <v>2364</v>
      </c>
      <c r="I5081">
        <v>1</v>
      </c>
      <c r="J5081" s="15"/>
      <c r="K5081" s="16">
        <f>439.85 - (439.85 * $E$1)</f>
        <v>439.85</v>
      </c>
      <c r="L5081" s="16">
        <f>360.53 - (360.53 * $E$1)</f>
        <v>360.53</v>
      </c>
      <c r="M5081" s="1">
        <v>439.85</v>
      </c>
      <c r="N5081" s="1">
        <v>360.53</v>
      </c>
      <c r="O5081" s="1">
        <v>373.87</v>
      </c>
      <c r="P5081" s="1">
        <v>306.45</v>
      </c>
      <c r="Q5081">
        <v>0.26</v>
      </c>
      <c r="R5081">
        <v>1.2869999999999999E-3</v>
      </c>
    </row>
    <row r="5082" spans="1:18" ht="13.8" outlineLevel="2" x14ac:dyDescent="0.25">
      <c r="A5082">
        <v>73490</v>
      </c>
      <c r="B5082" t="s">
        <v>7295</v>
      </c>
      <c r="C5082" t="s">
        <v>7307</v>
      </c>
      <c r="D5082" s="14" t="s">
        <v>7300</v>
      </c>
      <c r="E5082" s="12" t="s">
        <v>28</v>
      </c>
      <c r="F5082" s="13" t="s">
        <v>29</v>
      </c>
      <c r="G5082">
        <v>1</v>
      </c>
      <c r="H5082" t="s">
        <v>2364</v>
      </c>
      <c r="I5082">
        <v>1</v>
      </c>
      <c r="J5082" s="15"/>
      <c r="K5082" s="16">
        <f>1893.61 - (1893.61 * $E$1)</f>
        <v>1893.61</v>
      </c>
      <c r="L5082" s="16">
        <f>1552.14 - (1552.14 * $E$1)</f>
        <v>1552.14</v>
      </c>
      <c r="M5082" s="1">
        <v>1893.61</v>
      </c>
      <c r="N5082" s="1">
        <v>1552.14</v>
      </c>
      <c r="O5082" s="1">
        <v>1609.57</v>
      </c>
      <c r="P5082" s="1">
        <v>1319.32</v>
      </c>
      <c r="Q5082">
        <v>0.75</v>
      </c>
      <c r="R5082">
        <v>1.1999999999999999E-3</v>
      </c>
    </row>
    <row r="5083" spans="1:18" ht="13.8" outlineLevel="2" x14ac:dyDescent="0.25">
      <c r="A5083">
        <v>87206</v>
      </c>
      <c r="B5083" t="s">
        <v>7295</v>
      </c>
      <c r="C5083" t="s">
        <v>7308</v>
      </c>
      <c r="D5083" s="14" t="s">
        <v>7300</v>
      </c>
      <c r="E5083" s="12" t="s">
        <v>28</v>
      </c>
      <c r="F5083" s="13" t="s">
        <v>29</v>
      </c>
      <c r="G5083">
        <v>1</v>
      </c>
      <c r="H5083" t="s">
        <v>2364</v>
      </c>
      <c r="I5083">
        <v>1</v>
      </c>
      <c r="J5083" s="15"/>
      <c r="K5083" s="16">
        <f>1934.77 - (1934.77 * $E$1)</f>
        <v>1934.77</v>
      </c>
      <c r="L5083" s="16">
        <f>1585.88 - (1585.88 * $E$1)</f>
        <v>1585.88</v>
      </c>
      <c r="M5083" s="1">
        <v>1934.77</v>
      </c>
      <c r="N5083" s="1">
        <v>1585.88</v>
      </c>
      <c r="O5083" s="1">
        <v>1644.56</v>
      </c>
      <c r="P5083" s="1">
        <v>1348</v>
      </c>
      <c r="Q5083">
        <v>1.012</v>
      </c>
      <c r="R5083">
        <v>7.6599999999999997E-4</v>
      </c>
    </row>
    <row r="5084" spans="1:18" ht="13.8" outlineLevel="2" x14ac:dyDescent="0.25">
      <c r="A5084">
        <v>74122</v>
      </c>
      <c r="B5084" t="s">
        <v>7295</v>
      </c>
      <c r="C5084" t="s">
        <v>7309</v>
      </c>
      <c r="D5084" s="14" t="s">
        <v>7310</v>
      </c>
      <c r="E5084" s="12" t="s">
        <v>28</v>
      </c>
      <c r="F5084" s="13" t="s">
        <v>29</v>
      </c>
      <c r="G5084">
        <v>1</v>
      </c>
      <c r="H5084" t="s">
        <v>2364</v>
      </c>
      <c r="I5084">
        <v>1</v>
      </c>
      <c r="J5084" s="15"/>
      <c r="K5084" s="16">
        <f>2310.9 - (2310.9 * $E$1)</f>
        <v>2310.9</v>
      </c>
      <c r="L5084" s="16">
        <f>1894.18 - (1894.18 * $E$1)</f>
        <v>1894.18</v>
      </c>
      <c r="M5084" s="1">
        <v>2310.9</v>
      </c>
      <c r="N5084" s="1">
        <v>1894.18</v>
      </c>
      <c r="O5084" s="1">
        <v>1964.26</v>
      </c>
      <c r="P5084" s="1">
        <v>1610.05</v>
      </c>
      <c r="Q5084">
        <v>0.75</v>
      </c>
      <c r="R5084">
        <v>1.1999999999999999E-3</v>
      </c>
    </row>
    <row r="5085" spans="1:18" ht="13.8" outlineLevel="2" x14ac:dyDescent="0.25">
      <c r="A5085">
        <v>87207</v>
      </c>
      <c r="B5085" t="s">
        <v>7295</v>
      </c>
      <c r="C5085" t="s">
        <v>7311</v>
      </c>
      <c r="D5085" s="14" t="s">
        <v>7310</v>
      </c>
      <c r="E5085" s="12" t="s">
        <v>28</v>
      </c>
      <c r="F5085" s="13" t="s">
        <v>29</v>
      </c>
      <c r="G5085">
        <v>1</v>
      </c>
      <c r="H5085" t="s">
        <v>2364</v>
      </c>
      <c r="I5085">
        <v>1</v>
      </c>
      <c r="J5085" s="15"/>
      <c r="K5085" s="16">
        <f>2638.57 - (2638.57 * $E$1)</f>
        <v>2638.57</v>
      </c>
      <c r="L5085" s="16">
        <f>2162.76 - (2162.76 * $E$1)</f>
        <v>2162.7600000000002</v>
      </c>
      <c r="M5085" s="1">
        <v>2638.57</v>
      </c>
      <c r="N5085" s="1">
        <v>2162.7600000000002</v>
      </c>
      <c r="O5085" s="1">
        <v>2242.7800000000002</v>
      </c>
      <c r="P5085" s="1">
        <v>1838.35</v>
      </c>
      <c r="Q5085">
        <v>1.052</v>
      </c>
      <c r="R5085">
        <v>7.2300000000000001E-4</v>
      </c>
    </row>
    <row r="5086" spans="1:18" ht="13.8" outlineLevel="2" x14ac:dyDescent="0.25">
      <c r="A5086">
        <v>73488</v>
      </c>
      <c r="B5086" t="s">
        <v>7295</v>
      </c>
      <c r="C5086" t="s">
        <v>7312</v>
      </c>
      <c r="D5086" s="14" t="s">
        <v>7313</v>
      </c>
      <c r="E5086" s="12" t="s">
        <v>28</v>
      </c>
      <c r="F5086" s="13" t="s">
        <v>29</v>
      </c>
      <c r="G5086">
        <v>1</v>
      </c>
      <c r="H5086" t="s">
        <v>2364</v>
      </c>
      <c r="I5086">
        <v>1</v>
      </c>
      <c r="J5086" s="15"/>
      <c r="K5086" s="16">
        <f>2256.71 - (2256.71 * $E$1)</f>
        <v>2256.71</v>
      </c>
      <c r="L5086" s="16">
        <f>1849.76 - (1849.76 * $E$1)</f>
        <v>1849.76</v>
      </c>
      <c r="M5086" s="1">
        <v>2256.71</v>
      </c>
      <c r="N5086" s="1">
        <v>1849.76</v>
      </c>
      <c r="O5086" s="1">
        <v>1918.2</v>
      </c>
      <c r="P5086" s="1">
        <v>1572.3</v>
      </c>
      <c r="Q5086">
        <v>0.92</v>
      </c>
      <c r="R5086">
        <v>1.1999999999999999E-3</v>
      </c>
    </row>
    <row r="5087" spans="1:18" ht="13.8" outlineLevel="2" x14ac:dyDescent="0.25">
      <c r="A5087">
        <v>72024</v>
      </c>
      <c r="B5087" t="s">
        <v>7295</v>
      </c>
      <c r="C5087" t="s">
        <v>7314</v>
      </c>
      <c r="D5087" s="14" t="s">
        <v>7313</v>
      </c>
      <c r="E5087" s="12" t="s">
        <v>28</v>
      </c>
      <c r="F5087" s="13" t="s">
        <v>29</v>
      </c>
      <c r="G5087">
        <v>1</v>
      </c>
      <c r="H5087" t="s">
        <v>2364</v>
      </c>
      <c r="I5087">
        <v>1</v>
      </c>
      <c r="J5087" s="15"/>
      <c r="K5087" s="16">
        <f>2345.21 - (2345.21 * $E$1)</f>
        <v>2345.21</v>
      </c>
      <c r="L5087" s="16">
        <f>1922.3 - (1922.3 * $E$1)</f>
        <v>1922.3</v>
      </c>
      <c r="M5087" s="1">
        <v>2345.21</v>
      </c>
      <c r="N5087" s="1">
        <v>1922.3</v>
      </c>
      <c r="O5087" s="1">
        <v>1993.43</v>
      </c>
      <c r="P5087" s="1">
        <v>1633.96</v>
      </c>
      <c r="Q5087">
        <v>1.03</v>
      </c>
      <c r="R5087">
        <v>7.2300000000000001E-4</v>
      </c>
    </row>
    <row r="5088" spans="1:18" ht="13.8" outlineLevel="2" x14ac:dyDescent="0.25">
      <c r="A5088">
        <v>77647</v>
      </c>
      <c r="B5088" t="s">
        <v>7295</v>
      </c>
      <c r="C5088" t="s">
        <v>7315</v>
      </c>
      <c r="D5088" s="14" t="s">
        <v>7316</v>
      </c>
      <c r="E5088" s="12" t="s">
        <v>28</v>
      </c>
      <c r="F5088" s="13" t="s">
        <v>29</v>
      </c>
      <c r="G5088">
        <v>1</v>
      </c>
      <c r="H5088" t="s">
        <v>2364</v>
      </c>
      <c r="I5088">
        <v>1</v>
      </c>
      <c r="J5088" s="15"/>
      <c r="K5088" s="16">
        <f>4302.53 - (4302.53 * $E$1)</f>
        <v>4302.53</v>
      </c>
      <c r="L5088" s="16">
        <f>3526.66 - (3526.66 * $E$1)</f>
        <v>3526.66</v>
      </c>
      <c r="M5088" s="1">
        <v>4302.53</v>
      </c>
      <c r="N5088" s="1">
        <v>3526.66</v>
      </c>
      <c r="O5088" s="1">
        <v>3657.15</v>
      </c>
      <c r="P5088" s="1">
        <v>2997.66</v>
      </c>
      <c r="Q5088">
        <v>1.52</v>
      </c>
      <c r="R5088">
        <v>8.8199999999999997E-4</v>
      </c>
    </row>
    <row r="5089" spans="1:18" ht="13.8" outlineLevel="2" x14ac:dyDescent="0.25">
      <c r="A5089">
        <v>72033</v>
      </c>
      <c r="B5089" t="s">
        <v>7295</v>
      </c>
      <c r="C5089" t="s">
        <v>7317</v>
      </c>
      <c r="D5089" s="14" t="s">
        <v>7316</v>
      </c>
      <c r="E5089" s="12" t="s">
        <v>28</v>
      </c>
      <c r="F5089" s="13" t="s">
        <v>29</v>
      </c>
      <c r="G5089">
        <v>1</v>
      </c>
      <c r="H5089" t="s">
        <v>2364</v>
      </c>
      <c r="I5089">
        <v>1</v>
      </c>
      <c r="J5089" s="15"/>
      <c r="K5089" s="16">
        <f>2786.05 - (2786.05 * $E$1)</f>
        <v>2786.05</v>
      </c>
      <c r="L5089" s="16">
        <f>2283.65 - (2283.65 * $E$1)</f>
        <v>2283.65</v>
      </c>
      <c r="M5089" s="1">
        <v>2786.05</v>
      </c>
      <c r="N5089" s="1">
        <v>2283.65</v>
      </c>
      <c r="O5089" s="1">
        <v>2368.15</v>
      </c>
      <c r="P5089" s="1">
        <v>1941.1</v>
      </c>
      <c r="Q5089">
        <v>0.92</v>
      </c>
      <c r="R5089">
        <v>1.1999999999999999E-3</v>
      </c>
    </row>
    <row r="5090" spans="1:18" ht="13.8" outlineLevel="2" x14ac:dyDescent="0.25">
      <c r="A5090">
        <v>72034</v>
      </c>
      <c r="B5090" t="s">
        <v>7295</v>
      </c>
      <c r="C5090" t="s">
        <v>7318</v>
      </c>
      <c r="D5090" s="14" t="s">
        <v>7316</v>
      </c>
      <c r="E5090" s="12" t="s">
        <v>28</v>
      </c>
      <c r="F5090" s="13" t="s">
        <v>29</v>
      </c>
      <c r="G5090">
        <v>1</v>
      </c>
      <c r="H5090" t="s">
        <v>2364</v>
      </c>
      <c r="I5090">
        <v>1</v>
      </c>
      <c r="J5090" s="15"/>
      <c r="K5090" s="16">
        <f>3062.81 - (3062.81 * $E$1)</f>
        <v>3062.81</v>
      </c>
      <c r="L5090" s="16">
        <f>2510.5 - (2510.5 * $E$1)</f>
        <v>2510.5</v>
      </c>
      <c r="M5090" s="1">
        <v>3062.81</v>
      </c>
      <c r="N5090" s="1">
        <v>2510.5</v>
      </c>
      <c r="O5090" s="1">
        <v>2603.39</v>
      </c>
      <c r="P5090" s="1">
        <v>2133.9299999999998</v>
      </c>
      <c r="Q5090">
        <v>1.0920000000000001</v>
      </c>
      <c r="R5090">
        <v>6.1399999999999996E-4</v>
      </c>
    </row>
    <row r="5091" spans="1:18" ht="13.8" outlineLevel="2" x14ac:dyDescent="0.25">
      <c r="A5091">
        <v>77648</v>
      </c>
      <c r="B5091" t="s">
        <v>7319</v>
      </c>
      <c r="C5091" t="s">
        <v>7320</v>
      </c>
      <c r="D5091" s="14" t="s">
        <v>7321</v>
      </c>
      <c r="E5091" s="12" t="s">
        <v>28</v>
      </c>
      <c r="F5091" s="13" t="s">
        <v>29</v>
      </c>
      <c r="G5091">
        <v>1</v>
      </c>
      <c r="H5091" t="s">
        <v>420</v>
      </c>
      <c r="I5091">
        <v>1</v>
      </c>
      <c r="J5091" s="15"/>
      <c r="K5091" s="16">
        <f>1098.34 - (1098.34 * $E$1)</f>
        <v>1098.3399999999999</v>
      </c>
      <c r="L5091" s="16">
        <f>900.28 - (900.28 * $E$1)</f>
        <v>900.28</v>
      </c>
      <c r="M5091" s="1">
        <v>1098.3399999999999</v>
      </c>
      <c r="N5091" s="1">
        <v>900.28</v>
      </c>
      <c r="O5091" s="1">
        <v>933.59</v>
      </c>
      <c r="P5091" s="1">
        <v>765.24</v>
      </c>
      <c r="Q5091">
        <v>0.2</v>
      </c>
      <c r="R5091">
        <v>1.56E-4</v>
      </c>
    </row>
    <row r="5092" spans="1:18" ht="13.8" outlineLevel="2" x14ac:dyDescent="0.25">
      <c r="A5092">
        <v>72038</v>
      </c>
      <c r="B5092" t="s">
        <v>7319</v>
      </c>
      <c r="C5092" t="s">
        <v>7322</v>
      </c>
      <c r="D5092" s="14" t="s">
        <v>7321</v>
      </c>
      <c r="E5092" s="12" t="s">
        <v>28</v>
      </c>
      <c r="F5092" s="13" t="s">
        <v>29</v>
      </c>
      <c r="G5092">
        <v>1</v>
      </c>
      <c r="H5092" t="s">
        <v>420</v>
      </c>
      <c r="I5092">
        <v>1</v>
      </c>
      <c r="J5092" s="15"/>
      <c r="K5092" s="16">
        <f>1313.12 - (1313.12 * $E$1)</f>
        <v>1313.12</v>
      </c>
      <c r="L5092" s="16">
        <f>1076.33 - (1076.33 * $E$1)</f>
        <v>1076.33</v>
      </c>
      <c r="M5092" s="1">
        <v>1313.12</v>
      </c>
      <c r="N5092" s="1">
        <v>1076.33</v>
      </c>
      <c r="O5092" s="1">
        <v>1116.1500000000001</v>
      </c>
      <c r="P5092" s="1">
        <v>914.88</v>
      </c>
      <c r="Q5092">
        <v>0.28999999999999998</v>
      </c>
      <c r="R5092">
        <v>3.8999999999999999E-4</v>
      </c>
    </row>
    <row r="5093" spans="1:18" ht="13.8" outlineLevel="2" x14ac:dyDescent="0.25">
      <c r="A5093">
        <v>72040</v>
      </c>
      <c r="B5093" t="s">
        <v>7319</v>
      </c>
      <c r="C5093" t="s">
        <v>7323</v>
      </c>
      <c r="D5093" s="14" t="s">
        <v>7321</v>
      </c>
      <c r="E5093" s="12" t="s">
        <v>28</v>
      </c>
      <c r="F5093" s="13" t="s">
        <v>29</v>
      </c>
      <c r="G5093">
        <v>1</v>
      </c>
      <c r="H5093" t="s">
        <v>420</v>
      </c>
      <c r="I5093">
        <v>1</v>
      </c>
      <c r="J5093" s="15"/>
      <c r="K5093" s="16">
        <f>1802.23 - (1802.23 * $E$1)</f>
        <v>1802.23</v>
      </c>
      <c r="L5093" s="16">
        <f>1477.24 - (1477.24 * $E$1)</f>
        <v>1477.24</v>
      </c>
      <c r="M5093" s="1">
        <v>1802.23</v>
      </c>
      <c r="N5093" s="1">
        <v>1477.24</v>
      </c>
      <c r="O5093" s="1">
        <v>1531.9</v>
      </c>
      <c r="P5093" s="1">
        <v>1255.6500000000001</v>
      </c>
      <c r="Q5093">
        <v>0.41499999999999998</v>
      </c>
      <c r="R5093">
        <v>6.2399999999999999E-4</v>
      </c>
    </row>
    <row r="5094" spans="1:18" ht="13.8" outlineLevel="2" x14ac:dyDescent="0.25">
      <c r="A5094">
        <v>73489</v>
      </c>
      <c r="B5094" t="s">
        <v>7319</v>
      </c>
      <c r="C5094" t="s">
        <v>7324</v>
      </c>
      <c r="D5094" s="14" t="s">
        <v>7325</v>
      </c>
      <c r="E5094" s="12" t="s">
        <v>28</v>
      </c>
      <c r="F5094" s="13" t="s">
        <v>29</v>
      </c>
      <c r="G5094">
        <v>1</v>
      </c>
      <c r="H5094" t="s">
        <v>420</v>
      </c>
      <c r="I5094">
        <v>1</v>
      </c>
      <c r="J5094" s="15"/>
      <c r="K5094" s="16">
        <f>973.73 - (973.73 * $E$1)</f>
        <v>973.73</v>
      </c>
      <c r="L5094" s="16">
        <f>798.14 - (798.14 * $E$1)</f>
        <v>798.14</v>
      </c>
      <c r="M5094" s="1">
        <v>973.73</v>
      </c>
      <c r="N5094" s="1">
        <v>798.14</v>
      </c>
      <c r="O5094" s="1">
        <v>827.67</v>
      </c>
      <c r="P5094" s="1">
        <v>678.42</v>
      </c>
      <c r="Q5094">
        <v>0.28000000000000003</v>
      </c>
      <c r="R5094">
        <v>6.2399999999999999E-4</v>
      </c>
    </row>
    <row r="5095" spans="1:18" ht="13.8" outlineLevel="2" x14ac:dyDescent="0.25">
      <c r="A5095">
        <v>72035</v>
      </c>
      <c r="B5095" t="s">
        <v>7319</v>
      </c>
      <c r="C5095" t="s">
        <v>7326</v>
      </c>
      <c r="D5095" s="14" t="s">
        <v>7325</v>
      </c>
      <c r="E5095" s="12" t="s">
        <v>28</v>
      </c>
      <c r="F5095" s="13" t="s">
        <v>29</v>
      </c>
      <c r="G5095">
        <v>1</v>
      </c>
      <c r="H5095" t="s">
        <v>420</v>
      </c>
      <c r="I5095">
        <v>1</v>
      </c>
      <c r="J5095" s="15"/>
      <c r="K5095" s="16">
        <f>1377.97 - (1377.97 * $E$1)</f>
        <v>1377.97</v>
      </c>
      <c r="L5095" s="16">
        <f>1129.48 - (1129.48 * $E$1)</f>
        <v>1129.48</v>
      </c>
      <c r="M5095" s="1">
        <v>1377.97</v>
      </c>
      <c r="N5095" s="1">
        <v>1129.48</v>
      </c>
      <c r="O5095" s="1">
        <v>1171.27</v>
      </c>
      <c r="P5095" s="1">
        <v>960.06</v>
      </c>
      <c r="Q5095">
        <v>0.42</v>
      </c>
      <c r="R5095">
        <v>6.2399999999999999E-4</v>
      </c>
    </row>
    <row r="5096" spans="1:18" ht="13.8" outlineLevel="2" x14ac:dyDescent="0.25">
      <c r="A5096">
        <v>101757</v>
      </c>
      <c r="B5096" t="s">
        <v>7319</v>
      </c>
      <c r="C5096" t="s">
        <v>7327</v>
      </c>
      <c r="D5096" s="14" t="s">
        <v>7325</v>
      </c>
      <c r="E5096" s="12" t="s">
        <v>28</v>
      </c>
      <c r="F5096" s="13" t="s">
        <v>29</v>
      </c>
      <c r="G5096">
        <v>1</v>
      </c>
      <c r="H5096" t="s">
        <v>420</v>
      </c>
      <c r="I5096">
        <v>1</v>
      </c>
      <c r="J5096" s="15"/>
      <c r="K5096" s="16">
        <f>1914.94 - (1914.94 * $E$1)</f>
        <v>1914.94</v>
      </c>
      <c r="L5096" s="16">
        <f>1569.62 - (1569.62 * $E$1)</f>
        <v>1569.62</v>
      </c>
      <c r="M5096" s="1">
        <v>1914.94</v>
      </c>
      <c r="N5096" s="1">
        <v>1569.62</v>
      </c>
      <c r="O5096" s="1">
        <v>1627.7</v>
      </c>
      <c r="P5096" s="1">
        <v>1334.18</v>
      </c>
      <c r="Q5096">
        <v>0.82499999999999996</v>
      </c>
      <c r="R5096">
        <v>5.8500000000000002E-4</v>
      </c>
    </row>
    <row r="5097" spans="1:18" ht="13.8" outlineLevel="2" x14ac:dyDescent="0.25">
      <c r="A5097">
        <v>74198</v>
      </c>
      <c r="B5097" t="s">
        <v>7319</v>
      </c>
      <c r="C5097" t="s">
        <v>7328</v>
      </c>
      <c r="D5097" s="14" t="s">
        <v>7329</v>
      </c>
      <c r="E5097" s="12" t="s">
        <v>28</v>
      </c>
      <c r="F5097" s="13" t="s">
        <v>29</v>
      </c>
      <c r="G5097">
        <v>1</v>
      </c>
      <c r="H5097" t="s">
        <v>420</v>
      </c>
      <c r="I5097">
        <v>1</v>
      </c>
      <c r="J5097" s="15"/>
      <c r="K5097" s="16">
        <f>1238.48 - (1238.48 * $E$1)</f>
        <v>1238.48</v>
      </c>
      <c r="L5097" s="16">
        <f>1015.15 - (1015.15 * $E$1)</f>
        <v>1015.15</v>
      </c>
      <c r="M5097" s="1">
        <v>1238.48</v>
      </c>
      <c r="N5097" s="1">
        <v>1015.15</v>
      </c>
      <c r="O5097" s="1">
        <v>1052.71</v>
      </c>
      <c r="P5097" s="1">
        <v>862.88</v>
      </c>
      <c r="Q5097">
        <v>0.49</v>
      </c>
      <c r="R5097">
        <v>5.8500000000000002E-4</v>
      </c>
    </row>
    <row r="5098" spans="1:18" ht="13.8" outlineLevel="2" x14ac:dyDescent="0.25">
      <c r="A5098">
        <v>73383</v>
      </c>
      <c r="B5098" t="s">
        <v>7330</v>
      </c>
      <c r="C5098" t="s">
        <v>7331</v>
      </c>
      <c r="D5098" s="14" t="s">
        <v>7332</v>
      </c>
      <c r="E5098" s="12" t="s">
        <v>28</v>
      </c>
      <c r="F5098" s="13" t="s">
        <v>29</v>
      </c>
      <c r="G5098">
        <v>1</v>
      </c>
      <c r="H5098" t="s">
        <v>420</v>
      </c>
      <c r="I5098">
        <v>1</v>
      </c>
      <c r="J5098" s="15"/>
      <c r="K5098" s="16">
        <f>1989.56 - (1989.56 * $E$1)</f>
        <v>1989.56</v>
      </c>
      <c r="L5098" s="16">
        <f>1630.79 - (1630.79 * $E$1)</f>
        <v>1630.79</v>
      </c>
      <c r="M5098" s="1">
        <v>1989.56</v>
      </c>
      <c r="N5098" s="1">
        <v>1630.79</v>
      </c>
      <c r="O5098" s="1">
        <v>1691.13</v>
      </c>
      <c r="P5098" s="1">
        <v>1386.17</v>
      </c>
      <c r="Q5098">
        <v>1.1830000000000001</v>
      </c>
      <c r="R5098">
        <v>1.08E-3</v>
      </c>
    </row>
    <row r="5099" spans="1:18" ht="13.8" outlineLevel="2" x14ac:dyDescent="0.25">
      <c r="A5099">
        <v>83584</v>
      </c>
      <c r="B5099" t="s">
        <v>7330</v>
      </c>
      <c r="C5099" t="s">
        <v>7333</v>
      </c>
      <c r="D5099" s="14" t="s">
        <v>7334</v>
      </c>
      <c r="E5099" s="12" t="s">
        <v>28</v>
      </c>
      <c r="F5099" s="13" t="s">
        <v>29</v>
      </c>
      <c r="G5099">
        <v>1</v>
      </c>
      <c r="H5099" t="s">
        <v>420</v>
      </c>
      <c r="I5099">
        <v>1</v>
      </c>
      <c r="J5099" s="15"/>
      <c r="K5099" s="16">
        <f>1459.1 - (1459.1 * $E$1)</f>
        <v>1459.1</v>
      </c>
      <c r="L5099" s="16">
        <f>1195.98 - (1195.98 * $E$1)</f>
        <v>1195.98</v>
      </c>
      <c r="M5099" s="1">
        <v>1459.1</v>
      </c>
      <c r="N5099" s="1">
        <v>1195.98</v>
      </c>
      <c r="O5099" s="1">
        <v>1240.23</v>
      </c>
      <c r="P5099" s="1">
        <v>1016.58</v>
      </c>
      <c r="Q5099">
        <v>1.1499999999999999</v>
      </c>
      <c r="R5099">
        <v>1.1999999999999999E-3</v>
      </c>
    </row>
    <row r="5100" spans="1:18" ht="33.75" customHeight="1" x14ac:dyDescent="0.35">
      <c r="A5100" s="9"/>
      <c r="B5100" s="10" t="s">
        <v>7335</v>
      </c>
      <c r="C5100" s="10"/>
      <c r="D5100" s="10"/>
      <c r="E5100" s="10"/>
      <c r="F5100" s="10"/>
      <c r="G5100" s="10"/>
      <c r="H5100" s="10"/>
      <c r="I5100" s="10"/>
      <c r="J5100" s="10"/>
      <c r="K5100" s="10"/>
      <c r="L5100" s="10"/>
      <c r="M5100" s="10"/>
      <c r="N5100" s="10"/>
      <c r="O5100" s="10"/>
      <c r="P5100" s="10"/>
      <c r="Q5100" s="10"/>
      <c r="R5100" s="11"/>
    </row>
    <row r="5101" spans="1:18" ht="16.5" customHeight="1" outlineLevel="1" x14ac:dyDescent="0.35">
      <c r="A5101" s="9"/>
      <c r="B5101" s="10" t="s">
        <v>7336</v>
      </c>
      <c r="C5101" s="10"/>
      <c r="D5101" s="10"/>
      <c r="E5101" s="10"/>
      <c r="F5101" s="10"/>
      <c r="G5101" s="10"/>
      <c r="H5101" s="10"/>
      <c r="I5101" s="10"/>
      <c r="J5101" s="10"/>
      <c r="K5101" s="10"/>
      <c r="L5101" s="10"/>
      <c r="M5101" s="10"/>
      <c r="N5101" s="10"/>
      <c r="O5101" s="10"/>
      <c r="P5101" s="10"/>
      <c r="Q5101" s="10"/>
      <c r="R5101" s="11"/>
    </row>
    <row r="5102" spans="1:18" ht="13.8" outlineLevel="2" x14ac:dyDescent="0.25">
      <c r="A5102">
        <v>68980</v>
      </c>
      <c r="B5102" t="s">
        <v>7337</v>
      </c>
      <c r="C5102" t="s">
        <v>7338</v>
      </c>
      <c r="D5102" s="14" t="s">
        <v>7339</v>
      </c>
      <c r="E5102" s="12" t="s">
        <v>28</v>
      </c>
      <c r="F5102" s="13" t="s">
        <v>29</v>
      </c>
      <c r="G5102">
        <v>100</v>
      </c>
      <c r="H5102" t="s">
        <v>30</v>
      </c>
      <c r="I5102">
        <v>100</v>
      </c>
      <c r="J5102" s="15"/>
      <c r="K5102" s="16">
        <f>IF($E$1&gt;=$Q$1%,10.63-(10.63*$Q$1%),10.63-(10.63*$E$1))</f>
        <v>10.63</v>
      </c>
      <c r="L5102" s="16">
        <f>IF($E$1&gt;=$Q$1%,8.71-(8.71*$Q$1%),8.71-(8.71*$E$1))</f>
        <v>8.7100000000000009</v>
      </c>
      <c r="M5102" s="1">
        <v>10.63</v>
      </c>
      <c r="N5102" s="1">
        <v>8.7100000000000009</v>
      </c>
      <c r="O5102" s="1">
        <v>10.63</v>
      </c>
      <c r="P5102" s="1">
        <v>8.7100000000000009</v>
      </c>
      <c r="Q5102">
        <v>1.1259999999999999E-2</v>
      </c>
      <c r="R5102">
        <v>7.6799999999999993E-6</v>
      </c>
    </row>
    <row r="5103" spans="1:18" ht="13.8" outlineLevel="2" x14ac:dyDescent="0.25">
      <c r="A5103">
        <v>68981</v>
      </c>
      <c r="B5103" t="s">
        <v>7337</v>
      </c>
      <c r="C5103" t="s">
        <v>7340</v>
      </c>
      <c r="D5103" s="14" t="s">
        <v>7339</v>
      </c>
      <c r="E5103" s="12" t="s">
        <v>28</v>
      </c>
      <c r="F5103" s="13" t="s">
        <v>29</v>
      </c>
      <c r="G5103">
        <v>100</v>
      </c>
      <c r="H5103" t="s">
        <v>30</v>
      </c>
      <c r="I5103">
        <v>100</v>
      </c>
      <c r="J5103" s="15"/>
      <c r="K5103" s="16">
        <f>IF($E$1&gt;=$Q$1%,10.99-(10.99*$Q$1%),10.99-(10.99*$E$1))</f>
        <v>10.99</v>
      </c>
      <c r="L5103" s="16">
        <f>IF($E$1&gt;=$Q$1%,9.01-(9.01*$Q$1%),9.01-(9.01*$E$1))</f>
        <v>9.01</v>
      </c>
      <c r="M5103" s="1">
        <v>10.99</v>
      </c>
      <c r="N5103" s="1">
        <v>9.01</v>
      </c>
      <c r="O5103" s="1">
        <v>10.99</v>
      </c>
      <c r="P5103" s="1">
        <v>9.01</v>
      </c>
      <c r="Q5103">
        <v>1.18E-2</v>
      </c>
      <c r="R5103">
        <v>9.0000000000000002E-6</v>
      </c>
    </row>
    <row r="5104" spans="1:18" ht="13.8" outlineLevel="2" x14ac:dyDescent="0.25">
      <c r="A5104">
        <v>68982</v>
      </c>
      <c r="B5104" t="s">
        <v>7337</v>
      </c>
      <c r="C5104" t="s">
        <v>7341</v>
      </c>
      <c r="D5104" s="14" t="s">
        <v>7339</v>
      </c>
      <c r="E5104" s="12" t="s">
        <v>28</v>
      </c>
      <c r="F5104" s="13" t="s">
        <v>29</v>
      </c>
      <c r="G5104">
        <v>100</v>
      </c>
      <c r="H5104" t="s">
        <v>30</v>
      </c>
      <c r="I5104">
        <v>100</v>
      </c>
      <c r="J5104" s="15"/>
      <c r="K5104" s="16">
        <f>IF($E$1&gt;=$Q$1%,11.86-(11.86*$Q$1%),11.86-(11.86*$E$1))</f>
        <v>11.86</v>
      </c>
      <c r="L5104" s="16">
        <f>IF($E$1&gt;=$Q$1%,9.72-(9.72*$Q$1%),9.72-(9.72*$E$1))</f>
        <v>9.7200000000000006</v>
      </c>
      <c r="M5104" s="1">
        <v>11.86</v>
      </c>
      <c r="N5104" s="1">
        <v>9.7200000000000006</v>
      </c>
      <c r="O5104" s="1">
        <v>11.86</v>
      </c>
      <c r="P5104" s="1">
        <v>9.7200000000000006</v>
      </c>
      <c r="Q5104">
        <v>1.2699999999999999E-2</v>
      </c>
      <c r="R5104">
        <v>1.4450000000000001E-5</v>
      </c>
    </row>
    <row r="5105" spans="1:18" ht="13.8" outlineLevel="2" x14ac:dyDescent="0.25">
      <c r="A5105">
        <v>103907</v>
      </c>
      <c r="B5105" t="s">
        <v>7337</v>
      </c>
      <c r="C5105" t="s">
        <v>7342</v>
      </c>
      <c r="D5105" s="14" t="s">
        <v>7339</v>
      </c>
      <c r="E5105" s="12" t="s">
        <v>28</v>
      </c>
      <c r="F5105" s="13" t="s">
        <v>29</v>
      </c>
      <c r="G5105">
        <v>100</v>
      </c>
      <c r="H5105" t="s">
        <v>30</v>
      </c>
      <c r="I5105">
        <v>100</v>
      </c>
      <c r="J5105" s="15"/>
      <c r="K5105" s="16">
        <f>IF($E$1&gt;=$Q$1%,11.9-(11.9*$Q$1%),11.9-(11.9*$E$1))</f>
        <v>11.9</v>
      </c>
      <c r="L5105" s="16">
        <f>IF($E$1&gt;=$Q$1%,9.75-(9.75*$Q$1%),9.75-(9.75*$E$1))</f>
        <v>9.75</v>
      </c>
      <c r="M5105" s="1">
        <v>11.9</v>
      </c>
      <c r="N5105" s="1">
        <v>9.75</v>
      </c>
      <c r="O5105" s="1">
        <v>11.9</v>
      </c>
      <c r="P5105" s="1">
        <v>9.75</v>
      </c>
      <c r="Q5105">
        <v>1.23E-2</v>
      </c>
      <c r="R5105">
        <v>2.0999999999999999E-5</v>
      </c>
    </row>
    <row r="5106" spans="1:18" ht="13.8" outlineLevel="2" x14ac:dyDescent="0.25">
      <c r="A5106">
        <v>68983</v>
      </c>
      <c r="B5106" t="s">
        <v>7337</v>
      </c>
      <c r="C5106" t="s">
        <v>7343</v>
      </c>
      <c r="D5106" s="14" t="s">
        <v>7339</v>
      </c>
      <c r="E5106" s="12" t="s">
        <v>28</v>
      </c>
      <c r="F5106" s="13" t="s">
        <v>29</v>
      </c>
      <c r="G5106">
        <v>100</v>
      </c>
      <c r="H5106" t="s">
        <v>30</v>
      </c>
      <c r="I5106">
        <v>100</v>
      </c>
      <c r="J5106" s="15"/>
      <c r="K5106" s="16">
        <f>IF($E$1&gt;=$Q$1%,12.59-(12.59*$Q$1%),12.59-(12.59*$E$1))</f>
        <v>12.59</v>
      </c>
      <c r="L5106" s="16">
        <f>IF($E$1&gt;=$Q$1%,10.32-(10.32*$Q$1%),10.32-(10.32*$E$1))</f>
        <v>10.32</v>
      </c>
      <c r="M5106" s="1">
        <v>12.59</v>
      </c>
      <c r="N5106" s="1">
        <v>10.32</v>
      </c>
      <c r="O5106" s="1">
        <v>12.59</v>
      </c>
      <c r="P5106" s="1">
        <v>10.32</v>
      </c>
      <c r="Q5106">
        <v>1.337E-2</v>
      </c>
      <c r="R5106">
        <v>2.4839999999999999E-5</v>
      </c>
    </row>
    <row r="5107" spans="1:18" ht="13.8" outlineLevel="2" x14ac:dyDescent="0.25">
      <c r="A5107">
        <v>103908</v>
      </c>
      <c r="B5107" t="s">
        <v>7337</v>
      </c>
      <c r="C5107" t="s">
        <v>7344</v>
      </c>
      <c r="D5107" s="14" t="s">
        <v>7339</v>
      </c>
      <c r="E5107" s="12" t="s">
        <v>28</v>
      </c>
      <c r="F5107" s="13" t="s">
        <v>29</v>
      </c>
      <c r="G5107">
        <v>100</v>
      </c>
      <c r="H5107" t="s">
        <v>30</v>
      </c>
      <c r="I5107">
        <v>100</v>
      </c>
      <c r="J5107" s="15"/>
      <c r="K5107" s="16">
        <f>IF($E$1&gt;=$Q$1%,12.61-(12.61*$Q$1%),12.61-(12.61*$E$1))</f>
        <v>12.61</v>
      </c>
      <c r="L5107" s="16">
        <f>IF($E$1&gt;=$Q$1%,10.34-(10.34*$Q$1%),10.34-(10.34*$E$1))</f>
        <v>10.34</v>
      </c>
      <c r="M5107" s="1">
        <v>12.61</v>
      </c>
      <c r="N5107" s="1">
        <v>10.34</v>
      </c>
      <c r="O5107" s="1">
        <v>12.61</v>
      </c>
      <c r="P5107" s="1">
        <v>10.34</v>
      </c>
      <c r="Q5107">
        <v>1.3100000000000001E-2</v>
      </c>
      <c r="R5107">
        <v>3.3080000000000002E-5</v>
      </c>
    </row>
    <row r="5108" spans="1:18" ht="13.8" outlineLevel="2" x14ac:dyDescent="0.25">
      <c r="A5108">
        <v>68984</v>
      </c>
      <c r="B5108" t="s">
        <v>7337</v>
      </c>
      <c r="C5108" t="s">
        <v>7345</v>
      </c>
      <c r="D5108" s="14" t="s">
        <v>7339</v>
      </c>
      <c r="E5108" s="12" t="s">
        <v>28</v>
      </c>
      <c r="F5108" s="13" t="s">
        <v>29</v>
      </c>
      <c r="G5108">
        <v>50</v>
      </c>
      <c r="H5108" t="s">
        <v>30</v>
      </c>
      <c r="I5108">
        <v>50</v>
      </c>
      <c r="J5108" s="15"/>
      <c r="K5108" s="16">
        <f>IF($E$1&gt;=$Q$1%,13.41-(13.41*$Q$1%),13.41-(13.41*$E$1))</f>
        <v>13.41</v>
      </c>
      <c r="L5108" s="16">
        <f>IF($E$1&gt;=$Q$1%,10.99-(10.99*$Q$1%),10.99-(10.99*$E$1))</f>
        <v>10.99</v>
      </c>
      <c r="M5108" s="1">
        <v>13.41</v>
      </c>
      <c r="N5108" s="1">
        <v>10.99</v>
      </c>
      <c r="O5108" s="1">
        <v>13.41</v>
      </c>
      <c r="P5108" s="1">
        <v>10.99</v>
      </c>
      <c r="Q5108">
        <v>1.5640000000000001E-2</v>
      </c>
      <c r="R5108">
        <v>3.1919999999999999E-5</v>
      </c>
    </row>
    <row r="5109" spans="1:18" ht="13.8" outlineLevel="2" x14ac:dyDescent="0.25">
      <c r="A5109">
        <v>68985</v>
      </c>
      <c r="B5109" t="s">
        <v>7337</v>
      </c>
      <c r="C5109" t="s">
        <v>7346</v>
      </c>
      <c r="D5109" s="14" t="s">
        <v>7339</v>
      </c>
      <c r="E5109" s="12" t="s">
        <v>28</v>
      </c>
      <c r="F5109" s="13" t="s">
        <v>29</v>
      </c>
      <c r="G5109">
        <v>50</v>
      </c>
      <c r="H5109" t="s">
        <v>30</v>
      </c>
      <c r="I5109">
        <v>50</v>
      </c>
      <c r="J5109" s="15"/>
      <c r="K5109" s="16">
        <f>IF($E$1&gt;=$Q$1%,15.64-(15.64*$Q$1%),15.64-(15.64*$E$1))</f>
        <v>15.64</v>
      </c>
      <c r="L5109" s="16">
        <f>IF($E$1&gt;=$Q$1%,12.82-(12.82*$Q$1%),12.82-(12.82*$E$1))</f>
        <v>12.82</v>
      </c>
      <c r="M5109" s="1">
        <v>15.64</v>
      </c>
      <c r="N5109" s="1">
        <v>12.82</v>
      </c>
      <c r="O5109" s="1">
        <v>15.64</v>
      </c>
      <c r="P5109" s="1">
        <v>12.82</v>
      </c>
      <c r="Q5109">
        <v>1.6400000000000001E-2</v>
      </c>
      <c r="R5109">
        <v>4.0920000000000001E-5</v>
      </c>
    </row>
    <row r="5110" spans="1:18" ht="13.8" outlineLevel="2" x14ac:dyDescent="0.25">
      <c r="A5110">
        <v>68986</v>
      </c>
      <c r="B5110" t="s">
        <v>7337</v>
      </c>
      <c r="C5110" t="s">
        <v>7347</v>
      </c>
      <c r="D5110" s="14" t="s">
        <v>7339</v>
      </c>
      <c r="E5110" s="12" t="s">
        <v>28</v>
      </c>
      <c r="F5110" s="13" t="s">
        <v>29</v>
      </c>
      <c r="G5110">
        <v>50</v>
      </c>
      <c r="H5110" t="s">
        <v>30</v>
      </c>
      <c r="I5110">
        <v>50</v>
      </c>
      <c r="J5110" s="15"/>
      <c r="K5110" s="16">
        <f>IF($E$1&gt;=$Q$1%,16.38-(16.38*$Q$1%),16.38-(16.38*$E$1))</f>
        <v>16.38</v>
      </c>
      <c r="L5110" s="16">
        <f>IF($E$1&gt;=$Q$1%,13.43-(13.43*$Q$1%),13.43-(13.43*$E$1))</f>
        <v>13.43</v>
      </c>
      <c r="M5110" s="1">
        <v>16.38</v>
      </c>
      <c r="N5110" s="1">
        <v>13.43</v>
      </c>
      <c r="O5110" s="1">
        <v>16.38</v>
      </c>
      <c r="P5110" s="1">
        <v>13.43</v>
      </c>
      <c r="Q5110">
        <v>1.8800000000000001E-2</v>
      </c>
      <c r="R5110">
        <v>5.236E-5</v>
      </c>
    </row>
    <row r="5111" spans="1:18" ht="13.8" outlineLevel="2" x14ac:dyDescent="0.25">
      <c r="A5111">
        <v>68987</v>
      </c>
      <c r="B5111" t="s">
        <v>7337</v>
      </c>
      <c r="C5111" t="s">
        <v>7348</v>
      </c>
      <c r="D5111" s="14" t="s">
        <v>7339</v>
      </c>
      <c r="E5111" s="12" t="s">
        <v>28</v>
      </c>
      <c r="F5111" s="13" t="s">
        <v>29</v>
      </c>
      <c r="G5111">
        <v>20</v>
      </c>
      <c r="H5111" t="s">
        <v>30</v>
      </c>
      <c r="I5111">
        <v>20</v>
      </c>
      <c r="J5111" s="15"/>
      <c r="K5111" s="16">
        <f>IF($E$1&gt;=$Q$1%,16.98-(16.98*$Q$1%),16.98-(16.98*$E$1))</f>
        <v>16.98</v>
      </c>
      <c r="L5111" s="16">
        <f>IF($E$1&gt;=$Q$1%,13.92-(13.92*$Q$1%),13.92-(13.92*$E$1))</f>
        <v>13.92</v>
      </c>
      <c r="M5111" s="1">
        <v>16.98</v>
      </c>
      <c r="N5111" s="1">
        <v>13.92</v>
      </c>
      <c r="O5111" s="1">
        <v>16.98</v>
      </c>
      <c r="P5111" s="1">
        <v>13.92</v>
      </c>
      <c r="Q5111">
        <v>2.0899999999999998E-2</v>
      </c>
      <c r="R5111">
        <v>8.5000000000000006E-5</v>
      </c>
    </row>
    <row r="5112" spans="1:18" ht="13.8" outlineLevel="2" x14ac:dyDescent="0.25">
      <c r="A5112">
        <v>68988</v>
      </c>
      <c r="B5112" t="s">
        <v>7337</v>
      </c>
      <c r="C5112" t="s">
        <v>7349</v>
      </c>
      <c r="D5112" s="14" t="s">
        <v>7339</v>
      </c>
      <c r="E5112" s="12" t="s">
        <v>28</v>
      </c>
      <c r="F5112" s="13" t="s">
        <v>29</v>
      </c>
      <c r="G5112">
        <v>20</v>
      </c>
      <c r="H5112" t="s">
        <v>30</v>
      </c>
      <c r="I5112">
        <v>20</v>
      </c>
      <c r="J5112" s="15"/>
      <c r="K5112" s="16">
        <f>IF($E$1&gt;=$Q$1%,18.06-(18.06*$Q$1%),18.06-(18.06*$E$1))</f>
        <v>18.059999999999999</v>
      </c>
      <c r="L5112" s="16">
        <f>IF($E$1&gt;=$Q$1%,14.8-(14.8*$Q$1%),14.8-(14.8*$E$1))</f>
        <v>14.8</v>
      </c>
      <c r="M5112" s="1">
        <v>18.059999999999999</v>
      </c>
      <c r="N5112" s="1">
        <v>14.8</v>
      </c>
      <c r="O5112" s="1">
        <v>18.059999999999999</v>
      </c>
      <c r="P5112" s="1">
        <v>14.8</v>
      </c>
      <c r="Q5112">
        <v>2.24E-2</v>
      </c>
      <c r="R5112">
        <v>1.08E-4</v>
      </c>
    </row>
    <row r="5113" spans="1:18" ht="13.8" outlineLevel="2" x14ac:dyDescent="0.25">
      <c r="A5113">
        <v>68989</v>
      </c>
      <c r="B5113" t="s">
        <v>7337</v>
      </c>
      <c r="C5113" t="s">
        <v>7350</v>
      </c>
      <c r="D5113" s="14" t="s">
        <v>7339</v>
      </c>
      <c r="E5113" s="12" t="s">
        <v>28</v>
      </c>
      <c r="F5113" s="13" t="s">
        <v>29</v>
      </c>
      <c r="G5113">
        <v>20</v>
      </c>
      <c r="H5113" t="s">
        <v>30</v>
      </c>
      <c r="I5113">
        <v>20</v>
      </c>
      <c r="J5113" s="15"/>
      <c r="K5113" s="16">
        <f>IF($E$1&gt;=$Q$1%,18.69-(18.69*$Q$1%),18.69-(18.69*$E$1))</f>
        <v>18.690000000000001</v>
      </c>
      <c r="L5113" s="16">
        <f>IF($E$1&gt;=$Q$1%,15.32-(15.32*$Q$1%),15.32-(15.32*$E$1))</f>
        <v>15.32</v>
      </c>
      <c r="M5113" s="1">
        <v>18.690000000000001</v>
      </c>
      <c r="N5113" s="1">
        <v>15.32</v>
      </c>
      <c r="O5113" s="1">
        <v>18.690000000000001</v>
      </c>
      <c r="P5113" s="1">
        <v>15.32</v>
      </c>
      <c r="Q5113">
        <v>2.3650000000000001E-2</v>
      </c>
      <c r="R5113">
        <v>1.2999999999999999E-4</v>
      </c>
    </row>
    <row r="5114" spans="1:18" ht="13.8" outlineLevel="2" x14ac:dyDescent="0.25">
      <c r="A5114">
        <v>68990</v>
      </c>
      <c r="B5114" t="s">
        <v>7337</v>
      </c>
      <c r="C5114" t="s">
        <v>7351</v>
      </c>
      <c r="D5114" s="14" t="s">
        <v>7339</v>
      </c>
      <c r="E5114" s="12" t="s">
        <v>28</v>
      </c>
      <c r="F5114" s="13" t="s">
        <v>29</v>
      </c>
      <c r="G5114">
        <v>20</v>
      </c>
      <c r="H5114" t="s">
        <v>30</v>
      </c>
      <c r="I5114">
        <v>20</v>
      </c>
      <c r="J5114" s="15"/>
      <c r="K5114" s="16">
        <f>IF($E$1&gt;=$Q$1%,19.8-(19.8*$Q$1%),19.8-(19.8*$E$1))</f>
        <v>19.8</v>
      </c>
      <c r="L5114" s="16">
        <f>IF($E$1&gt;=$Q$1%,16.23-(16.23*$Q$1%),16.23-(16.23*$E$1))</f>
        <v>16.23</v>
      </c>
      <c r="M5114" s="1">
        <v>19.8</v>
      </c>
      <c r="N5114" s="1">
        <v>16.23</v>
      </c>
      <c r="O5114" s="1">
        <v>19.8</v>
      </c>
      <c r="P5114" s="1">
        <v>16.23</v>
      </c>
      <c r="Q5114">
        <v>2.5999999999999999E-2</v>
      </c>
      <c r="R5114">
        <v>1.3200000000000001E-4</v>
      </c>
    </row>
    <row r="5115" spans="1:18" ht="13.8" outlineLevel="2" x14ac:dyDescent="0.25">
      <c r="A5115">
        <v>68991</v>
      </c>
      <c r="B5115" t="s">
        <v>7337</v>
      </c>
      <c r="C5115" t="s">
        <v>7352</v>
      </c>
      <c r="D5115" s="14" t="s">
        <v>7339</v>
      </c>
      <c r="E5115" s="12" t="s">
        <v>28</v>
      </c>
      <c r="F5115" s="13" t="s">
        <v>29</v>
      </c>
      <c r="G5115">
        <v>20</v>
      </c>
      <c r="H5115" t="s">
        <v>30</v>
      </c>
      <c r="I5115">
        <v>20</v>
      </c>
      <c r="J5115" s="15"/>
      <c r="K5115" s="16">
        <f>IF($E$1&gt;=$Q$1%,24.8-(24.8*$Q$1%),24.8-(24.8*$E$1))</f>
        <v>24.8</v>
      </c>
      <c r="L5115" s="16">
        <f>IF($E$1&gt;=$Q$1%,20.33-(20.33*$Q$1%),20.33-(20.33*$E$1))</f>
        <v>20.329999999999998</v>
      </c>
      <c r="M5115" s="1">
        <v>24.8</v>
      </c>
      <c r="N5115" s="1">
        <v>20.329999999999998</v>
      </c>
      <c r="O5115" s="1">
        <v>24.8</v>
      </c>
      <c r="P5115" s="1">
        <v>20.329999999999998</v>
      </c>
      <c r="Q5115">
        <v>2.75E-2</v>
      </c>
      <c r="R5115">
        <v>1.0285000000000001E-4</v>
      </c>
    </row>
    <row r="5116" spans="1:18" ht="13.8" outlineLevel="2" x14ac:dyDescent="0.25">
      <c r="A5116">
        <v>103909</v>
      </c>
      <c r="B5116" t="s">
        <v>7337</v>
      </c>
      <c r="C5116" t="s">
        <v>7353</v>
      </c>
      <c r="D5116" s="14" t="s">
        <v>7339</v>
      </c>
      <c r="E5116" s="12" t="s">
        <v>28</v>
      </c>
      <c r="F5116" s="13" t="s">
        <v>29</v>
      </c>
      <c r="G5116">
        <v>20</v>
      </c>
      <c r="H5116" t="s">
        <v>30</v>
      </c>
      <c r="I5116">
        <v>20</v>
      </c>
      <c r="J5116" s="15"/>
      <c r="K5116" s="16">
        <f>IF($E$1&gt;=$Q$1%,25.42-(25.42*$Q$1%),25.42-(25.42*$E$1))</f>
        <v>25.42</v>
      </c>
      <c r="L5116" s="16">
        <f>IF($E$1&gt;=$Q$1%,20.84-(20.84*$Q$1%),20.84-(20.84*$E$1))</f>
        <v>20.84</v>
      </c>
      <c r="M5116" s="1">
        <v>25.42</v>
      </c>
      <c r="N5116" s="1">
        <v>20.84</v>
      </c>
      <c r="O5116" s="1">
        <v>25.42</v>
      </c>
      <c r="P5116" s="1">
        <v>20.84</v>
      </c>
      <c r="Q5116">
        <v>2.8000000000000001E-2</v>
      </c>
      <c r="R5116">
        <v>3.4299999999999999E-4</v>
      </c>
    </row>
    <row r="5117" spans="1:18" ht="13.8" outlineLevel="2" x14ac:dyDescent="0.25">
      <c r="A5117">
        <v>68992</v>
      </c>
      <c r="B5117" t="s">
        <v>7337</v>
      </c>
      <c r="C5117" t="s">
        <v>7354</v>
      </c>
      <c r="D5117" s="14" t="s">
        <v>7339</v>
      </c>
      <c r="E5117" s="12" t="s">
        <v>28</v>
      </c>
      <c r="F5117" s="13" t="s">
        <v>29</v>
      </c>
      <c r="G5117">
        <v>20</v>
      </c>
      <c r="H5117" t="s">
        <v>30</v>
      </c>
      <c r="I5117">
        <v>20</v>
      </c>
      <c r="J5117" s="15"/>
      <c r="K5117" s="16">
        <f>IF($E$1&gt;=$Q$1%,27.65-(27.65*$Q$1%),27.65-(27.65*$E$1))</f>
        <v>27.65</v>
      </c>
      <c r="L5117" s="16">
        <f>IF($E$1&gt;=$Q$1%,22.66-(22.66*$Q$1%),22.66-(22.66*$E$1))</f>
        <v>22.66</v>
      </c>
      <c r="M5117" s="1">
        <v>27.65</v>
      </c>
      <c r="N5117" s="1">
        <v>22.66</v>
      </c>
      <c r="O5117" s="1">
        <v>27.65</v>
      </c>
      <c r="P5117" s="1">
        <v>22.66</v>
      </c>
      <c r="Q5117">
        <v>3.09E-2</v>
      </c>
      <c r="R5117">
        <v>1.5750000000000001E-4</v>
      </c>
    </row>
    <row r="5118" spans="1:18" ht="13.8" outlineLevel="2" x14ac:dyDescent="0.25">
      <c r="A5118">
        <v>68993</v>
      </c>
      <c r="B5118" t="s">
        <v>7337</v>
      </c>
      <c r="C5118" t="s">
        <v>7355</v>
      </c>
      <c r="D5118" s="14" t="s">
        <v>7339</v>
      </c>
      <c r="E5118" s="12" t="s">
        <v>28</v>
      </c>
      <c r="F5118" s="13" t="s">
        <v>29</v>
      </c>
      <c r="G5118">
        <v>20</v>
      </c>
      <c r="H5118" t="s">
        <v>30</v>
      </c>
      <c r="I5118">
        <v>20</v>
      </c>
      <c r="J5118" s="15"/>
      <c r="K5118" s="16">
        <f>IF($E$1&gt;=$Q$1%,29.41-(29.41*$Q$1%),29.41-(29.41*$E$1))</f>
        <v>29.41</v>
      </c>
      <c r="L5118" s="16">
        <f>IF($E$1&gt;=$Q$1%,24.11-(24.11*$Q$1%),24.11-(24.11*$E$1))</f>
        <v>24.11</v>
      </c>
      <c r="M5118" s="1">
        <v>29.41</v>
      </c>
      <c r="N5118" s="1">
        <v>24.11</v>
      </c>
      <c r="O5118" s="1">
        <v>29.41</v>
      </c>
      <c r="P5118" s="1">
        <v>24.11</v>
      </c>
      <c r="Q5118">
        <v>3.09E-2</v>
      </c>
      <c r="R5118">
        <v>2.5999999999999998E-4</v>
      </c>
    </row>
    <row r="5119" spans="1:18" ht="13.8" outlineLevel="2" x14ac:dyDescent="0.25">
      <c r="A5119">
        <v>68994</v>
      </c>
      <c r="B5119" t="s">
        <v>7337</v>
      </c>
      <c r="C5119" t="s">
        <v>7356</v>
      </c>
      <c r="D5119" s="14" t="s">
        <v>7339</v>
      </c>
      <c r="E5119" s="12" t="s">
        <v>28</v>
      </c>
      <c r="F5119" s="13" t="s">
        <v>29</v>
      </c>
      <c r="G5119">
        <v>20</v>
      </c>
      <c r="H5119" t="s">
        <v>30</v>
      </c>
      <c r="I5119">
        <v>20</v>
      </c>
      <c r="J5119" s="15"/>
      <c r="K5119" s="16">
        <f>IF($E$1&gt;=$Q$1%,26.75-(26.75*$Q$1%),26.75-(26.75*$E$1))</f>
        <v>26.75</v>
      </c>
      <c r="L5119" s="16">
        <f>IF($E$1&gt;=$Q$1%,21.93-(21.93*$Q$1%),21.93-(21.93*$E$1))</f>
        <v>21.93</v>
      </c>
      <c r="M5119" s="1">
        <v>26.75</v>
      </c>
      <c r="N5119" s="1">
        <v>21.93</v>
      </c>
      <c r="O5119" s="1">
        <v>26.75</v>
      </c>
      <c r="P5119" s="1">
        <v>21.93</v>
      </c>
      <c r="Q5119">
        <v>3.4500000000000003E-2</v>
      </c>
      <c r="R5119">
        <v>1.485E-4</v>
      </c>
    </row>
    <row r="5120" spans="1:18" ht="13.8" outlineLevel="2" x14ac:dyDescent="0.25">
      <c r="A5120">
        <v>68995</v>
      </c>
      <c r="B5120" t="s">
        <v>7337</v>
      </c>
      <c r="C5120" t="s">
        <v>7357</v>
      </c>
      <c r="D5120" s="14" t="s">
        <v>7339</v>
      </c>
      <c r="E5120" s="12" t="s">
        <v>28</v>
      </c>
      <c r="G5120">
        <v>20</v>
      </c>
      <c r="H5120" t="s">
        <v>30</v>
      </c>
      <c r="I5120">
        <v>20</v>
      </c>
      <c r="J5120" s="15"/>
      <c r="K5120" s="16">
        <f>IF($E$1&gt;=$Q$1%,31.63-(31.63*$Q$1%),31.63-(31.63*$E$1))</f>
        <v>31.63</v>
      </c>
      <c r="L5120" s="16">
        <f>IF($E$1&gt;=$Q$1%,25.93-(25.93*$Q$1%),25.93-(25.93*$E$1))</f>
        <v>25.93</v>
      </c>
      <c r="M5120" s="1">
        <v>31.63</v>
      </c>
      <c r="N5120" s="1">
        <v>25.93</v>
      </c>
      <c r="O5120" s="1">
        <v>31.63</v>
      </c>
      <c r="P5120" s="1">
        <v>25.93</v>
      </c>
      <c r="Q5120">
        <v>3.5000000000000003E-2</v>
      </c>
      <c r="R5120">
        <v>1.785E-4</v>
      </c>
    </row>
    <row r="5121" spans="1:18" ht="13.8" outlineLevel="2" x14ac:dyDescent="0.25">
      <c r="A5121">
        <v>68996</v>
      </c>
      <c r="B5121" t="s">
        <v>7337</v>
      </c>
      <c r="C5121" t="s">
        <v>7358</v>
      </c>
      <c r="D5121" s="14" t="s">
        <v>7339</v>
      </c>
      <c r="E5121" s="12" t="s">
        <v>28</v>
      </c>
      <c r="F5121" s="13" t="s">
        <v>29</v>
      </c>
      <c r="G5121">
        <v>10</v>
      </c>
      <c r="H5121" t="s">
        <v>30</v>
      </c>
      <c r="I5121">
        <v>10</v>
      </c>
      <c r="J5121" s="15"/>
      <c r="K5121" s="16">
        <f>IF($E$1&gt;=$Q$1%,34.25-(34.25*$Q$1%),34.25-(34.25*$E$1))</f>
        <v>34.25</v>
      </c>
      <c r="L5121" s="16">
        <f>IF($E$1&gt;=$Q$1%,28.07-(28.07*$Q$1%),28.07-(28.07*$E$1))</f>
        <v>28.07</v>
      </c>
      <c r="M5121" s="1">
        <v>34.25</v>
      </c>
      <c r="N5121" s="1">
        <v>28.07</v>
      </c>
      <c r="O5121" s="1">
        <v>34.25</v>
      </c>
      <c r="P5121" s="1">
        <v>28.07</v>
      </c>
      <c r="Q5121">
        <v>3.7600000000000001E-2</v>
      </c>
      <c r="R5121">
        <v>1.6200000000000001E-4</v>
      </c>
    </row>
    <row r="5122" spans="1:18" ht="13.8" outlineLevel="2" x14ac:dyDescent="0.25">
      <c r="A5122">
        <v>68997</v>
      </c>
      <c r="B5122" t="s">
        <v>7337</v>
      </c>
      <c r="C5122" t="s">
        <v>7359</v>
      </c>
      <c r="D5122" s="14" t="s">
        <v>7339</v>
      </c>
      <c r="E5122" s="12" t="s">
        <v>28</v>
      </c>
      <c r="F5122" s="13" t="s">
        <v>29</v>
      </c>
      <c r="G5122">
        <v>10</v>
      </c>
      <c r="H5122" t="s">
        <v>30</v>
      </c>
      <c r="I5122">
        <v>10</v>
      </c>
      <c r="J5122" s="15"/>
      <c r="K5122" s="16">
        <f>IF($E$1&gt;=$Q$1%,40.03-(40.03*$Q$1%),40.03-(40.03*$E$1))</f>
        <v>40.03</v>
      </c>
      <c r="L5122" s="16">
        <f>IF($E$1&gt;=$Q$1%,32.81-(32.81*$Q$1%),32.81-(32.81*$E$1))</f>
        <v>32.81</v>
      </c>
      <c r="M5122" s="1">
        <v>40.03</v>
      </c>
      <c r="N5122" s="1">
        <v>32.81</v>
      </c>
      <c r="O5122" s="1">
        <v>40.03</v>
      </c>
      <c r="P5122" s="1">
        <v>32.81</v>
      </c>
      <c r="Q5122">
        <v>0.04</v>
      </c>
      <c r="R5122">
        <v>2.2680000000000001E-4</v>
      </c>
    </row>
    <row r="5123" spans="1:18" ht="13.8" outlineLevel="2" x14ac:dyDescent="0.25">
      <c r="A5123">
        <v>68999</v>
      </c>
      <c r="B5123" t="s">
        <v>7337</v>
      </c>
      <c r="C5123" t="s">
        <v>7360</v>
      </c>
      <c r="D5123" s="14" t="s">
        <v>7339</v>
      </c>
      <c r="E5123" s="12" t="s">
        <v>28</v>
      </c>
      <c r="F5123" s="13" t="s">
        <v>29</v>
      </c>
      <c r="G5123">
        <v>10</v>
      </c>
      <c r="H5123" t="s">
        <v>30</v>
      </c>
      <c r="I5123">
        <v>10</v>
      </c>
      <c r="J5123" s="15"/>
      <c r="K5123" s="16">
        <f>IF($E$1&gt;=$Q$1%,54.39-(54.39*$Q$1%),54.39-(54.39*$E$1))</f>
        <v>54.39</v>
      </c>
      <c r="L5123" s="16">
        <f>IF($E$1&gt;=$Q$1%,44.58-(44.58*$Q$1%),44.58-(44.58*$E$1))</f>
        <v>44.58</v>
      </c>
      <c r="M5123" s="1">
        <v>54.39</v>
      </c>
      <c r="N5123" s="1">
        <v>44.58</v>
      </c>
      <c r="O5123" s="1">
        <v>54.39</v>
      </c>
      <c r="P5123" s="1">
        <v>44.58</v>
      </c>
      <c r="Q5123">
        <v>5.28E-2</v>
      </c>
      <c r="R5123">
        <v>6.2719999999999996E-4</v>
      </c>
    </row>
    <row r="5124" spans="1:18" ht="13.8" outlineLevel="2" x14ac:dyDescent="0.25">
      <c r="A5124">
        <v>68959</v>
      </c>
      <c r="B5124" t="s">
        <v>7337</v>
      </c>
      <c r="C5124" t="s">
        <v>7361</v>
      </c>
      <c r="D5124" s="14" t="s">
        <v>7362</v>
      </c>
      <c r="E5124" s="12" t="s">
        <v>28</v>
      </c>
      <c r="F5124" s="13" t="s">
        <v>29</v>
      </c>
      <c r="G5124">
        <v>100</v>
      </c>
      <c r="H5124" t="s">
        <v>30</v>
      </c>
      <c r="I5124">
        <v>100</v>
      </c>
      <c r="J5124" s="15"/>
      <c r="K5124" s="16">
        <f>IF($E$1&gt;=$Q$1%,10.88-(10.88*$Q$1%),10.88-(10.88*$E$1))</f>
        <v>10.88</v>
      </c>
      <c r="L5124" s="16">
        <f>IF($E$1&gt;=$Q$1%,8.92-(8.92*$Q$1%),8.92-(8.92*$E$1))</f>
        <v>8.92</v>
      </c>
      <c r="M5124" s="1">
        <v>10.88</v>
      </c>
      <c r="N5124" s="1">
        <v>8.92</v>
      </c>
      <c r="O5124" s="1">
        <v>10.88</v>
      </c>
      <c r="P5124" s="1">
        <v>8.92</v>
      </c>
      <c r="Q5124">
        <v>1.0800000000000001E-2</v>
      </c>
      <c r="R5124">
        <v>1.1219999999999999E-5</v>
      </c>
    </row>
    <row r="5125" spans="1:18" ht="13.8" outlineLevel="2" x14ac:dyDescent="0.25">
      <c r="A5125">
        <v>68960</v>
      </c>
      <c r="B5125" t="s">
        <v>7337</v>
      </c>
      <c r="C5125" t="s">
        <v>7363</v>
      </c>
      <c r="D5125" s="14" t="s">
        <v>7362</v>
      </c>
      <c r="E5125" s="12" t="s">
        <v>28</v>
      </c>
      <c r="F5125" s="13" t="s">
        <v>29</v>
      </c>
      <c r="G5125">
        <v>100</v>
      </c>
      <c r="H5125" t="s">
        <v>30</v>
      </c>
      <c r="I5125">
        <v>100</v>
      </c>
      <c r="J5125" s="15"/>
      <c r="K5125" s="16">
        <f>IF($E$1&gt;=$Q$1%,10.97-(10.97*$Q$1%),10.97-(10.97*$E$1))</f>
        <v>10.97</v>
      </c>
      <c r="L5125" s="16">
        <f>IF($E$1&gt;=$Q$1%,8.99-(8.99*$Q$1%),8.99-(8.99*$E$1))</f>
        <v>8.99</v>
      </c>
      <c r="M5125" s="1">
        <v>10.97</v>
      </c>
      <c r="N5125" s="1">
        <v>8.99</v>
      </c>
      <c r="O5125" s="1">
        <v>10.97</v>
      </c>
      <c r="P5125" s="1">
        <v>8.99</v>
      </c>
      <c r="Q5125">
        <v>1.0800000000000001E-2</v>
      </c>
      <c r="R5125">
        <v>9.0000000000000002E-6</v>
      </c>
    </row>
    <row r="5126" spans="1:18" ht="13.8" outlineLevel="2" x14ac:dyDescent="0.25">
      <c r="A5126">
        <v>68961</v>
      </c>
      <c r="B5126" t="s">
        <v>7337</v>
      </c>
      <c r="C5126" t="s">
        <v>7364</v>
      </c>
      <c r="D5126" s="14" t="s">
        <v>7362</v>
      </c>
      <c r="E5126" s="12" t="s">
        <v>28</v>
      </c>
      <c r="F5126" s="13" t="s">
        <v>29</v>
      </c>
      <c r="G5126">
        <v>100</v>
      </c>
      <c r="H5126" t="s">
        <v>30</v>
      </c>
      <c r="I5126">
        <v>100</v>
      </c>
      <c r="J5126" s="15"/>
      <c r="K5126" s="16">
        <f>IF($E$1&gt;=$Q$1%,11.49-(11.49*$Q$1%),11.49-(11.49*$E$1))</f>
        <v>11.49</v>
      </c>
      <c r="L5126" s="16">
        <f>IF($E$1&gt;=$Q$1%,9.42-(9.42*$Q$1%),9.42-(9.42*$E$1))</f>
        <v>9.42</v>
      </c>
      <c r="M5126" s="1">
        <v>11.49</v>
      </c>
      <c r="N5126" s="1">
        <v>9.42</v>
      </c>
      <c r="O5126" s="1">
        <v>11.49</v>
      </c>
      <c r="P5126" s="1">
        <v>9.42</v>
      </c>
      <c r="Q5126">
        <v>1.1599999999999999E-2</v>
      </c>
      <c r="R5126">
        <v>2.0250000000000001E-5</v>
      </c>
    </row>
    <row r="5127" spans="1:18" ht="13.8" outlineLevel="2" x14ac:dyDescent="0.25">
      <c r="A5127">
        <v>103910</v>
      </c>
      <c r="B5127" t="s">
        <v>7337</v>
      </c>
      <c r="C5127" t="s">
        <v>7365</v>
      </c>
      <c r="D5127" s="14" t="s">
        <v>7362</v>
      </c>
      <c r="E5127" s="12" t="s">
        <v>28</v>
      </c>
      <c r="F5127" s="13" t="s">
        <v>29</v>
      </c>
      <c r="G5127">
        <v>100</v>
      </c>
      <c r="H5127" t="s">
        <v>30</v>
      </c>
      <c r="I5127">
        <v>100</v>
      </c>
      <c r="J5127" s="15"/>
      <c r="K5127" s="16">
        <f>IF($E$1&gt;=$Q$1%,11.5-(11.5*$Q$1%),11.5-(11.5*$E$1))</f>
        <v>11.5</v>
      </c>
      <c r="L5127" s="16">
        <f>IF($E$1&gt;=$Q$1%,9.43-(9.43*$Q$1%),9.43-(9.43*$E$1))</f>
        <v>9.43</v>
      </c>
      <c r="M5127" s="1">
        <v>11.5</v>
      </c>
      <c r="N5127" s="1">
        <v>9.43</v>
      </c>
      <c r="O5127" s="1">
        <v>11.5</v>
      </c>
      <c r="P5127" s="1">
        <v>9.43</v>
      </c>
      <c r="Q5127">
        <v>1.1900000000000001E-2</v>
      </c>
      <c r="R5127">
        <v>2.0999999999999999E-5</v>
      </c>
    </row>
    <row r="5128" spans="1:18" ht="13.8" outlineLevel="2" x14ac:dyDescent="0.25">
      <c r="A5128">
        <v>68962</v>
      </c>
      <c r="B5128" t="s">
        <v>7337</v>
      </c>
      <c r="C5128" t="s">
        <v>7366</v>
      </c>
      <c r="D5128" s="14" t="s">
        <v>7362</v>
      </c>
      <c r="E5128" s="12" t="s">
        <v>28</v>
      </c>
      <c r="F5128" s="13" t="s">
        <v>29</v>
      </c>
      <c r="G5128">
        <v>100</v>
      </c>
      <c r="H5128" t="s">
        <v>30</v>
      </c>
      <c r="I5128">
        <v>100</v>
      </c>
      <c r="J5128" s="15"/>
      <c r="K5128" s="16">
        <f>IF($E$1&gt;=$Q$1%,12.18-(12.18*$Q$1%),12.18-(12.18*$E$1))</f>
        <v>12.18</v>
      </c>
      <c r="L5128" s="16">
        <f>IF($E$1&gt;=$Q$1%,9.98-(9.98*$Q$1%),9.98-(9.98*$E$1))</f>
        <v>9.98</v>
      </c>
      <c r="M5128" s="1">
        <v>12.18</v>
      </c>
      <c r="N5128" s="1">
        <v>9.98</v>
      </c>
      <c r="O5128" s="1">
        <v>12.18</v>
      </c>
      <c r="P5128" s="1">
        <v>9.98</v>
      </c>
      <c r="Q5128">
        <v>1.2E-2</v>
      </c>
      <c r="R5128">
        <v>2.2439999999999999E-5</v>
      </c>
    </row>
    <row r="5129" spans="1:18" ht="13.8" outlineLevel="2" x14ac:dyDescent="0.25">
      <c r="A5129">
        <v>103911</v>
      </c>
      <c r="B5129" t="s">
        <v>7337</v>
      </c>
      <c r="C5129" t="s">
        <v>7367</v>
      </c>
      <c r="D5129" s="14" t="s">
        <v>7362</v>
      </c>
      <c r="E5129" s="12" t="s">
        <v>28</v>
      </c>
      <c r="F5129" s="13" t="s">
        <v>29</v>
      </c>
      <c r="G5129">
        <v>100</v>
      </c>
      <c r="H5129" t="s">
        <v>30</v>
      </c>
      <c r="I5129">
        <v>100</v>
      </c>
      <c r="J5129" s="15"/>
      <c r="K5129" s="16">
        <f>IF($E$1&gt;=$Q$1%,12.14-(12.14*$Q$1%),12.14-(12.14*$E$1))</f>
        <v>12.14</v>
      </c>
      <c r="L5129" s="16">
        <f>IF($E$1&gt;=$Q$1%,9.95-(9.95*$Q$1%),9.95-(9.95*$E$1))</f>
        <v>9.9499999999999993</v>
      </c>
      <c r="M5129" s="1">
        <v>12.14</v>
      </c>
      <c r="N5129" s="1">
        <v>9.9499999999999993</v>
      </c>
      <c r="O5129" s="1">
        <v>12.14</v>
      </c>
      <c r="P5129" s="1">
        <v>9.9499999999999993</v>
      </c>
      <c r="Q5129">
        <v>1.2E-2</v>
      </c>
      <c r="R5129">
        <v>2.2439999999999999E-5</v>
      </c>
    </row>
    <row r="5130" spans="1:18" ht="13.8" outlineLevel="2" x14ac:dyDescent="0.25">
      <c r="A5130">
        <v>68963</v>
      </c>
      <c r="B5130" t="s">
        <v>7337</v>
      </c>
      <c r="C5130" t="s">
        <v>7368</v>
      </c>
      <c r="D5130" s="14" t="s">
        <v>7362</v>
      </c>
      <c r="E5130" s="12" t="s">
        <v>28</v>
      </c>
      <c r="F5130" s="13" t="s">
        <v>29</v>
      </c>
      <c r="G5130">
        <v>50</v>
      </c>
      <c r="H5130" t="s">
        <v>30</v>
      </c>
      <c r="I5130">
        <v>50</v>
      </c>
      <c r="J5130" s="15"/>
      <c r="K5130" s="16">
        <f>IF($E$1&gt;=$Q$1%,14.7-(14.7*$Q$1%),14.7-(14.7*$E$1))</f>
        <v>14.7</v>
      </c>
      <c r="L5130" s="16">
        <f>IF($E$1&gt;=$Q$1%,12.05-(12.05*$Q$1%),12.05-(12.05*$E$1))</f>
        <v>12.05</v>
      </c>
      <c r="M5130" s="1">
        <v>14.7</v>
      </c>
      <c r="N5130" s="1">
        <v>12.05</v>
      </c>
      <c r="O5130" s="1">
        <v>14.7</v>
      </c>
      <c r="P5130" s="1">
        <v>12.05</v>
      </c>
      <c r="Q5130">
        <v>1.4460000000000001E-2</v>
      </c>
      <c r="R5130">
        <v>2.8799999999999999E-5</v>
      </c>
    </row>
    <row r="5131" spans="1:18" ht="13.8" outlineLevel="2" x14ac:dyDescent="0.25">
      <c r="A5131">
        <v>68964</v>
      </c>
      <c r="B5131" t="s">
        <v>7337</v>
      </c>
      <c r="C5131" t="s">
        <v>7369</v>
      </c>
      <c r="D5131" s="14" t="s">
        <v>7362</v>
      </c>
      <c r="E5131" s="12" t="s">
        <v>28</v>
      </c>
      <c r="F5131" s="13" t="s">
        <v>29</v>
      </c>
      <c r="G5131">
        <v>50</v>
      </c>
      <c r="H5131" t="s">
        <v>30</v>
      </c>
      <c r="I5131">
        <v>50</v>
      </c>
      <c r="J5131" s="15"/>
      <c r="K5131" s="16">
        <f>IF($E$1&gt;=$Q$1%,16.81-(16.81*$Q$1%),16.81-(16.81*$E$1))</f>
        <v>16.809999999999999</v>
      </c>
      <c r="L5131" s="16">
        <f>IF($E$1&gt;=$Q$1%,13.78-(13.78*$Q$1%),13.78-(13.78*$E$1))</f>
        <v>13.78</v>
      </c>
      <c r="M5131" s="1">
        <v>16.809999999999999</v>
      </c>
      <c r="N5131" s="1">
        <v>13.78</v>
      </c>
      <c r="O5131" s="1">
        <v>16.809999999999999</v>
      </c>
      <c r="P5131" s="1">
        <v>13.78</v>
      </c>
      <c r="Q5131">
        <v>1.5800000000000002E-2</v>
      </c>
      <c r="R5131">
        <v>4.9679999999999999E-5</v>
      </c>
    </row>
    <row r="5132" spans="1:18" ht="13.8" outlineLevel="2" x14ac:dyDescent="0.25">
      <c r="A5132">
        <v>68965</v>
      </c>
      <c r="B5132" t="s">
        <v>7337</v>
      </c>
      <c r="C5132" t="s">
        <v>7370</v>
      </c>
      <c r="D5132" s="14" t="s">
        <v>7362</v>
      </c>
      <c r="E5132" s="12" t="s">
        <v>28</v>
      </c>
      <c r="F5132" s="13" t="s">
        <v>29</v>
      </c>
      <c r="G5132">
        <v>50</v>
      </c>
      <c r="H5132" t="s">
        <v>30</v>
      </c>
      <c r="I5132">
        <v>50</v>
      </c>
      <c r="J5132" s="15"/>
      <c r="K5132" s="16">
        <f>IF($E$1&gt;=$Q$1%,18.04-(18.04*$Q$1%),18.04-(18.04*$E$1))</f>
        <v>18.04</v>
      </c>
      <c r="L5132" s="16">
        <f>IF($E$1&gt;=$Q$1%,14.79-(14.79*$Q$1%),14.79-(14.79*$E$1))</f>
        <v>14.79</v>
      </c>
      <c r="M5132" s="1">
        <v>18.04</v>
      </c>
      <c r="N5132" s="1">
        <v>14.79</v>
      </c>
      <c r="O5132" s="1">
        <v>18.04</v>
      </c>
      <c r="P5132" s="1">
        <v>14.79</v>
      </c>
      <c r="Q5132">
        <v>1.6799999999999999E-2</v>
      </c>
      <c r="R5132">
        <v>6.9999999999999994E-5</v>
      </c>
    </row>
    <row r="5133" spans="1:18" ht="13.8" outlineLevel="2" x14ac:dyDescent="0.25">
      <c r="A5133">
        <v>68966</v>
      </c>
      <c r="B5133" t="s">
        <v>7337</v>
      </c>
      <c r="C5133" t="s">
        <v>7371</v>
      </c>
      <c r="D5133" s="14" t="s">
        <v>7362</v>
      </c>
      <c r="E5133" s="12" t="s">
        <v>28</v>
      </c>
      <c r="F5133" s="13" t="s">
        <v>29</v>
      </c>
      <c r="G5133">
        <v>20</v>
      </c>
      <c r="H5133" t="s">
        <v>30</v>
      </c>
      <c r="I5133">
        <v>20</v>
      </c>
      <c r="J5133" s="15"/>
      <c r="K5133" s="16">
        <f>IF($E$1&gt;=$Q$1%,18.65-(18.65*$Q$1%),18.65-(18.65*$E$1))</f>
        <v>18.649999999999999</v>
      </c>
      <c r="L5133" s="16">
        <f>IF($E$1&gt;=$Q$1%,15.29-(15.29*$Q$1%),15.29-(15.29*$E$1))</f>
        <v>15.29</v>
      </c>
      <c r="M5133" s="1">
        <v>18.649999999999999</v>
      </c>
      <c r="N5133" s="1">
        <v>15.29</v>
      </c>
      <c r="O5133" s="1">
        <v>18.649999999999999</v>
      </c>
      <c r="P5133" s="1">
        <v>15.29</v>
      </c>
      <c r="Q5133">
        <v>1.8249999999999999E-2</v>
      </c>
      <c r="R5133">
        <v>8.9250000000000001E-5</v>
      </c>
    </row>
    <row r="5134" spans="1:18" ht="13.8" outlineLevel="2" x14ac:dyDescent="0.25">
      <c r="A5134">
        <v>68967</v>
      </c>
      <c r="B5134" t="s">
        <v>7337</v>
      </c>
      <c r="C5134" t="s">
        <v>7372</v>
      </c>
      <c r="D5134" s="14" t="s">
        <v>7362</v>
      </c>
      <c r="E5134" s="12" t="s">
        <v>28</v>
      </c>
      <c r="F5134" s="13" t="s">
        <v>29</v>
      </c>
      <c r="G5134">
        <v>20</v>
      </c>
      <c r="H5134" t="s">
        <v>30</v>
      </c>
      <c r="I5134">
        <v>20</v>
      </c>
      <c r="J5134" s="15"/>
      <c r="K5134" s="16">
        <f>IF($E$1&gt;=$Q$1%,19.56-(19.56*$Q$1%),19.56-(19.56*$E$1))</f>
        <v>19.559999999999999</v>
      </c>
      <c r="L5134" s="16">
        <f>IF($E$1&gt;=$Q$1%,16.03-(16.03*$Q$1%),16.03-(16.03*$E$1))</f>
        <v>16.03</v>
      </c>
      <c r="M5134" s="1">
        <v>19.559999999999999</v>
      </c>
      <c r="N5134" s="1">
        <v>16.03</v>
      </c>
      <c r="O5134" s="1">
        <v>19.559999999999999</v>
      </c>
      <c r="P5134" s="1">
        <v>16.03</v>
      </c>
      <c r="Q5134">
        <v>0.02</v>
      </c>
      <c r="R5134">
        <v>1.785E-4</v>
      </c>
    </row>
    <row r="5135" spans="1:18" ht="13.8" outlineLevel="2" x14ac:dyDescent="0.25">
      <c r="A5135">
        <v>68968</v>
      </c>
      <c r="B5135" t="s">
        <v>7337</v>
      </c>
      <c r="C5135" t="s">
        <v>7373</v>
      </c>
      <c r="D5135" s="14" t="s">
        <v>7362</v>
      </c>
      <c r="E5135" s="12" t="s">
        <v>28</v>
      </c>
      <c r="F5135" s="13" t="s">
        <v>29</v>
      </c>
      <c r="G5135">
        <v>20</v>
      </c>
      <c r="H5135" t="s">
        <v>30</v>
      </c>
      <c r="I5135">
        <v>20</v>
      </c>
      <c r="J5135" s="15"/>
      <c r="K5135" s="16">
        <f>IF($E$1&gt;=$Q$1%,21.5-(21.5*$Q$1%),21.5-(21.5*$E$1))</f>
        <v>21.5</v>
      </c>
      <c r="L5135" s="16">
        <f>IF($E$1&gt;=$Q$1%,17.62-(17.62*$Q$1%),17.62-(17.62*$E$1))</f>
        <v>17.62</v>
      </c>
      <c r="M5135" s="1">
        <v>21.5</v>
      </c>
      <c r="N5135" s="1">
        <v>17.62</v>
      </c>
      <c r="O5135" s="1">
        <v>21.5</v>
      </c>
      <c r="P5135" s="1">
        <v>17.62</v>
      </c>
      <c r="Q5135">
        <v>2.085E-2</v>
      </c>
      <c r="R5135">
        <v>1.75E-4</v>
      </c>
    </row>
    <row r="5136" spans="1:18" ht="13.8" outlineLevel="2" x14ac:dyDescent="0.25">
      <c r="A5136">
        <v>68969</v>
      </c>
      <c r="B5136" t="s">
        <v>7337</v>
      </c>
      <c r="C5136" t="s">
        <v>7374</v>
      </c>
      <c r="D5136" s="14" t="s">
        <v>7362</v>
      </c>
      <c r="E5136" s="12" t="s">
        <v>28</v>
      </c>
      <c r="F5136" s="13" t="s">
        <v>29</v>
      </c>
      <c r="G5136">
        <v>20</v>
      </c>
      <c r="H5136" t="s">
        <v>30</v>
      </c>
      <c r="I5136">
        <v>20</v>
      </c>
      <c r="J5136" s="15"/>
      <c r="K5136" s="16">
        <f>IF($E$1&gt;=$Q$1%,22.9-(22.9*$Q$1%),22.9-(22.9*$E$1))</f>
        <v>22.9</v>
      </c>
      <c r="L5136" s="16">
        <f>IF($E$1&gt;=$Q$1%,18.77-(18.77*$Q$1%),18.77-(18.77*$E$1))</f>
        <v>18.77</v>
      </c>
      <c r="M5136" s="1">
        <v>22.9</v>
      </c>
      <c r="N5136" s="1">
        <v>18.77</v>
      </c>
      <c r="O5136" s="1">
        <v>22.9</v>
      </c>
      <c r="P5136" s="1">
        <v>18.77</v>
      </c>
      <c r="Q5136">
        <v>2.2749999999999999E-2</v>
      </c>
      <c r="R5136">
        <v>2.04E-4</v>
      </c>
    </row>
    <row r="5137" spans="1:18" ht="13.8" outlineLevel="2" x14ac:dyDescent="0.25">
      <c r="A5137">
        <v>68970</v>
      </c>
      <c r="B5137" t="s">
        <v>7337</v>
      </c>
      <c r="C5137" t="s">
        <v>7375</v>
      </c>
      <c r="D5137" s="14" t="s">
        <v>7362</v>
      </c>
      <c r="E5137" s="12" t="s">
        <v>28</v>
      </c>
      <c r="F5137" s="13" t="s">
        <v>29</v>
      </c>
      <c r="G5137">
        <v>20</v>
      </c>
      <c r="H5137" t="s">
        <v>30</v>
      </c>
      <c r="I5137">
        <v>20</v>
      </c>
      <c r="J5137" s="15"/>
      <c r="K5137" s="16">
        <f>IF($E$1&gt;=$Q$1%,25.89-(25.89*$Q$1%),25.89-(25.89*$E$1))</f>
        <v>25.89</v>
      </c>
      <c r="L5137" s="16">
        <f>IF($E$1&gt;=$Q$1%,21.22-(21.22*$Q$1%),21.22-(21.22*$E$1))</f>
        <v>21.22</v>
      </c>
      <c r="M5137" s="1">
        <v>25.89</v>
      </c>
      <c r="N5137" s="1">
        <v>21.22</v>
      </c>
      <c r="O5137" s="1">
        <v>25.89</v>
      </c>
      <c r="P5137" s="1">
        <v>21.22</v>
      </c>
      <c r="Q5137">
        <v>2.4500000000000001E-2</v>
      </c>
      <c r="R5137">
        <v>2.04E-4</v>
      </c>
    </row>
    <row r="5138" spans="1:18" ht="13.8" outlineLevel="2" x14ac:dyDescent="0.25">
      <c r="A5138">
        <v>103912</v>
      </c>
      <c r="B5138" t="s">
        <v>7337</v>
      </c>
      <c r="C5138" t="s">
        <v>7376</v>
      </c>
      <c r="D5138" s="14" t="s">
        <v>7362</v>
      </c>
      <c r="E5138" s="12" t="s">
        <v>28</v>
      </c>
      <c r="F5138" s="13" t="s">
        <v>29</v>
      </c>
      <c r="G5138">
        <v>20</v>
      </c>
      <c r="H5138" t="s">
        <v>30</v>
      </c>
      <c r="I5138">
        <v>20</v>
      </c>
      <c r="J5138" s="15"/>
      <c r="K5138" s="16">
        <f>IF($E$1&gt;=$Q$1%,27.36-(27.36*$Q$1%),27.36-(27.36*$E$1))</f>
        <v>27.36</v>
      </c>
      <c r="L5138" s="16">
        <f>IF($E$1&gt;=$Q$1%,22.43-(22.43*$Q$1%),22.43-(22.43*$E$1))</f>
        <v>22.43</v>
      </c>
      <c r="M5138" s="1">
        <v>27.36</v>
      </c>
      <c r="N5138" s="1">
        <v>22.43</v>
      </c>
      <c r="O5138" s="1">
        <v>27.36</v>
      </c>
      <c r="P5138" s="1">
        <v>22.43</v>
      </c>
      <c r="Q5138">
        <v>2.5499999999999998E-2</v>
      </c>
      <c r="R5138">
        <v>4.169E-4</v>
      </c>
    </row>
    <row r="5139" spans="1:18" ht="13.8" outlineLevel="2" x14ac:dyDescent="0.25">
      <c r="A5139">
        <v>68971</v>
      </c>
      <c r="B5139" t="s">
        <v>7337</v>
      </c>
      <c r="C5139" t="s">
        <v>7377</v>
      </c>
      <c r="D5139" s="14" t="s">
        <v>7362</v>
      </c>
      <c r="E5139" s="12" t="s">
        <v>28</v>
      </c>
      <c r="F5139" s="13" t="s">
        <v>29</v>
      </c>
      <c r="G5139">
        <v>20</v>
      </c>
      <c r="H5139" t="s">
        <v>30</v>
      </c>
      <c r="I5139">
        <v>20</v>
      </c>
      <c r="J5139" s="15"/>
      <c r="K5139" s="16">
        <f>IF($E$1&gt;=$Q$1%,28.21-(28.21*$Q$1%),28.21-(28.21*$E$1))</f>
        <v>28.21</v>
      </c>
      <c r="L5139" s="16">
        <f>IF($E$1&gt;=$Q$1%,23.12-(23.12*$Q$1%),23.12-(23.12*$E$1))</f>
        <v>23.12</v>
      </c>
      <c r="M5139" s="1">
        <v>28.21</v>
      </c>
      <c r="N5139" s="1">
        <v>23.12</v>
      </c>
      <c r="O5139" s="1">
        <v>28.21</v>
      </c>
      <c r="P5139" s="1">
        <v>23.12</v>
      </c>
      <c r="Q5139">
        <v>2.5999999999999999E-2</v>
      </c>
      <c r="R5139">
        <v>1.4024999999999999E-4</v>
      </c>
    </row>
    <row r="5140" spans="1:18" ht="13.8" outlineLevel="2" x14ac:dyDescent="0.25">
      <c r="A5140">
        <v>68972</v>
      </c>
      <c r="B5140" t="s">
        <v>7337</v>
      </c>
      <c r="C5140" t="s">
        <v>7378</v>
      </c>
      <c r="D5140" s="14" t="s">
        <v>7362</v>
      </c>
      <c r="E5140" s="12" t="s">
        <v>28</v>
      </c>
      <c r="F5140" s="13" t="s">
        <v>29</v>
      </c>
      <c r="G5140">
        <v>20</v>
      </c>
      <c r="H5140" t="s">
        <v>30</v>
      </c>
      <c r="I5140">
        <v>20</v>
      </c>
      <c r="J5140" s="15"/>
      <c r="K5140" s="16">
        <f>IF($E$1&gt;=$Q$1%,30.05-(30.05*$Q$1%),30.05-(30.05*$E$1))</f>
        <v>30.05</v>
      </c>
      <c r="L5140" s="16">
        <f>IF($E$1&gt;=$Q$1%,24.63-(24.63*$Q$1%),24.63-(24.63*$E$1))</f>
        <v>24.63</v>
      </c>
      <c r="M5140" s="1">
        <v>30.05</v>
      </c>
      <c r="N5140" s="1">
        <v>24.63</v>
      </c>
      <c r="O5140" s="1">
        <v>30.05</v>
      </c>
      <c r="P5140" s="1">
        <v>24.63</v>
      </c>
      <c r="Q5140">
        <v>2.8000000000000001E-2</v>
      </c>
      <c r="R5140">
        <v>1.6799999999999999E-4</v>
      </c>
    </row>
    <row r="5141" spans="1:18" ht="13.8" outlineLevel="2" x14ac:dyDescent="0.25">
      <c r="A5141">
        <v>68974</v>
      </c>
      <c r="B5141" t="s">
        <v>7337</v>
      </c>
      <c r="C5141" t="s">
        <v>7379</v>
      </c>
      <c r="D5141" s="14" t="s">
        <v>7362</v>
      </c>
      <c r="E5141" s="12" t="s">
        <v>28</v>
      </c>
      <c r="F5141" s="13" t="s">
        <v>29</v>
      </c>
      <c r="G5141">
        <v>20</v>
      </c>
      <c r="H5141" t="s">
        <v>30</v>
      </c>
      <c r="I5141">
        <v>20</v>
      </c>
      <c r="J5141" s="15"/>
      <c r="K5141" s="16">
        <f>IF($E$1&gt;=$Q$1%,30.72-(30.72*$Q$1%),30.72-(30.72*$E$1))</f>
        <v>30.72</v>
      </c>
      <c r="L5141" s="16">
        <f>IF($E$1&gt;=$Q$1%,25.18-(25.18*$Q$1%),25.18-(25.18*$E$1))</f>
        <v>25.18</v>
      </c>
      <c r="M5141" s="1">
        <v>30.72</v>
      </c>
      <c r="N5141" s="1">
        <v>25.18</v>
      </c>
      <c r="O5141" s="1">
        <v>30.72</v>
      </c>
      <c r="P5141" s="1">
        <v>25.18</v>
      </c>
      <c r="Q5141">
        <v>3.1199999999999999E-2</v>
      </c>
      <c r="R5141">
        <v>1.47E-4</v>
      </c>
    </row>
    <row r="5142" spans="1:18" ht="13.8" outlineLevel="2" x14ac:dyDescent="0.25">
      <c r="A5142">
        <v>68976</v>
      </c>
      <c r="B5142" t="s">
        <v>7337</v>
      </c>
      <c r="C5142" t="s">
        <v>7380</v>
      </c>
      <c r="D5142" s="14" t="s">
        <v>7362</v>
      </c>
      <c r="E5142" s="12" t="s">
        <v>28</v>
      </c>
      <c r="F5142" s="13" t="s">
        <v>29</v>
      </c>
      <c r="G5142">
        <v>10</v>
      </c>
      <c r="H5142" t="s">
        <v>30</v>
      </c>
      <c r="I5142">
        <v>10</v>
      </c>
      <c r="J5142" s="15"/>
      <c r="K5142" s="16">
        <f>IF($E$1&gt;=$Q$1%,42.66-(42.66*$Q$1%),42.66-(42.66*$E$1))</f>
        <v>42.66</v>
      </c>
      <c r="L5142" s="16">
        <f>IF($E$1&gt;=$Q$1%,34.97-(34.97*$Q$1%),34.97-(34.97*$E$1))</f>
        <v>34.97</v>
      </c>
      <c r="M5142" s="1">
        <v>42.66</v>
      </c>
      <c r="N5142" s="1">
        <v>34.97</v>
      </c>
      <c r="O5142" s="1">
        <v>42.66</v>
      </c>
      <c r="P5142" s="1">
        <v>34.97</v>
      </c>
      <c r="Q5142">
        <v>3.3799999999999997E-2</v>
      </c>
      <c r="R5142">
        <v>2.6459999999999998E-4</v>
      </c>
    </row>
    <row r="5143" spans="1:18" ht="13.8" outlineLevel="2" x14ac:dyDescent="0.25">
      <c r="A5143">
        <v>79965</v>
      </c>
      <c r="B5143" t="s">
        <v>7337</v>
      </c>
      <c r="C5143" t="s">
        <v>7381</v>
      </c>
      <c r="D5143" s="14" t="s">
        <v>7382</v>
      </c>
      <c r="E5143" s="12" t="s">
        <v>28</v>
      </c>
      <c r="F5143" s="13" t="s">
        <v>29</v>
      </c>
      <c r="G5143">
        <v>100</v>
      </c>
      <c r="H5143" t="s">
        <v>30</v>
      </c>
      <c r="I5143">
        <v>100</v>
      </c>
      <c r="J5143" s="15"/>
      <c r="K5143" s="16">
        <f>IF($E$1&gt;=$Q$1%,19.83-(19.83*$Q$1%),19.83-(19.83*$E$1))</f>
        <v>19.829999999999998</v>
      </c>
      <c r="L5143" s="16">
        <f>IF($E$1&gt;=$Q$1%,16.25-(16.25*$Q$1%),16.25-(16.25*$E$1))</f>
        <v>16.25</v>
      </c>
      <c r="M5143" s="1">
        <v>19.829999999999998</v>
      </c>
      <c r="N5143" s="1">
        <v>16.25</v>
      </c>
      <c r="O5143" s="1">
        <v>19.829999999999998</v>
      </c>
      <c r="P5143" s="1">
        <v>16.25</v>
      </c>
      <c r="Q5143">
        <v>1.0359999999999999E-2</v>
      </c>
      <c r="R5143">
        <v>1.2E-5</v>
      </c>
    </row>
    <row r="5144" spans="1:18" ht="13.8" outlineLevel="2" x14ac:dyDescent="0.25">
      <c r="A5144">
        <v>79966</v>
      </c>
      <c r="B5144" t="s">
        <v>7337</v>
      </c>
      <c r="C5144" t="s">
        <v>7383</v>
      </c>
      <c r="D5144" s="14" t="s">
        <v>7382</v>
      </c>
      <c r="E5144" s="12" t="s">
        <v>28</v>
      </c>
      <c r="F5144" s="13" t="s">
        <v>29</v>
      </c>
      <c r="G5144">
        <v>100</v>
      </c>
      <c r="H5144" t="s">
        <v>30</v>
      </c>
      <c r="I5144">
        <v>100</v>
      </c>
      <c r="J5144" s="15"/>
      <c r="K5144" s="16">
        <f>IF($E$1&gt;=$Q$1%,20.06-(20.06*$Q$1%),20.06-(20.06*$E$1))</f>
        <v>20.059999999999999</v>
      </c>
      <c r="L5144" s="16">
        <f>IF($E$1&gt;=$Q$1%,16.44-(16.44*$Q$1%),16.44-(16.44*$E$1))</f>
        <v>16.440000000000001</v>
      </c>
      <c r="M5144" s="1">
        <v>20.059999999999999</v>
      </c>
      <c r="N5144" s="1">
        <v>16.440000000000001</v>
      </c>
      <c r="O5144" s="1">
        <v>20.059999999999999</v>
      </c>
      <c r="P5144" s="1">
        <v>16.440000000000001</v>
      </c>
      <c r="Q5144">
        <v>1.1299999999999999E-2</v>
      </c>
      <c r="R5144">
        <v>1.5E-5</v>
      </c>
    </row>
    <row r="5145" spans="1:18" ht="13.8" outlineLevel="2" x14ac:dyDescent="0.25">
      <c r="A5145">
        <v>79967</v>
      </c>
      <c r="B5145" t="s">
        <v>7337</v>
      </c>
      <c r="C5145" t="s">
        <v>7384</v>
      </c>
      <c r="D5145" s="14" t="s">
        <v>7382</v>
      </c>
      <c r="E5145" s="12" t="s">
        <v>28</v>
      </c>
      <c r="F5145" s="13" t="s">
        <v>29</v>
      </c>
      <c r="G5145">
        <v>100</v>
      </c>
      <c r="H5145" t="s">
        <v>30</v>
      </c>
      <c r="I5145">
        <v>100</v>
      </c>
      <c r="J5145" s="15"/>
      <c r="K5145" s="16">
        <f>IF($E$1&gt;=$Q$1%,20.06-(20.06*$Q$1%),20.06-(20.06*$E$1))</f>
        <v>20.059999999999999</v>
      </c>
      <c r="L5145" s="16">
        <f>IF($E$1&gt;=$Q$1%,16.44-(16.44*$Q$1%),16.44-(16.44*$E$1))</f>
        <v>16.440000000000001</v>
      </c>
      <c r="M5145" s="1">
        <v>20.059999999999999</v>
      </c>
      <c r="N5145" s="1">
        <v>16.440000000000001</v>
      </c>
      <c r="O5145" s="1">
        <v>20.059999999999999</v>
      </c>
      <c r="P5145" s="1">
        <v>16.440000000000001</v>
      </c>
      <c r="Q5145">
        <v>1.1339999999999999E-2</v>
      </c>
      <c r="R5145">
        <v>1.5E-5</v>
      </c>
    </row>
    <row r="5146" spans="1:18" ht="13.8" outlineLevel="2" x14ac:dyDescent="0.25">
      <c r="A5146">
        <v>103913</v>
      </c>
      <c r="B5146" t="s">
        <v>7337</v>
      </c>
      <c r="C5146" t="s">
        <v>7385</v>
      </c>
      <c r="D5146" s="14" t="s">
        <v>7382</v>
      </c>
      <c r="E5146" s="12" t="s">
        <v>28</v>
      </c>
      <c r="F5146" s="13" t="s">
        <v>29</v>
      </c>
      <c r="G5146">
        <v>100</v>
      </c>
      <c r="H5146" t="s">
        <v>30</v>
      </c>
      <c r="I5146">
        <v>100</v>
      </c>
      <c r="J5146" s="15"/>
      <c r="K5146" s="16">
        <f>IF($E$1&gt;=$Q$1%,21.01-(21.01*$Q$1%),21.01-(21.01*$E$1))</f>
        <v>21.01</v>
      </c>
      <c r="L5146" s="16">
        <f>IF($E$1&gt;=$Q$1%,17.22-(17.22*$Q$1%),17.22-(17.22*$E$1))</f>
        <v>17.22</v>
      </c>
      <c r="M5146" s="1">
        <v>21.01</v>
      </c>
      <c r="N5146" s="1">
        <v>17.22</v>
      </c>
      <c r="O5146" s="1">
        <v>21.01</v>
      </c>
      <c r="P5146" s="1">
        <v>17.22</v>
      </c>
      <c r="Q5146">
        <v>1.1900000000000001E-2</v>
      </c>
      <c r="R5146">
        <v>1.504E-5</v>
      </c>
    </row>
    <row r="5147" spans="1:18" ht="13.8" outlineLevel="2" x14ac:dyDescent="0.25">
      <c r="A5147">
        <v>103914</v>
      </c>
      <c r="B5147" t="s">
        <v>7337</v>
      </c>
      <c r="C5147" t="s">
        <v>7386</v>
      </c>
      <c r="D5147" s="14" t="s">
        <v>7382</v>
      </c>
      <c r="E5147" s="12" t="s">
        <v>28</v>
      </c>
      <c r="F5147" s="13" t="s">
        <v>29</v>
      </c>
      <c r="G5147">
        <v>100</v>
      </c>
      <c r="H5147" t="s">
        <v>30</v>
      </c>
      <c r="I5147">
        <v>100</v>
      </c>
      <c r="J5147" s="15"/>
      <c r="K5147" s="16">
        <f>IF($E$1&gt;=$Q$1%,21.01-(21.01*$Q$1%),21.01-(21.01*$E$1))</f>
        <v>21.01</v>
      </c>
      <c r="L5147" s="16">
        <f>IF($E$1&gt;=$Q$1%,17.22-(17.22*$Q$1%),17.22-(17.22*$E$1))</f>
        <v>17.22</v>
      </c>
      <c r="M5147" s="1">
        <v>21.01</v>
      </c>
      <c r="N5147" s="1">
        <v>17.22</v>
      </c>
      <c r="O5147" s="1">
        <v>21.01</v>
      </c>
      <c r="P5147" s="1">
        <v>17.22</v>
      </c>
      <c r="Q5147">
        <v>1.24E-2</v>
      </c>
      <c r="R5147">
        <v>1.88E-5</v>
      </c>
    </row>
    <row r="5148" spans="1:18" ht="13.8" outlineLevel="2" x14ac:dyDescent="0.25">
      <c r="A5148">
        <v>79969</v>
      </c>
      <c r="B5148" t="s">
        <v>7337</v>
      </c>
      <c r="C5148" t="s">
        <v>7387</v>
      </c>
      <c r="D5148" s="14" t="s">
        <v>7382</v>
      </c>
      <c r="E5148" s="12" t="s">
        <v>28</v>
      </c>
      <c r="F5148" s="13" t="s">
        <v>29</v>
      </c>
      <c r="G5148">
        <v>100</v>
      </c>
      <c r="H5148" t="s">
        <v>30</v>
      </c>
      <c r="I5148">
        <v>100</v>
      </c>
      <c r="J5148" s="15"/>
      <c r="K5148" s="16">
        <f>IF($E$1&gt;=$Q$1%,22.06-(22.06*$Q$1%),22.06-(22.06*$E$1))</f>
        <v>22.06</v>
      </c>
      <c r="L5148" s="16">
        <f>IF($E$1&gt;=$Q$1%,18.08-(18.08*$Q$1%),18.08-(18.08*$E$1))</f>
        <v>18.079999999999998</v>
      </c>
      <c r="M5148" s="1">
        <v>22.06</v>
      </c>
      <c r="N5148" s="1">
        <v>18.079999999999998</v>
      </c>
      <c r="O5148" s="1">
        <v>22.06</v>
      </c>
      <c r="P5148" s="1">
        <v>18.079999999999998</v>
      </c>
      <c r="Q5148">
        <v>1.218E-2</v>
      </c>
      <c r="R5148">
        <v>1.8749999999999998E-5</v>
      </c>
    </row>
    <row r="5149" spans="1:18" ht="13.8" outlineLevel="2" x14ac:dyDescent="0.25">
      <c r="A5149">
        <v>79970</v>
      </c>
      <c r="B5149" t="s">
        <v>7337</v>
      </c>
      <c r="C5149" t="s">
        <v>7388</v>
      </c>
      <c r="D5149" s="14" t="s">
        <v>7382</v>
      </c>
      <c r="E5149" s="12" t="s">
        <v>28</v>
      </c>
      <c r="F5149" s="13" t="s">
        <v>29</v>
      </c>
      <c r="G5149">
        <v>100</v>
      </c>
      <c r="H5149" t="s">
        <v>30</v>
      </c>
      <c r="I5149">
        <v>100</v>
      </c>
      <c r="J5149" s="15"/>
      <c r="K5149" s="16">
        <f>IF($E$1&gt;=$Q$1%,22.74-(22.74*$Q$1%),22.74-(22.74*$E$1))</f>
        <v>22.74</v>
      </c>
      <c r="L5149" s="16">
        <f>IF($E$1&gt;=$Q$1%,18.64-(18.64*$Q$1%),18.64-(18.64*$E$1))</f>
        <v>18.64</v>
      </c>
      <c r="M5149" s="1">
        <v>22.74</v>
      </c>
      <c r="N5149" s="1">
        <v>18.64</v>
      </c>
      <c r="O5149" s="1">
        <v>22.74</v>
      </c>
      <c r="P5149" s="1">
        <v>18.64</v>
      </c>
      <c r="Q5149">
        <v>1.4760000000000001E-2</v>
      </c>
      <c r="R5149">
        <v>4.2500000000000003E-5</v>
      </c>
    </row>
    <row r="5150" spans="1:18" ht="13.8" outlineLevel="2" x14ac:dyDescent="0.25">
      <c r="A5150">
        <v>79971</v>
      </c>
      <c r="B5150" t="s">
        <v>7337</v>
      </c>
      <c r="C5150" t="s">
        <v>7389</v>
      </c>
      <c r="D5150" s="14" t="s">
        <v>7382</v>
      </c>
      <c r="E5150" s="12" t="s">
        <v>28</v>
      </c>
      <c r="F5150" s="13" t="s">
        <v>29</v>
      </c>
      <c r="G5150">
        <v>50</v>
      </c>
      <c r="H5150" t="s">
        <v>30</v>
      </c>
      <c r="I5150">
        <v>50</v>
      </c>
      <c r="J5150" s="15"/>
      <c r="K5150" s="16">
        <f>IF($E$1&gt;=$Q$1%,25.39-(25.39*$Q$1%),25.39-(25.39*$E$1))</f>
        <v>25.39</v>
      </c>
      <c r="L5150" s="16">
        <f>IF($E$1&gt;=$Q$1%,20.81-(20.81*$Q$1%),20.81-(20.81*$E$1))</f>
        <v>20.81</v>
      </c>
      <c r="M5150" s="1">
        <v>25.39</v>
      </c>
      <c r="N5150" s="1">
        <v>20.81</v>
      </c>
      <c r="O5150" s="1">
        <v>25.39</v>
      </c>
      <c r="P5150" s="1">
        <v>20.81</v>
      </c>
      <c r="Q5150">
        <v>1.5800000000000002E-2</v>
      </c>
      <c r="R5150">
        <v>3.7499999999999997E-5</v>
      </c>
    </row>
    <row r="5151" spans="1:18" ht="13.8" outlineLevel="2" x14ac:dyDescent="0.25">
      <c r="A5151">
        <v>79973</v>
      </c>
      <c r="B5151" t="s">
        <v>7337</v>
      </c>
      <c r="C5151" t="s">
        <v>7390</v>
      </c>
      <c r="D5151" s="14" t="s">
        <v>7382</v>
      </c>
      <c r="E5151" s="12" t="s">
        <v>28</v>
      </c>
      <c r="F5151" s="13" t="s">
        <v>29</v>
      </c>
      <c r="G5151">
        <v>50</v>
      </c>
      <c r="H5151" t="s">
        <v>30</v>
      </c>
      <c r="I5151">
        <v>50</v>
      </c>
      <c r="J5151" s="15"/>
      <c r="K5151" s="16">
        <f>IF($E$1&gt;=$Q$1%,27.19-(27.19*$Q$1%),27.19-(27.19*$E$1))</f>
        <v>27.19</v>
      </c>
      <c r="L5151" s="16">
        <f>IF($E$1&gt;=$Q$1%,22.29-(22.29*$Q$1%),22.29-(22.29*$E$1))</f>
        <v>22.29</v>
      </c>
      <c r="M5151" s="1">
        <v>27.19</v>
      </c>
      <c r="N5151" s="1">
        <v>22.29</v>
      </c>
      <c r="O5151" s="1">
        <v>27.19</v>
      </c>
      <c r="P5151" s="1">
        <v>22.29</v>
      </c>
      <c r="Q5151">
        <v>1.7080000000000001E-2</v>
      </c>
      <c r="R5151">
        <v>8.5000000000000006E-5</v>
      </c>
    </row>
    <row r="5152" spans="1:18" ht="13.8" outlineLevel="2" x14ac:dyDescent="0.25">
      <c r="A5152">
        <v>79974</v>
      </c>
      <c r="B5152" t="s">
        <v>7337</v>
      </c>
      <c r="C5152" t="s">
        <v>7391</v>
      </c>
      <c r="D5152" s="14" t="s">
        <v>7382</v>
      </c>
      <c r="E5152" s="12" t="s">
        <v>28</v>
      </c>
      <c r="F5152" s="13" t="s">
        <v>29</v>
      </c>
      <c r="G5152">
        <v>50</v>
      </c>
      <c r="H5152" t="s">
        <v>30</v>
      </c>
      <c r="I5152">
        <v>50</v>
      </c>
      <c r="J5152" s="15"/>
      <c r="K5152" s="16">
        <f>IF($E$1&gt;=$Q$1%,27.89-(27.89*$Q$1%),27.89-(27.89*$E$1))</f>
        <v>27.89</v>
      </c>
      <c r="L5152" s="16">
        <f>IF($E$1&gt;=$Q$1%,22.86-(22.86*$Q$1%),22.86-(22.86*$E$1))</f>
        <v>22.86</v>
      </c>
      <c r="M5152" s="1">
        <v>27.89</v>
      </c>
      <c r="N5152" s="1">
        <v>22.86</v>
      </c>
      <c r="O5152" s="1">
        <v>27.89</v>
      </c>
      <c r="P5152" s="1">
        <v>22.86</v>
      </c>
      <c r="Q5152">
        <v>1.8280000000000001E-2</v>
      </c>
      <c r="R5152">
        <v>8.5000000000000006E-5</v>
      </c>
    </row>
    <row r="5153" spans="1:18" ht="13.8" outlineLevel="2" x14ac:dyDescent="0.25">
      <c r="A5153">
        <v>79975</v>
      </c>
      <c r="B5153" t="s">
        <v>7337</v>
      </c>
      <c r="C5153" t="s">
        <v>7392</v>
      </c>
      <c r="D5153" s="14" t="s">
        <v>7382</v>
      </c>
      <c r="E5153" s="12" t="s">
        <v>28</v>
      </c>
      <c r="F5153" s="13" t="s">
        <v>29</v>
      </c>
      <c r="G5153">
        <v>50</v>
      </c>
      <c r="H5153" t="s">
        <v>30</v>
      </c>
      <c r="I5153">
        <v>50</v>
      </c>
      <c r="J5153" s="15"/>
      <c r="K5153" s="16">
        <f>IF($E$1&gt;=$Q$1%,29.05-(29.05*$Q$1%),29.05-(29.05*$E$1))</f>
        <v>29.05</v>
      </c>
      <c r="L5153" s="16">
        <f>IF($E$1&gt;=$Q$1%,23.81-(23.81*$Q$1%),23.81-(23.81*$E$1))</f>
        <v>23.81</v>
      </c>
      <c r="M5153" s="1">
        <v>29.05</v>
      </c>
      <c r="N5153" s="1">
        <v>23.81</v>
      </c>
      <c r="O5153" s="1">
        <v>29.05</v>
      </c>
      <c r="P5153" s="1">
        <v>23.81</v>
      </c>
      <c r="Q5153">
        <v>1.9720000000000001E-2</v>
      </c>
      <c r="R5153">
        <v>8.5000000000000006E-5</v>
      </c>
    </row>
    <row r="5154" spans="1:18" ht="13.8" outlineLevel="2" x14ac:dyDescent="0.25">
      <c r="A5154">
        <v>79976</v>
      </c>
      <c r="B5154" t="s">
        <v>7337</v>
      </c>
      <c r="C5154" t="s">
        <v>7393</v>
      </c>
      <c r="D5154" s="14" t="s">
        <v>7382</v>
      </c>
      <c r="E5154" s="12" t="s">
        <v>28</v>
      </c>
      <c r="F5154" s="13" t="s">
        <v>29</v>
      </c>
      <c r="G5154">
        <v>50</v>
      </c>
      <c r="H5154" t="s">
        <v>30</v>
      </c>
      <c r="I5154">
        <v>50</v>
      </c>
      <c r="J5154" s="15"/>
      <c r="K5154" s="16">
        <f>IF($E$1&gt;=$Q$1%,30.72-(30.72*$Q$1%),30.72-(30.72*$E$1))</f>
        <v>30.72</v>
      </c>
      <c r="L5154" s="16">
        <f>IF($E$1&gt;=$Q$1%,25.18-(25.18*$Q$1%),25.18-(25.18*$E$1))</f>
        <v>25.18</v>
      </c>
      <c r="M5154" s="1">
        <v>30.72</v>
      </c>
      <c r="N5154" s="1">
        <v>25.18</v>
      </c>
      <c r="O5154" s="1">
        <v>30.72</v>
      </c>
      <c r="P5154" s="1">
        <v>25.18</v>
      </c>
      <c r="Q5154">
        <v>2.1000000000000001E-2</v>
      </c>
      <c r="R5154">
        <v>1.2E-4</v>
      </c>
    </row>
    <row r="5155" spans="1:18" ht="13.8" outlineLevel="2" x14ac:dyDescent="0.25">
      <c r="A5155">
        <v>79977</v>
      </c>
      <c r="B5155" t="s">
        <v>7337</v>
      </c>
      <c r="C5155" t="s">
        <v>7394</v>
      </c>
      <c r="D5155" s="14" t="s">
        <v>7382</v>
      </c>
      <c r="E5155" s="12" t="s">
        <v>28</v>
      </c>
      <c r="F5155" s="13" t="s">
        <v>29</v>
      </c>
      <c r="G5155">
        <v>50</v>
      </c>
      <c r="H5155" t="s">
        <v>30</v>
      </c>
      <c r="I5155">
        <v>50</v>
      </c>
      <c r="J5155" s="15"/>
      <c r="K5155" s="16">
        <f>IF($E$1&gt;=$Q$1%,32.12-(32.12*$Q$1%),32.12-(32.12*$E$1))</f>
        <v>32.119999999999997</v>
      </c>
      <c r="L5155" s="16">
        <f>IF($E$1&gt;=$Q$1%,26.33-(26.33*$Q$1%),26.33-(26.33*$E$1))</f>
        <v>26.33</v>
      </c>
      <c r="M5155" s="1">
        <v>32.119999999999997</v>
      </c>
      <c r="N5155" s="1">
        <v>26.33</v>
      </c>
      <c r="O5155" s="1">
        <v>32.119999999999997</v>
      </c>
      <c r="P5155" s="1">
        <v>26.33</v>
      </c>
      <c r="Q5155">
        <v>2.2360000000000001E-2</v>
      </c>
      <c r="R5155">
        <v>1.2E-4</v>
      </c>
    </row>
    <row r="5156" spans="1:18" ht="13.8" outlineLevel="2" x14ac:dyDescent="0.25">
      <c r="A5156">
        <v>79978</v>
      </c>
      <c r="B5156" t="s">
        <v>7337</v>
      </c>
      <c r="C5156" t="s">
        <v>7395</v>
      </c>
      <c r="D5156" s="14" t="s">
        <v>7382</v>
      </c>
      <c r="E5156" s="12" t="s">
        <v>28</v>
      </c>
      <c r="F5156" s="13" t="s">
        <v>29</v>
      </c>
      <c r="G5156">
        <v>20</v>
      </c>
      <c r="H5156" t="s">
        <v>30</v>
      </c>
      <c r="I5156">
        <v>20</v>
      </c>
      <c r="J5156" s="15"/>
      <c r="K5156" s="16">
        <f>IF($E$1&gt;=$Q$1%,35.76-(35.76*$Q$1%),35.76-(35.76*$E$1))</f>
        <v>35.76</v>
      </c>
      <c r="L5156" s="16">
        <f>IF($E$1&gt;=$Q$1%,29.31-(29.31*$Q$1%),29.31-(29.31*$E$1))</f>
        <v>29.31</v>
      </c>
      <c r="M5156" s="1">
        <v>35.76</v>
      </c>
      <c r="N5156" s="1">
        <v>29.31</v>
      </c>
      <c r="O5156" s="1">
        <v>35.76</v>
      </c>
      <c r="P5156" s="1">
        <v>29.31</v>
      </c>
      <c r="Q5156">
        <v>2.3800000000000002E-2</v>
      </c>
      <c r="R5156">
        <v>1.875E-4</v>
      </c>
    </row>
    <row r="5157" spans="1:18" ht="13.8" outlineLevel="2" x14ac:dyDescent="0.25">
      <c r="A5157">
        <v>79979</v>
      </c>
      <c r="B5157" t="s">
        <v>7337</v>
      </c>
      <c r="C5157" t="s">
        <v>7396</v>
      </c>
      <c r="D5157" s="14" t="s">
        <v>7382</v>
      </c>
      <c r="E5157" s="12" t="s">
        <v>28</v>
      </c>
      <c r="F5157" s="13" t="s">
        <v>29</v>
      </c>
      <c r="G5157">
        <v>20</v>
      </c>
      <c r="H5157" t="s">
        <v>30</v>
      </c>
      <c r="I5157">
        <v>20</v>
      </c>
      <c r="J5157" s="15"/>
      <c r="K5157" s="16">
        <f>IF($E$1&gt;=$Q$1%,38.22-(38.22*$Q$1%),38.22-(38.22*$E$1))</f>
        <v>38.22</v>
      </c>
      <c r="L5157" s="16">
        <f>IF($E$1&gt;=$Q$1%,31.33-(31.33*$Q$1%),31.33-(31.33*$E$1))</f>
        <v>31.33</v>
      </c>
      <c r="M5157" s="1">
        <v>38.22</v>
      </c>
      <c r="N5157" s="1">
        <v>31.33</v>
      </c>
      <c r="O5157" s="1">
        <v>38.22</v>
      </c>
      <c r="P5157" s="1">
        <v>31.33</v>
      </c>
      <c r="Q5157">
        <v>2.52E-2</v>
      </c>
      <c r="R5157">
        <v>2.1249999999999999E-4</v>
      </c>
    </row>
    <row r="5158" spans="1:18" ht="13.8" outlineLevel="2" x14ac:dyDescent="0.25">
      <c r="A5158">
        <v>79981</v>
      </c>
      <c r="B5158" t="s">
        <v>7337</v>
      </c>
      <c r="C5158" t="s">
        <v>7397</v>
      </c>
      <c r="D5158" s="14" t="s">
        <v>7382</v>
      </c>
      <c r="E5158" s="12" t="s">
        <v>28</v>
      </c>
      <c r="F5158" s="13" t="s">
        <v>29</v>
      </c>
      <c r="G5158">
        <v>20</v>
      </c>
      <c r="H5158" t="s">
        <v>30</v>
      </c>
      <c r="I5158">
        <v>20</v>
      </c>
      <c r="J5158" s="15"/>
      <c r="K5158" s="16">
        <f>IF($E$1&gt;=$Q$1%,39.06-(39.06*$Q$1%),39.06-(39.06*$E$1))</f>
        <v>39.06</v>
      </c>
      <c r="L5158" s="16">
        <f>IF($E$1&gt;=$Q$1%,32.02-(32.02*$Q$1%),32.02-(32.02*$E$1))</f>
        <v>32.020000000000003</v>
      </c>
      <c r="M5158" s="1">
        <v>39.06</v>
      </c>
      <c r="N5158" s="1">
        <v>32.020000000000003</v>
      </c>
      <c r="O5158" s="1">
        <v>39.06</v>
      </c>
      <c r="P5158" s="1">
        <v>32.020000000000003</v>
      </c>
      <c r="Q5158">
        <v>2.7699999999999999E-2</v>
      </c>
      <c r="R5158">
        <v>2.1249999999999999E-4</v>
      </c>
    </row>
    <row r="5159" spans="1:18" ht="13.8" outlineLevel="2" x14ac:dyDescent="0.25">
      <c r="A5159">
        <v>69008</v>
      </c>
      <c r="B5159" t="s">
        <v>7337</v>
      </c>
      <c r="C5159" t="s">
        <v>7398</v>
      </c>
      <c r="D5159" s="14" t="s">
        <v>7399</v>
      </c>
      <c r="E5159" s="12" t="s">
        <v>28</v>
      </c>
      <c r="F5159" s="13" t="s">
        <v>29</v>
      </c>
      <c r="G5159">
        <v>100</v>
      </c>
      <c r="H5159" t="s">
        <v>30</v>
      </c>
      <c r="I5159">
        <v>100</v>
      </c>
      <c r="J5159" s="15"/>
      <c r="K5159" s="16">
        <f>IF($E$1&gt;=$Q$1%,14.73-(14.73*$Q$1%),14.73-(14.73*$E$1))</f>
        <v>14.73</v>
      </c>
      <c r="L5159" s="16">
        <f>IF($E$1&gt;=$Q$1%,12.07-(12.07*$Q$1%),12.07-(12.07*$E$1))</f>
        <v>12.07</v>
      </c>
      <c r="M5159" s="1">
        <v>14.73</v>
      </c>
      <c r="N5159" s="1">
        <v>12.07</v>
      </c>
      <c r="O5159" s="1">
        <v>14.73</v>
      </c>
      <c r="P5159" s="1">
        <v>12.07</v>
      </c>
      <c r="Q5159">
        <v>1.47E-2</v>
      </c>
      <c r="R5159">
        <v>2.0400000000000001E-5</v>
      </c>
    </row>
    <row r="5160" spans="1:18" ht="13.8" outlineLevel="2" x14ac:dyDescent="0.25">
      <c r="A5160">
        <v>69009</v>
      </c>
      <c r="B5160" t="s">
        <v>7337</v>
      </c>
      <c r="C5160" t="s">
        <v>7400</v>
      </c>
      <c r="D5160" s="14" t="s">
        <v>7399</v>
      </c>
      <c r="E5160" s="12" t="s">
        <v>28</v>
      </c>
      <c r="F5160" s="13" t="s">
        <v>29</v>
      </c>
      <c r="G5160">
        <v>100</v>
      </c>
      <c r="H5160" t="s">
        <v>30</v>
      </c>
      <c r="I5160">
        <v>100</v>
      </c>
      <c r="J5160" s="15"/>
      <c r="K5160" s="16">
        <f>IF($E$1&gt;=$Q$1%,15.84-(15.84*$Q$1%),15.84-(15.84*$E$1))</f>
        <v>15.84</v>
      </c>
      <c r="L5160" s="16">
        <f>IF($E$1&gt;=$Q$1%,12.98-(12.98*$Q$1%),12.98-(12.98*$E$1))</f>
        <v>12.98</v>
      </c>
      <c r="M5160" s="1">
        <v>15.84</v>
      </c>
      <c r="N5160" s="1">
        <v>12.98</v>
      </c>
      <c r="O5160" s="1">
        <v>15.84</v>
      </c>
      <c r="P5160" s="1">
        <v>12.98</v>
      </c>
      <c r="Q5160">
        <v>1.4619999999999999E-2</v>
      </c>
      <c r="R5160">
        <v>2.2439999999999999E-5</v>
      </c>
    </row>
    <row r="5161" spans="1:18" ht="13.8" outlineLevel="2" x14ac:dyDescent="0.25">
      <c r="A5161">
        <v>69010</v>
      </c>
      <c r="B5161" t="s">
        <v>7337</v>
      </c>
      <c r="C5161" t="s">
        <v>7401</v>
      </c>
      <c r="D5161" s="14" t="s">
        <v>7399</v>
      </c>
      <c r="E5161" s="12" t="s">
        <v>28</v>
      </c>
      <c r="F5161" s="13" t="s">
        <v>29</v>
      </c>
      <c r="G5161">
        <v>50</v>
      </c>
      <c r="H5161" t="s">
        <v>30</v>
      </c>
      <c r="I5161">
        <v>50</v>
      </c>
      <c r="J5161" s="15"/>
      <c r="K5161" s="16">
        <f>IF($E$1&gt;=$Q$1%,16.03-(16.03*$Q$1%),16.03-(16.03*$E$1))</f>
        <v>16.03</v>
      </c>
      <c r="L5161" s="16">
        <f>IF($E$1&gt;=$Q$1%,13.14-(13.14*$Q$1%),13.14-(13.14*$E$1))</f>
        <v>13.14</v>
      </c>
      <c r="M5161" s="1">
        <v>16.03</v>
      </c>
      <c r="N5161" s="1">
        <v>13.14</v>
      </c>
      <c r="O5161" s="1">
        <v>16.03</v>
      </c>
      <c r="P5161" s="1">
        <v>13.14</v>
      </c>
      <c r="Q5161">
        <v>1.54E-2</v>
      </c>
      <c r="R5161">
        <v>2.3519999999999998E-5</v>
      </c>
    </row>
    <row r="5162" spans="1:18" ht="13.8" outlineLevel="2" x14ac:dyDescent="0.25">
      <c r="A5162">
        <v>103915</v>
      </c>
      <c r="B5162" t="s">
        <v>7337</v>
      </c>
      <c r="C5162" t="s">
        <v>7402</v>
      </c>
      <c r="D5162" s="14" t="s">
        <v>7399</v>
      </c>
      <c r="E5162" s="12" t="s">
        <v>28</v>
      </c>
      <c r="F5162" s="13" t="s">
        <v>29</v>
      </c>
      <c r="G5162">
        <v>50</v>
      </c>
      <c r="H5162" t="s">
        <v>30</v>
      </c>
      <c r="I5162">
        <v>50</v>
      </c>
      <c r="J5162" s="15"/>
      <c r="K5162" s="16">
        <f>IF($E$1&gt;=$Q$1%,16.38-(16.38*$Q$1%),16.38-(16.38*$E$1))</f>
        <v>16.38</v>
      </c>
      <c r="L5162" s="16">
        <f>IF($E$1&gt;=$Q$1%,13.43-(13.43*$Q$1%),13.43-(13.43*$E$1))</f>
        <v>13.43</v>
      </c>
      <c r="M5162" s="1">
        <v>16.38</v>
      </c>
      <c r="N5162" s="1">
        <v>13.43</v>
      </c>
      <c r="O5162" s="1">
        <v>16.38</v>
      </c>
      <c r="P5162" s="1">
        <v>13.43</v>
      </c>
      <c r="Q5162">
        <v>1.5800000000000002E-2</v>
      </c>
      <c r="R5162">
        <v>3.5200000000000002E-5</v>
      </c>
    </row>
    <row r="5163" spans="1:18" ht="13.8" outlineLevel="2" x14ac:dyDescent="0.25">
      <c r="A5163">
        <v>69011</v>
      </c>
      <c r="B5163" t="s">
        <v>7337</v>
      </c>
      <c r="C5163" t="s">
        <v>7403</v>
      </c>
      <c r="D5163" s="14" t="s">
        <v>7399</v>
      </c>
      <c r="E5163" s="12" t="s">
        <v>28</v>
      </c>
      <c r="F5163" s="13" t="s">
        <v>29</v>
      </c>
      <c r="G5163">
        <v>50</v>
      </c>
      <c r="H5163" t="s">
        <v>30</v>
      </c>
      <c r="I5163">
        <v>50</v>
      </c>
      <c r="J5163" s="15"/>
      <c r="K5163" s="16">
        <f>IF($E$1&gt;=$Q$1%,18.79-(18.79*$Q$1%),18.79-(18.79*$E$1))</f>
        <v>18.79</v>
      </c>
      <c r="L5163" s="16">
        <f>IF($E$1&gt;=$Q$1%,15.4-(15.4*$Q$1%),15.4-(15.4*$E$1))</f>
        <v>15.4</v>
      </c>
      <c r="M5163" s="1">
        <v>18.79</v>
      </c>
      <c r="N5163" s="1">
        <v>15.4</v>
      </c>
      <c r="O5163" s="1">
        <v>18.79</v>
      </c>
      <c r="P5163" s="1">
        <v>15.4</v>
      </c>
      <c r="Q5163">
        <v>1.6619999999999999E-2</v>
      </c>
      <c r="R5163">
        <v>1.7280000000000001E-5</v>
      </c>
    </row>
    <row r="5164" spans="1:18" ht="13.8" outlineLevel="2" x14ac:dyDescent="0.25">
      <c r="A5164">
        <v>69012</v>
      </c>
      <c r="B5164" t="s">
        <v>7337</v>
      </c>
      <c r="C5164" t="s">
        <v>7404</v>
      </c>
      <c r="D5164" s="14" t="s">
        <v>7399</v>
      </c>
      <c r="E5164" s="12" t="s">
        <v>28</v>
      </c>
      <c r="F5164" s="13" t="s">
        <v>29</v>
      </c>
      <c r="G5164">
        <v>50</v>
      </c>
      <c r="H5164" t="s">
        <v>30</v>
      </c>
      <c r="I5164">
        <v>50</v>
      </c>
      <c r="J5164" s="15"/>
      <c r="K5164" s="16">
        <f>IF($E$1&gt;=$Q$1%,20.83-(20.83*$Q$1%),20.83-(20.83*$E$1))</f>
        <v>20.83</v>
      </c>
      <c r="L5164" s="16">
        <f>IF($E$1&gt;=$Q$1%,17.07-(17.07*$Q$1%),17.07-(17.07*$E$1))</f>
        <v>17.07</v>
      </c>
      <c r="M5164" s="1">
        <v>20.83</v>
      </c>
      <c r="N5164" s="1">
        <v>17.07</v>
      </c>
      <c r="O5164" s="1">
        <v>20.83</v>
      </c>
      <c r="P5164" s="1">
        <v>17.07</v>
      </c>
      <c r="Q5164">
        <v>1.8200000000000001E-2</v>
      </c>
      <c r="R5164">
        <v>6.0760000000000001E-5</v>
      </c>
    </row>
    <row r="5165" spans="1:18" ht="13.8" outlineLevel="2" x14ac:dyDescent="0.25">
      <c r="A5165">
        <v>69013</v>
      </c>
      <c r="B5165" t="s">
        <v>7337</v>
      </c>
      <c r="C5165" t="s">
        <v>7405</v>
      </c>
      <c r="D5165" s="14" t="s">
        <v>7399</v>
      </c>
      <c r="E5165" s="12" t="s">
        <v>28</v>
      </c>
      <c r="F5165" s="13" t="s">
        <v>29</v>
      </c>
      <c r="G5165">
        <v>20</v>
      </c>
      <c r="H5165" t="s">
        <v>30</v>
      </c>
      <c r="I5165">
        <v>20</v>
      </c>
      <c r="J5165" s="15"/>
      <c r="K5165" s="16">
        <f>IF($E$1&gt;=$Q$1%,22.72-(22.72*$Q$1%),22.72-(22.72*$E$1))</f>
        <v>22.72</v>
      </c>
      <c r="L5165" s="16">
        <f>IF($E$1&gt;=$Q$1%,18.62-(18.62*$Q$1%),18.62-(18.62*$E$1))</f>
        <v>18.62</v>
      </c>
      <c r="M5165" s="1">
        <v>22.72</v>
      </c>
      <c r="N5165" s="1">
        <v>18.62</v>
      </c>
      <c r="O5165" s="1">
        <v>22.72</v>
      </c>
      <c r="P5165" s="1">
        <v>18.62</v>
      </c>
      <c r="Q5165">
        <v>2.0199999999999999E-2</v>
      </c>
      <c r="R5165">
        <v>5.0699999999999999E-5</v>
      </c>
    </row>
    <row r="5166" spans="1:18" ht="13.8" outlineLevel="2" x14ac:dyDescent="0.25">
      <c r="A5166">
        <v>69014</v>
      </c>
      <c r="B5166" t="s">
        <v>7337</v>
      </c>
      <c r="C5166" t="s">
        <v>7406</v>
      </c>
      <c r="D5166" s="14" t="s">
        <v>7399</v>
      </c>
      <c r="E5166" s="12" t="s">
        <v>28</v>
      </c>
      <c r="F5166" s="13" t="s">
        <v>29</v>
      </c>
      <c r="G5166">
        <v>20</v>
      </c>
      <c r="H5166" t="s">
        <v>30</v>
      </c>
      <c r="I5166">
        <v>20</v>
      </c>
      <c r="J5166" s="15"/>
      <c r="K5166" s="16">
        <f>IF($E$1&gt;=$Q$1%,23.94-(23.94*$Q$1%),23.94-(23.94*$E$1))</f>
        <v>23.94</v>
      </c>
      <c r="L5166" s="16">
        <f>IF($E$1&gt;=$Q$1%,19.62-(19.62*$Q$1%),19.62-(19.62*$E$1))</f>
        <v>19.62</v>
      </c>
      <c r="M5166" s="1">
        <v>23.94</v>
      </c>
      <c r="N5166" s="1">
        <v>19.62</v>
      </c>
      <c r="O5166" s="1">
        <v>23.94</v>
      </c>
      <c r="P5166" s="1">
        <v>19.62</v>
      </c>
      <c r="Q5166">
        <v>2.1999999999999999E-2</v>
      </c>
      <c r="R5166">
        <v>1.5190000000000001E-4</v>
      </c>
    </row>
    <row r="5167" spans="1:18" ht="13.8" outlineLevel="2" x14ac:dyDescent="0.25">
      <c r="A5167">
        <v>69015</v>
      </c>
      <c r="B5167" t="s">
        <v>7337</v>
      </c>
      <c r="C5167" t="s">
        <v>7407</v>
      </c>
      <c r="D5167" s="14" t="s">
        <v>7399</v>
      </c>
      <c r="E5167" s="12" t="s">
        <v>28</v>
      </c>
      <c r="F5167" s="13" t="s">
        <v>29</v>
      </c>
      <c r="G5167">
        <v>20</v>
      </c>
      <c r="H5167" t="s">
        <v>30</v>
      </c>
      <c r="I5167">
        <v>20</v>
      </c>
      <c r="J5167" s="15"/>
      <c r="K5167" s="16">
        <f>IF($E$1&gt;=$Q$1%,25.14-(25.14*$Q$1%),25.14-(25.14*$E$1))</f>
        <v>25.14</v>
      </c>
      <c r="L5167" s="16">
        <f>IF($E$1&gt;=$Q$1%,20.61-(20.61*$Q$1%),20.61-(20.61*$E$1))</f>
        <v>20.61</v>
      </c>
      <c r="M5167" s="1">
        <v>25.14</v>
      </c>
      <c r="N5167" s="1">
        <v>20.61</v>
      </c>
      <c r="O5167" s="1">
        <v>25.14</v>
      </c>
      <c r="P5167" s="1">
        <v>20.61</v>
      </c>
      <c r="Q5167">
        <v>2.4150000000000001E-2</v>
      </c>
      <c r="R5167">
        <v>1.12E-4</v>
      </c>
    </row>
    <row r="5168" spans="1:18" ht="13.8" outlineLevel="2" x14ac:dyDescent="0.25">
      <c r="A5168">
        <v>69016</v>
      </c>
      <c r="B5168" t="s">
        <v>7337</v>
      </c>
      <c r="C5168" t="s">
        <v>7408</v>
      </c>
      <c r="D5168" s="14" t="s">
        <v>7399</v>
      </c>
      <c r="E5168" s="12" t="s">
        <v>28</v>
      </c>
      <c r="F5168" s="13" t="s">
        <v>29</v>
      </c>
      <c r="G5168">
        <v>20</v>
      </c>
      <c r="H5168" t="s">
        <v>30</v>
      </c>
      <c r="I5168">
        <v>20</v>
      </c>
      <c r="J5168" s="15"/>
      <c r="K5168" s="16">
        <f>IF($E$1&gt;=$Q$1%,26.36-(26.36*$Q$1%),26.36-(26.36*$E$1))</f>
        <v>26.36</v>
      </c>
      <c r="L5168" s="16">
        <f>IF($E$1&gt;=$Q$1%,21.61-(21.61*$Q$1%),21.61-(21.61*$E$1))</f>
        <v>21.61</v>
      </c>
      <c r="M5168" s="1">
        <v>26.36</v>
      </c>
      <c r="N5168" s="1">
        <v>21.61</v>
      </c>
      <c r="O5168" s="1">
        <v>26.36</v>
      </c>
      <c r="P5168" s="1">
        <v>21.61</v>
      </c>
      <c r="Q5168">
        <v>2.7099999999999999E-2</v>
      </c>
      <c r="R5168">
        <v>1.3229999999999999E-4</v>
      </c>
    </row>
    <row r="5169" spans="1:18" ht="13.8" outlineLevel="2" x14ac:dyDescent="0.25">
      <c r="A5169">
        <v>69017</v>
      </c>
      <c r="B5169" t="s">
        <v>7337</v>
      </c>
      <c r="C5169" t="s">
        <v>7409</v>
      </c>
      <c r="D5169" s="14" t="s">
        <v>7399</v>
      </c>
      <c r="E5169" s="12" t="s">
        <v>28</v>
      </c>
      <c r="F5169" s="13" t="s">
        <v>29</v>
      </c>
      <c r="G5169">
        <v>20</v>
      </c>
      <c r="H5169" t="s">
        <v>30</v>
      </c>
      <c r="I5169">
        <v>20</v>
      </c>
      <c r="J5169" s="15"/>
      <c r="K5169" s="16">
        <f>IF($E$1&gt;=$Q$1%,27.99-(27.99*$Q$1%),27.99-(27.99*$E$1))</f>
        <v>27.99</v>
      </c>
      <c r="L5169" s="16">
        <f>IF($E$1&gt;=$Q$1%,22.94-(22.94*$Q$1%),22.94-(22.94*$E$1))</f>
        <v>22.94</v>
      </c>
      <c r="M5169" s="1">
        <v>27.99</v>
      </c>
      <c r="N5169" s="1">
        <v>22.94</v>
      </c>
      <c r="O5169" s="1">
        <v>27.99</v>
      </c>
      <c r="P5169" s="1">
        <v>22.94</v>
      </c>
      <c r="Q5169">
        <v>2.7400000000000001E-2</v>
      </c>
      <c r="R5169">
        <v>1.1E-4</v>
      </c>
    </row>
    <row r="5170" spans="1:18" ht="13.8" outlineLevel="2" x14ac:dyDescent="0.25">
      <c r="A5170">
        <v>69018</v>
      </c>
      <c r="B5170" t="s">
        <v>7337</v>
      </c>
      <c r="C5170" t="s">
        <v>7410</v>
      </c>
      <c r="D5170" s="14" t="s">
        <v>7399</v>
      </c>
      <c r="E5170" s="12" t="s">
        <v>28</v>
      </c>
      <c r="F5170" s="13" t="s">
        <v>29</v>
      </c>
      <c r="G5170">
        <v>10</v>
      </c>
      <c r="H5170" t="s">
        <v>30</v>
      </c>
      <c r="I5170">
        <v>10</v>
      </c>
      <c r="J5170" s="15"/>
      <c r="K5170" s="16">
        <f>IF($E$1&gt;=$Q$1%,31.57-(31.57*$Q$1%),31.57-(31.57*$E$1))</f>
        <v>31.57</v>
      </c>
      <c r="L5170" s="16">
        <f>IF($E$1&gt;=$Q$1%,25.88-(25.88*$Q$1%),25.88-(25.88*$E$1))</f>
        <v>25.88</v>
      </c>
      <c r="M5170" s="1">
        <v>31.57</v>
      </c>
      <c r="N5170" s="1">
        <v>25.88</v>
      </c>
      <c r="O5170" s="1">
        <v>31.57</v>
      </c>
      <c r="P5170" s="1">
        <v>25.88</v>
      </c>
      <c r="Q5170">
        <v>2.98E-2</v>
      </c>
      <c r="R5170">
        <v>1.6200000000000001E-4</v>
      </c>
    </row>
    <row r="5171" spans="1:18" ht="13.8" outlineLevel="2" x14ac:dyDescent="0.25">
      <c r="A5171">
        <v>69019</v>
      </c>
      <c r="B5171" t="s">
        <v>7337</v>
      </c>
      <c r="C5171" t="s">
        <v>7411</v>
      </c>
      <c r="D5171" s="14" t="s">
        <v>7399</v>
      </c>
      <c r="E5171" s="12" t="s">
        <v>28</v>
      </c>
      <c r="F5171" s="13" t="s">
        <v>29</v>
      </c>
      <c r="G5171">
        <v>10</v>
      </c>
      <c r="H5171" t="s">
        <v>30</v>
      </c>
      <c r="I5171">
        <v>10</v>
      </c>
      <c r="J5171" s="15"/>
      <c r="K5171" s="16">
        <f>IF($E$1&gt;=$Q$1%,33.34-(33.34*$Q$1%),33.34-(33.34*$E$1))</f>
        <v>33.340000000000003</v>
      </c>
      <c r="L5171" s="16">
        <f>IF($E$1&gt;=$Q$1%,27.33-(27.33*$Q$1%),27.33-(27.33*$E$1))</f>
        <v>27.33</v>
      </c>
      <c r="M5171" s="1">
        <v>33.340000000000003</v>
      </c>
      <c r="N5171" s="1">
        <v>27.33</v>
      </c>
      <c r="O5171" s="1">
        <v>33.340000000000003</v>
      </c>
      <c r="P5171" s="1">
        <v>27.33</v>
      </c>
      <c r="Q5171">
        <v>3.15E-2</v>
      </c>
      <c r="R5171">
        <v>1.1519999999999999E-4</v>
      </c>
    </row>
    <row r="5172" spans="1:18" ht="13.8" outlineLevel="2" x14ac:dyDescent="0.25">
      <c r="A5172">
        <v>69020</v>
      </c>
      <c r="B5172" t="s">
        <v>7337</v>
      </c>
      <c r="C5172" t="s">
        <v>7412</v>
      </c>
      <c r="D5172" s="14" t="s">
        <v>7399</v>
      </c>
      <c r="E5172" s="12" t="s">
        <v>28</v>
      </c>
      <c r="F5172" s="13" t="s">
        <v>29</v>
      </c>
      <c r="G5172">
        <v>10</v>
      </c>
      <c r="H5172" t="s">
        <v>30</v>
      </c>
      <c r="I5172">
        <v>10</v>
      </c>
      <c r="J5172" s="15"/>
      <c r="K5172" s="16">
        <f>IF($E$1&gt;=$Q$1%,35.65-(35.65*$Q$1%),35.65-(35.65*$E$1))</f>
        <v>35.65</v>
      </c>
      <c r="L5172" s="16">
        <f>IF($E$1&gt;=$Q$1%,29.22-(29.22*$Q$1%),29.22-(29.22*$E$1))</f>
        <v>29.22</v>
      </c>
      <c r="M5172" s="1">
        <v>35.65</v>
      </c>
      <c r="N5172" s="1">
        <v>29.22</v>
      </c>
      <c r="O5172" s="1">
        <v>35.65</v>
      </c>
      <c r="P5172" s="1">
        <v>29.22</v>
      </c>
      <c r="Q5172">
        <v>3.3000000000000002E-2</v>
      </c>
      <c r="R5172">
        <v>4.1439999999999999E-4</v>
      </c>
    </row>
    <row r="5173" spans="1:18" ht="13.8" outlineLevel="2" x14ac:dyDescent="0.25">
      <c r="A5173">
        <v>69021</v>
      </c>
      <c r="B5173" t="s">
        <v>7337</v>
      </c>
      <c r="C5173" t="s">
        <v>7413</v>
      </c>
      <c r="D5173" s="14" t="s">
        <v>7399</v>
      </c>
      <c r="E5173" s="12" t="s">
        <v>28</v>
      </c>
      <c r="F5173" s="13" t="s">
        <v>29</v>
      </c>
      <c r="G5173">
        <v>10</v>
      </c>
      <c r="H5173" t="s">
        <v>30</v>
      </c>
      <c r="I5173">
        <v>10</v>
      </c>
      <c r="J5173" s="15"/>
      <c r="K5173" s="16">
        <f>IF($E$1&gt;=$Q$1%,39.41-(39.41*$Q$1%),39.41-(39.41*$E$1))</f>
        <v>39.409999999999997</v>
      </c>
      <c r="L5173" s="16">
        <f>IF($E$1&gt;=$Q$1%,32.3-(32.3*$Q$1%),32.3-(32.3*$E$1))</f>
        <v>32.299999999999997</v>
      </c>
      <c r="M5173" s="1">
        <v>39.409999999999997</v>
      </c>
      <c r="N5173" s="1">
        <v>32.299999999999997</v>
      </c>
      <c r="O5173" s="1">
        <v>39.409999999999997</v>
      </c>
      <c r="P5173" s="1">
        <v>32.299999999999997</v>
      </c>
      <c r="Q5173">
        <v>3.5299999999999998E-2</v>
      </c>
      <c r="R5173">
        <v>4.8000000000000001E-4</v>
      </c>
    </row>
    <row r="5174" spans="1:18" ht="13.8" outlineLevel="2" x14ac:dyDescent="0.25">
      <c r="A5174">
        <v>69022</v>
      </c>
      <c r="B5174" t="s">
        <v>7337</v>
      </c>
      <c r="C5174" t="s">
        <v>7414</v>
      </c>
      <c r="D5174" s="14" t="s">
        <v>7399</v>
      </c>
      <c r="E5174" s="12" t="s">
        <v>28</v>
      </c>
      <c r="F5174" s="13" t="s">
        <v>29</v>
      </c>
      <c r="G5174">
        <v>10</v>
      </c>
      <c r="H5174" t="s">
        <v>30</v>
      </c>
      <c r="I5174">
        <v>10</v>
      </c>
      <c r="J5174" s="15"/>
      <c r="K5174" s="16">
        <f>IF($E$1&gt;=$Q$1%,39.24-(39.24*$Q$1%),39.24-(39.24*$E$1))</f>
        <v>39.24</v>
      </c>
      <c r="L5174" s="16">
        <f>IF($E$1&gt;=$Q$1%,32.16-(32.16*$Q$1%),32.16-(32.16*$E$1))</f>
        <v>32.159999999999997</v>
      </c>
      <c r="M5174" s="1">
        <v>39.24</v>
      </c>
      <c r="N5174" s="1">
        <v>32.159999999999997</v>
      </c>
      <c r="O5174" s="1">
        <v>39.24</v>
      </c>
      <c r="P5174" s="1">
        <v>32.159999999999997</v>
      </c>
      <c r="Q5174">
        <v>3.7499999999999999E-2</v>
      </c>
      <c r="R5174">
        <v>2.6009999999999998E-4</v>
      </c>
    </row>
    <row r="5175" spans="1:18" ht="13.8" outlineLevel="2" x14ac:dyDescent="0.25">
      <c r="A5175">
        <v>69023</v>
      </c>
      <c r="B5175" t="s">
        <v>7337</v>
      </c>
      <c r="C5175" t="s">
        <v>7415</v>
      </c>
      <c r="D5175" s="14" t="s">
        <v>7399</v>
      </c>
      <c r="E5175" s="12" t="s">
        <v>28</v>
      </c>
      <c r="F5175" s="13" t="s">
        <v>29</v>
      </c>
      <c r="G5175">
        <v>10</v>
      </c>
      <c r="H5175" t="s">
        <v>30</v>
      </c>
      <c r="I5175">
        <v>10</v>
      </c>
      <c r="J5175" s="15"/>
      <c r="K5175" s="16">
        <f>IF($E$1&gt;=$Q$1%,44.24-(44.24*$Q$1%),44.24-(44.24*$E$1))</f>
        <v>44.24</v>
      </c>
      <c r="L5175" s="16">
        <f>IF($E$1&gt;=$Q$1%,36.26-(36.26*$Q$1%),36.26-(36.26*$E$1))</f>
        <v>36.26</v>
      </c>
      <c r="M5175" s="1">
        <v>44.24</v>
      </c>
      <c r="N5175" s="1">
        <v>36.26</v>
      </c>
      <c r="O5175" s="1">
        <v>44.24</v>
      </c>
      <c r="P5175" s="1">
        <v>36.26</v>
      </c>
      <c r="Q5175">
        <v>0.04</v>
      </c>
      <c r="R5175">
        <v>1.9440000000000001E-4</v>
      </c>
    </row>
    <row r="5176" spans="1:18" ht="13.8" outlineLevel="2" x14ac:dyDescent="0.25">
      <c r="A5176">
        <v>69025</v>
      </c>
      <c r="B5176" t="s">
        <v>7337</v>
      </c>
      <c r="C5176" t="s">
        <v>7416</v>
      </c>
      <c r="D5176" s="14" t="s">
        <v>7399</v>
      </c>
      <c r="E5176" s="12" t="s">
        <v>28</v>
      </c>
      <c r="F5176" s="13" t="s">
        <v>29</v>
      </c>
      <c r="G5176">
        <v>10</v>
      </c>
      <c r="H5176" t="s">
        <v>30</v>
      </c>
      <c r="I5176">
        <v>10</v>
      </c>
      <c r="J5176" s="15"/>
      <c r="K5176" s="16">
        <f>IF($E$1&gt;=$Q$1%,47.69-(47.69*$Q$1%),47.69-(47.69*$E$1))</f>
        <v>47.69</v>
      </c>
      <c r="L5176" s="16">
        <f>IF($E$1&gt;=$Q$1%,39.09-(39.09*$Q$1%),39.09-(39.09*$E$1))</f>
        <v>39.090000000000003</v>
      </c>
      <c r="M5176" s="1">
        <v>47.69</v>
      </c>
      <c r="N5176" s="1">
        <v>39.090000000000003</v>
      </c>
      <c r="O5176" s="1">
        <v>47.69</v>
      </c>
      <c r="P5176" s="1">
        <v>39.090000000000003</v>
      </c>
      <c r="Q5176">
        <v>4.2500000000000003E-2</v>
      </c>
      <c r="R5176">
        <v>3.6000000000000002E-4</v>
      </c>
    </row>
    <row r="5177" spans="1:18" ht="13.8" outlineLevel="2" x14ac:dyDescent="0.25">
      <c r="A5177">
        <v>69027</v>
      </c>
      <c r="B5177" t="s">
        <v>7337</v>
      </c>
      <c r="C5177" t="s">
        <v>7417</v>
      </c>
      <c r="D5177" s="14" t="s">
        <v>7399</v>
      </c>
      <c r="E5177" s="12" t="s">
        <v>28</v>
      </c>
      <c r="F5177" s="13" t="s">
        <v>29</v>
      </c>
      <c r="G5177">
        <v>10</v>
      </c>
      <c r="H5177" t="s">
        <v>30</v>
      </c>
      <c r="I5177">
        <v>10</v>
      </c>
      <c r="J5177" s="15"/>
      <c r="K5177" s="16">
        <f>IF($E$1&gt;=$Q$1%,47.34-(47.34*$Q$1%),47.34-(47.34*$E$1))</f>
        <v>47.34</v>
      </c>
      <c r="L5177" s="16">
        <f>IF($E$1&gt;=$Q$1%,38.8-(38.8*$Q$1%),38.8-(38.8*$E$1))</f>
        <v>38.799999999999997</v>
      </c>
      <c r="M5177" s="1">
        <v>47.34</v>
      </c>
      <c r="N5177" s="1">
        <v>38.799999999999997</v>
      </c>
      <c r="O5177" s="1">
        <v>47.34</v>
      </c>
      <c r="P5177" s="1">
        <v>38.799999999999997</v>
      </c>
      <c r="Q5177">
        <v>4.5600000000000002E-2</v>
      </c>
      <c r="R5177">
        <v>3.0800000000000001E-4</v>
      </c>
    </row>
    <row r="5178" spans="1:18" ht="13.8" outlineLevel="2" x14ac:dyDescent="0.25">
      <c r="A5178">
        <v>69030</v>
      </c>
      <c r="B5178" t="s">
        <v>7337</v>
      </c>
      <c r="C5178" t="s">
        <v>7418</v>
      </c>
      <c r="D5178" s="14" t="s">
        <v>7399</v>
      </c>
      <c r="E5178" s="12" t="s">
        <v>28</v>
      </c>
      <c r="G5178">
        <v>10</v>
      </c>
      <c r="H5178" t="s">
        <v>30</v>
      </c>
      <c r="I5178">
        <v>10</v>
      </c>
      <c r="J5178" s="15"/>
      <c r="K5178" s="16">
        <f>IF($E$1&gt;=$Q$1%,66.14-(66.14*$Q$1%),66.14-(66.14*$E$1))</f>
        <v>66.14</v>
      </c>
      <c r="L5178" s="16">
        <f>IF($E$1&gt;=$Q$1%,54.21-(54.21*$Q$1%),54.21-(54.21*$E$1))</f>
        <v>54.21</v>
      </c>
      <c r="M5178" s="1">
        <v>66.14</v>
      </c>
      <c r="N5178" s="1">
        <v>54.21</v>
      </c>
      <c r="O5178" s="1">
        <v>66.14</v>
      </c>
      <c r="P5178" s="1">
        <v>54.21</v>
      </c>
      <c r="Q5178">
        <v>5.2299999999999999E-2</v>
      </c>
      <c r="R5178">
        <v>3.8499999999999998E-4</v>
      </c>
    </row>
    <row r="5179" spans="1:18" ht="13.8" outlineLevel="2" x14ac:dyDescent="0.25">
      <c r="A5179">
        <v>69032</v>
      </c>
      <c r="B5179" t="s">
        <v>7419</v>
      </c>
      <c r="C5179" t="s">
        <v>7420</v>
      </c>
      <c r="D5179" s="14" t="s">
        <v>7421</v>
      </c>
      <c r="E5179" s="12" t="s">
        <v>28</v>
      </c>
      <c r="F5179" s="13" t="s">
        <v>29</v>
      </c>
      <c r="G5179">
        <v>10</v>
      </c>
      <c r="H5179" t="s">
        <v>30</v>
      </c>
      <c r="I5179">
        <v>10</v>
      </c>
      <c r="J5179" s="15"/>
      <c r="K5179" s="16">
        <f>IF($E$1&gt;=$Q$1%,39.91-(39.91*$Q$1%),39.91-(39.91*$E$1))</f>
        <v>39.909999999999997</v>
      </c>
      <c r="L5179" s="16">
        <f>IF($E$1&gt;=$Q$1%,32.71-(32.71*$Q$1%),32.71-(32.71*$E$1))</f>
        <v>32.71</v>
      </c>
      <c r="M5179" s="1">
        <v>39.909999999999997</v>
      </c>
      <c r="N5179" s="1">
        <v>32.71</v>
      </c>
      <c r="O5179" s="1">
        <v>39.909999999999997</v>
      </c>
      <c r="P5179" s="1">
        <v>32.71</v>
      </c>
      <c r="Q5179">
        <v>0.04</v>
      </c>
      <c r="R5179">
        <v>4.8399999999999997E-5</v>
      </c>
    </row>
    <row r="5180" spans="1:18" ht="13.8" outlineLevel="2" x14ac:dyDescent="0.25">
      <c r="A5180">
        <v>69033</v>
      </c>
      <c r="B5180" t="s">
        <v>7419</v>
      </c>
      <c r="C5180" t="s">
        <v>7422</v>
      </c>
      <c r="D5180" s="14" t="s">
        <v>7421</v>
      </c>
      <c r="E5180" s="12" t="s">
        <v>28</v>
      </c>
      <c r="F5180" s="13" t="s">
        <v>29</v>
      </c>
      <c r="G5180">
        <v>10</v>
      </c>
      <c r="H5180" t="s">
        <v>30</v>
      </c>
      <c r="I5180">
        <v>10</v>
      </c>
      <c r="J5180" s="15"/>
      <c r="K5180" s="16">
        <f>IF($E$1&gt;=$Q$1%,38.91-(38.91*$Q$1%),38.91-(38.91*$E$1))</f>
        <v>38.909999999999997</v>
      </c>
      <c r="L5180" s="16">
        <f>IF($E$1&gt;=$Q$1%,31.89-(31.89*$Q$1%),31.89-(31.89*$E$1))</f>
        <v>31.89</v>
      </c>
      <c r="M5180" s="1">
        <v>38.909999999999997</v>
      </c>
      <c r="N5180" s="1">
        <v>31.89</v>
      </c>
      <c r="O5180" s="1">
        <v>38.909999999999997</v>
      </c>
      <c r="P5180" s="1">
        <v>31.89</v>
      </c>
      <c r="Q5180">
        <v>4.1399999999999999E-2</v>
      </c>
      <c r="R5180">
        <v>3.7400000000000001E-5</v>
      </c>
    </row>
    <row r="5181" spans="1:18" ht="13.8" outlineLevel="2" x14ac:dyDescent="0.25">
      <c r="A5181">
        <v>69034</v>
      </c>
      <c r="B5181" t="s">
        <v>7419</v>
      </c>
      <c r="C5181" t="s">
        <v>7423</v>
      </c>
      <c r="D5181" s="14" t="s">
        <v>7421</v>
      </c>
      <c r="E5181" s="12" t="s">
        <v>28</v>
      </c>
      <c r="F5181" s="13" t="s">
        <v>29</v>
      </c>
      <c r="G5181">
        <v>10</v>
      </c>
      <c r="H5181" t="s">
        <v>30</v>
      </c>
      <c r="I5181">
        <v>10</v>
      </c>
      <c r="J5181" s="15"/>
      <c r="K5181" s="16">
        <f>IF($E$1&gt;=$Q$1%,39.41-(39.41*$Q$1%),39.41-(39.41*$E$1))</f>
        <v>39.409999999999997</v>
      </c>
      <c r="L5181" s="16">
        <f>IF($E$1&gt;=$Q$1%,32.3-(32.3*$Q$1%),32.3-(32.3*$E$1))</f>
        <v>32.299999999999997</v>
      </c>
      <c r="M5181" s="1">
        <v>39.409999999999997</v>
      </c>
      <c r="N5181" s="1">
        <v>32.299999999999997</v>
      </c>
      <c r="O5181" s="1">
        <v>39.409999999999997</v>
      </c>
      <c r="P5181" s="1">
        <v>32.299999999999997</v>
      </c>
      <c r="Q5181">
        <v>4.24E-2</v>
      </c>
      <c r="R5181">
        <v>3.8399999999999998E-5</v>
      </c>
    </row>
    <row r="5182" spans="1:18" ht="13.8" outlineLevel="2" x14ac:dyDescent="0.25">
      <c r="A5182">
        <v>69035</v>
      </c>
      <c r="B5182" t="s">
        <v>7419</v>
      </c>
      <c r="C5182" t="s">
        <v>7424</v>
      </c>
      <c r="D5182" s="14" t="s">
        <v>7421</v>
      </c>
      <c r="E5182" s="12" t="s">
        <v>28</v>
      </c>
      <c r="F5182" s="13" t="s">
        <v>29</v>
      </c>
      <c r="G5182">
        <v>10</v>
      </c>
      <c r="H5182" t="s">
        <v>30</v>
      </c>
      <c r="I5182">
        <v>10</v>
      </c>
      <c r="J5182" s="15"/>
      <c r="K5182" s="16">
        <f>IF($E$1&gt;=$Q$1%,39.41-(39.41*$Q$1%),39.41-(39.41*$E$1))</f>
        <v>39.409999999999997</v>
      </c>
      <c r="L5182" s="16">
        <f>IF($E$1&gt;=$Q$1%,32.3-(32.3*$Q$1%),32.3-(32.3*$E$1))</f>
        <v>32.299999999999997</v>
      </c>
      <c r="M5182" s="1">
        <v>39.409999999999997</v>
      </c>
      <c r="N5182" s="1">
        <v>32.299999999999997</v>
      </c>
      <c r="O5182" s="1">
        <v>39.409999999999997</v>
      </c>
      <c r="P5182" s="1">
        <v>32.299999999999997</v>
      </c>
      <c r="Q5182">
        <v>4.2900000000000001E-2</v>
      </c>
      <c r="R5182">
        <v>5.13E-5</v>
      </c>
    </row>
    <row r="5183" spans="1:18" ht="13.8" outlineLevel="2" x14ac:dyDescent="0.25">
      <c r="A5183">
        <v>69036</v>
      </c>
      <c r="B5183" t="s">
        <v>7419</v>
      </c>
      <c r="C5183" t="s">
        <v>7425</v>
      </c>
      <c r="D5183" s="14" t="s">
        <v>7421</v>
      </c>
      <c r="E5183" s="12" t="s">
        <v>28</v>
      </c>
      <c r="F5183" s="13" t="s">
        <v>29</v>
      </c>
      <c r="G5183">
        <v>10</v>
      </c>
      <c r="H5183" t="s">
        <v>30</v>
      </c>
      <c r="I5183">
        <v>10</v>
      </c>
      <c r="J5183" s="15"/>
      <c r="K5183" s="16">
        <f>IF($E$1&gt;=$Q$1%,46.59-(46.59*$Q$1%),46.59-(46.59*$E$1))</f>
        <v>46.59</v>
      </c>
      <c r="L5183" s="16">
        <f>IF($E$1&gt;=$Q$1%,38.19-(38.19*$Q$1%),38.19-(38.19*$E$1))</f>
        <v>38.19</v>
      </c>
      <c r="M5183" s="1">
        <v>46.59</v>
      </c>
      <c r="N5183" s="1">
        <v>38.19</v>
      </c>
      <c r="O5183" s="1">
        <v>46.59</v>
      </c>
      <c r="P5183" s="1">
        <v>38.19</v>
      </c>
      <c r="Q5183">
        <v>5.7000000000000002E-2</v>
      </c>
      <c r="R5183">
        <v>1.418E-4</v>
      </c>
    </row>
    <row r="5184" spans="1:18" ht="13.8" outlineLevel="2" x14ac:dyDescent="0.25">
      <c r="A5184">
        <v>69037</v>
      </c>
      <c r="B5184" t="s">
        <v>7419</v>
      </c>
      <c r="C5184" t="s">
        <v>7426</v>
      </c>
      <c r="D5184" s="14" t="s">
        <v>7421</v>
      </c>
      <c r="E5184" s="12" t="s">
        <v>28</v>
      </c>
      <c r="F5184" s="13" t="s">
        <v>29</v>
      </c>
      <c r="G5184">
        <v>10</v>
      </c>
      <c r="H5184" t="s">
        <v>30</v>
      </c>
      <c r="I5184">
        <v>10</v>
      </c>
      <c r="J5184" s="15"/>
      <c r="K5184" s="16">
        <f>IF($E$1&gt;=$Q$1%,45.66-(45.66*$Q$1%),45.66-(45.66*$E$1))</f>
        <v>45.66</v>
      </c>
      <c r="L5184" s="16">
        <f>IF($E$1&gt;=$Q$1%,37.43-(37.43*$Q$1%),37.43-(37.43*$E$1))</f>
        <v>37.43</v>
      </c>
      <c r="M5184" s="1">
        <v>45.66</v>
      </c>
      <c r="N5184" s="1">
        <v>37.43</v>
      </c>
      <c r="O5184" s="1">
        <v>45.66</v>
      </c>
      <c r="P5184" s="1">
        <v>37.43</v>
      </c>
      <c r="Q5184">
        <v>6.1800000000000001E-2</v>
      </c>
      <c r="R5184">
        <v>6.0800000000000001E-5</v>
      </c>
    </row>
    <row r="5185" spans="1:18" ht="13.8" outlineLevel="2" x14ac:dyDescent="0.25">
      <c r="A5185">
        <v>69038</v>
      </c>
      <c r="B5185" t="s">
        <v>7419</v>
      </c>
      <c r="C5185" t="s">
        <v>7427</v>
      </c>
      <c r="D5185" s="14" t="s">
        <v>7421</v>
      </c>
      <c r="E5185" s="12" t="s">
        <v>28</v>
      </c>
      <c r="F5185" s="13" t="s">
        <v>29</v>
      </c>
      <c r="G5185">
        <v>10</v>
      </c>
      <c r="H5185" t="s">
        <v>30</v>
      </c>
      <c r="I5185">
        <v>10</v>
      </c>
      <c r="J5185" s="15"/>
      <c r="K5185" s="16">
        <f>IF($E$1&gt;=$Q$1%,46.2-(46.2*$Q$1%),46.2-(46.2*$E$1))</f>
        <v>46.2</v>
      </c>
      <c r="L5185" s="16">
        <f>IF($E$1&gt;=$Q$1%,37.87-(37.87*$Q$1%),37.87-(37.87*$E$1))</f>
        <v>37.869999999999997</v>
      </c>
      <c r="M5185" s="1">
        <v>46.2</v>
      </c>
      <c r="N5185" s="1">
        <v>37.869999999999997</v>
      </c>
      <c r="O5185" s="1">
        <v>46.2</v>
      </c>
      <c r="P5185" s="1">
        <v>37.869999999999997</v>
      </c>
      <c r="Q5185">
        <v>6.2799999999999995E-2</v>
      </c>
      <c r="R5185">
        <v>1.05E-4</v>
      </c>
    </row>
    <row r="5186" spans="1:18" ht="13.8" outlineLevel="2" x14ac:dyDescent="0.25">
      <c r="A5186">
        <v>69039</v>
      </c>
      <c r="B5186" t="s">
        <v>7419</v>
      </c>
      <c r="C5186" t="s">
        <v>7428</v>
      </c>
      <c r="D5186" s="14" t="s">
        <v>7421</v>
      </c>
      <c r="E5186" s="12" t="s">
        <v>28</v>
      </c>
      <c r="F5186" s="13" t="s">
        <v>29</v>
      </c>
      <c r="G5186">
        <v>10</v>
      </c>
      <c r="H5186" t="s">
        <v>30</v>
      </c>
      <c r="I5186">
        <v>10</v>
      </c>
      <c r="J5186" s="15"/>
      <c r="K5186" s="16">
        <f>IF($E$1&gt;=$Q$1%,47.43-(47.43*$Q$1%),47.43-(47.43*$E$1))</f>
        <v>47.43</v>
      </c>
      <c r="L5186" s="16">
        <f>IF($E$1&gt;=$Q$1%,38.88-(38.88*$Q$1%),38.88-(38.88*$E$1))</f>
        <v>38.880000000000003</v>
      </c>
      <c r="M5186" s="1">
        <v>47.43</v>
      </c>
      <c r="N5186" s="1">
        <v>38.880000000000003</v>
      </c>
      <c r="O5186" s="1">
        <v>47.43</v>
      </c>
      <c r="P5186" s="1">
        <v>38.880000000000003</v>
      </c>
      <c r="Q5186">
        <v>6.5000000000000002E-2</v>
      </c>
      <c r="R5186">
        <v>1.3650000000000001E-4</v>
      </c>
    </row>
    <row r="5187" spans="1:18" ht="13.8" outlineLevel="2" x14ac:dyDescent="0.25">
      <c r="A5187">
        <v>69040</v>
      </c>
      <c r="B5187" t="s">
        <v>7419</v>
      </c>
      <c r="C5187" t="s">
        <v>7429</v>
      </c>
      <c r="D5187" s="14" t="s">
        <v>7421</v>
      </c>
      <c r="E5187" s="12" t="s">
        <v>28</v>
      </c>
      <c r="F5187" s="13" t="s">
        <v>29</v>
      </c>
      <c r="G5187">
        <v>10</v>
      </c>
      <c r="H5187" t="s">
        <v>30</v>
      </c>
      <c r="I5187">
        <v>10</v>
      </c>
      <c r="J5187" s="15"/>
      <c r="K5187" s="16">
        <f>IF($E$1&gt;=$Q$1%,58.9-(58.9*$Q$1%),58.9-(58.9*$E$1))</f>
        <v>58.9</v>
      </c>
      <c r="L5187" s="16">
        <f>IF($E$1&gt;=$Q$1%,48.28-(48.28*$Q$1%),48.28-(48.28*$E$1))</f>
        <v>48.28</v>
      </c>
      <c r="M5187" s="1">
        <v>58.9</v>
      </c>
      <c r="N5187" s="1">
        <v>48.28</v>
      </c>
      <c r="O5187" s="1">
        <v>58.9</v>
      </c>
      <c r="P5187" s="1">
        <v>48.28</v>
      </c>
      <c r="Q5187">
        <v>8.5000000000000006E-2</v>
      </c>
      <c r="R5187">
        <v>2.366E-4</v>
      </c>
    </row>
    <row r="5188" spans="1:18" ht="13.8" outlineLevel="2" x14ac:dyDescent="0.25">
      <c r="A5188">
        <v>69041</v>
      </c>
      <c r="B5188" t="s">
        <v>7419</v>
      </c>
      <c r="C5188" t="s">
        <v>7430</v>
      </c>
      <c r="D5188" s="14" t="s">
        <v>7421</v>
      </c>
      <c r="E5188" s="12" t="s">
        <v>28</v>
      </c>
      <c r="F5188" s="13" t="s">
        <v>29</v>
      </c>
      <c r="G5188">
        <v>10</v>
      </c>
      <c r="H5188" t="s">
        <v>30</v>
      </c>
      <c r="I5188">
        <v>10</v>
      </c>
      <c r="J5188" s="15"/>
      <c r="K5188" s="16">
        <f>IF($E$1&gt;=$Q$1%,60.17-(60.17*$Q$1%),60.17-(60.17*$E$1))</f>
        <v>60.17</v>
      </c>
      <c r="L5188" s="16">
        <f>IF($E$1&gt;=$Q$1%,49.32-(49.32*$Q$1%),49.32-(49.32*$E$1))</f>
        <v>49.32</v>
      </c>
      <c r="M5188" s="1">
        <v>60.17</v>
      </c>
      <c r="N5188" s="1">
        <v>49.32</v>
      </c>
      <c r="O5188" s="1">
        <v>60.17</v>
      </c>
      <c r="P5188" s="1">
        <v>49.32</v>
      </c>
      <c r="Q5188">
        <v>8.8700000000000001E-2</v>
      </c>
      <c r="R5188">
        <v>7.7999999999999999E-5</v>
      </c>
    </row>
    <row r="5189" spans="1:18" ht="13.8" outlineLevel="2" x14ac:dyDescent="0.25">
      <c r="A5189">
        <v>69042</v>
      </c>
      <c r="B5189" t="s">
        <v>7419</v>
      </c>
      <c r="C5189" t="s">
        <v>7431</v>
      </c>
      <c r="D5189" s="14" t="s">
        <v>7421</v>
      </c>
      <c r="E5189" s="12" t="s">
        <v>28</v>
      </c>
      <c r="F5189" s="13" t="s">
        <v>29</v>
      </c>
      <c r="G5189">
        <v>10</v>
      </c>
      <c r="H5189" t="s">
        <v>30</v>
      </c>
      <c r="I5189">
        <v>10</v>
      </c>
      <c r="J5189" s="15"/>
      <c r="K5189" s="16">
        <f>IF($E$1&gt;=$Q$1%,67.93-(67.93*$Q$1%),67.93-(67.93*$E$1))</f>
        <v>67.930000000000007</v>
      </c>
      <c r="L5189" s="16">
        <f>IF($E$1&gt;=$Q$1%,55.68-(55.68*$Q$1%),55.68-(55.68*$E$1))</f>
        <v>55.68</v>
      </c>
      <c r="M5189" s="1">
        <v>67.930000000000007</v>
      </c>
      <c r="N5189" s="1">
        <v>55.68</v>
      </c>
      <c r="O5189" s="1">
        <v>67.930000000000007</v>
      </c>
      <c r="P5189" s="1">
        <v>55.68</v>
      </c>
      <c r="Q5189">
        <v>9.1800000000000007E-2</v>
      </c>
      <c r="R5189">
        <v>9.2399999999999996E-5</v>
      </c>
    </row>
    <row r="5190" spans="1:18" ht="13.8" outlineLevel="2" x14ac:dyDescent="0.25">
      <c r="A5190">
        <v>69043</v>
      </c>
      <c r="B5190" t="s">
        <v>7419</v>
      </c>
      <c r="C5190" t="s">
        <v>7432</v>
      </c>
      <c r="D5190" s="14" t="s">
        <v>7421</v>
      </c>
      <c r="E5190" s="12" t="s">
        <v>28</v>
      </c>
      <c r="F5190" s="13" t="s">
        <v>29</v>
      </c>
      <c r="G5190">
        <v>10</v>
      </c>
      <c r="H5190" t="s">
        <v>30</v>
      </c>
      <c r="I5190">
        <v>10</v>
      </c>
      <c r="J5190" s="15"/>
      <c r="K5190" s="16">
        <f>IF($E$1&gt;=$Q$1%,69.14-(69.14*$Q$1%),69.14-(69.14*$E$1))</f>
        <v>69.14</v>
      </c>
      <c r="L5190" s="16">
        <f>IF($E$1&gt;=$Q$1%,56.67-(56.67*$Q$1%),56.67-(56.67*$E$1))</f>
        <v>56.67</v>
      </c>
      <c r="M5190" s="1">
        <v>69.14</v>
      </c>
      <c r="N5190" s="1">
        <v>56.67</v>
      </c>
      <c r="O5190" s="1">
        <v>69.14</v>
      </c>
      <c r="P5190" s="1">
        <v>56.67</v>
      </c>
      <c r="Q5190">
        <v>9.2999999999999999E-2</v>
      </c>
      <c r="R5190">
        <v>1.17E-4</v>
      </c>
    </row>
    <row r="5191" spans="1:18" ht="13.8" outlineLevel="2" x14ac:dyDescent="0.25">
      <c r="A5191">
        <v>69044</v>
      </c>
      <c r="B5191" t="s">
        <v>7419</v>
      </c>
      <c r="C5191" t="s">
        <v>7433</v>
      </c>
      <c r="D5191" s="14" t="s">
        <v>7421</v>
      </c>
      <c r="E5191" s="12" t="s">
        <v>28</v>
      </c>
      <c r="F5191" s="13" t="s">
        <v>29</v>
      </c>
      <c r="G5191">
        <v>10</v>
      </c>
      <c r="H5191" t="s">
        <v>30</v>
      </c>
      <c r="I5191">
        <v>10</v>
      </c>
      <c r="J5191" s="15"/>
      <c r="K5191" s="16">
        <f>IF($E$1&gt;=$Q$1%,71.78-(71.78*$Q$1%),71.78-(71.78*$E$1))</f>
        <v>71.78</v>
      </c>
      <c r="L5191" s="16">
        <f>IF($E$1&gt;=$Q$1%,58.84-(58.84*$Q$1%),58.84-(58.84*$E$1))</f>
        <v>58.84</v>
      </c>
      <c r="M5191" s="1">
        <v>71.78</v>
      </c>
      <c r="N5191" s="1">
        <v>58.84</v>
      </c>
      <c r="O5191" s="1">
        <v>71.78</v>
      </c>
      <c r="P5191" s="1">
        <v>58.84</v>
      </c>
      <c r="Q5191">
        <v>9.7000000000000003E-2</v>
      </c>
      <c r="R5191">
        <v>3.4719999999999998E-4</v>
      </c>
    </row>
    <row r="5192" spans="1:18" ht="13.8" outlineLevel="2" x14ac:dyDescent="0.25">
      <c r="A5192">
        <v>69045</v>
      </c>
      <c r="B5192" t="s">
        <v>7419</v>
      </c>
      <c r="C5192" t="s">
        <v>7434</v>
      </c>
      <c r="D5192" s="14" t="s">
        <v>7421</v>
      </c>
      <c r="E5192" s="12" t="s">
        <v>28</v>
      </c>
      <c r="F5192" s="13" t="s">
        <v>29</v>
      </c>
      <c r="G5192">
        <v>10</v>
      </c>
      <c r="H5192" t="s">
        <v>30</v>
      </c>
      <c r="I5192">
        <v>10</v>
      </c>
      <c r="J5192" s="15"/>
      <c r="K5192" s="16">
        <f>IF($E$1&gt;=$Q$1%,75.77-(75.77*$Q$1%),75.77-(75.77*$E$1))</f>
        <v>75.77</v>
      </c>
      <c r="L5192" s="16">
        <f>IF($E$1&gt;=$Q$1%,62.11-(62.11*$Q$1%),62.11-(62.11*$E$1))</f>
        <v>62.11</v>
      </c>
      <c r="M5192" s="1">
        <v>75.77</v>
      </c>
      <c r="N5192" s="1">
        <v>62.11</v>
      </c>
      <c r="O5192" s="1">
        <v>75.77</v>
      </c>
      <c r="P5192" s="1">
        <v>62.11</v>
      </c>
      <c r="Q5192">
        <v>9.7699999999999995E-2</v>
      </c>
      <c r="R5192">
        <v>1.3439999999999999E-4</v>
      </c>
    </row>
    <row r="5193" spans="1:18" ht="13.8" outlineLevel="2" x14ac:dyDescent="0.25">
      <c r="A5193">
        <v>69046</v>
      </c>
      <c r="B5193" t="s">
        <v>7419</v>
      </c>
      <c r="C5193" t="s">
        <v>7435</v>
      </c>
      <c r="D5193" s="14" t="s">
        <v>7421</v>
      </c>
      <c r="E5193" s="12" t="s">
        <v>28</v>
      </c>
      <c r="F5193" s="13" t="s">
        <v>29</v>
      </c>
      <c r="G5193">
        <v>10</v>
      </c>
      <c r="H5193" t="s">
        <v>30</v>
      </c>
      <c r="I5193">
        <v>10</v>
      </c>
      <c r="J5193" s="15"/>
      <c r="K5193" s="16">
        <f>IF($E$1&gt;=$Q$1%,100.1-(100.1*$Q$1%),100.1-(100.1*$E$1))</f>
        <v>100.1</v>
      </c>
      <c r="L5193" s="16">
        <f>IF($E$1&gt;=$Q$1%,82.05-(82.05*$Q$1%),82.05-(82.05*$E$1))</f>
        <v>82.05</v>
      </c>
      <c r="M5193" s="1">
        <v>100.1</v>
      </c>
      <c r="N5193" s="1">
        <v>82.05</v>
      </c>
      <c r="O5193" s="1">
        <v>100.1</v>
      </c>
      <c r="P5193" s="1">
        <v>82.05</v>
      </c>
      <c r="Q5193">
        <v>0.15640000000000001</v>
      </c>
      <c r="R5193">
        <v>1.8239999999999999E-4</v>
      </c>
    </row>
    <row r="5194" spans="1:18" ht="13.8" outlineLevel="2" x14ac:dyDescent="0.25">
      <c r="A5194">
        <v>69047</v>
      </c>
      <c r="B5194" t="s">
        <v>7419</v>
      </c>
      <c r="C5194" t="s">
        <v>7436</v>
      </c>
      <c r="D5194" s="14" t="s">
        <v>7421</v>
      </c>
      <c r="E5194" s="12" t="s">
        <v>28</v>
      </c>
      <c r="F5194" s="13" t="s">
        <v>29</v>
      </c>
      <c r="G5194">
        <v>10</v>
      </c>
      <c r="H5194" t="s">
        <v>30</v>
      </c>
      <c r="I5194">
        <v>10</v>
      </c>
      <c r="J5194" s="15"/>
      <c r="K5194" s="16">
        <f>IF($E$1&gt;=$Q$1%,102.19-(102.19*$Q$1%),102.19-(102.19*$E$1))</f>
        <v>102.19</v>
      </c>
      <c r="L5194" s="16">
        <f>IF($E$1&gt;=$Q$1%,83.76-(83.76*$Q$1%),83.76-(83.76*$E$1))</f>
        <v>83.76</v>
      </c>
      <c r="M5194" s="1">
        <v>102.19</v>
      </c>
      <c r="N5194" s="1">
        <v>83.76</v>
      </c>
      <c r="O5194" s="1">
        <v>102.19</v>
      </c>
      <c r="P5194" s="1">
        <v>83.76</v>
      </c>
      <c r="Q5194">
        <v>0.152</v>
      </c>
      <c r="R5194">
        <v>5.44E-4</v>
      </c>
    </row>
    <row r="5195" spans="1:18" ht="13.8" outlineLevel="2" x14ac:dyDescent="0.25">
      <c r="A5195">
        <v>69048</v>
      </c>
      <c r="B5195" t="s">
        <v>7419</v>
      </c>
      <c r="C5195" t="s">
        <v>7437</v>
      </c>
      <c r="D5195" s="14" t="s">
        <v>7421</v>
      </c>
      <c r="E5195" s="12" t="s">
        <v>28</v>
      </c>
      <c r="F5195" s="13" t="s">
        <v>29</v>
      </c>
      <c r="G5195">
        <v>10</v>
      </c>
      <c r="H5195" t="s">
        <v>30</v>
      </c>
      <c r="I5195">
        <v>10</v>
      </c>
      <c r="J5195" s="15"/>
      <c r="K5195" s="16">
        <f>IF($E$1&gt;=$Q$1%,105.62-(105.62*$Q$1%),105.62-(105.62*$E$1))</f>
        <v>105.62</v>
      </c>
      <c r="L5195" s="16">
        <f>IF($E$1&gt;=$Q$1%,86.57-(86.57*$Q$1%),86.57-(86.57*$E$1))</f>
        <v>86.57</v>
      </c>
      <c r="M5195" s="1">
        <v>105.62</v>
      </c>
      <c r="N5195" s="1">
        <v>86.57</v>
      </c>
      <c r="O5195" s="1">
        <v>105.62</v>
      </c>
      <c r="P5195" s="1">
        <v>86.57</v>
      </c>
      <c r="Q5195">
        <v>0.1686</v>
      </c>
      <c r="R5195">
        <v>2.2680000000000001E-4</v>
      </c>
    </row>
    <row r="5196" spans="1:18" ht="13.8" outlineLevel="2" x14ac:dyDescent="0.25">
      <c r="A5196">
        <v>69049</v>
      </c>
      <c r="B5196" t="s">
        <v>7419</v>
      </c>
      <c r="C5196" t="s">
        <v>7438</v>
      </c>
      <c r="D5196" s="14" t="s">
        <v>7421</v>
      </c>
      <c r="E5196" s="12" t="s">
        <v>28</v>
      </c>
      <c r="F5196" s="13" t="s">
        <v>29</v>
      </c>
      <c r="G5196">
        <v>10</v>
      </c>
      <c r="H5196" t="s">
        <v>30</v>
      </c>
      <c r="I5196">
        <v>10</v>
      </c>
      <c r="J5196" s="15"/>
      <c r="K5196" s="16">
        <f>IF($E$1&gt;=$Q$1%,107.27-(107.27*$Q$1%),107.27-(107.27*$E$1))</f>
        <v>107.27</v>
      </c>
      <c r="L5196" s="16">
        <f>IF($E$1&gt;=$Q$1%,87.93-(87.93*$Q$1%),87.93-(87.93*$E$1))</f>
        <v>87.93</v>
      </c>
      <c r="M5196" s="1">
        <v>107.27</v>
      </c>
      <c r="N5196" s="1">
        <v>87.93</v>
      </c>
      <c r="O5196" s="1">
        <v>107.27</v>
      </c>
      <c r="P5196" s="1">
        <v>87.93</v>
      </c>
      <c r="Q5196">
        <v>0.17560000000000001</v>
      </c>
      <c r="R5196">
        <v>2.8600000000000001E-4</v>
      </c>
    </row>
    <row r="5197" spans="1:18" ht="13.8" outlineLevel="2" x14ac:dyDescent="0.25">
      <c r="A5197">
        <v>69050</v>
      </c>
      <c r="B5197" t="s">
        <v>7419</v>
      </c>
      <c r="C5197" t="s">
        <v>7439</v>
      </c>
      <c r="D5197" s="14" t="s">
        <v>7421</v>
      </c>
      <c r="E5197" s="12" t="s">
        <v>28</v>
      </c>
      <c r="F5197" s="13" t="s">
        <v>29</v>
      </c>
      <c r="G5197">
        <v>10</v>
      </c>
      <c r="H5197" t="s">
        <v>30</v>
      </c>
      <c r="I5197">
        <v>10</v>
      </c>
      <c r="J5197" s="15"/>
      <c r="K5197" s="16">
        <f>IF($E$1&gt;=$Q$1%,112.48-(112.48*$Q$1%),112.48-(112.48*$E$1))</f>
        <v>112.48</v>
      </c>
      <c r="L5197" s="16">
        <f>IF($E$1&gt;=$Q$1%,92.2-(92.2*$Q$1%),92.2-(92.2*$E$1))</f>
        <v>92.2</v>
      </c>
      <c r="M5197" s="1">
        <v>112.48</v>
      </c>
      <c r="N5197" s="1">
        <v>92.2</v>
      </c>
      <c r="O5197" s="1">
        <v>112.48</v>
      </c>
      <c r="P5197" s="1">
        <v>92.2</v>
      </c>
      <c r="Q5197">
        <v>0.17499999999999999</v>
      </c>
      <c r="R5197">
        <v>3.1199999999999999E-4</v>
      </c>
    </row>
    <row r="5198" spans="1:18" ht="13.8" outlineLevel="2" x14ac:dyDescent="0.25">
      <c r="A5198">
        <v>69051</v>
      </c>
      <c r="B5198" t="s">
        <v>7419</v>
      </c>
      <c r="C5198" t="s">
        <v>7440</v>
      </c>
      <c r="D5198" s="14" t="s">
        <v>7421</v>
      </c>
      <c r="E5198" s="12" t="s">
        <v>28</v>
      </c>
      <c r="F5198" s="13" t="s">
        <v>29</v>
      </c>
      <c r="G5198">
        <v>10</v>
      </c>
      <c r="H5198" t="s">
        <v>30</v>
      </c>
      <c r="I5198">
        <v>10</v>
      </c>
      <c r="J5198" s="15"/>
      <c r="K5198" s="16">
        <f>IF($E$1&gt;=$Q$1%,114.46-(114.46*$Q$1%),114.46-(114.46*$E$1))</f>
        <v>114.46</v>
      </c>
      <c r="L5198" s="16">
        <f>IF($E$1&gt;=$Q$1%,93.82-(93.82*$Q$1%),93.82-(93.82*$E$1))</f>
        <v>93.82</v>
      </c>
      <c r="M5198" s="1">
        <v>114.46</v>
      </c>
      <c r="N5198" s="1">
        <v>93.82</v>
      </c>
      <c r="O5198" s="1">
        <v>114.46</v>
      </c>
      <c r="P5198" s="1">
        <v>93.82</v>
      </c>
      <c r="Q5198">
        <v>0.18</v>
      </c>
      <c r="R5198">
        <v>6.2160000000000004E-4</v>
      </c>
    </row>
    <row r="5199" spans="1:18" ht="13.8" outlineLevel="2" x14ac:dyDescent="0.25">
      <c r="A5199">
        <v>69052</v>
      </c>
      <c r="B5199" t="s">
        <v>7419</v>
      </c>
      <c r="C5199" t="s">
        <v>7441</v>
      </c>
      <c r="D5199" s="14" t="s">
        <v>7421</v>
      </c>
      <c r="E5199" s="12" t="s">
        <v>28</v>
      </c>
      <c r="F5199" s="13" t="s">
        <v>29</v>
      </c>
      <c r="G5199">
        <v>10</v>
      </c>
      <c r="H5199" t="s">
        <v>30</v>
      </c>
      <c r="I5199">
        <v>10</v>
      </c>
      <c r="J5199" s="15"/>
      <c r="K5199" s="16">
        <f>IF($E$1&gt;=$Q$1%,118.9-(118.9*$Q$1%),118.9-(118.9*$E$1))</f>
        <v>118.9</v>
      </c>
      <c r="L5199" s="16">
        <f>IF($E$1&gt;=$Q$1%,97.46-(97.46*$Q$1%),97.46-(97.46*$E$1))</f>
        <v>97.46</v>
      </c>
      <c r="M5199" s="1">
        <v>118.9</v>
      </c>
      <c r="N5199" s="1">
        <v>97.46</v>
      </c>
      <c r="O5199" s="1">
        <v>118.9</v>
      </c>
      <c r="P5199" s="1">
        <v>97.46</v>
      </c>
      <c r="Q5199">
        <v>0.188</v>
      </c>
      <c r="R5199">
        <v>7.448E-4</v>
      </c>
    </row>
    <row r="5200" spans="1:18" ht="13.8" outlineLevel="2" x14ac:dyDescent="0.25">
      <c r="A5200">
        <v>69053</v>
      </c>
      <c r="B5200" t="s">
        <v>7419</v>
      </c>
      <c r="C5200" t="s">
        <v>7442</v>
      </c>
      <c r="D5200" s="14" t="s">
        <v>7421</v>
      </c>
      <c r="E5200" s="12" t="s">
        <v>28</v>
      </c>
      <c r="F5200" s="13" t="s">
        <v>29</v>
      </c>
      <c r="G5200">
        <v>10</v>
      </c>
      <c r="H5200" t="s">
        <v>30</v>
      </c>
      <c r="I5200">
        <v>10</v>
      </c>
      <c r="J5200" s="15"/>
      <c r="K5200" s="16">
        <f>IF($E$1&gt;=$Q$1%,121.65-(121.65*$Q$1%),121.65-(121.65*$E$1))</f>
        <v>121.65</v>
      </c>
      <c r="L5200" s="16">
        <f>IF($E$1&gt;=$Q$1%,99.71-(99.71*$Q$1%),99.71-(99.71*$E$1))</f>
        <v>99.71</v>
      </c>
      <c r="M5200" s="1">
        <v>121.65</v>
      </c>
      <c r="N5200" s="1">
        <v>99.71</v>
      </c>
      <c r="O5200" s="1">
        <v>121.65</v>
      </c>
      <c r="P5200" s="1">
        <v>99.71</v>
      </c>
      <c r="Q5200">
        <v>0.19</v>
      </c>
      <c r="R5200">
        <v>5.4080000000000003E-4</v>
      </c>
    </row>
    <row r="5201" spans="1:18" ht="13.8" outlineLevel="2" x14ac:dyDescent="0.25">
      <c r="A5201">
        <v>69054</v>
      </c>
      <c r="B5201" t="s">
        <v>7419</v>
      </c>
      <c r="C5201" t="s">
        <v>7443</v>
      </c>
      <c r="D5201" s="14" t="s">
        <v>7421</v>
      </c>
      <c r="E5201" s="12" t="s">
        <v>28</v>
      </c>
      <c r="F5201" s="13" t="s">
        <v>29</v>
      </c>
      <c r="G5201">
        <v>10</v>
      </c>
      <c r="H5201" t="s">
        <v>30</v>
      </c>
      <c r="I5201">
        <v>10</v>
      </c>
      <c r="J5201" s="15"/>
      <c r="K5201" s="16">
        <f>IF($E$1&gt;=$Q$1%,127.69-(127.69*$Q$1%),127.69-(127.69*$E$1))</f>
        <v>127.69</v>
      </c>
      <c r="L5201" s="16">
        <f>IF($E$1&gt;=$Q$1%,104.66-(104.66*$Q$1%),104.66-(104.66*$E$1))</f>
        <v>104.66</v>
      </c>
      <c r="M5201" s="1">
        <v>127.69</v>
      </c>
      <c r="N5201" s="1">
        <v>104.66</v>
      </c>
      <c r="O5201" s="1">
        <v>127.69</v>
      </c>
      <c r="P5201" s="1">
        <v>104.66</v>
      </c>
      <c r="Q5201">
        <v>0.19900000000000001</v>
      </c>
      <c r="R5201">
        <v>1.2600000000000001E-3</v>
      </c>
    </row>
    <row r="5202" spans="1:18" ht="13.8" outlineLevel="2" x14ac:dyDescent="0.25">
      <c r="A5202">
        <v>69055</v>
      </c>
      <c r="B5202" t="s">
        <v>7419</v>
      </c>
      <c r="C5202" t="s">
        <v>7444</v>
      </c>
      <c r="D5202" s="14" t="s">
        <v>7421</v>
      </c>
      <c r="E5202" s="12" t="s">
        <v>28</v>
      </c>
      <c r="F5202" s="13" t="s">
        <v>29</v>
      </c>
      <c r="G5202">
        <v>5</v>
      </c>
      <c r="H5202" t="s">
        <v>30</v>
      </c>
      <c r="I5202">
        <v>5</v>
      </c>
      <c r="J5202" s="15"/>
      <c r="K5202" s="16">
        <f>IF($E$1&gt;=$Q$1%,177.9-(177.9*$Q$1%),177.9-(177.9*$E$1))</f>
        <v>177.9</v>
      </c>
      <c r="L5202" s="16">
        <f>IF($E$1&gt;=$Q$1%,145.82-(145.82*$Q$1%),145.82-(145.82*$E$1))</f>
        <v>145.82</v>
      </c>
      <c r="M5202" s="1">
        <v>177.9</v>
      </c>
      <c r="N5202" s="1">
        <v>145.82</v>
      </c>
      <c r="O5202" s="1">
        <v>177.9</v>
      </c>
      <c r="P5202" s="1">
        <v>145.82</v>
      </c>
      <c r="Q5202">
        <v>0.28439999999999999</v>
      </c>
      <c r="R5202">
        <v>9.2159999999999996E-4</v>
      </c>
    </row>
    <row r="5203" spans="1:18" ht="13.8" outlineLevel="2" x14ac:dyDescent="0.25">
      <c r="A5203">
        <v>69056</v>
      </c>
      <c r="B5203" t="s">
        <v>7419</v>
      </c>
      <c r="C5203" t="s">
        <v>7445</v>
      </c>
      <c r="D5203" s="14" t="s">
        <v>7421</v>
      </c>
      <c r="E5203" s="12" t="s">
        <v>28</v>
      </c>
      <c r="F5203" s="13" t="s">
        <v>29</v>
      </c>
      <c r="G5203">
        <v>5</v>
      </c>
      <c r="H5203" t="s">
        <v>30</v>
      </c>
      <c r="I5203">
        <v>5</v>
      </c>
      <c r="J5203" s="15"/>
      <c r="K5203" s="16">
        <f>IF($E$1&gt;=$Q$1%,186.57-(186.57*$Q$1%),186.57-(186.57*$E$1))</f>
        <v>186.57</v>
      </c>
      <c r="L5203" s="16">
        <f>IF($E$1&gt;=$Q$1%,152.93-(152.93*$Q$1%),152.93-(152.93*$E$1))</f>
        <v>152.93</v>
      </c>
      <c r="M5203" s="1">
        <v>186.57</v>
      </c>
      <c r="N5203" s="1">
        <v>152.93</v>
      </c>
      <c r="O5203" s="1">
        <v>186.57</v>
      </c>
      <c r="P5203" s="1">
        <v>152.93</v>
      </c>
      <c r="Q5203">
        <v>0.27</v>
      </c>
      <c r="R5203">
        <v>1.1039999999999999E-3</v>
      </c>
    </row>
    <row r="5204" spans="1:18" ht="13.8" outlineLevel="2" x14ac:dyDescent="0.25">
      <c r="A5204">
        <v>69057</v>
      </c>
      <c r="B5204" t="s">
        <v>7419</v>
      </c>
      <c r="C5204" t="s">
        <v>7446</v>
      </c>
      <c r="D5204" s="14" t="s">
        <v>7421</v>
      </c>
      <c r="E5204" s="12" t="s">
        <v>28</v>
      </c>
      <c r="F5204" s="13" t="s">
        <v>29</v>
      </c>
      <c r="G5204">
        <v>5</v>
      </c>
      <c r="H5204" t="s">
        <v>30</v>
      </c>
      <c r="I5204">
        <v>5</v>
      </c>
      <c r="J5204" s="15"/>
      <c r="K5204" s="16">
        <f>IF($E$1&gt;=$Q$1%,194.02-(194.02*$Q$1%),194.02-(194.02*$E$1))</f>
        <v>194.02</v>
      </c>
      <c r="L5204" s="16">
        <f>IF($E$1&gt;=$Q$1%,159.03-(159.03*$Q$1%),159.03-(159.03*$E$1))</f>
        <v>159.03</v>
      </c>
      <c r="M5204" s="1">
        <v>194.02</v>
      </c>
      <c r="N5204" s="1">
        <v>159.03</v>
      </c>
      <c r="O5204" s="1">
        <v>194.02</v>
      </c>
      <c r="P5204" s="1">
        <v>159.03</v>
      </c>
      <c r="Q5204">
        <v>0.314</v>
      </c>
      <c r="R5204">
        <v>1.2236E-3</v>
      </c>
    </row>
    <row r="5205" spans="1:18" ht="13.8" outlineLevel="2" x14ac:dyDescent="0.25">
      <c r="A5205">
        <v>69058</v>
      </c>
      <c r="B5205" t="s">
        <v>7419</v>
      </c>
      <c r="C5205" t="s">
        <v>7447</v>
      </c>
      <c r="D5205" s="14" t="s">
        <v>7421</v>
      </c>
      <c r="E5205" s="12" t="s">
        <v>28</v>
      </c>
      <c r="F5205" s="13" t="s">
        <v>29</v>
      </c>
      <c r="G5205">
        <v>5</v>
      </c>
      <c r="H5205" t="s">
        <v>30</v>
      </c>
      <c r="I5205">
        <v>5</v>
      </c>
      <c r="J5205" s="15"/>
      <c r="K5205" s="16">
        <f>IF($E$1&gt;=$Q$1%,207.6-(207.6*$Q$1%),207.6-(207.6*$E$1))</f>
        <v>207.6</v>
      </c>
      <c r="L5205" s="16">
        <f>IF($E$1&gt;=$Q$1%,170.16-(170.16*$Q$1%),170.16-(170.16*$E$1))</f>
        <v>170.16</v>
      </c>
      <c r="M5205" s="1">
        <v>207.6</v>
      </c>
      <c r="N5205" s="1">
        <v>170.16</v>
      </c>
      <c r="O5205" s="1">
        <v>207.6</v>
      </c>
      <c r="P5205" s="1">
        <v>170.16</v>
      </c>
      <c r="Q5205">
        <v>0.33400000000000002</v>
      </c>
      <c r="R5205">
        <v>1.3110000000000001E-3</v>
      </c>
    </row>
    <row r="5206" spans="1:18" ht="13.8" outlineLevel="2" x14ac:dyDescent="0.25">
      <c r="A5206">
        <v>69061</v>
      </c>
      <c r="B5206" t="s">
        <v>7419</v>
      </c>
      <c r="C5206" t="s">
        <v>7448</v>
      </c>
      <c r="D5206" s="14" t="s">
        <v>7421</v>
      </c>
      <c r="E5206" s="12" t="s">
        <v>28</v>
      </c>
      <c r="F5206" s="13" t="s">
        <v>29</v>
      </c>
      <c r="G5206">
        <v>5</v>
      </c>
      <c r="H5206" t="s">
        <v>30</v>
      </c>
      <c r="I5206">
        <v>5</v>
      </c>
      <c r="J5206" s="15"/>
      <c r="K5206" s="16">
        <f>IF($E$1&gt;=$Q$1%,225.53-(225.53*$Q$1%),225.53-(225.53*$E$1))</f>
        <v>225.53</v>
      </c>
      <c r="L5206" s="16">
        <f>IF($E$1&gt;=$Q$1%,184.86-(184.86*$Q$1%),184.86-(184.86*$E$1))</f>
        <v>184.86</v>
      </c>
      <c r="M5206" s="1">
        <v>225.53</v>
      </c>
      <c r="N5206" s="1">
        <v>184.86</v>
      </c>
      <c r="O5206" s="1">
        <v>225.53</v>
      </c>
      <c r="P5206" s="1">
        <v>184.86</v>
      </c>
      <c r="Q5206">
        <v>0.3664</v>
      </c>
      <c r="R5206">
        <v>1.5120000000000001E-3</v>
      </c>
    </row>
    <row r="5207" spans="1:18" ht="13.8" outlineLevel="2" x14ac:dyDescent="0.25">
      <c r="A5207">
        <v>69062</v>
      </c>
      <c r="B5207" t="s">
        <v>7419</v>
      </c>
      <c r="C5207" t="s">
        <v>7449</v>
      </c>
      <c r="D5207" s="14" t="s">
        <v>7421</v>
      </c>
      <c r="E5207" s="12" t="s">
        <v>28</v>
      </c>
      <c r="F5207" s="13" t="s">
        <v>29</v>
      </c>
      <c r="G5207">
        <v>5</v>
      </c>
      <c r="H5207" t="s">
        <v>30</v>
      </c>
      <c r="I5207">
        <v>5</v>
      </c>
      <c r="J5207" s="15"/>
      <c r="K5207" s="16">
        <f>IF($E$1&gt;=$Q$1%,232.32-(232.32*$Q$1%),232.32-(232.32*$E$1))</f>
        <v>232.32</v>
      </c>
      <c r="L5207" s="16">
        <f>IF($E$1&gt;=$Q$1%,190.43-(190.43*$Q$1%),190.43-(190.43*$E$1))</f>
        <v>190.43</v>
      </c>
      <c r="M5207" s="1">
        <v>232.32</v>
      </c>
      <c r="N5207" s="1">
        <v>190.43</v>
      </c>
      <c r="O5207" s="1">
        <v>232.32</v>
      </c>
      <c r="P5207" s="1">
        <v>190.43</v>
      </c>
      <c r="Q5207">
        <v>0.38440000000000002</v>
      </c>
      <c r="R5207">
        <v>5.2780000000000004E-4</v>
      </c>
    </row>
    <row r="5208" spans="1:18" ht="13.8" outlineLevel="2" x14ac:dyDescent="0.25">
      <c r="A5208">
        <v>69063</v>
      </c>
      <c r="B5208" t="s">
        <v>7419</v>
      </c>
      <c r="C5208" t="s">
        <v>7450</v>
      </c>
      <c r="D5208" s="14" t="s">
        <v>7421</v>
      </c>
      <c r="E5208" s="12" t="s">
        <v>28</v>
      </c>
      <c r="F5208" s="13" t="s">
        <v>29</v>
      </c>
      <c r="G5208">
        <v>5</v>
      </c>
      <c r="H5208" t="s">
        <v>30</v>
      </c>
      <c r="I5208">
        <v>5</v>
      </c>
      <c r="J5208" s="15"/>
      <c r="K5208" s="16">
        <f>IF($E$1&gt;=$Q$1%,245.21-(245.21*$Q$1%),245.21-(245.21*$E$1))</f>
        <v>245.21</v>
      </c>
      <c r="L5208" s="16">
        <f>IF($E$1&gt;=$Q$1%,200.99-(200.99*$Q$1%),200.99-(200.99*$E$1))</f>
        <v>200.99</v>
      </c>
      <c r="M5208" s="1">
        <v>245.21</v>
      </c>
      <c r="N5208" s="1">
        <v>200.99</v>
      </c>
      <c r="O5208" s="1">
        <v>245.21</v>
      </c>
      <c r="P5208" s="1">
        <v>200.99</v>
      </c>
      <c r="Q5208">
        <v>0.3982</v>
      </c>
      <c r="R5208">
        <v>1.7049999999999999E-3</v>
      </c>
    </row>
    <row r="5209" spans="1:18" ht="13.8" outlineLevel="2" x14ac:dyDescent="0.25">
      <c r="A5209">
        <v>80565</v>
      </c>
      <c r="B5209" t="s">
        <v>7419</v>
      </c>
      <c r="C5209" t="s">
        <v>7451</v>
      </c>
      <c r="D5209" s="14" t="s">
        <v>7452</v>
      </c>
      <c r="E5209" s="12" t="s">
        <v>28</v>
      </c>
      <c r="F5209" s="13" t="s">
        <v>29</v>
      </c>
      <c r="G5209">
        <v>10</v>
      </c>
      <c r="H5209" t="s">
        <v>30</v>
      </c>
      <c r="I5209">
        <v>10</v>
      </c>
      <c r="J5209" s="15"/>
      <c r="K5209" s="16">
        <f>IF($E$1&gt;=$Q$1%,44.48-(44.48*$Q$1%),44.48-(44.48*$E$1))</f>
        <v>44.48</v>
      </c>
      <c r="L5209" s="16">
        <f>IF($E$1&gt;=$Q$1%,36.46-(36.46*$Q$1%),36.46-(36.46*$E$1))</f>
        <v>36.46</v>
      </c>
      <c r="M5209" s="1">
        <v>44.48</v>
      </c>
      <c r="N5209" s="1">
        <v>36.46</v>
      </c>
      <c r="O5209" s="1">
        <v>44.48</v>
      </c>
      <c r="P5209" s="1">
        <v>36.46</v>
      </c>
      <c r="Q5209">
        <v>4.1599999999999998E-2</v>
      </c>
      <c r="R5209">
        <v>1E-4</v>
      </c>
    </row>
    <row r="5210" spans="1:18" ht="13.8" outlineLevel="2" x14ac:dyDescent="0.25">
      <c r="A5210">
        <v>80566</v>
      </c>
      <c r="B5210" t="s">
        <v>7419</v>
      </c>
      <c r="C5210" t="s">
        <v>7453</v>
      </c>
      <c r="D5210" s="14" t="s">
        <v>7452</v>
      </c>
      <c r="E5210" s="12" t="s">
        <v>28</v>
      </c>
      <c r="F5210" s="13" t="s">
        <v>29</v>
      </c>
      <c r="G5210">
        <v>10</v>
      </c>
      <c r="H5210" t="s">
        <v>30</v>
      </c>
      <c r="I5210">
        <v>10</v>
      </c>
      <c r="J5210" s="15"/>
      <c r="K5210" s="16">
        <f>IF($E$1&gt;=$Q$1%,44.81-(44.81*$Q$1%),44.81-(44.81*$E$1))</f>
        <v>44.81</v>
      </c>
      <c r="L5210" s="16">
        <f>IF($E$1&gt;=$Q$1%,36.73-(36.73*$Q$1%),36.73-(36.73*$E$1))</f>
        <v>36.729999999999997</v>
      </c>
      <c r="M5210" s="1">
        <v>44.81</v>
      </c>
      <c r="N5210" s="1">
        <v>36.729999999999997</v>
      </c>
      <c r="O5210" s="1">
        <v>44.81</v>
      </c>
      <c r="P5210" s="1">
        <v>36.729999999999997</v>
      </c>
      <c r="Q5210">
        <v>4.1599999999999998E-2</v>
      </c>
      <c r="R5210">
        <v>1E-4</v>
      </c>
    </row>
    <row r="5211" spans="1:18" ht="13.8" outlineLevel="2" x14ac:dyDescent="0.25">
      <c r="A5211">
        <v>80567</v>
      </c>
      <c r="B5211" t="s">
        <v>7419</v>
      </c>
      <c r="C5211" t="s">
        <v>7454</v>
      </c>
      <c r="D5211" s="14" t="s">
        <v>7452</v>
      </c>
      <c r="E5211" s="12" t="s">
        <v>28</v>
      </c>
      <c r="F5211" s="13" t="s">
        <v>29</v>
      </c>
      <c r="G5211">
        <v>10</v>
      </c>
      <c r="H5211" t="s">
        <v>30</v>
      </c>
      <c r="I5211">
        <v>10</v>
      </c>
      <c r="J5211" s="15"/>
      <c r="K5211" s="16">
        <f>IF($E$1&gt;=$Q$1%,46.47-(46.47*$Q$1%),46.47-(46.47*$E$1))</f>
        <v>46.47</v>
      </c>
      <c r="L5211" s="16">
        <f>IF($E$1&gt;=$Q$1%,38.09-(38.09*$Q$1%),38.09-(38.09*$E$1))</f>
        <v>38.090000000000003</v>
      </c>
      <c r="M5211" s="1">
        <v>46.47</v>
      </c>
      <c r="N5211" s="1">
        <v>38.090000000000003</v>
      </c>
      <c r="O5211" s="1">
        <v>46.47</v>
      </c>
      <c r="P5211" s="1">
        <v>38.090000000000003</v>
      </c>
      <c r="Q5211">
        <v>4.2999999999999997E-2</v>
      </c>
      <c r="R5211">
        <v>1E-4</v>
      </c>
    </row>
    <row r="5212" spans="1:18" ht="13.8" outlineLevel="2" x14ac:dyDescent="0.25">
      <c r="A5212">
        <v>80568</v>
      </c>
      <c r="B5212" t="s">
        <v>7419</v>
      </c>
      <c r="C5212" t="s">
        <v>7455</v>
      </c>
      <c r="D5212" s="14" t="s">
        <v>7452</v>
      </c>
      <c r="E5212" s="12" t="s">
        <v>28</v>
      </c>
      <c r="F5212" s="13" t="s">
        <v>29</v>
      </c>
      <c r="G5212">
        <v>10</v>
      </c>
      <c r="H5212" t="s">
        <v>30</v>
      </c>
      <c r="I5212">
        <v>10</v>
      </c>
      <c r="J5212" s="15"/>
      <c r="K5212" s="16">
        <f>IF($E$1&gt;=$Q$1%,46.58-(46.58*$Q$1%),46.58-(46.58*$E$1))</f>
        <v>46.58</v>
      </c>
      <c r="L5212" s="16">
        <f>IF($E$1&gt;=$Q$1%,38.18-(38.18*$Q$1%),38.18-(38.18*$E$1))</f>
        <v>38.18</v>
      </c>
      <c r="M5212" s="1">
        <v>46.58</v>
      </c>
      <c r="N5212" s="1">
        <v>38.18</v>
      </c>
      <c r="O5212" s="1">
        <v>46.58</v>
      </c>
      <c r="P5212" s="1">
        <v>38.18</v>
      </c>
      <c r="Q5212">
        <v>4.4200000000000003E-2</v>
      </c>
      <c r="R5212">
        <v>1.125E-4</v>
      </c>
    </row>
    <row r="5213" spans="1:18" ht="13.8" outlineLevel="2" x14ac:dyDescent="0.25">
      <c r="A5213">
        <v>80569</v>
      </c>
      <c r="B5213" t="s">
        <v>7419</v>
      </c>
      <c r="C5213" t="s">
        <v>7456</v>
      </c>
      <c r="D5213" s="14" t="s">
        <v>7452</v>
      </c>
      <c r="E5213" s="12" t="s">
        <v>28</v>
      </c>
      <c r="F5213" s="13" t="s">
        <v>29</v>
      </c>
      <c r="G5213">
        <v>10</v>
      </c>
      <c r="H5213" t="s">
        <v>30</v>
      </c>
      <c r="I5213">
        <v>10</v>
      </c>
      <c r="J5213" s="15"/>
      <c r="K5213" s="16">
        <f>IF($E$1&gt;=$Q$1%,56.03-(56.03*$Q$1%),56.03-(56.03*$E$1))</f>
        <v>56.03</v>
      </c>
      <c r="L5213" s="16">
        <f>IF($E$1&gt;=$Q$1%,45.93-(45.93*$Q$1%),45.93-(45.93*$E$1))</f>
        <v>45.93</v>
      </c>
      <c r="M5213" s="1">
        <v>56.03</v>
      </c>
      <c r="N5213" s="1">
        <v>45.93</v>
      </c>
      <c r="O5213" s="1">
        <v>56.03</v>
      </c>
      <c r="P5213" s="1">
        <v>45.93</v>
      </c>
      <c r="Q5213">
        <v>5.4600000000000003E-2</v>
      </c>
      <c r="R5213">
        <v>1.125E-4</v>
      </c>
    </row>
    <row r="5214" spans="1:18" ht="13.8" outlineLevel="2" x14ac:dyDescent="0.25">
      <c r="A5214">
        <v>80570</v>
      </c>
      <c r="B5214" t="s">
        <v>7419</v>
      </c>
      <c r="C5214" t="s">
        <v>7457</v>
      </c>
      <c r="D5214" s="14" t="s">
        <v>7452</v>
      </c>
      <c r="E5214" s="12" t="s">
        <v>28</v>
      </c>
      <c r="F5214" s="13" t="s">
        <v>29</v>
      </c>
      <c r="G5214">
        <v>10</v>
      </c>
      <c r="H5214" t="s">
        <v>30</v>
      </c>
      <c r="I5214">
        <v>10</v>
      </c>
      <c r="J5214" s="15"/>
      <c r="K5214" s="16">
        <f>IF($E$1&gt;=$Q$1%,53.68-(53.68*$Q$1%),53.68-(53.68*$E$1))</f>
        <v>53.68</v>
      </c>
      <c r="L5214" s="16">
        <f>IF($E$1&gt;=$Q$1%,44-(44*$Q$1%),44-(44*$E$1))</f>
        <v>44</v>
      </c>
      <c r="M5214" s="1">
        <v>53.68</v>
      </c>
      <c r="N5214" s="1">
        <v>44</v>
      </c>
      <c r="O5214" s="1">
        <v>53.68</v>
      </c>
      <c r="P5214" s="1">
        <v>44</v>
      </c>
      <c r="Q5214">
        <v>5.1999999999999998E-2</v>
      </c>
      <c r="R5214">
        <v>1.418E-4</v>
      </c>
    </row>
    <row r="5215" spans="1:18" ht="13.8" outlineLevel="2" x14ac:dyDescent="0.25">
      <c r="A5215">
        <v>80571</v>
      </c>
      <c r="B5215" t="s">
        <v>7419</v>
      </c>
      <c r="C5215" t="s">
        <v>7458</v>
      </c>
      <c r="D5215" s="14" t="s">
        <v>7452</v>
      </c>
      <c r="E5215" s="12" t="s">
        <v>28</v>
      </c>
      <c r="F5215" s="13" t="s">
        <v>29</v>
      </c>
      <c r="G5215">
        <v>10</v>
      </c>
      <c r="H5215" t="s">
        <v>30</v>
      </c>
      <c r="I5215">
        <v>10</v>
      </c>
      <c r="J5215" s="15"/>
      <c r="K5215" s="16">
        <f>IF($E$1&gt;=$Q$1%,55.82-(55.82*$Q$1%),55.82-(55.82*$E$1))</f>
        <v>55.82</v>
      </c>
      <c r="L5215" s="16">
        <f>IF($E$1&gt;=$Q$1%,45.75-(45.75*$Q$1%),45.75-(45.75*$E$1))</f>
        <v>45.75</v>
      </c>
      <c r="M5215" s="1">
        <v>55.82</v>
      </c>
      <c r="N5215" s="1">
        <v>45.75</v>
      </c>
      <c r="O5215" s="1">
        <v>55.82</v>
      </c>
      <c r="P5215" s="1">
        <v>45.75</v>
      </c>
      <c r="Q5215">
        <v>5.74E-2</v>
      </c>
      <c r="R5215">
        <v>1.125E-4</v>
      </c>
    </row>
    <row r="5216" spans="1:18" ht="13.8" outlineLevel="2" x14ac:dyDescent="0.25">
      <c r="A5216">
        <v>80572</v>
      </c>
      <c r="B5216" t="s">
        <v>7419</v>
      </c>
      <c r="C5216" t="s">
        <v>7459</v>
      </c>
      <c r="D5216" s="14" t="s">
        <v>7452</v>
      </c>
      <c r="E5216" s="12" t="s">
        <v>28</v>
      </c>
      <c r="F5216" s="13" t="s">
        <v>29</v>
      </c>
      <c r="G5216">
        <v>10</v>
      </c>
      <c r="H5216" t="s">
        <v>30</v>
      </c>
      <c r="I5216">
        <v>10</v>
      </c>
      <c r="J5216" s="15"/>
      <c r="K5216" s="16">
        <f>IF($E$1&gt;=$Q$1%,59.5-(59.5*$Q$1%),59.5-(59.5*$E$1))</f>
        <v>59.5</v>
      </c>
      <c r="L5216" s="16">
        <f>IF($E$1&gt;=$Q$1%,48.77-(48.77*$Q$1%),48.77-(48.77*$E$1))</f>
        <v>48.77</v>
      </c>
      <c r="M5216" s="1">
        <v>59.5</v>
      </c>
      <c r="N5216" s="1">
        <v>48.77</v>
      </c>
      <c r="O5216" s="1">
        <v>59.5</v>
      </c>
      <c r="P5216" s="1">
        <v>48.77</v>
      </c>
      <c r="Q5216">
        <v>5.5E-2</v>
      </c>
      <c r="R5216">
        <v>1.771E-4</v>
      </c>
    </row>
    <row r="5217" spans="1:18" ht="13.8" outlineLevel="2" x14ac:dyDescent="0.25">
      <c r="A5217">
        <v>80573</v>
      </c>
      <c r="B5217" t="s">
        <v>7419</v>
      </c>
      <c r="C5217" t="s">
        <v>7460</v>
      </c>
      <c r="D5217" s="14" t="s">
        <v>7452</v>
      </c>
      <c r="E5217" s="12" t="s">
        <v>28</v>
      </c>
      <c r="F5217" s="13" t="s">
        <v>29</v>
      </c>
      <c r="G5217">
        <v>10</v>
      </c>
      <c r="H5217" t="s">
        <v>30</v>
      </c>
      <c r="I5217">
        <v>10</v>
      </c>
      <c r="J5217" s="15"/>
      <c r="K5217" s="16">
        <f>IF($E$1&gt;=$Q$1%,68.67-(68.67*$Q$1%),68.67-(68.67*$E$1))</f>
        <v>68.67</v>
      </c>
      <c r="L5217" s="16">
        <f>IF($E$1&gt;=$Q$1%,56.29-(56.29*$Q$1%),56.29-(56.29*$E$1))</f>
        <v>56.29</v>
      </c>
      <c r="M5217" s="1">
        <v>68.67</v>
      </c>
      <c r="N5217" s="1">
        <v>56.29</v>
      </c>
      <c r="O5217" s="1">
        <v>68.67</v>
      </c>
      <c r="P5217" s="1">
        <v>56.29</v>
      </c>
      <c r="Q5217">
        <v>7.22E-2</v>
      </c>
      <c r="R5217">
        <v>2.2499999999999999E-4</v>
      </c>
    </row>
    <row r="5218" spans="1:18" ht="13.8" outlineLevel="2" x14ac:dyDescent="0.25">
      <c r="A5218">
        <v>80574</v>
      </c>
      <c r="B5218" t="s">
        <v>7419</v>
      </c>
      <c r="C5218" t="s">
        <v>7461</v>
      </c>
      <c r="D5218" s="14" t="s">
        <v>7452</v>
      </c>
      <c r="E5218" s="12" t="s">
        <v>28</v>
      </c>
      <c r="F5218" s="13" t="s">
        <v>29</v>
      </c>
      <c r="G5218">
        <v>10</v>
      </c>
      <c r="H5218" t="s">
        <v>30</v>
      </c>
      <c r="I5218">
        <v>10</v>
      </c>
      <c r="J5218" s="15"/>
      <c r="K5218" s="16">
        <f>IF($E$1&gt;=$Q$1%,70.02-(70.02*$Q$1%),70.02-(70.02*$E$1))</f>
        <v>70.02</v>
      </c>
      <c r="L5218" s="16">
        <f>IF($E$1&gt;=$Q$1%,57.39-(57.39*$Q$1%),57.39-(57.39*$E$1))</f>
        <v>57.39</v>
      </c>
      <c r="M5218" s="1">
        <v>70.02</v>
      </c>
      <c r="N5218" s="1">
        <v>57.39</v>
      </c>
      <c r="O5218" s="1">
        <v>70.02</v>
      </c>
      <c r="P5218" s="1">
        <v>57.39</v>
      </c>
      <c r="Q5218">
        <v>7.2599999999999998E-2</v>
      </c>
      <c r="R5218">
        <v>2.2499999999999999E-4</v>
      </c>
    </row>
    <row r="5219" spans="1:18" ht="13.8" outlineLevel="2" x14ac:dyDescent="0.25">
      <c r="A5219">
        <v>80575</v>
      </c>
      <c r="B5219" t="s">
        <v>7419</v>
      </c>
      <c r="C5219" t="s">
        <v>7462</v>
      </c>
      <c r="D5219" s="14" t="s">
        <v>7452</v>
      </c>
      <c r="E5219" s="12" t="s">
        <v>28</v>
      </c>
      <c r="F5219" s="13" t="s">
        <v>29</v>
      </c>
      <c r="G5219">
        <v>10</v>
      </c>
      <c r="H5219" t="s">
        <v>30</v>
      </c>
      <c r="I5219">
        <v>10</v>
      </c>
      <c r="J5219" s="15"/>
      <c r="K5219" s="16">
        <f>IF($E$1&gt;=$Q$1%,78.1-(78.1*$Q$1%),78.1-(78.1*$E$1))</f>
        <v>78.099999999999994</v>
      </c>
      <c r="L5219" s="16">
        <f>IF($E$1&gt;=$Q$1%,64.02-(64.02*$Q$1%),64.02-(64.02*$E$1))</f>
        <v>64.02</v>
      </c>
      <c r="M5219" s="1">
        <v>78.099999999999994</v>
      </c>
      <c r="N5219" s="1">
        <v>64.02</v>
      </c>
      <c r="O5219" s="1">
        <v>78.099999999999994</v>
      </c>
      <c r="P5219" s="1">
        <v>64.02</v>
      </c>
      <c r="Q5219">
        <v>7.4999999999999997E-2</v>
      </c>
      <c r="R5219">
        <v>2.8130000000000001E-4</v>
      </c>
    </row>
    <row r="5220" spans="1:18" ht="13.8" outlineLevel="2" x14ac:dyDescent="0.25">
      <c r="A5220">
        <v>80576</v>
      </c>
      <c r="B5220" t="s">
        <v>7419</v>
      </c>
      <c r="C5220" t="s">
        <v>7463</v>
      </c>
      <c r="D5220" s="14" t="s">
        <v>7452</v>
      </c>
      <c r="E5220" s="12" t="s">
        <v>28</v>
      </c>
      <c r="F5220" s="13" t="s">
        <v>29</v>
      </c>
      <c r="G5220">
        <v>10</v>
      </c>
      <c r="H5220" t="s">
        <v>30</v>
      </c>
      <c r="I5220">
        <v>10</v>
      </c>
      <c r="J5220" s="15"/>
      <c r="K5220" s="16">
        <f>IF($E$1&gt;=$Q$1%,79.61-(79.61*$Q$1%),79.61-(79.61*$E$1))</f>
        <v>79.61</v>
      </c>
      <c r="L5220" s="16">
        <f>IF($E$1&gt;=$Q$1%,65.25-(65.25*$Q$1%),65.25-(65.25*$E$1))</f>
        <v>65.25</v>
      </c>
      <c r="M5220" s="1">
        <v>79.61</v>
      </c>
      <c r="N5220" s="1">
        <v>65.25</v>
      </c>
      <c r="O5220" s="1">
        <v>79.61</v>
      </c>
      <c r="P5220" s="1">
        <v>65.25</v>
      </c>
      <c r="Q5220">
        <v>7.8E-2</v>
      </c>
      <c r="R5220">
        <v>3.0160000000000001E-4</v>
      </c>
    </row>
    <row r="5221" spans="1:18" ht="13.8" outlineLevel="2" x14ac:dyDescent="0.25">
      <c r="A5221">
        <v>80577</v>
      </c>
      <c r="B5221" t="s">
        <v>7419</v>
      </c>
      <c r="C5221" t="s">
        <v>7464</v>
      </c>
      <c r="D5221" s="14" t="s">
        <v>7452</v>
      </c>
      <c r="E5221" s="12" t="s">
        <v>28</v>
      </c>
      <c r="F5221" s="13" t="s">
        <v>29</v>
      </c>
      <c r="G5221">
        <v>10</v>
      </c>
      <c r="H5221" t="s">
        <v>30</v>
      </c>
      <c r="I5221">
        <v>10</v>
      </c>
      <c r="J5221" s="15"/>
      <c r="K5221" s="16">
        <f>IF($E$1&gt;=$Q$1%,82.22-(82.22*$Q$1%),82.22-(82.22*$E$1))</f>
        <v>82.22</v>
      </c>
      <c r="L5221" s="16">
        <f>IF($E$1&gt;=$Q$1%,67.39-(67.39*$Q$1%),67.39-(67.39*$E$1))</f>
        <v>67.39</v>
      </c>
      <c r="M5221" s="1">
        <v>82.22</v>
      </c>
      <c r="N5221" s="1">
        <v>67.39</v>
      </c>
      <c r="O5221" s="1">
        <v>82.22</v>
      </c>
      <c r="P5221" s="1">
        <v>67.39</v>
      </c>
      <c r="Q5221">
        <v>7.8600000000000003E-2</v>
      </c>
      <c r="R5221">
        <v>2.9999999999999997E-4</v>
      </c>
    </row>
    <row r="5222" spans="1:18" ht="13.8" outlineLevel="2" x14ac:dyDescent="0.25">
      <c r="A5222">
        <v>80578</v>
      </c>
      <c r="B5222" t="s">
        <v>7419</v>
      </c>
      <c r="C5222" t="s">
        <v>7465</v>
      </c>
      <c r="D5222" s="14" t="s">
        <v>7452</v>
      </c>
      <c r="E5222" s="12" t="s">
        <v>28</v>
      </c>
      <c r="F5222" s="13" t="s">
        <v>29</v>
      </c>
      <c r="G5222">
        <v>10</v>
      </c>
      <c r="H5222" t="s">
        <v>30</v>
      </c>
      <c r="I5222">
        <v>10</v>
      </c>
      <c r="J5222" s="15"/>
      <c r="K5222" s="16">
        <f>IF($E$1&gt;=$Q$1%,84.09-(84.09*$Q$1%),84.09-(84.09*$E$1))</f>
        <v>84.09</v>
      </c>
      <c r="L5222" s="16">
        <f>IF($E$1&gt;=$Q$1%,68.93-(68.93*$Q$1%),68.93-(68.93*$E$1))</f>
        <v>68.930000000000007</v>
      </c>
      <c r="M5222" s="1">
        <v>84.09</v>
      </c>
      <c r="N5222" s="1">
        <v>68.930000000000007</v>
      </c>
      <c r="O5222" s="1">
        <v>84.09</v>
      </c>
      <c r="P5222" s="1">
        <v>68.930000000000007</v>
      </c>
      <c r="Q5222">
        <v>7.9600000000000004E-2</v>
      </c>
      <c r="R5222">
        <v>2.9999999999999997E-4</v>
      </c>
    </row>
    <row r="5223" spans="1:18" ht="13.8" outlineLevel="2" x14ac:dyDescent="0.25">
      <c r="A5223">
        <v>80579</v>
      </c>
      <c r="B5223" t="s">
        <v>7419</v>
      </c>
      <c r="C5223" t="s">
        <v>7466</v>
      </c>
      <c r="D5223" s="14" t="s">
        <v>7452</v>
      </c>
      <c r="E5223" s="12" t="s">
        <v>28</v>
      </c>
      <c r="F5223" s="13" t="s">
        <v>29</v>
      </c>
      <c r="G5223">
        <v>10</v>
      </c>
      <c r="H5223" t="s">
        <v>30</v>
      </c>
      <c r="I5223">
        <v>10</v>
      </c>
      <c r="J5223" s="15"/>
      <c r="K5223" s="16">
        <f>IF($E$1&gt;=$Q$1%,110.73-(110.73*$Q$1%),110.73-(110.73*$E$1))</f>
        <v>110.73</v>
      </c>
      <c r="L5223" s="16">
        <f>IF($E$1&gt;=$Q$1%,90.76-(90.76*$Q$1%),90.76-(90.76*$E$1))</f>
        <v>90.76</v>
      </c>
      <c r="M5223" s="1">
        <v>110.73</v>
      </c>
      <c r="N5223" s="1">
        <v>90.76</v>
      </c>
      <c r="O5223" s="1">
        <v>110.73</v>
      </c>
      <c r="P5223" s="1">
        <v>90.76</v>
      </c>
      <c r="Q5223">
        <v>0.1182</v>
      </c>
      <c r="R5223">
        <v>3.7500000000000001E-4</v>
      </c>
    </row>
    <row r="5224" spans="1:18" ht="13.8" outlineLevel="2" x14ac:dyDescent="0.25">
      <c r="A5224">
        <v>80580</v>
      </c>
      <c r="B5224" t="s">
        <v>7419</v>
      </c>
      <c r="C5224" t="s">
        <v>7467</v>
      </c>
      <c r="D5224" s="14" t="s">
        <v>7452</v>
      </c>
      <c r="E5224" s="12" t="s">
        <v>28</v>
      </c>
      <c r="F5224" s="13" t="s">
        <v>29</v>
      </c>
      <c r="G5224">
        <v>10</v>
      </c>
      <c r="H5224" t="s">
        <v>30</v>
      </c>
      <c r="I5224">
        <v>10</v>
      </c>
      <c r="J5224" s="15"/>
      <c r="K5224" s="16">
        <f>IF($E$1&gt;=$Q$1%,115.13-(115.13*$Q$1%),115.13-(115.13*$E$1))</f>
        <v>115.13</v>
      </c>
      <c r="L5224" s="16">
        <f>IF($E$1&gt;=$Q$1%,94.37-(94.37*$Q$1%),94.37-(94.37*$E$1))</f>
        <v>94.37</v>
      </c>
      <c r="M5224" s="1">
        <v>115.13</v>
      </c>
      <c r="N5224" s="1">
        <v>94.37</v>
      </c>
      <c r="O5224" s="1">
        <v>115.13</v>
      </c>
      <c r="P5224" s="1">
        <v>94.37</v>
      </c>
      <c r="Q5224">
        <v>0.1212</v>
      </c>
      <c r="R5224">
        <v>3.7500000000000001E-4</v>
      </c>
    </row>
    <row r="5225" spans="1:18" ht="13.8" outlineLevel="2" x14ac:dyDescent="0.25">
      <c r="A5225">
        <v>80581</v>
      </c>
      <c r="B5225" t="s">
        <v>7419</v>
      </c>
      <c r="C5225" t="s">
        <v>7468</v>
      </c>
      <c r="D5225" s="14" t="s">
        <v>7452</v>
      </c>
      <c r="E5225" s="12" t="s">
        <v>28</v>
      </c>
      <c r="F5225" s="13" t="s">
        <v>29</v>
      </c>
      <c r="G5225">
        <v>10</v>
      </c>
      <c r="H5225" t="s">
        <v>30</v>
      </c>
      <c r="I5225">
        <v>10</v>
      </c>
      <c r="J5225" s="15"/>
      <c r="K5225" s="16">
        <f>IF($E$1&gt;=$Q$1%,118.83-(118.83*$Q$1%),118.83-(118.83*$E$1))</f>
        <v>118.83</v>
      </c>
      <c r="L5225" s="16">
        <f>IF($E$1&gt;=$Q$1%,97.4-(97.4*$Q$1%),97.4-(97.4*$E$1))</f>
        <v>97.4</v>
      </c>
      <c r="M5225" s="1">
        <v>118.83</v>
      </c>
      <c r="N5225" s="1">
        <v>97.4</v>
      </c>
      <c r="O5225" s="1">
        <v>118.83</v>
      </c>
      <c r="P5225" s="1">
        <v>97.4</v>
      </c>
      <c r="Q5225">
        <v>0.12379999999999999</v>
      </c>
      <c r="R5225">
        <v>3.7500000000000001E-4</v>
      </c>
    </row>
    <row r="5226" spans="1:18" ht="13.8" outlineLevel="2" x14ac:dyDescent="0.25">
      <c r="A5226">
        <v>80582</v>
      </c>
      <c r="B5226" t="s">
        <v>7419</v>
      </c>
      <c r="C5226" t="s">
        <v>7469</v>
      </c>
      <c r="D5226" s="14" t="s">
        <v>7452</v>
      </c>
      <c r="E5226" s="12" t="s">
        <v>28</v>
      </c>
      <c r="F5226" s="13" t="s">
        <v>29</v>
      </c>
      <c r="G5226">
        <v>10</v>
      </c>
      <c r="H5226" t="s">
        <v>30</v>
      </c>
      <c r="I5226">
        <v>10</v>
      </c>
      <c r="J5226" s="15"/>
      <c r="K5226" s="16">
        <f>IF($E$1&gt;=$Q$1%,122.31-(122.31*$Q$1%),122.31-(122.31*$E$1))</f>
        <v>122.31</v>
      </c>
      <c r="L5226" s="16">
        <f>IF($E$1&gt;=$Q$1%,100.25-(100.25*$Q$1%),100.25-(100.25*$E$1))</f>
        <v>100.25</v>
      </c>
      <c r="M5226" s="1">
        <v>122.31</v>
      </c>
      <c r="N5226" s="1">
        <v>100.25</v>
      </c>
      <c r="O5226" s="1">
        <v>122.31</v>
      </c>
      <c r="P5226" s="1">
        <v>100.25</v>
      </c>
      <c r="Q5226">
        <v>0.13</v>
      </c>
      <c r="R5226">
        <v>4.1399999999999998E-4</v>
      </c>
    </row>
    <row r="5227" spans="1:18" ht="13.8" outlineLevel="2" x14ac:dyDescent="0.25">
      <c r="A5227">
        <v>80583</v>
      </c>
      <c r="B5227" t="s">
        <v>7419</v>
      </c>
      <c r="C5227" t="s">
        <v>7470</v>
      </c>
      <c r="D5227" s="14" t="s">
        <v>7452</v>
      </c>
      <c r="E5227" s="12" t="s">
        <v>28</v>
      </c>
      <c r="F5227" s="13" t="s">
        <v>29</v>
      </c>
      <c r="G5227">
        <v>10</v>
      </c>
      <c r="H5227" t="s">
        <v>30</v>
      </c>
      <c r="I5227">
        <v>10</v>
      </c>
      <c r="J5227" s="15"/>
      <c r="K5227" s="16">
        <f>IF($E$1&gt;=$Q$1%,127.5-(127.5*$Q$1%),127.5-(127.5*$E$1))</f>
        <v>127.5</v>
      </c>
      <c r="L5227" s="16">
        <f>IF($E$1&gt;=$Q$1%,104.51-(104.51*$Q$1%),104.51-(104.51*$E$1))</f>
        <v>104.51</v>
      </c>
      <c r="M5227" s="1">
        <v>127.5</v>
      </c>
      <c r="N5227" s="1">
        <v>104.51</v>
      </c>
      <c r="O5227" s="1">
        <v>127.5</v>
      </c>
      <c r="P5227" s="1">
        <v>104.51</v>
      </c>
      <c r="Q5227">
        <v>0.12820000000000001</v>
      </c>
      <c r="R5227">
        <v>6.7500000000000004E-4</v>
      </c>
    </row>
    <row r="5228" spans="1:18" ht="13.8" outlineLevel="2" x14ac:dyDescent="0.25">
      <c r="A5228">
        <v>80584</v>
      </c>
      <c r="B5228" t="s">
        <v>7419</v>
      </c>
      <c r="C5228" t="s">
        <v>7471</v>
      </c>
      <c r="D5228" s="14" t="s">
        <v>7452</v>
      </c>
      <c r="E5228" s="12" t="s">
        <v>28</v>
      </c>
      <c r="F5228" s="13" t="s">
        <v>29</v>
      </c>
      <c r="G5228">
        <v>10</v>
      </c>
      <c r="H5228" t="s">
        <v>30</v>
      </c>
      <c r="I5228">
        <v>10</v>
      </c>
      <c r="J5228" s="15"/>
      <c r="K5228" s="16">
        <f>IF($E$1&gt;=$Q$1%,130.13-(130.13*$Q$1%),130.13-(130.13*$E$1))</f>
        <v>130.13</v>
      </c>
      <c r="L5228" s="16">
        <f>IF($E$1&gt;=$Q$1%,106.66-(106.66*$Q$1%),106.66-(106.66*$E$1))</f>
        <v>106.66</v>
      </c>
      <c r="M5228" s="1">
        <v>130.13</v>
      </c>
      <c r="N5228" s="1">
        <v>106.66</v>
      </c>
      <c r="O5228" s="1">
        <v>130.13</v>
      </c>
      <c r="P5228" s="1">
        <v>106.66</v>
      </c>
      <c r="Q5228">
        <v>0.1346</v>
      </c>
      <c r="R5228">
        <v>6.7500000000000004E-4</v>
      </c>
    </row>
    <row r="5229" spans="1:18" ht="13.8" outlineLevel="2" x14ac:dyDescent="0.25">
      <c r="A5229">
        <v>80585</v>
      </c>
      <c r="B5229" t="s">
        <v>7419</v>
      </c>
      <c r="C5229" t="s">
        <v>7472</v>
      </c>
      <c r="D5229" s="14" t="s">
        <v>7452</v>
      </c>
      <c r="E5229" s="12" t="s">
        <v>28</v>
      </c>
      <c r="F5229" s="13" t="s">
        <v>29</v>
      </c>
      <c r="G5229">
        <v>10</v>
      </c>
      <c r="H5229" t="s">
        <v>30</v>
      </c>
      <c r="I5229">
        <v>10</v>
      </c>
      <c r="J5229" s="15"/>
      <c r="K5229" s="16">
        <f>IF($E$1&gt;=$Q$1%,136.63-(136.63*$Q$1%),136.63-(136.63*$E$1))</f>
        <v>136.63</v>
      </c>
      <c r="L5229" s="16">
        <f>IF($E$1&gt;=$Q$1%,111.99-(111.99*$Q$1%),111.99-(111.99*$E$1))</f>
        <v>111.99</v>
      </c>
      <c r="M5229" s="1">
        <v>136.63</v>
      </c>
      <c r="N5229" s="1">
        <v>111.99</v>
      </c>
      <c r="O5229" s="1">
        <v>136.63</v>
      </c>
      <c r="P5229" s="1">
        <v>111.99</v>
      </c>
      <c r="Q5229">
        <v>0.13500000000000001</v>
      </c>
      <c r="R5229">
        <v>1.0009999999999999E-3</v>
      </c>
    </row>
    <row r="5230" spans="1:18" ht="13.8" outlineLevel="2" x14ac:dyDescent="0.25">
      <c r="A5230">
        <v>80586</v>
      </c>
      <c r="B5230" t="s">
        <v>7419</v>
      </c>
      <c r="C5230" t="s">
        <v>7473</v>
      </c>
      <c r="D5230" s="14" t="s">
        <v>7452</v>
      </c>
      <c r="E5230" s="12" t="s">
        <v>28</v>
      </c>
      <c r="F5230" s="13" t="s">
        <v>29</v>
      </c>
      <c r="G5230">
        <v>10</v>
      </c>
      <c r="H5230" t="s">
        <v>30</v>
      </c>
      <c r="I5230">
        <v>10</v>
      </c>
      <c r="J5230" s="15"/>
      <c r="K5230" s="16">
        <f>IF($E$1&gt;=$Q$1%,137.74-(137.74*$Q$1%),137.74-(137.74*$E$1))</f>
        <v>137.74</v>
      </c>
      <c r="L5230" s="16">
        <f>IF($E$1&gt;=$Q$1%,112.9-(112.9*$Q$1%),112.9-(112.9*$E$1))</f>
        <v>112.9</v>
      </c>
      <c r="M5230" s="1">
        <v>137.74</v>
      </c>
      <c r="N5230" s="1">
        <v>112.9</v>
      </c>
      <c r="O5230" s="1">
        <v>137.74</v>
      </c>
      <c r="P5230" s="1">
        <v>112.9</v>
      </c>
      <c r="Q5230">
        <v>0.1416</v>
      </c>
      <c r="R5230">
        <v>7.8750000000000001E-4</v>
      </c>
    </row>
    <row r="5231" spans="1:18" ht="13.8" outlineLevel="2" x14ac:dyDescent="0.25">
      <c r="A5231">
        <v>80587</v>
      </c>
      <c r="B5231" t="s">
        <v>7419</v>
      </c>
      <c r="C5231" t="s">
        <v>7474</v>
      </c>
      <c r="D5231" s="14" t="s">
        <v>7452</v>
      </c>
      <c r="E5231" s="12" t="s">
        <v>28</v>
      </c>
      <c r="F5231" s="13" t="s">
        <v>29</v>
      </c>
      <c r="G5231">
        <v>10</v>
      </c>
      <c r="H5231" t="s">
        <v>30</v>
      </c>
      <c r="I5231">
        <v>10</v>
      </c>
      <c r="J5231" s="15"/>
      <c r="K5231" s="16">
        <f>IF($E$1&gt;=$Q$1%,140.14-(140.14*$Q$1%),140.14-(140.14*$E$1))</f>
        <v>140.13999999999999</v>
      </c>
      <c r="L5231" s="16">
        <f>IF($E$1&gt;=$Q$1%,114.87-(114.87*$Q$1%),114.87-(114.87*$E$1))</f>
        <v>114.87</v>
      </c>
      <c r="M5231" s="1">
        <v>140.13999999999999</v>
      </c>
      <c r="N5231" s="1">
        <v>114.87</v>
      </c>
      <c r="O5231" s="1">
        <v>140.13999999999999</v>
      </c>
      <c r="P5231" s="1">
        <v>114.87</v>
      </c>
      <c r="Q5231">
        <v>0.14599999999999999</v>
      </c>
      <c r="R5231">
        <v>7.8750000000000001E-4</v>
      </c>
    </row>
    <row r="5232" spans="1:18" ht="13.8" outlineLevel="2" x14ac:dyDescent="0.25">
      <c r="A5232">
        <v>80588</v>
      </c>
      <c r="B5232" t="s">
        <v>7419</v>
      </c>
      <c r="C5232" t="s">
        <v>7475</v>
      </c>
      <c r="D5232" s="14" t="s">
        <v>7452</v>
      </c>
      <c r="E5232" s="12" t="s">
        <v>28</v>
      </c>
      <c r="F5232" s="13" t="s">
        <v>29</v>
      </c>
      <c r="G5232">
        <v>5</v>
      </c>
      <c r="H5232" t="s">
        <v>30</v>
      </c>
      <c r="I5232">
        <v>5</v>
      </c>
      <c r="J5232" s="15"/>
      <c r="K5232" s="16">
        <f>IF($E$1&gt;=$Q$1%,206.84-(206.84*$Q$1%),206.84-(206.84*$E$1))</f>
        <v>206.84</v>
      </c>
      <c r="L5232" s="16">
        <f>IF($E$1&gt;=$Q$1%,169.54-(169.54*$Q$1%),169.54-(169.54*$E$1))</f>
        <v>169.54</v>
      </c>
      <c r="M5232" s="1">
        <v>206.84</v>
      </c>
      <c r="N5232" s="1">
        <v>169.54</v>
      </c>
      <c r="O5232" s="1">
        <v>206.84</v>
      </c>
      <c r="P5232" s="1">
        <v>169.54</v>
      </c>
      <c r="Q5232">
        <v>0.23200000000000001</v>
      </c>
      <c r="R5232">
        <v>1.8E-3</v>
      </c>
    </row>
    <row r="5233" spans="1:18" ht="13.8" outlineLevel="2" x14ac:dyDescent="0.25">
      <c r="A5233">
        <v>80589</v>
      </c>
      <c r="B5233" t="s">
        <v>7419</v>
      </c>
      <c r="C5233" t="s">
        <v>7476</v>
      </c>
      <c r="D5233" s="14" t="s">
        <v>7452</v>
      </c>
      <c r="E5233" s="12" t="s">
        <v>28</v>
      </c>
      <c r="F5233" s="13" t="s">
        <v>29</v>
      </c>
      <c r="G5233">
        <v>5</v>
      </c>
      <c r="H5233" t="s">
        <v>30</v>
      </c>
      <c r="I5233">
        <v>5</v>
      </c>
      <c r="J5233" s="15"/>
      <c r="K5233" s="16">
        <f>IF($E$1&gt;=$Q$1%,213.21-(213.21*$Q$1%),213.21-(213.21*$E$1))</f>
        <v>213.21</v>
      </c>
      <c r="L5233" s="16">
        <f>IF($E$1&gt;=$Q$1%,174.76-(174.76*$Q$1%),174.76-(174.76*$E$1))</f>
        <v>174.76</v>
      </c>
      <c r="M5233" s="1">
        <v>213.21</v>
      </c>
      <c r="N5233" s="1">
        <v>174.76</v>
      </c>
      <c r="O5233" s="1">
        <v>213.21</v>
      </c>
      <c r="P5233" s="1">
        <v>174.76</v>
      </c>
      <c r="Q5233">
        <v>0.23599999999999999</v>
      </c>
      <c r="R5233">
        <v>1.8E-3</v>
      </c>
    </row>
    <row r="5234" spans="1:18" ht="13.8" outlineLevel="2" x14ac:dyDescent="0.25">
      <c r="A5234">
        <v>80590</v>
      </c>
      <c r="B5234" t="s">
        <v>7419</v>
      </c>
      <c r="C5234" t="s">
        <v>7477</v>
      </c>
      <c r="D5234" s="14" t="s">
        <v>7452</v>
      </c>
      <c r="E5234" s="12" t="s">
        <v>28</v>
      </c>
      <c r="F5234" s="13" t="s">
        <v>29</v>
      </c>
      <c r="G5234">
        <v>5</v>
      </c>
      <c r="H5234" t="s">
        <v>30</v>
      </c>
      <c r="I5234">
        <v>5</v>
      </c>
      <c r="J5234" s="15"/>
      <c r="K5234" s="16">
        <f>IF($E$1&gt;=$Q$1%,222.99-(222.99*$Q$1%),222.99-(222.99*$E$1))</f>
        <v>222.99</v>
      </c>
      <c r="L5234" s="16">
        <f>IF($E$1&gt;=$Q$1%,182.78-(182.78*$Q$1%),182.78-(182.78*$E$1))</f>
        <v>182.78</v>
      </c>
      <c r="M5234" s="1">
        <v>222.99</v>
      </c>
      <c r="N5234" s="1">
        <v>182.78</v>
      </c>
      <c r="O5234" s="1">
        <v>222.99</v>
      </c>
      <c r="P5234" s="1">
        <v>182.78</v>
      </c>
      <c r="Q5234">
        <v>0.22</v>
      </c>
      <c r="R5234">
        <v>2.3364000000000002E-3</v>
      </c>
    </row>
    <row r="5235" spans="1:18" ht="13.8" outlineLevel="2" x14ac:dyDescent="0.25">
      <c r="A5235">
        <v>80591</v>
      </c>
      <c r="B5235" t="s">
        <v>7419</v>
      </c>
      <c r="C5235" t="s">
        <v>7478</v>
      </c>
      <c r="D5235" s="14" t="s">
        <v>7452</v>
      </c>
      <c r="E5235" s="12" t="s">
        <v>28</v>
      </c>
      <c r="F5235" s="13" t="s">
        <v>29</v>
      </c>
      <c r="G5235">
        <v>5</v>
      </c>
      <c r="H5235" t="s">
        <v>30</v>
      </c>
      <c r="I5235">
        <v>5</v>
      </c>
      <c r="J5235" s="15"/>
      <c r="K5235" s="16">
        <f>IF($E$1&gt;=$Q$1%,230.89-(230.89*$Q$1%),230.89-(230.89*$E$1))</f>
        <v>230.89</v>
      </c>
      <c r="L5235" s="16">
        <f>IF($E$1&gt;=$Q$1%,189.25-(189.25*$Q$1%),189.25-(189.25*$E$1))</f>
        <v>189.25</v>
      </c>
      <c r="M5235" s="1">
        <v>230.89</v>
      </c>
      <c r="N5235" s="1">
        <v>189.25</v>
      </c>
      <c r="O5235" s="1">
        <v>230.89</v>
      </c>
      <c r="P5235" s="1">
        <v>189.25</v>
      </c>
      <c r="Q5235">
        <v>0.26</v>
      </c>
      <c r="R5235">
        <v>1.8E-3</v>
      </c>
    </row>
    <row r="5236" spans="1:18" ht="13.8" outlineLevel="2" x14ac:dyDescent="0.25">
      <c r="A5236">
        <v>80592</v>
      </c>
      <c r="B5236" t="s">
        <v>7419</v>
      </c>
      <c r="C5236" t="s">
        <v>7479</v>
      </c>
      <c r="D5236" s="14" t="s">
        <v>7452</v>
      </c>
      <c r="E5236" s="12" t="s">
        <v>28</v>
      </c>
      <c r="G5236">
        <v>5</v>
      </c>
      <c r="H5236" t="s">
        <v>30</v>
      </c>
      <c r="I5236">
        <v>5</v>
      </c>
      <c r="J5236" s="15"/>
      <c r="K5236" s="16">
        <f>IF($E$1&gt;=$Q$1%,226.41-(226.41*$Q$1%),226.41-(226.41*$E$1))</f>
        <v>226.41</v>
      </c>
      <c r="L5236" s="16">
        <f>IF($E$1&gt;=$Q$1%,185.58-(185.58*$Q$1%),185.58-(185.58*$E$1))</f>
        <v>185.58</v>
      </c>
      <c r="M5236" s="1">
        <v>226.41</v>
      </c>
      <c r="N5236" s="1">
        <v>185.58</v>
      </c>
      <c r="O5236" s="1">
        <v>226.41</v>
      </c>
      <c r="P5236" s="1">
        <v>185.58</v>
      </c>
      <c r="Q5236">
        <v>0.28199999999999997</v>
      </c>
      <c r="R5236">
        <v>1.1999999999999999E-3</v>
      </c>
    </row>
    <row r="5237" spans="1:18" ht="13.8" outlineLevel="2" x14ac:dyDescent="0.25">
      <c r="A5237">
        <v>80593</v>
      </c>
      <c r="B5237" t="s">
        <v>7419</v>
      </c>
      <c r="C5237" t="s">
        <v>7480</v>
      </c>
      <c r="D5237" s="14" t="s">
        <v>7452</v>
      </c>
      <c r="E5237" s="12" t="s">
        <v>28</v>
      </c>
      <c r="F5237" s="13" t="s">
        <v>29</v>
      </c>
      <c r="G5237">
        <v>5</v>
      </c>
      <c r="H5237" t="s">
        <v>30</v>
      </c>
      <c r="I5237">
        <v>5</v>
      </c>
      <c r="J5237" s="15"/>
      <c r="K5237" s="16">
        <f>IF($E$1&gt;=$Q$1%,256.03-(256.03*$Q$1%),256.03-(256.03*$E$1))</f>
        <v>256.02999999999997</v>
      </c>
      <c r="L5237" s="16">
        <f>IF($E$1&gt;=$Q$1%,209.86-(209.86*$Q$1%),209.86-(209.86*$E$1))</f>
        <v>209.86</v>
      </c>
      <c r="M5237" s="1">
        <v>256.02999999999997</v>
      </c>
      <c r="N5237" s="1">
        <v>209.86</v>
      </c>
      <c r="O5237" s="1">
        <v>256.02999999999997</v>
      </c>
      <c r="P5237" s="1">
        <v>209.86</v>
      </c>
      <c r="Q5237">
        <v>0.29599999999999999</v>
      </c>
      <c r="R5237">
        <v>1.1999999999999999E-3</v>
      </c>
    </row>
    <row r="5238" spans="1:18" ht="13.8" outlineLevel="2" x14ac:dyDescent="0.25">
      <c r="A5238">
        <v>80594</v>
      </c>
      <c r="B5238" t="s">
        <v>7419</v>
      </c>
      <c r="C5238" t="s">
        <v>7481</v>
      </c>
      <c r="D5238" s="14" t="s">
        <v>7452</v>
      </c>
      <c r="E5238" s="12" t="s">
        <v>28</v>
      </c>
      <c r="F5238" s="13" t="s">
        <v>29</v>
      </c>
      <c r="G5238">
        <v>5</v>
      </c>
      <c r="H5238" t="s">
        <v>30</v>
      </c>
      <c r="I5238">
        <v>5</v>
      </c>
      <c r="J5238" s="15"/>
      <c r="K5238" s="16">
        <f>IF($E$1&gt;=$Q$1%,262.54-(262.54*$Q$1%),262.54-(262.54*$E$1))</f>
        <v>262.54000000000002</v>
      </c>
      <c r="L5238" s="16">
        <f>IF($E$1&gt;=$Q$1%,215.2-(215.2*$Q$1%),215.2-(215.2*$E$1))</f>
        <v>215.2</v>
      </c>
      <c r="M5238" s="1">
        <v>262.54000000000002</v>
      </c>
      <c r="N5238" s="1">
        <v>215.2</v>
      </c>
      <c r="O5238" s="1">
        <v>262.54000000000002</v>
      </c>
      <c r="P5238" s="1">
        <v>215.2</v>
      </c>
      <c r="Q5238">
        <v>0.2732</v>
      </c>
      <c r="R5238">
        <v>1.8749999999999999E-3</v>
      </c>
    </row>
    <row r="5239" spans="1:18" ht="13.8" outlineLevel="2" x14ac:dyDescent="0.25">
      <c r="A5239">
        <v>80596</v>
      </c>
      <c r="B5239" t="s">
        <v>7419</v>
      </c>
      <c r="C5239" t="s">
        <v>7482</v>
      </c>
      <c r="D5239" s="14" t="s">
        <v>7452</v>
      </c>
      <c r="E5239" s="12" t="s">
        <v>28</v>
      </c>
      <c r="F5239" s="13" t="s">
        <v>29</v>
      </c>
      <c r="G5239">
        <v>5</v>
      </c>
      <c r="H5239" t="s">
        <v>30</v>
      </c>
      <c r="I5239">
        <v>5</v>
      </c>
      <c r="J5239" s="15"/>
      <c r="K5239" s="16">
        <f>IF($E$1&gt;=$Q$1%,281.55-(281.55*$Q$1%),281.55-(281.55*$E$1))</f>
        <v>281.55</v>
      </c>
      <c r="L5239" s="16">
        <f>IF($E$1&gt;=$Q$1%,230.78-(230.78*$Q$1%),230.78-(230.78*$E$1))</f>
        <v>230.78</v>
      </c>
      <c r="M5239" s="1">
        <v>281.55</v>
      </c>
      <c r="N5239" s="1">
        <v>230.78</v>
      </c>
      <c r="O5239" s="1">
        <v>281.55</v>
      </c>
      <c r="P5239" s="1">
        <v>230.78</v>
      </c>
      <c r="Q5239">
        <v>0.29199999999999998</v>
      </c>
      <c r="R5239">
        <v>2.7000000000000001E-3</v>
      </c>
    </row>
    <row r="5240" spans="1:18" ht="13.8" outlineLevel="2" x14ac:dyDescent="0.25">
      <c r="A5240">
        <v>86219</v>
      </c>
      <c r="B5240" t="s">
        <v>7483</v>
      </c>
      <c r="C5240" t="s">
        <v>7484</v>
      </c>
      <c r="D5240" s="14" t="s">
        <v>7485</v>
      </c>
      <c r="E5240" s="12" t="s">
        <v>28</v>
      </c>
      <c r="F5240" s="13" t="s">
        <v>29</v>
      </c>
      <c r="G5240">
        <v>1</v>
      </c>
      <c r="H5240" t="s">
        <v>2364</v>
      </c>
      <c r="I5240">
        <v>1</v>
      </c>
      <c r="J5240" s="15"/>
      <c r="K5240" s="16">
        <f>IF($E$1&gt;=$Q$1%,1972.79-(1972.79*$Q$1%),1972.79-(1972.79*$E$1))</f>
        <v>1972.79</v>
      </c>
      <c r="L5240" s="16">
        <f>IF($E$1&gt;=$Q$1%,1617.04-(1617.04*$Q$1%),1617.04-(1617.04*$E$1))</f>
        <v>1617.04</v>
      </c>
      <c r="M5240" s="1">
        <v>1972.79</v>
      </c>
      <c r="N5240" s="1">
        <v>1617.04</v>
      </c>
      <c r="O5240" s="1">
        <v>1972.79</v>
      </c>
      <c r="P5240" s="1">
        <v>1617.04</v>
      </c>
      <c r="Q5240">
        <v>1.1879999999999999</v>
      </c>
      <c r="R5240">
        <v>2.0999999999999999E-3</v>
      </c>
    </row>
    <row r="5241" spans="1:18" ht="13.8" outlineLevel="2" x14ac:dyDescent="0.25">
      <c r="A5241">
        <v>86220</v>
      </c>
      <c r="B5241" t="s">
        <v>7486</v>
      </c>
      <c r="C5241" t="s">
        <v>7487</v>
      </c>
      <c r="D5241" s="14" t="s">
        <v>7488</v>
      </c>
      <c r="E5241" s="12" t="s">
        <v>28</v>
      </c>
      <c r="F5241" s="13" t="s">
        <v>29</v>
      </c>
      <c r="G5241">
        <v>1</v>
      </c>
      <c r="H5241" t="s">
        <v>420</v>
      </c>
      <c r="I5241">
        <v>1</v>
      </c>
      <c r="J5241" s="15"/>
      <c r="K5241" s="16">
        <f>IF($E$1&gt;=$Q$1%,2068.29-(2068.29*$Q$1%),2068.29-(2068.29*$E$1))</f>
        <v>2068.29</v>
      </c>
      <c r="L5241" s="16">
        <f>IF($E$1&gt;=$Q$1%,1695.32-(1695.32*$Q$1%),1695.32-(1695.32*$E$1))</f>
        <v>1695.32</v>
      </c>
      <c r="M5241" s="1">
        <v>2068.29</v>
      </c>
      <c r="N5241" s="1">
        <v>1695.32</v>
      </c>
      <c r="O5241" s="1">
        <v>2068.29</v>
      </c>
      <c r="P5241" s="1">
        <v>1695.32</v>
      </c>
      <c r="Q5241">
        <v>0.61</v>
      </c>
      <c r="R5241">
        <v>7.6499999999999995E-4</v>
      </c>
    </row>
    <row r="5242" spans="1:18" ht="16.5" customHeight="1" outlineLevel="1" x14ac:dyDescent="0.35">
      <c r="A5242" s="9"/>
      <c r="B5242" s="10" t="s">
        <v>7489</v>
      </c>
      <c r="C5242" s="10"/>
      <c r="D5242" s="10"/>
      <c r="E5242" s="10"/>
      <c r="F5242" s="10"/>
      <c r="G5242" s="10"/>
      <c r="H5242" s="10"/>
      <c r="I5242" s="10"/>
      <c r="J5242" s="10"/>
      <c r="K5242" s="10"/>
      <c r="L5242" s="10"/>
      <c r="M5242" s="10"/>
      <c r="N5242" s="10"/>
      <c r="O5242" s="10"/>
      <c r="P5242" s="10"/>
      <c r="Q5242" s="10"/>
      <c r="R5242" s="11"/>
    </row>
    <row r="5243" spans="1:18" ht="13.8" outlineLevel="2" x14ac:dyDescent="0.25">
      <c r="A5243">
        <v>59899</v>
      </c>
      <c r="B5243" t="s">
        <v>7490</v>
      </c>
      <c r="C5243" t="s">
        <v>7491</v>
      </c>
      <c r="D5243" s="14" t="s">
        <v>7492</v>
      </c>
      <c r="E5243" s="12" t="s">
        <v>28</v>
      </c>
      <c r="F5243" s="13" t="s">
        <v>29</v>
      </c>
      <c r="G5243">
        <v>1</v>
      </c>
      <c r="H5243" t="s">
        <v>30</v>
      </c>
      <c r="I5243">
        <v>1</v>
      </c>
      <c r="J5243" s="15"/>
      <c r="K5243" s="16">
        <f>IF($E$1&gt;=$Q$1%,40.85-(40.85*$Q$1%),40.85-(40.85*$E$1))</f>
        <v>40.85</v>
      </c>
      <c r="L5243" s="16">
        <f>IF($E$1&gt;=$Q$1%,33.48-(33.48*$Q$1%),33.48-(33.48*$E$1))</f>
        <v>33.479999999999997</v>
      </c>
      <c r="M5243" s="1">
        <v>40.85</v>
      </c>
      <c r="N5243" s="1">
        <v>33.479999999999997</v>
      </c>
      <c r="O5243" s="1">
        <v>40.85</v>
      </c>
      <c r="P5243" s="1">
        <v>33.479999999999997</v>
      </c>
      <c r="Q5243">
        <v>0.06</v>
      </c>
      <c r="R5243">
        <v>8.7999999999999998E-5</v>
      </c>
    </row>
    <row r="5244" spans="1:18" ht="13.8" outlineLevel="2" x14ac:dyDescent="0.25">
      <c r="A5244">
        <v>59900</v>
      </c>
      <c r="B5244" t="s">
        <v>7490</v>
      </c>
      <c r="C5244" t="s">
        <v>7493</v>
      </c>
      <c r="D5244" s="14" t="s">
        <v>7492</v>
      </c>
      <c r="E5244" s="12" t="s">
        <v>28</v>
      </c>
      <c r="F5244" s="13" t="s">
        <v>29</v>
      </c>
      <c r="G5244">
        <v>1</v>
      </c>
      <c r="H5244" t="s">
        <v>30</v>
      </c>
      <c r="I5244">
        <v>1</v>
      </c>
      <c r="J5244" s="15"/>
      <c r="K5244" s="16">
        <f>IF($E$1&gt;=$Q$1%,43.24-(43.24*$Q$1%),43.24-(43.24*$E$1))</f>
        <v>43.24</v>
      </c>
      <c r="L5244" s="16">
        <f>IF($E$1&gt;=$Q$1%,35.44-(35.44*$Q$1%),35.44-(35.44*$E$1))</f>
        <v>35.44</v>
      </c>
      <c r="M5244" s="1">
        <v>43.24</v>
      </c>
      <c r="N5244" s="1">
        <v>35.44</v>
      </c>
      <c r="O5244" s="1">
        <v>43.24</v>
      </c>
      <c r="P5244" s="1">
        <v>35.44</v>
      </c>
      <c r="Q5244">
        <v>0.06</v>
      </c>
      <c r="R5244">
        <v>2.5000000000000001E-4</v>
      </c>
    </row>
    <row r="5245" spans="1:18" ht="13.8" outlineLevel="2" x14ac:dyDescent="0.25">
      <c r="A5245">
        <v>59901</v>
      </c>
      <c r="B5245" t="s">
        <v>7490</v>
      </c>
      <c r="C5245" t="s">
        <v>7494</v>
      </c>
      <c r="D5245" s="14" t="s">
        <v>7492</v>
      </c>
      <c r="E5245" s="12" t="s">
        <v>28</v>
      </c>
      <c r="F5245" s="13" t="s">
        <v>29</v>
      </c>
      <c r="G5245">
        <v>1</v>
      </c>
      <c r="H5245" t="s">
        <v>30</v>
      </c>
      <c r="I5245">
        <v>1</v>
      </c>
      <c r="J5245" s="15"/>
      <c r="K5245" s="16">
        <f>IF($E$1&gt;=$Q$1%,44.69-(44.69*$Q$1%),44.69-(44.69*$E$1))</f>
        <v>44.69</v>
      </c>
      <c r="L5245" s="16">
        <f>IF($E$1&gt;=$Q$1%,36.63-(36.63*$Q$1%),36.63-(36.63*$E$1))</f>
        <v>36.630000000000003</v>
      </c>
      <c r="M5245" s="1">
        <v>44.69</v>
      </c>
      <c r="N5245" s="1">
        <v>36.630000000000003</v>
      </c>
      <c r="O5245" s="1">
        <v>44.69</v>
      </c>
      <c r="P5245" s="1">
        <v>36.630000000000003</v>
      </c>
      <c r="Q5245">
        <v>0.06</v>
      </c>
      <c r="R5245">
        <v>8.0000000000000007E-5</v>
      </c>
    </row>
    <row r="5246" spans="1:18" ht="13.8" outlineLevel="2" x14ac:dyDescent="0.25">
      <c r="A5246">
        <v>59902</v>
      </c>
      <c r="B5246" t="s">
        <v>7490</v>
      </c>
      <c r="C5246" t="s">
        <v>7495</v>
      </c>
      <c r="D5246" s="14" t="s">
        <v>7492</v>
      </c>
      <c r="E5246" s="12" t="s">
        <v>28</v>
      </c>
      <c r="F5246" s="13" t="s">
        <v>29</v>
      </c>
      <c r="G5246">
        <v>1</v>
      </c>
      <c r="H5246" t="s">
        <v>30</v>
      </c>
      <c r="I5246">
        <v>1</v>
      </c>
      <c r="J5246" s="15"/>
      <c r="K5246" s="16">
        <f>IF($E$1&gt;=$Q$1%,46.4-(46.4*$Q$1%),46.4-(46.4*$E$1))</f>
        <v>46.4</v>
      </c>
      <c r="L5246" s="16">
        <f>IF($E$1&gt;=$Q$1%,38.03-(38.03*$Q$1%),38.03-(38.03*$E$1))</f>
        <v>38.03</v>
      </c>
      <c r="M5246" s="1">
        <v>46.4</v>
      </c>
      <c r="N5246" s="1">
        <v>38.03</v>
      </c>
      <c r="O5246" s="1">
        <v>46.4</v>
      </c>
      <c r="P5246" s="1">
        <v>38.03</v>
      </c>
      <c r="Q5246">
        <v>7.0000000000000007E-2</v>
      </c>
      <c r="R5246">
        <v>1E-4</v>
      </c>
    </row>
    <row r="5247" spans="1:18" ht="13.8" outlineLevel="2" x14ac:dyDescent="0.25">
      <c r="A5247">
        <v>59903</v>
      </c>
      <c r="B5247" t="s">
        <v>7490</v>
      </c>
      <c r="C5247" t="s">
        <v>7496</v>
      </c>
      <c r="D5247" s="14" t="s">
        <v>7492</v>
      </c>
      <c r="E5247" s="12" t="s">
        <v>28</v>
      </c>
      <c r="F5247" s="13" t="s">
        <v>29</v>
      </c>
      <c r="G5247">
        <v>1</v>
      </c>
      <c r="H5247" t="s">
        <v>30</v>
      </c>
      <c r="I5247">
        <v>1</v>
      </c>
      <c r="J5247" s="15"/>
      <c r="K5247" s="16">
        <f>IF($E$1&gt;=$Q$1%,53.17-(53.17*$Q$1%),53.17-(53.17*$E$1))</f>
        <v>53.17</v>
      </c>
      <c r="L5247" s="16">
        <f>IF($E$1&gt;=$Q$1%,43.58-(43.58*$Q$1%),43.58-(43.58*$E$1))</f>
        <v>43.58</v>
      </c>
      <c r="M5247" s="1">
        <v>53.17</v>
      </c>
      <c r="N5247" s="1">
        <v>43.58</v>
      </c>
      <c r="O5247" s="1">
        <v>53.17</v>
      </c>
      <c r="P5247" s="1">
        <v>43.58</v>
      </c>
      <c r="Q5247">
        <v>0.08</v>
      </c>
      <c r="R5247">
        <v>2.4000000000000001E-4</v>
      </c>
    </row>
    <row r="5248" spans="1:18" ht="13.8" outlineLevel="2" x14ac:dyDescent="0.25">
      <c r="A5248">
        <v>59904</v>
      </c>
      <c r="B5248" t="s">
        <v>7490</v>
      </c>
      <c r="C5248" t="s">
        <v>7497</v>
      </c>
      <c r="D5248" s="14" t="s">
        <v>7492</v>
      </c>
      <c r="E5248" s="12" t="s">
        <v>28</v>
      </c>
      <c r="F5248" s="13" t="s">
        <v>29</v>
      </c>
      <c r="G5248">
        <v>1</v>
      </c>
      <c r="H5248" t="s">
        <v>30</v>
      </c>
      <c r="I5248">
        <v>1</v>
      </c>
      <c r="J5248" s="15"/>
      <c r="K5248" s="16">
        <f>IF($E$1&gt;=$Q$1%,57.14-(57.14*$Q$1%),57.14-(57.14*$E$1))</f>
        <v>57.14</v>
      </c>
      <c r="L5248" s="16">
        <f>IF($E$1&gt;=$Q$1%,46.84-(46.84*$Q$1%),46.84-(46.84*$E$1))</f>
        <v>46.84</v>
      </c>
      <c r="M5248" s="1">
        <v>57.14</v>
      </c>
      <c r="N5248" s="1">
        <v>46.84</v>
      </c>
      <c r="O5248" s="1">
        <v>57.14</v>
      </c>
      <c r="P5248" s="1">
        <v>46.84</v>
      </c>
      <c r="Q5248">
        <v>0.09</v>
      </c>
      <c r="R5248">
        <v>1.4999999999999999E-4</v>
      </c>
    </row>
    <row r="5249" spans="1:18" ht="13.8" outlineLevel="2" x14ac:dyDescent="0.25">
      <c r="A5249">
        <v>59905</v>
      </c>
      <c r="B5249" t="s">
        <v>7490</v>
      </c>
      <c r="C5249" t="s">
        <v>7498</v>
      </c>
      <c r="D5249" s="14" t="s">
        <v>7492</v>
      </c>
      <c r="E5249" s="12" t="s">
        <v>28</v>
      </c>
      <c r="F5249" s="13" t="s">
        <v>29</v>
      </c>
      <c r="G5249">
        <v>1</v>
      </c>
      <c r="H5249" t="s">
        <v>30</v>
      </c>
      <c r="I5249">
        <v>1</v>
      </c>
      <c r="J5249" s="15"/>
      <c r="K5249" s="16">
        <f>IF($E$1&gt;=$Q$1%,62.07-(62.07*$Q$1%),62.07-(62.07*$E$1))</f>
        <v>62.07</v>
      </c>
      <c r="L5249" s="16">
        <f>IF($E$1&gt;=$Q$1%,50.88-(50.88*$Q$1%),50.88-(50.88*$E$1))</f>
        <v>50.88</v>
      </c>
      <c r="M5249" s="1">
        <v>62.07</v>
      </c>
      <c r="N5249" s="1">
        <v>50.88</v>
      </c>
      <c r="O5249" s="1">
        <v>62.07</v>
      </c>
      <c r="P5249" s="1">
        <v>50.88</v>
      </c>
      <c r="Q5249">
        <v>0.1</v>
      </c>
      <c r="R5249">
        <v>2.5500000000000002E-4</v>
      </c>
    </row>
    <row r="5250" spans="1:18" ht="13.8" outlineLevel="2" x14ac:dyDescent="0.25">
      <c r="A5250">
        <v>59906</v>
      </c>
      <c r="B5250" t="s">
        <v>7490</v>
      </c>
      <c r="C5250" t="s">
        <v>7499</v>
      </c>
      <c r="D5250" s="14" t="s">
        <v>7492</v>
      </c>
      <c r="E5250" s="12" t="s">
        <v>28</v>
      </c>
      <c r="F5250" s="13" t="s">
        <v>29</v>
      </c>
      <c r="G5250">
        <v>1</v>
      </c>
      <c r="H5250" t="s">
        <v>30</v>
      </c>
      <c r="I5250">
        <v>1</v>
      </c>
      <c r="J5250" s="15"/>
      <c r="K5250" s="16">
        <f>IF($E$1&gt;=$Q$1%,87.72-(87.72*$Q$1%),87.72-(87.72*$E$1))</f>
        <v>87.72</v>
      </c>
      <c r="L5250" s="16">
        <f>IF($E$1&gt;=$Q$1%,71.9-(71.9*$Q$1%),71.9-(71.9*$E$1))</f>
        <v>71.900000000000006</v>
      </c>
      <c r="M5250" s="1">
        <v>87.72</v>
      </c>
      <c r="N5250" s="1">
        <v>71.900000000000006</v>
      </c>
      <c r="O5250" s="1">
        <v>87.72</v>
      </c>
      <c r="P5250" s="1">
        <v>71.900000000000006</v>
      </c>
      <c r="Q5250">
        <v>0.14000000000000001</v>
      </c>
      <c r="R5250">
        <v>2.4000000000000001E-4</v>
      </c>
    </row>
    <row r="5251" spans="1:18" ht="13.8" outlineLevel="2" x14ac:dyDescent="0.25">
      <c r="A5251">
        <v>59907</v>
      </c>
      <c r="B5251" t="s">
        <v>7490</v>
      </c>
      <c r="C5251" t="s">
        <v>7500</v>
      </c>
      <c r="D5251" s="14" t="s">
        <v>7492</v>
      </c>
      <c r="E5251" s="12" t="s">
        <v>28</v>
      </c>
      <c r="F5251" s="13" t="s">
        <v>29</v>
      </c>
      <c r="G5251">
        <v>1</v>
      </c>
      <c r="H5251" t="s">
        <v>30</v>
      </c>
      <c r="I5251">
        <v>1</v>
      </c>
      <c r="J5251" s="15"/>
      <c r="K5251" s="16">
        <f>IF($E$1&gt;=$Q$1%,93.65-(93.65*$Q$1%),93.65-(93.65*$E$1))</f>
        <v>93.65</v>
      </c>
      <c r="L5251" s="16">
        <f>IF($E$1&gt;=$Q$1%,76.76-(76.76*$Q$1%),76.76-(76.76*$E$1))</f>
        <v>76.760000000000005</v>
      </c>
      <c r="M5251" s="1">
        <v>93.65</v>
      </c>
      <c r="N5251" s="1">
        <v>76.760000000000005</v>
      </c>
      <c r="O5251" s="1">
        <v>93.65</v>
      </c>
      <c r="P5251" s="1">
        <v>76.760000000000005</v>
      </c>
      <c r="Q5251">
        <v>0.16</v>
      </c>
      <c r="R5251">
        <v>2.9999999999999997E-4</v>
      </c>
    </row>
    <row r="5252" spans="1:18" ht="13.8" outlineLevel="2" x14ac:dyDescent="0.25">
      <c r="A5252">
        <v>77917</v>
      </c>
      <c r="B5252" t="s">
        <v>7490</v>
      </c>
      <c r="C5252" t="s">
        <v>7501</v>
      </c>
      <c r="D5252" s="14" t="s">
        <v>7492</v>
      </c>
      <c r="E5252" s="12" t="s">
        <v>28</v>
      </c>
      <c r="F5252" s="13" t="s">
        <v>29</v>
      </c>
      <c r="G5252">
        <v>1</v>
      </c>
      <c r="H5252" t="s">
        <v>30</v>
      </c>
      <c r="I5252">
        <v>1</v>
      </c>
      <c r="J5252" s="15"/>
      <c r="K5252" s="16">
        <f>IF($E$1&gt;=$Q$1%,99.42-(99.42*$Q$1%),99.42-(99.42*$E$1))</f>
        <v>99.42</v>
      </c>
      <c r="L5252" s="16">
        <f>IF($E$1&gt;=$Q$1%,81.49-(81.49*$Q$1%),81.49-(81.49*$E$1))</f>
        <v>81.489999999999995</v>
      </c>
      <c r="M5252" s="1">
        <v>99.42</v>
      </c>
      <c r="N5252" s="1">
        <v>81.489999999999995</v>
      </c>
      <c r="O5252" s="1">
        <v>99.42</v>
      </c>
      <c r="P5252" s="1">
        <v>81.489999999999995</v>
      </c>
      <c r="Q5252">
        <v>0.17</v>
      </c>
      <c r="R5252">
        <v>3.2000000000000003E-4</v>
      </c>
    </row>
    <row r="5253" spans="1:18" ht="13.8" outlineLevel="2" x14ac:dyDescent="0.25">
      <c r="A5253">
        <v>59908</v>
      </c>
      <c r="B5253" t="s">
        <v>7490</v>
      </c>
      <c r="C5253" t="s">
        <v>7502</v>
      </c>
      <c r="D5253" s="14" t="s">
        <v>7492</v>
      </c>
      <c r="E5253" s="12" t="s">
        <v>28</v>
      </c>
      <c r="F5253" s="13" t="s">
        <v>29</v>
      </c>
      <c r="G5253">
        <v>1</v>
      </c>
      <c r="H5253" t="s">
        <v>30</v>
      </c>
      <c r="I5253">
        <v>1</v>
      </c>
      <c r="J5253" s="15"/>
      <c r="K5253" s="16">
        <f>IF($E$1&gt;=$Q$1%,108.13-(108.13*$Q$1%),108.13-(108.13*$E$1))</f>
        <v>108.13</v>
      </c>
      <c r="L5253" s="16">
        <f>IF($E$1&gt;=$Q$1%,88.63-(88.63*$Q$1%),88.63-(88.63*$E$1))</f>
        <v>88.63</v>
      </c>
      <c r="M5253" s="1">
        <v>108.13</v>
      </c>
      <c r="N5253" s="1">
        <v>88.63</v>
      </c>
      <c r="O5253" s="1">
        <v>108.13</v>
      </c>
      <c r="P5253" s="1">
        <v>88.63</v>
      </c>
      <c r="Q5253">
        <v>0.18</v>
      </c>
      <c r="R5253">
        <v>3.8400000000000001E-4</v>
      </c>
    </row>
    <row r="5254" spans="1:18" ht="13.8" outlineLevel="2" x14ac:dyDescent="0.25">
      <c r="A5254">
        <v>59909</v>
      </c>
      <c r="B5254" t="s">
        <v>7490</v>
      </c>
      <c r="C5254" t="s">
        <v>7503</v>
      </c>
      <c r="D5254" s="14" t="s">
        <v>7492</v>
      </c>
      <c r="E5254" s="12" t="s">
        <v>28</v>
      </c>
      <c r="F5254" s="13" t="s">
        <v>29</v>
      </c>
      <c r="G5254">
        <v>1</v>
      </c>
      <c r="H5254" t="s">
        <v>30</v>
      </c>
      <c r="I5254">
        <v>1</v>
      </c>
      <c r="J5254" s="15"/>
      <c r="K5254" s="16">
        <f>IF($E$1&gt;=$Q$1%,119.29-(119.29*$Q$1%),119.29-(119.29*$E$1))</f>
        <v>119.29</v>
      </c>
      <c r="L5254" s="16">
        <f>IF($E$1&gt;=$Q$1%,97.78-(97.78*$Q$1%),97.78-(97.78*$E$1))</f>
        <v>97.78</v>
      </c>
      <c r="M5254" s="1">
        <v>119.29</v>
      </c>
      <c r="N5254" s="1">
        <v>97.78</v>
      </c>
      <c r="O5254" s="1">
        <v>119.29</v>
      </c>
      <c r="P5254" s="1">
        <v>97.78</v>
      </c>
      <c r="Q5254">
        <v>0.25</v>
      </c>
      <c r="R5254">
        <v>9.6000000000000002E-4</v>
      </c>
    </row>
    <row r="5255" spans="1:18" ht="13.8" outlineLevel="2" x14ac:dyDescent="0.25">
      <c r="A5255">
        <v>59910</v>
      </c>
      <c r="B5255" t="s">
        <v>7490</v>
      </c>
      <c r="C5255" t="s">
        <v>7504</v>
      </c>
      <c r="D5255" s="14" t="s">
        <v>7492</v>
      </c>
      <c r="E5255" s="12" t="s">
        <v>28</v>
      </c>
      <c r="F5255" s="13" t="s">
        <v>29</v>
      </c>
      <c r="G5255">
        <v>1</v>
      </c>
      <c r="H5255" t="s">
        <v>30</v>
      </c>
      <c r="I5255">
        <v>1</v>
      </c>
      <c r="J5255" s="15"/>
      <c r="K5255" s="16">
        <f>IF($E$1&gt;=$Q$1%,164.64-(164.64*$Q$1%),164.64-(164.64*$E$1))</f>
        <v>164.64</v>
      </c>
      <c r="L5255" s="16">
        <f>IF($E$1&gt;=$Q$1%,134.95-(134.95*$Q$1%),134.95-(134.95*$E$1))</f>
        <v>134.94999999999999</v>
      </c>
      <c r="M5255" s="1">
        <v>164.64</v>
      </c>
      <c r="N5255" s="1">
        <v>134.94999999999999</v>
      </c>
      <c r="O5255" s="1">
        <v>164.64</v>
      </c>
      <c r="P5255" s="1">
        <v>134.94999999999999</v>
      </c>
      <c r="Q5255">
        <v>0.27</v>
      </c>
      <c r="R5255">
        <v>9.6000000000000002E-4</v>
      </c>
    </row>
    <row r="5256" spans="1:18" ht="13.8" outlineLevel="2" x14ac:dyDescent="0.25">
      <c r="A5256">
        <v>59911</v>
      </c>
      <c r="B5256" t="s">
        <v>7490</v>
      </c>
      <c r="C5256" t="s">
        <v>7505</v>
      </c>
      <c r="D5256" s="14" t="s">
        <v>7492</v>
      </c>
      <c r="E5256" s="12" t="s">
        <v>28</v>
      </c>
      <c r="F5256" s="13" t="s">
        <v>29</v>
      </c>
      <c r="G5256">
        <v>1</v>
      </c>
      <c r="H5256" t="s">
        <v>30</v>
      </c>
      <c r="I5256">
        <v>1</v>
      </c>
      <c r="J5256" s="15"/>
      <c r="K5256" s="16">
        <f>IF($E$1&gt;=$Q$1%,175.55-(175.55*$Q$1%),175.55-(175.55*$E$1))</f>
        <v>175.55</v>
      </c>
      <c r="L5256" s="16">
        <f>IF($E$1&gt;=$Q$1%,143.89-(143.89*$Q$1%),143.89-(143.89*$E$1))</f>
        <v>143.88999999999999</v>
      </c>
      <c r="M5256" s="1">
        <v>175.55</v>
      </c>
      <c r="N5256" s="1">
        <v>143.88999999999999</v>
      </c>
      <c r="O5256" s="1">
        <v>175.55</v>
      </c>
      <c r="P5256" s="1">
        <v>143.88999999999999</v>
      </c>
      <c r="Q5256">
        <v>0.39500000000000002</v>
      </c>
      <c r="R5256">
        <v>9.6000000000000002E-4</v>
      </c>
    </row>
    <row r="5257" spans="1:18" ht="13.8" outlineLevel="2" x14ac:dyDescent="0.25">
      <c r="A5257">
        <v>82149</v>
      </c>
      <c r="B5257" t="s">
        <v>7490</v>
      </c>
      <c r="C5257" t="s">
        <v>7506</v>
      </c>
      <c r="D5257" s="14" t="s">
        <v>7507</v>
      </c>
      <c r="E5257" s="12" t="s">
        <v>28</v>
      </c>
      <c r="F5257" s="13" t="s">
        <v>29</v>
      </c>
      <c r="G5257">
        <v>10</v>
      </c>
      <c r="H5257" t="s">
        <v>30</v>
      </c>
      <c r="I5257">
        <v>10</v>
      </c>
      <c r="J5257" s="15"/>
      <c r="K5257" s="16">
        <f>IF($E$1&gt;=$Q$1%,101.64-(101.64*$Q$1%),101.64-(101.64*$E$1))</f>
        <v>101.64</v>
      </c>
      <c r="L5257" s="16">
        <f>IF($E$1&gt;=$Q$1%,83.31-(83.31*$Q$1%),83.31-(83.31*$E$1))</f>
        <v>83.31</v>
      </c>
      <c r="M5257" s="1">
        <v>101.64</v>
      </c>
      <c r="N5257" s="1">
        <v>83.31</v>
      </c>
      <c r="O5257" s="1">
        <v>101.64</v>
      </c>
      <c r="P5257" s="1">
        <v>83.31</v>
      </c>
      <c r="Q5257">
        <v>5.1799999999999999E-2</v>
      </c>
      <c r="R5257">
        <v>1.125E-4</v>
      </c>
    </row>
    <row r="5258" spans="1:18" ht="13.8" outlineLevel="2" x14ac:dyDescent="0.25">
      <c r="A5258">
        <v>82150</v>
      </c>
      <c r="B5258" t="s">
        <v>7490</v>
      </c>
      <c r="C5258" t="s">
        <v>7508</v>
      </c>
      <c r="D5258" s="14" t="s">
        <v>7507</v>
      </c>
      <c r="E5258" s="12" t="s">
        <v>28</v>
      </c>
      <c r="F5258" s="13" t="s">
        <v>29</v>
      </c>
      <c r="G5258">
        <v>10</v>
      </c>
      <c r="H5258" t="s">
        <v>30</v>
      </c>
      <c r="I5258">
        <v>10</v>
      </c>
      <c r="J5258" s="15"/>
      <c r="K5258" s="16">
        <f>IF($E$1&gt;=$Q$1%,110.82-(110.82*$Q$1%),110.82-(110.82*$E$1))</f>
        <v>110.82</v>
      </c>
      <c r="L5258" s="16">
        <f>IF($E$1&gt;=$Q$1%,90.84-(90.84*$Q$1%),90.84-(90.84*$E$1))</f>
        <v>90.84</v>
      </c>
      <c r="M5258" s="1">
        <v>110.82</v>
      </c>
      <c r="N5258" s="1">
        <v>90.84</v>
      </c>
      <c r="O5258" s="1">
        <v>110.82</v>
      </c>
      <c r="P5258" s="1">
        <v>90.84</v>
      </c>
      <c r="Q5258">
        <v>5.6599999999999998E-2</v>
      </c>
      <c r="R5258">
        <v>1.125E-4</v>
      </c>
    </row>
    <row r="5259" spans="1:18" ht="13.8" outlineLevel="2" x14ac:dyDescent="0.25">
      <c r="A5259">
        <v>82151</v>
      </c>
      <c r="B5259" t="s">
        <v>7490</v>
      </c>
      <c r="C5259" t="s">
        <v>7509</v>
      </c>
      <c r="D5259" s="14" t="s">
        <v>7507</v>
      </c>
      <c r="E5259" s="12" t="s">
        <v>28</v>
      </c>
      <c r="F5259" s="13" t="s">
        <v>29</v>
      </c>
      <c r="G5259">
        <v>10</v>
      </c>
      <c r="H5259" t="s">
        <v>30</v>
      </c>
      <c r="I5259">
        <v>10</v>
      </c>
      <c r="J5259" s="15"/>
      <c r="K5259" s="16">
        <f>IF($E$1&gt;=$Q$1%,115.25-(115.25*$Q$1%),115.25-(115.25*$E$1))</f>
        <v>115.25</v>
      </c>
      <c r="L5259" s="16">
        <f>IF($E$1&gt;=$Q$1%,94.47-(94.47*$Q$1%),94.47-(94.47*$E$1))</f>
        <v>94.47</v>
      </c>
      <c r="M5259" s="1">
        <v>115.25</v>
      </c>
      <c r="N5259" s="1">
        <v>94.47</v>
      </c>
      <c r="O5259" s="1">
        <v>115.25</v>
      </c>
      <c r="P5259" s="1">
        <v>94.47</v>
      </c>
      <c r="Q5259">
        <v>6.08E-2</v>
      </c>
      <c r="R5259">
        <v>1.125E-4</v>
      </c>
    </row>
    <row r="5260" spans="1:18" ht="13.8" outlineLevel="2" x14ac:dyDescent="0.25">
      <c r="A5260">
        <v>82152</v>
      </c>
      <c r="B5260" t="s">
        <v>7490</v>
      </c>
      <c r="C5260" t="s">
        <v>7510</v>
      </c>
      <c r="D5260" s="14" t="s">
        <v>7507</v>
      </c>
      <c r="E5260" s="12" t="s">
        <v>28</v>
      </c>
      <c r="F5260" s="13" t="s">
        <v>29</v>
      </c>
      <c r="G5260">
        <v>10</v>
      </c>
      <c r="H5260" t="s">
        <v>30</v>
      </c>
      <c r="I5260">
        <v>10</v>
      </c>
      <c r="J5260" s="15"/>
      <c r="K5260" s="16">
        <f>IF($E$1&gt;=$Q$1%,121.01-(121.01*$Q$1%),121.01-(121.01*$E$1))</f>
        <v>121.01</v>
      </c>
      <c r="L5260" s="16">
        <f>IF($E$1&gt;=$Q$1%,99.19-(99.19*$Q$1%),99.19-(99.19*$E$1))</f>
        <v>99.19</v>
      </c>
      <c r="M5260" s="1">
        <v>121.01</v>
      </c>
      <c r="N5260" s="1">
        <v>99.19</v>
      </c>
      <c r="O5260" s="1">
        <v>121.01</v>
      </c>
      <c r="P5260" s="1">
        <v>99.19</v>
      </c>
      <c r="Q5260">
        <v>6.54E-2</v>
      </c>
      <c r="R5260">
        <v>1.125E-4</v>
      </c>
    </row>
    <row r="5261" spans="1:18" ht="13.8" outlineLevel="2" x14ac:dyDescent="0.25">
      <c r="A5261">
        <v>82153</v>
      </c>
      <c r="B5261" t="s">
        <v>7490</v>
      </c>
      <c r="C5261" t="s">
        <v>7511</v>
      </c>
      <c r="D5261" s="14" t="s">
        <v>7507</v>
      </c>
      <c r="E5261" s="12" t="s">
        <v>28</v>
      </c>
      <c r="F5261" s="13" t="s">
        <v>29</v>
      </c>
      <c r="G5261">
        <v>5</v>
      </c>
      <c r="H5261" t="s">
        <v>30</v>
      </c>
      <c r="I5261">
        <v>5</v>
      </c>
      <c r="J5261" s="15"/>
      <c r="K5261" s="16">
        <f>IF($E$1&gt;=$Q$1%,127.09-(127.09*$Q$1%),127.09-(127.09*$E$1))</f>
        <v>127.09</v>
      </c>
      <c r="L5261" s="16">
        <f>IF($E$1&gt;=$Q$1%,104.17-(104.17*$Q$1%),104.17-(104.17*$E$1))</f>
        <v>104.17</v>
      </c>
      <c r="M5261" s="1">
        <v>127.09</v>
      </c>
      <c r="N5261" s="1">
        <v>104.17</v>
      </c>
      <c r="O5261" s="1">
        <v>127.09</v>
      </c>
      <c r="P5261" s="1">
        <v>104.17</v>
      </c>
      <c r="Q5261">
        <v>7.6799999999999993E-2</v>
      </c>
      <c r="R5261">
        <v>2.2499999999999999E-4</v>
      </c>
    </row>
    <row r="5262" spans="1:18" ht="13.8" outlineLevel="2" x14ac:dyDescent="0.25">
      <c r="A5262">
        <v>82154</v>
      </c>
      <c r="B5262" t="s">
        <v>7490</v>
      </c>
      <c r="C5262" t="s">
        <v>7512</v>
      </c>
      <c r="D5262" s="14" t="s">
        <v>7507</v>
      </c>
      <c r="E5262" s="12" t="s">
        <v>28</v>
      </c>
      <c r="F5262" s="13" t="s">
        <v>29</v>
      </c>
      <c r="G5262">
        <v>5</v>
      </c>
      <c r="H5262" t="s">
        <v>30</v>
      </c>
      <c r="I5262">
        <v>5</v>
      </c>
      <c r="J5262" s="15"/>
      <c r="K5262" s="16">
        <f>IF($E$1&gt;=$Q$1%,144.73-(144.73*$Q$1%),144.73-(144.73*$E$1))</f>
        <v>144.72999999999999</v>
      </c>
      <c r="L5262" s="16">
        <f>IF($E$1&gt;=$Q$1%,118.63-(118.63*$Q$1%),118.63-(118.63*$E$1))</f>
        <v>118.63</v>
      </c>
      <c r="M5262" s="1">
        <v>144.72999999999999</v>
      </c>
      <c r="N5262" s="1">
        <v>118.63</v>
      </c>
      <c r="O5262" s="1">
        <v>144.72999999999999</v>
      </c>
      <c r="P5262" s="1">
        <v>118.63</v>
      </c>
      <c r="Q5262">
        <v>8.5199999999999998E-2</v>
      </c>
      <c r="R5262">
        <v>4.4999999999999999E-4</v>
      </c>
    </row>
    <row r="5263" spans="1:18" ht="13.8" outlineLevel="2" x14ac:dyDescent="0.25">
      <c r="A5263">
        <v>82155</v>
      </c>
      <c r="B5263" t="s">
        <v>7490</v>
      </c>
      <c r="C5263" t="s">
        <v>7513</v>
      </c>
      <c r="D5263" s="14" t="s">
        <v>7507</v>
      </c>
      <c r="E5263" s="12" t="s">
        <v>28</v>
      </c>
      <c r="F5263" s="13" t="s">
        <v>29</v>
      </c>
      <c r="G5263">
        <v>5</v>
      </c>
      <c r="H5263" t="s">
        <v>30</v>
      </c>
      <c r="I5263">
        <v>5</v>
      </c>
      <c r="J5263" s="15"/>
      <c r="K5263" s="16">
        <f>IF($E$1&gt;=$Q$1%,151.21-(151.21*$Q$1%),151.21-(151.21*$E$1))</f>
        <v>151.21</v>
      </c>
      <c r="L5263" s="16">
        <f>IF($E$1&gt;=$Q$1%,123.94-(123.94*$Q$1%),123.94-(123.94*$E$1))</f>
        <v>123.94</v>
      </c>
      <c r="M5263" s="1">
        <v>151.21</v>
      </c>
      <c r="N5263" s="1">
        <v>123.94</v>
      </c>
      <c r="O5263" s="1">
        <v>151.21</v>
      </c>
      <c r="P5263" s="1">
        <v>123.94</v>
      </c>
      <c r="Q5263">
        <v>9.64E-2</v>
      </c>
      <c r="R5263">
        <v>4.4999999999999999E-4</v>
      </c>
    </row>
    <row r="5264" spans="1:18" ht="13.8" outlineLevel="2" x14ac:dyDescent="0.25">
      <c r="A5264">
        <v>82156</v>
      </c>
      <c r="B5264" t="s">
        <v>7490</v>
      </c>
      <c r="C5264" t="s">
        <v>7514</v>
      </c>
      <c r="D5264" s="14" t="s">
        <v>7507</v>
      </c>
      <c r="E5264" s="12" t="s">
        <v>28</v>
      </c>
      <c r="F5264" s="13" t="s">
        <v>29</v>
      </c>
      <c r="G5264">
        <v>5</v>
      </c>
      <c r="H5264" t="s">
        <v>30</v>
      </c>
      <c r="I5264">
        <v>5</v>
      </c>
      <c r="J5264" s="15"/>
      <c r="K5264" s="16">
        <f>IF($E$1&gt;=$Q$1%,164.14-(164.14*$Q$1%),164.14-(164.14*$E$1))</f>
        <v>164.14</v>
      </c>
      <c r="L5264" s="16">
        <f>IF($E$1&gt;=$Q$1%,134.54-(134.54*$Q$1%),134.54-(134.54*$E$1))</f>
        <v>134.54</v>
      </c>
      <c r="M5264" s="1">
        <v>164.14</v>
      </c>
      <c r="N5264" s="1">
        <v>134.54</v>
      </c>
      <c r="O5264" s="1">
        <v>164.14</v>
      </c>
      <c r="P5264" s="1">
        <v>134.54</v>
      </c>
      <c r="Q5264">
        <v>0.11119999999999999</v>
      </c>
      <c r="R5264">
        <v>4.4999999999999999E-4</v>
      </c>
    </row>
    <row r="5265" spans="1:18" ht="13.8" outlineLevel="2" x14ac:dyDescent="0.25">
      <c r="A5265">
        <v>82157</v>
      </c>
      <c r="B5265" t="s">
        <v>7490</v>
      </c>
      <c r="C5265" t="s">
        <v>7515</v>
      </c>
      <c r="D5265" s="14" t="s">
        <v>7507</v>
      </c>
      <c r="E5265" s="12" t="s">
        <v>28</v>
      </c>
      <c r="F5265" s="13" t="s">
        <v>29</v>
      </c>
      <c r="G5265">
        <v>5</v>
      </c>
      <c r="H5265" t="s">
        <v>30</v>
      </c>
      <c r="I5265">
        <v>5</v>
      </c>
      <c r="J5265" s="15"/>
      <c r="K5265" s="16">
        <f>IF($E$1&gt;=$Q$1%,235.56-(235.56*$Q$1%),235.56-(235.56*$E$1))</f>
        <v>235.56</v>
      </c>
      <c r="L5265" s="16">
        <f>IF($E$1&gt;=$Q$1%,193.08-(193.08*$Q$1%),193.08-(193.08*$E$1))</f>
        <v>193.08</v>
      </c>
      <c r="M5265" s="1">
        <v>235.56</v>
      </c>
      <c r="N5265" s="1">
        <v>193.08</v>
      </c>
      <c r="O5265" s="1">
        <v>235.56</v>
      </c>
      <c r="P5265" s="1">
        <v>193.08</v>
      </c>
      <c r="Q5265">
        <v>0.16919999999999999</v>
      </c>
      <c r="R5265">
        <v>4.4999999999999999E-4</v>
      </c>
    </row>
    <row r="5266" spans="1:18" ht="13.8" outlineLevel="2" x14ac:dyDescent="0.25">
      <c r="A5266">
        <v>82158</v>
      </c>
      <c r="B5266" t="s">
        <v>7490</v>
      </c>
      <c r="C5266" t="s">
        <v>7516</v>
      </c>
      <c r="D5266" s="14" t="s">
        <v>7507</v>
      </c>
      <c r="E5266" s="12" t="s">
        <v>28</v>
      </c>
      <c r="F5266" s="13" t="s">
        <v>29</v>
      </c>
      <c r="G5266">
        <v>2</v>
      </c>
      <c r="H5266" t="s">
        <v>30</v>
      </c>
      <c r="I5266">
        <v>2</v>
      </c>
      <c r="J5266" s="15"/>
      <c r="K5266" s="16">
        <f>IF($E$1&gt;=$Q$1%,282.97-(282.97*$Q$1%),282.97-(282.97*$E$1))</f>
        <v>282.97000000000003</v>
      </c>
      <c r="L5266" s="16">
        <f>IF($E$1&gt;=$Q$1%,231.94-(231.94*$Q$1%),231.94-(231.94*$E$1))</f>
        <v>231.94</v>
      </c>
      <c r="M5266" s="1">
        <v>282.97000000000003</v>
      </c>
      <c r="N5266" s="1">
        <v>231.94</v>
      </c>
      <c r="O5266" s="1">
        <v>282.97000000000003</v>
      </c>
      <c r="P5266" s="1">
        <v>231.94</v>
      </c>
      <c r="Q5266">
        <v>0.20499999999999999</v>
      </c>
      <c r="R5266">
        <v>7.8750000000000001E-4</v>
      </c>
    </row>
    <row r="5267" spans="1:18" ht="13.8" outlineLevel="2" x14ac:dyDescent="0.25">
      <c r="A5267">
        <v>82159</v>
      </c>
      <c r="B5267" t="s">
        <v>7490</v>
      </c>
      <c r="C5267" t="s">
        <v>7517</v>
      </c>
      <c r="D5267" s="14" t="s">
        <v>7507</v>
      </c>
      <c r="E5267" s="12" t="s">
        <v>28</v>
      </c>
      <c r="F5267" s="13" t="s">
        <v>29</v>
      </c>
      <c r="G5267">
        <v>2</v>
      </c>
      <c r="H5267" t="s">
        <v>30</v>
      </c>
      <c r="I5267">
        <v>2</v>
      </c>
      <c r="J5267" s="15"/>
      <c r="K5267" s="16">
        <f>IF($E$1&gt;=$Q$1%,289.49-(289.49*$Q$1%),289.49-(289.49*$E$1))</f>
        <v>289.49</v>
      </c>
      <c r="L5267" s="16">
        <f>IF($E$1&gt;=$Q$1%,237.29-(237.29*$Q$1%),237.29-(237.29*$E$1))</f>
        <v>237.29</v>
      </c>
      <c r="M5267" s="1">
        <v>289.49</v>
      </c>
      <c r="N5267" s="1">
        <v>237.29</v>
      </c>
      <c r="O5267" s="1">
        <v>289.49</v>
      </c>
      <c r="P5267" s="1">
        <v>237.29</v>
      </c>
      <c r="Q5267">
        <v>0.29099999999999998</v>
      </c>
      <c r="R5267">
        <v>1.4E-3</v>
      </c>
    </row>
    <row r="5268" spans="1:18" ht="13.8" outlineLevel="2" x14ac:dyDescent="0.25">
      <c r="A5268">
        <v>82160</v>
      </c>
      <c r="B5268" t="s">
        <v>7490</v>
      </c>
      <c r="C5268" t="s">
        <v>7518</v>
      </c>
      <c r="D5268" s="14" t="s">
        <v>7507</v>
      </c>
      <c r="E5268" s="12" t="s">
        <v>28</v>
      </c>
      <c r="F5268" s="13" t="s">
        <v>29</v>
      </c>
      <c r="G5268">
        <v>2</v>
      </c>
      <c r="H5268" t="s">
        <v>30</v>
      </c>
      <c r="I5268">
        <v>2</v>
      </c>
      <c r="J5268" s="15"/>
      <c r="K5268" s="16">
        <f>IF($E$1&gt;=$Q$1%,348.9-(348.9*$Q$1%),348.9-(348.9*$E$1))</f>
        <v>348.9</v>
      </c>
      <c r="L5268" s="16">
        <f>IF($E$1&gt;=$Q$1%,285.98-(285.98*$Q$1%),285.98-(285.98*$E$1))</f>
        <v>285.98</v>
      </c>
      <c r="M5268" s="1">
        <v>348.9</v>
      </c>
      <c r="N5268" s="1">
        <v>285.98</v>
      </c>
      <c r="O5268" s="1">
        <v>348.9</v>
      </c>
      <c r="P5268" s="1">
        <v>285.98</v>
      </c>
      <c r="Q5268">
        <v>0.32900000000000001</v>
      </c>
      <c r="R5268">
        <v>1.4E-3</v>
      </c>
    </row>
    <row r="5269" spans="1:18" ht="13.8" outlineLevel="2" x14ac:dyDescent="0.25">
      <c r="A5269">
        <v>67463</v>
      </c>
      <c r="B5269" t="s">
        <v>7490</v>
      </c>
      <c r="C5269" t="s">
        <v>7519</v>
      </c>
      <c r="D5269" s="14" t="s">
        <v>7520</v>
      </c>
      <c r="E5269" s="12" t="s">
        <v>28</v>
      </c>
      <c r="F5269" s="13" t="s">
        <v>29</v>
      </c>
      <c r="G5269">
        <v>5</v>
      </c>
      <c r="H5269" t="s">
        <v>30</v>
      </c>
      <c r="I5269">
        <v>5</v>
      </c>
      <c r="J5269" s="15"/>
      <c r="K5269" s="16">
        <f>IF($E$1&gt;=$Q$1%,83.29-(83.29*$Q$1%),83.29-(83.29*$E$1))</f>
        <v>83.29</v>
      </c>
      <c r="L5269" s="16">
        <f>IF($E$1&gt;=$Q$1%,68.27-(68.27*$Q$1%),68.27-(68.27*$E$1))</f>
        <v>68.27</v>
      </c>
      <c r="M5269" s="1">
        <v>83.29</v>
      </c>
      <c r="N5269" s="1">
        <v>68.27</v>
      </c>
      <c r="O5269" s="1">
        <v>83.29</v>
      </c>
      <c r="P5269" s="1">
        <v>68.27</v>
      </c>
      <c r="Q5269">
        <v>3.5999999999999997E-2</v>
      </c>
      <c r="R5269">
        <v>4.4199999999999997E-5</v>
      </c>
    </row>
    <row r="5270" spans="1:18" ht="13.8" outlineLevel="2" x14ac:dyDescent="0.25">
      <c r="A5270">
        <v>67469</v>
      </c>
      <c r="B5270" t="s">
        <v>7490</v>
      </c>
      <c r="C5270" t="s">
        <v>7521</v>
      </c>
      <c r="D5270" s="14" t="s">
        <v>7520</v>
      </c>
      <c r="E5270" s="12" t="s">
        <v>28</v>
      </c>
      <c r="F5270" s="13" t="s">
        <v>29</v>
      </c>
      <c r="G5270">
        <v>2</v>
      </c>
      <c r="H5270" t="s">
        <v>30</v>
      </c>
      <c r="I5270">
        <v>2</v>
      </c>
      <c r="J5270" s="15"/>
      <c r="K5270" s="16">
        <f>IF($E$1&gt;=$Q$1%,238.9-(238.9*$Q$1%),238.9-(238.9*$E$1))</f>
        <v>238.9</v>
      </c>
      <c r="L5270" s="16">
        <f>IF($E$1&gt;=$Q$1%,195.82-(195.82*$Q$1%),195.82-(195.82*$E$1))</f>
        <v>195.82</v>
      </c>
      <c r="M5270" s="1">
        <v>238.9</v>
      </c>
      <c r="N5270" s="1">
        <v>195.82</v>
      </c>
      <c r="O5270" s="1">
        <v>238.9</v>
      </c>
      <c r="P5270" s="1">
        <v>195.82</v>
      </c>
      <c r="Q5270">
        <v>0.95</v>
      </c>
      <c r="R5270">
        <v>6.8999999999999997E-4</v>
      </c>
    </row>
    <row r="5271" spans="1:18" ht="13.8" outlineLevel="2" x14ac:dyDescent="0.25">
      <c r="A5271">
        <v>67470</v>
      </c>
      <c r="B5271" t="s">
        <v>7490</v>
      </c>
      <c r="C5271" t="s">
        <v>7522</v>
      </c>
      <c r="D5271" s="14" t="s">
        <v>7520</v>
      </c>
      <c r="E5271" s="12" t="s">
        <v>28</v>
      </c>
      <c r="F5271" s="13" t="s">
        <v>29</v>
      </c>
      <c r="G5271">
        <v>2</v>
      </c>
      <c r="H5271" t="s">
        <v>30</v>
      </c>
      <c r="I5271">
        <v>2</v>
      </c>
      <c r="J5271" s="15"/>
      <c r="K5271" s="16">
        <f>IF($E$1&gt;=$Q$1%,282.53-(282.53*$Q$1%),282.53-(282.53*$E$1))</f>
        <v>282.52999999999997</v>
      </c>
      <c r="L5271" s="16">
        <f>IF($E$1&gt;=$Q$1%,231.58-(231.58*$Q$1%),231.58-(231.58*$E$1))</f>
        <v>231.58</v>
      </c>
      <c r="M5271" s="1">
        <v>282.52999999999997</v>
      </c>
      <c r="N5271" s="1">
        <v>231.58</v>
      </c>
      <c r="O5271" s="1">
        <v>282.52999999999997</v>
      </c>
      <c r="P5271" s="1">
        <v>231.58</v>
      </c>
      <c r="Q5271">
        <v>1.05</v>
      </c>
      <c r="R5271">
        <v>1.1249999999999999E-3</v>
      </c>
    </row>
    <row r="5272" spans="1:18" ht="13.8" outlineLevel="2" x14ac:dyDescent="0.25">
      <c r="A5272">
        <v>59913</v>
      </c>
      <c r="B5272" t="s">
        <v>7490</v>
      </c>
      <c r="C5272" t="s">
        <v>7523</v>
      </c>
      <c r="D5272" s="14" t="s">
        <v>7524</v>
      </c>
      <c r="E5272" s="12" t="s">
        <v>28</v>
      </c>
      <c r="F5272" s="13" t="s">
        <v>29</v>
      </c>
      <c r="G5272">
        <v>50</v>
      </c>
      <c r="H5272" t="s">
        <v>30</v>
      </c>
      <c r="I5272">
        <v>50</v>
      </c>
      <c r="J5272" s="15"/>
      <c r="K5272" s="16">
        <f>IF($E$1&gt;=$Q$1%,16.91-(16.91*$Q$1%),16.91-(16.91*$E$1))</f>
        <v>16.91</v>
      </c>
      <c r="L5272" s="16">
        <f>IF($E$1&gt;=$Q$1%,13.86-(13.86*$Q$1%),13.86-(13.86*$E$1))</f>
        <v>13.86</v>
      </c>
      <c r="M5272" s="1">
        <v>16.91</v>
      </c>
      <c r="N5272" s="1">
        <v>13.86</v>
      </c>
      <c r="O5272" s="1">
        <v>16.91</v>
      </c>
      <c r="P5272" s="1">
        <v>13.86</v>
      </c>
      <c r="Q5272">
        <v>3.7999999999999999E-2</v>
      </c>
      <c r="R5272">
        <v>1.5E-6</v>
      </c>
    </row>
    <row r="5273" spans="1:18" ht="13.8" outlineLevel="2" x14ac:dyDescent="0.25">
      <c r="A5273">
        <v>59914</v>
      </c>
      <c r="B5273" t="s">
        <v>7490</v>
      </c>
      <c r="C5273" t="s">
        <v>7525</v>
      </c>
      <c r="D5273" s="14" t="s">
        <v>7524</v>
      </c>
      <c r="E5273" s="12" t="s">
        <v>28</v>
      </c>
      <c r="F5273" s="13" t="s">
        <v>29</v>
      </c>
      <c r="G5273">
        <v>50</v>
      </c>
      <c r="H5273" t="s">
        <v>30</v>
      </c>
      <c r="I5273">
        <v>50</v>
      </c>
      <c r="J5273" s="15"/>
      <c r="K5273" s="16">
        <f>IF($E$1&gt;=$Q$1%,17.41-(17.41*$Q$1%),17.41-(17.41*$E$1))</f>
        <v>17.41</v>
      </c>
      <c r="L5273" s="16">
        <f>IF($E$1&gt;=$Q$1%,14.27-(14.27*$Q$1%),14.27-(14.27*$E$1))</f>
        <v>14.27</v>
      </c>
      <c r="M5273" s="1">
        <v>17.41</v>
      </c>
      <c r="N5273" s="1">
        <v>14.27</v>
      </c>
      <c r="O5273" s="1">
        <v>17.41</v>
      </c>
      <c r="P5273" s="1">
        <v>14.27</v>
      </c>
      <c r="Q5273">
        <v>3.7999999999999999E-2</v>
      </c>
      <c r="R5273">
        <v>1.5E-6</v>
      </c>
    </row>
    <row r="5274" spans="1:18" ht="13.8" outlineLevel="2" x14ac:dyDescent="0.25">
      <c r="A5274">
        <v>59917</v>
      </c>
      <c r="B5274" t="s">
        <v>7490</v>
      </c>
      <c r="C5274" t="s">
        <v>7526</v>
      </c>
      <c r="D5274" s="14" t="s">
        <v>7524</v>
      </c>
      <c r="E5274" s="12" t="s">
        <v>28</v>
      </c>
      <c r="F5274" s="13" t="s">
        <v>29</v>
      </c>
      <c r="G5274">
        <v>20</v>
      </c>
      <c r="H5274" t="s">
        <v>30</v>
      </c>
      <c r="I5274">
        <v>20</v>
      </c>
      <c r="J5274" s="15"/>
      <c r="K5274" s="16">
        <f>IF($E$1&gt;=$Q$1%,25.5-(25.5*$Q$1%),25.5-(25.5*$E$1))</f>
        <v>25.5</v>
      </c>
      <c r="L5274" s="16">
        <f>IF($E$1&gt;=$Q$1%,20.9-(20.9*$Q$1%),20.9-(20.9*$E$1))</f>
        <v>20.9</v>
      </c>
      <c r="M5274" s="1">
        <v>25.5</v>
      </c>
      <c r="N5274" s="1">
        <v>20.9</v>
      </c>
      <c r="O5274" s="1">
        <v>25.5</v>
      </c>
      <c r="P5274" s="1">
        <v>20.9</v>
      </c>
      <c r="Q5274">
        <v>0.06</v>
      </c>
      <c r="R5274">
        <v>3.7500000000000001E-6</v>
      </c>
    </row>
    <row r="5275" spans="1:18" ht="13.8" outlineLevel="2" x14ac:dyDescent="0.25">
      <c r="A5275">
        <v>59918</v>
      </c>
      <c r="B5275" t="s">
        <v>7490</v>
      </c>
      <c r="C5275" t="s">
        <v>7527</v>
      </c>
      <c r="D5275" s="14" t="s">
        <v>7524</v>
      </c>
      <c r="E5275" s="12" t="s">
        <v>28</v>
      </c>
      <c r="F5275" s="13" t="s">
        <v>29</v>
      </c>
      <c r="G5275">
        <v>12</v>
      </c>
      <c r="H5275" t="s">
        <v>30</v>
      </c>
      <c r="I5275">
        <v>12</v>
      </c>
      <c r="J5275" s="15"/>
      <c r="K5275" s="16">
        <f>IF($E$1&gt;=$Q$1%,28.55-(28.55*$Q$1%),28.55-(28.55*$E$1))</f>
        <v>28.55</v>
      </c>
      <c r="L5275" s="16">
        <f>IF($E$1&gt;=$Q$1%,23.4-(23.4*$Q$1%),23.4-(23.4*$E$1))</f>
        <v>23.4</v>
      </c>
      <c r="M5275" s="1">
        <v>28.55</v>
      </c>
      <c r="N5275" s="1">
        <v>23.4</v>
      </c>
      <c r="O5275" s="1">
        <v>28.55</v>
      </c>
      <c r="P5275" s="1">
        <v>23.4</v>
      </c>
      <c r="Q5275">
        <v>6.6666666666666999E-2</v>
      </c>
      <c r="R5275">
        <v>6.2500000000000003E-6</v>
      </c>
    </row>
    <row r="5276" spans="1:18" ht="13.8" outlineLevel="2" x14ac:dyDescent="0.25">
      <c r="A5276">
        <v>59923</v>
      </c>
      <c r="B5276" t="s">
        <v>7490</v>
      </c>
      <c r="C5276" t="s">
        <v>7528</v>
      </c>
      <c r="D5276" s="14" t="s">
        <v>7524</v>
      </c>
      <c r="E5276" s="12" t="s">
        <v>28</v>
      </c>
      <c r="F5276" s="13" t="s">
        <v>29</v>
      </c>
      <c r="G5276">
        <v>5</v>
      </c>
      <c r="H5276" t="s">
        <v>30</v>
      </c>
      <c r="I5276">
        <v>5</v>
      </c>
      <c r="J5276" s="15"/>
      <c r="K5276" s="16">
        <f>IF($E$1&gt;=$Q$1%,79.57-(79.57*$Q$1%),79.57-(79.57*$E$1))</f>
        <v>79.569999999999993</v>
      </c>
      <c r="L5276" s="16">
        <f>IF($E$1&gt;=$Q$1%,65.22-(65.22*$Q$1%),65.22-(65.22*$E$1))</f>
        <v>65.22</v>
      </c>
      <c r="M5276" s="1">
        <v>79.569999999999993</v>
      </c>
      <c r="N5276" s="1">
        <v>65.22</v>
      </c>
      <c r="O5276" s="1">
        <v>79.569999999999993</v>
      </c>
      <c r="P5276" s="1">
        <v>65.22</v>
      </c>
      <c r="Q5276">
        <v>0.22</v>
      </c>
      <c r="R5276">
        <v>1.5E-5</v>
      </c>
    </row>
    <row r="5277" spans="1:18" ht="13.8" outlineLevel="2" x14ac:dyDescent="0.25">
      <c r="A5277">
        <v>59924</v>
      </c>
      <c r="B5277" t="s">
        <v>7490</v>
      </c>
      <c r="C5277" t="s">
        <v>7529</v>
      </c>
      <c r="D5277" s="14" t="s">
        <v>7524</v>
      </c>
      <c r="E5277" s="12" t="s">
        <v>28</v>
      </c>
      <c r="F5277" s="13" t="s">
        <v>29</v>
      </c>
      <c r="G5277">
        <v>5</v>
      </c>
      <c r="H5277" t="s">
        <v>30</v>
      </c>
      <c r="I5277">
        <v>5</v>
      </c>
      <c r="J5277" s="15"/>
      <c r="K5277" s="16">
        <f>IF($E$1&gt;=$Q$1%,88.1-(88.1*$Q$1%),88.1-(88.1*$E$1))</f>
        <v>88.1</v>
      </c>
      <c r="L5277" s="16">
        <f>IF($E$1&gt;=$Q$1%,72.21-(72.21*$Q$1%),72.21-(72.21*$E$1))</f>
        <v>72.209999999999994</v>
      </c>
      <c r="M5277" s="1">
        <v>88.1</v>
      </c>
      <c r="N5277" s="1">
        <v>72.209999999999994</v>
      </c>
      <c r="O5277" s="1">
        <v>88.1</v>
      </c>
      <c r="P5277" s="1">
        <v>72.209999999999994</v>
      </c>
      <c r="Q5277">
        <v>0.24</v>
      </c>
      <c r="R5277">
        <v>1.4999999999999999E-4</v>
      </c>
    </row>
    <row r="5278" spans="1:18" ht="33.75" customHeight="1" x14ac:dyDescent="0.35">
      <c r="A5278" s="9"/>
      <c r="B5278" s="10" t="s">
        <v>7530</v>
      </c>
      <c r="C5278" s="10"/>
      <c r="D5278" s="10"/>
      <c r="E5278" s="10"/>
      <c r="F5278" s="10"/>
      <c r="G5278" s="10"/>
      <c r="H5278" s="10"/>
      <c r="I5278" s="10"/>
      <c r="J5278" s="10"/>
      <c r="K5278" s="10"/>
      <c r="L5278" s="10"/>
      <c r="M5278" s="10"/>
      <c r="N5278" s="10"/>
      <c r="O5278" s="10"/>
      <c r="P5278" s="10"/>
      <c r="Q5278" s="10"/>
      <c r="R5278" s="11"/>
    </row>
    <row r="5279" spans="1:18" ht="16.5" customHeight="1" outlineLevel="1" x14ac:dyDescent="0.35">
      <c r="A5279" s="9"/>
      <c r="B5279" s="10" t="s">
        <v>7531</v>
      </c>
      <c r="C5279" s="10"/>
      <c r="D5279" s="10"/>
      <c r="E5279" s="10"/>
      <c r="F5279" s="10"/>
      <c r="G5279" s="10"/>
      <c r="H5279" s="10"/>
      <c r="I5279" s="10"/>
      <c r="J5279" s="10"/>
      <c r="K5279" s="10"/>
      <c r="L5279" s="10"/>
      <c r="M5279" s="10"/>
      <c r="N5279" s="10"/>
      <c r="O5279" s="10"/>
      <c r="P5279" s="10"/>
      <c r="Q5279" s="10"/>
      <c r="R5279" s="11"/>
    </row>
    <row r="5280" spans="1:18" ht="13.8" outlineLevel="2" x14ac:dyDescent="0.25">
      <c r="A5280">
        <v>85433</v>
      </c>
      <c r="B5280" t="s">
        <v>7532</v>
      </c>
      <c r="C5280" t="s">
        <v>7533</v>
      </c>
      <c r="D5280" s="14" t="s">
        <v>7534</v>
      </c>
      <c r="E5280" s="12" t="s">
        <v>28</v>
      </c>
      <c r="F5280" s="13" t="s">
        <v>29</v>
      </c>
      <c r="G5280">
        <v>10</v>
      </c>
      <c r="H5280" t="s">
        <v>30</v>
      </c>
      <c r="I5280">
        <v>10</v>
      </c>
      <c r="J5280" s="15"/>
      <c r="K5280" s="16">
        <f>346.05 - (346.05 * $E$1)</f>
        <v>346.05</v>
      </c>
      <c r="L5280" s="16">
        <f>283.65 - (283.65 * $E$1)</f>
        <v>283.64999999999998</v>
      </c>
      <c r="M5280" s="1">
        <v>346.05</v>
      </c>
      <c r="N5280" s="1">
        <v>283.64999999999998</v>
      </c>
      <c r="O5280" s="1">
        <v>294.14999999999998</v>
      </c>
      <c r="P5280" s="1">
        <v>241.1</v>
      </c>
      <c r="Q5280">
        <v>1.2999999999999999E-2</v>
      </c>
      <c r="R5280">
        <v>2.4000000000000001E-5</v>
      </c>
    </row>
    <row r="5281" spans="1:18" ht="13.8" outlineLevel="2" x14ac:dyDescent="0.25">
      <c r="A5281">
        <v>85434</v>
      </c>
      <c r="B5281" t="s">
        <v>7532</v>
      </c>
      <c r="C5281" t="s">
        <v>7535</v>
      </c>
      <c r="D5281" s="14" t="s">
        <v>7534</v>
      </c>
      <c r="E5281" s="12" t="s">
        <v>28</v>
      </c>
      <c r="F5281" s="13" t="s">
        <v>29</v>
      </c>
      <c r="G5281">
        <v>10</v>
      </c>
      <c r="H5281" t="s">
        <v>30</v>
      </c>
      <c r="I5281">
        <v>10</v>
      </c>
      <c r="J5281" s="15"/>
      <c r="K5281" s="16">
        <f>529.08 - (529.08 * $E$1)</f>
        <v>529.08000000000004</v>
      </c>
      <c r="L5281" s="16">
        <f>433.67 - (433.67 * $E$1)</f>
        <v>433.67</v>
      </c>
      <c r="M5281" s="1">
        <v>529.08000000000004</v>
      </c>
      <c r="N5281" s="1">
        <v>433.67</v>
      </c>
      <c r="O5281" s="1">
        <v>449.72</v>
      </c>
      <c r="P5281" s="1">
        <v>368.62</v>
      </c>
      <c r="Q5281">
        <v>0.04</v>
      </c>
      <c r="R5281">
        <v>1.728E-4</v>
      </c>
    </row>
    <row r="5282" spans="1:18" ht="13.8" outlineLevel="2" x14ac:dyDescent="0.25">
      <c r="A5282">
        <v>88013</v>
      </c>
      <c r="B5282" t="s">
        <v>7532</v>
      </c>
      <c r="C5282" t="s">
        <v>7536</v>
      </c>
      <c r="D5282" s="14" t="s">
        <v>7534</v>
      </c>
      <c r="E5282" s="12" t="s">
        <v>28</v>
      </c>
      <c r="F5282" s="13" t="s">
        <v>29</v>
      </c>
      <c r="G5282">
        <v>10</v>
      </c>
      <c r="H5282" t="s">
        <v>30</v>
      </c>
      <c r="I5282">
        <v>10</v>
      </c>
      <c r="J5282" s="15"/>
      <c r="K5282" s="16">
        <f>617.53 - (617.53 * $E$1)</f>
        <v>617.53</v>
      </c>
      <c r="L5282" s="16">
        <f>506.17 - (506.17 * $E$1)</f>
        <v>506.17</v>
      </c>
      <c r="M5282" s="1">
        <v>617.53</v>
      </c>
      <c r="N5282" s="1">
        <v>506.17</v>
      </c>
      <c r="O5282" s="1">
        <v>524.9</v>
      </c>
      <c r="P5282" s="1">
        <v>430.24</v>
      </c>
      <c r="Q5282">
        <v>3.2000000000000001E-2</v>
      </c>
      <c r="R5282">
        <v>1.7600000000000001E-5</v>
      </c>
    </row>
    <row r="5283" spans="1:18" ht="13.8" outlineLevel="2" x14ac:dyDescent="0.25">
      <c r="A5283">
        <v>85435</v>
      </c>
      <c r="B5283" t="s">
        <v>7532</v>
      </c>
      <c r="C5283" t="s">
        <v>7537</v>
      </c>
      <c r="D5283" s="14" t="s">
        <v>7534</v>
      </c>
      <c r="E5283" s="12" t="s">
        <v>28</v>
      </c>
      <c r="F5283" s="13" t="s">
        <v>29</v>
      </c>
      <c r="G5283">
        <v>10</v>
      </c>
      <c r="H5283" t="s">
        <v>30</v>
      </c>
      <c r="I5283">
        <v>10</v>
      </c>
      <c r="J5283" s="15"/>
      <c r="K5283" s="16">
        <f>656.27 - (656.27 * $E$1)</f>
        <v>656.27</v>
      </c>
      <c r="L5283" s="16">
        <f>537.93 - (537.93 * $E$1)</f>
        <v>537.92999999999995</v>
      </c>
      <c r="M5283" s="1">
        <v>656.27</v>
      </c>
      <c r="N5283" s="1">
        <v>537.92999999999995</v>
      </c>
      <c r="O5283" s="1">
        <v>557.83000000000004</v>
      </c>
      <c r="P5283" s="1">
        <v>457.24</v>
      </c>
      <c r="Q5283">
        <v>2.8000000000000001E-2</v>
      </c>
      <c r="R5283">
        <v>2.97E-5</v>
      </c>
    </row>
    <row r="5284" spans="1:18" ht="13.8" outlineLevel="2" x14ac:dyDescent="0.25">
      <c r="A5284">
        <v>88015</v>
      </c>
      <c r="B5284" t="s">
        <v>7532</v>
      </c>
      <c r="C5284" t="s">
        <v>7538</v>
      </c>
      <c r="D5284" s="14" t="s">
        <v>7534</v>
      </c>
      <c r="E5284" s="12" t="s">
        <v>28</v>
      </c>
      <c r="F5284" s="13" t="s">
        <v>29</v>
      </c>
      <c r="G5284">
        <v>10</v>
      </c>
      <c r="H5284" t="s">
        <v>30</v>
      </c>
      <c r="I5284">
        <v>10</v>
      </c>
      <c r="J5284" s="15"/>
      <c r="K5284" s="16">
        <f>774.49 - (774.49 * $E$1)</f>
        <v>774.49</v>
      </c>
      <c r="L5284" s="16">
        <f>634.83 - (634.83 * $E$1)</f>
        <v>634.83000000000004</v>
      </c>
      <c r="M5284" s="1">
        <v>774.49</v>
      </c>
      <c r="N5284" s="1">
        <v>634.83000000000004</v>
      </c>
      <c r="O5284" s="1">
        <v>658.32</v>
      </c>
      <c r="P5284" s="1">
        <v>539.61</v>
      </c>
      <c r="Q5284">
        <v>4.1000000000000002E-2</v>
      </c>
      <c r="R5284">
        <v>3.3000000000000003E-5</v>
      </c>
    </row>
    <row r="5285" spans="1:18" ht="13.8" outlineLevel="2" x14ac:dyDescent="0.25">
      <c r="A5285">
        <v>85436</v>
      </c>
      <c r="B5285" t="s">
        <v>7532</v>
      </c>
      <c r="C5285" t="s">
        <v>7539</v>
      </c>
      <c r="D5285" s="14" t="s">
        <v>7534</v>
      </c>
      <c r="E5285" s="12" t="s">
        <v>28</v>
      </c>
      <c r="F5285" s="13" t="s">
        <v>29</v>
      </c>
      <c r="G5285">
        <v>10</v>
      </c>
      <c r="H5285" t="s">
        <v>30</v>
      </c>
      <c r="I5285">
        <v>10</v>
      </c>
      <c r="J5285" s="15"/>
      <c r="K5285" s="16">
        <f>1180.09 - (1180.09 * $E$1)</f>
        <v>1180.0899999999999</v>
      </c>
      <c r="L5285" s="16">
        <f>967.29 - (967.29 * $E$1)</f>
        <v>967.29</v>
      </c>
      <c r="M5285" s="1">
        <v>1180.0899999999999</v>
      </c>
      <c r="N5285" s="1">
        <v>967.29</v>
      </c>
      <c r="O5285" s="1">
        <v>1003.08</v>
      </c>
      <c r="P5285" s="1">
        <v>822.2</v>
      </c>
      <c r="Q5285">
        <v>4.2999999999999997E-2</v>
      </c>
      <c r="R5285">
        <v>3.6000000000000001E-5</v>
      </c>
    </row>
    <row r="5286" spans="1:18" ht="13.8" outlineLevel="2" x14ac:dyDescent="0.25">
      <c r="A5286">
        <v>85437</v>
      </c>
      <c r="B5286" t="s">
        <v>7532</v>
      </c>
      <c r="C5286" t="s">
        <v>7540</v>
      </c>
      <c r="D5286" s="14" t="s">
        <v>7534</v>
      </c>
      <c r="E5286" s="12" t="s">
        <v>28</v>
      </c>
      <c r="F5286" s="13" t="s">
        <v>29</v>
      </c>
      <c r="G5286">
        <v>4</v>
      </c>
      <c r="H5286" t="s">
        <v>30</v>
      </c>
      <c r="I5286">
        <v>4</v>
      </c>
      <c r="J5286" s="15"/>
      <c r="K5286" s="16">
        <f>1894.68 - (1894.68 * $E$1)</f>
        <v>1894.68</v>
      </c>
      <c r="L5286" s="16">
        <f>1553.02 - (1553.02 * $E$1)</f>
        <v>1553.02</v>
      </c>
      <c r="M5286" s="1">
        <v>1894.68</v>
      </c>
      <c r="N5286" s="1">
        <v>1553.02</v>
      </c>
      <c r="O5286" s="1">
        <v>1610.48</v>
      </c>
      <c r="P5286" s="1">
        <v>1320.07</v>
      </c>
      <c r="Q5286">
        <v>0.11</v>
      </c>
      <c r="R5286">
        <v>1.2E-4</v>
      </c>
    </row>
    <row r="5287" spans="1:18" ht="13.8" outlineLevel="2" x14ac:dyDescent="0.25">
      <c r="A5287">
        <v>85438</v>
      </c>
      <c r="B5287" t="s">
        <v>7532</v>
      </c>
      <c r="C5287" t="s">
        <v>7541</v>
      </c>
      <c r="D5287" s="14" t="s">
        <v>7534</v>
      </c>
      <c r="E5287" s="12" t="s">
        <v>28</v>
      </c>
      <c r="F5287" s="13" t="s">
        <v>29</v>
      </c>
      <c r="G5287">
        <v>4</v>
      </c>
      <c r="H5287" t="s">
        <v>30</v>
      </c>
      <c r="I5287">
        <v>4</v>
      </c>
      <c r="J5287" s="15"/>
      <c r="K5287" s="16">
        <f>2696.82 - (2696.82 * $E$1)</f>
        <v>2696.82</v>
      </c>
      <c r="L5287" s="16">
        <f>2210.51 - (2210.51 * $E$1)</f>
        <v>2210.5100000000002</v>
      </c>
      <c r="M5287" s="1">
        <v>2696.82</v>
      </c>
      <c r="N5287" s="1">
        <v>2210.5100000000002</v>
      </c>
      <c r="O5287" s="1">
        <v>2292.3000000000002</v>
      </c>
      <c r="P5287" s="1">
        <v>1878.93</v>
      </c>
      <c r="Q5287">
        <v>0.22750000000000001</v>
      </c>
      <c r="R5287">
        <v>1.5750000000000001E-4</v>
      </c>
    </row>
    <row r="5288" spans="1:18" ht="13.8" outlineLevel="2" x14ac:dyDescent="0.25">
      <c r="A5288">
        <v>85439</v>
      </c>
      <c r="B5288" t="s">
        <v>7532</v>
      </c>
      <c r="C5288" t="s">
        <v>7542</v>
      </c>
      <c r="D5288" s="14" t="s">
        <v>7534</v>
      </c>
      <c r="E5288" s="12" t="s">
        <v>28</v>
      </c>
      <c r="F5288" s="13" t="s">
        <v>29</v>
      </c>
      <c r="G5288">
        <v>4</v>
      </c>
      <c r="H5288" t="s">
        <v>30</v>
      </c>
      <c r="I5288">
        <v>4</v>
      </c>
      <c r="J5288" s="15"/>
      <c r="K5288" s="16">
        <f>4029.99 - (4029.99 * $E$1)</f>
        <v>4029.99</v>
      </c>
      <c r="L5288" s="16">
        <f>3303.27 - (3303.27 * $E$1)</f>
        <v>3303.27</v>
      </c>
      <c r="M5288" s="1">
        <v>4029.99</v>
      </c>
      <c r="N5288" s="1">
        <v>3303.27</v>
      </c>
      <c r="O5288" s="1">
        <v>3425.49</v>
      </c>
      <c r="P5288" s="1">
        <v>2807.78</v>
      </c>
      <c r="Q5288">
        <v>0.37</v>
      </c>
      <c r="R5288">
        <v>3.2400000000000001E-4</v>
      </c>
    </row>
    <row r="5289" spans="1:18" ht="13.8" outlineLevel="2" x14ac:dyDescent="0.25">
      <c r="A5289">
        <v>88020</v>
      </c>
      <c r="B5289" t="s">
        <v>7532</v>
      </c>
      <c r="C5289" t="s">
        <v>7543</v>
      </c>
      <c r="D5289" s="14" t="s">
        <v>7534</v>
      </c>
      <c r="E5289" s="12" t="s">
        <v>28</v>
      </c>
      <c r="F5289" s="13" t="s">
        <v>29</v>
      </c>
      <c r="G5289">
        <v>2</v>
      </c>
      <c r="H5289" t="s">
        <v>30</v>
      </c>
      <c r="I5289">
        <v>2</v>
      </c>
      <c r="J5289" s="15"/>
      <c r="K5289" s="16">
        <f>6687.49 - (6687.49 * $E$1)</f>
        <v>6687.49</v>
      </c>
      <c r="L5289" s="16">
        <f>5481.55 - (5481.55 * $E$1)</f>
        <v>5481.55</v>
      </c>
      <c r="M5289" s="1">
        <v>6687.49</v>
      </c>
      <c r="N5289" s="1">
        <v>5481.55</v>
      </c>
      <c r="O5289" s="1">
        <v>5684.37</v>
      </c>
      <c r="P5289" s="1">
        <v>4659.32</v>
      </c>
      <c r="Q5289">
        <v>0.45</v>
      </c>
      <c r="R5289">
        <v>2.275E-4</v>
      </c>
    </row>
    <row r="5290" spans="1:18" ht="13.8" outlineLevel="2" x14ac:dyDescent="0.25">
      <c r="A5290">
        <v>89025</v>
      </c>
      <c r="B5290" t="s">
        <v>7532</v>
      </c>
      <c r="C5290" t="s">
        <v>7544</v>
      </c>
      <c r="D5290" s="14" t="s">
        <v>7534</v>
      </c>
      <c r="E5290" s="12" t="s">
        <v>28</v>
      </c>
      <c r="F5290" s="13" t="s">
        <v>29</v>
      </c>
      <c r="G5290">
        <v>1</v>
      </c>
      <c r="H5290" t="s">
        <v>30</v>
      </c>
      <c r="I5290">
        <v>1</v>
      </c>
      <c r="J5290" s="15"/>
      <c r="K5290" s="16">
        <f>9049.3 - (9049.3 * $E$1)</f>
        <v>9049.2999999999993</v>
      </c>
      <c r="L5290" s="16">
        <f>7417.46 - (7417.46 * $E$1)</f>
        <v>7417.46</v>
      </c>
      <c r="M5290" s="1">
        <v>9049.2999999999993</v>
      </c>
      <c r="N5290" s="1">
        <v>7417.46</v>
      </c>
      <c r="O5290" s="1">
        <v>7691.91</v>
      </c>
      <c r="P5290" s="1">
        <v>6304.84</v>
      </c>
      <c r="Q5290">
        <v>0.61</v>
      </c>
      <c r="R5290">
        <v>5.1199999999999998E-4</v>
      </c>
    </row>
    <row r="5291" spans="1:18" ht="13.8" outlineLevel="2" x14ac:dyDescent="0.25">
      <c r="A5291">
        <v>89026</v>
      </c>
      <c r="B5291" t="s">
        <v>7532</v>
      </c>
      <c r="C5291" t="s">
        <v>7545</v>
      </c>
      <c r="D5291" s="14" t="s">
        <v>7534</v>
      </c>
      <c r="E5291" s="12" t="s">
        <v>28</v>
      </c>
      <c r="F5291" s="13" t="s">
        <v>29</v>
      </c>
      <c r="G5291">
        <v>1</v>
      </c>
      <c r="H5291" t="s">
        <v>30</v>
      </c>
      <c r="I5291">
        <v>1</v>
      </c>
      <c r="J5291" s="15"/>
      <c r="K5291" s="16">
        <f>9897.68 - (9897.68 * $E$1)</f>
        <v>9897.68</v>
      </c>
      <c r="L5291" s="16">
        <f>8112.85 - (8112.85 * $E$1)</f>
        <v>8112.85</v>
      </c>
      <c r="M5291" s="1">
        <v>9897.68</v>
      </c>
      <c r="N5291" s="1">
        <v>8112.85</v>
      </c>
      <c r="O5291" s="1">
        <v>8413.0300000000007</v>
      </c>
      <c r="P5291" s="1">
        <v>6895.92</v>
      </c>
      <c r="Q5291">
        <v>0.65</v>
      </c>
      <c r="R5291">
        <v>5.1199999999999998E-4</v>
      </c>
    </row>
    <row r="5292" spans="1:18" ht="13.8" outlineLevel="2" x14ac:dyDescent="0.25">
      <c r="A5292">
        <v>89027</v>
      </c>
      <c r="B5292" t="s">
        <v>7532</v>
      </c>
      <c r="C5292" t="s">
        <v>7546</v>
      </c>
      <c r="D5292" s="14" t="s">
        <v>7534</v>
      </c>
      <c r="E5292" s="12" t="s">
        <v>28</v>
      </c>
      <c r="F5292" s="13" t="s">
        <v>29</v>
      </c>
      <c r="G5292">
        <v>1</v>
      </c>
      <c r="H5292" t="s">
        <v>30</v>
      </c>
      <c r="I5292">
        <v>1</v>
      </c>
      <c r="J5292" s="15"/>
      <c r="K5292" s="16">
        <f>12160 - (12160 * $E$1)</f>
        <v>12160</v>
      </c>
      <c r="L5292" s="16">
        <f>9967.21 - (9967.21 * $E$1)</f>
        <v>9967.2099999999991</v>
      </c>
      <c r="M5292" s="1">
        <v>12160</v>
      </c>
      <c r="N5292" s="1">
        <v>9967.2099999999991</v>
      </c>
      <c r="O5292" s="1">
        <v>10336</v>
      </c>
      <c r="P5292" s="1">
        <v>8472.1299999999992</v>
      </c>
      <c r="Q5292">
        <v>0.81</v>
      </c>
      <c r="R5292">
        <v>1E-3</v>
      </c>
    </row>
    <row r="5293" spans="1:18" ht="13.8" outlineLevel="2" x14ac:dyDescent="0.25">
      <c r="A5293">
        <v>89028</v>
      </c>
      <c r="B5293" t="s">
        <v>7532</v>
      </c>
      <c r="C5293" t="s">
        <v>7547</v>
      </c>
      <c r="D5293" s="14" t="s">
        <v>7534</v>
      </c>
      <c r="E5293" s="12" t="s">
        <v>28</v>
      </c>
      <c r="F5293" s="13" t="s">
        <v>29</v>
      </c>
      <c r="G5293">
        <v>1</v>
      </c>
      <c r="H5293" t="s">
        <v>30</v>
      </c>
      <c r="I5293">
        <v>1</v>
      </c>
      <c r="J5293" s="15"/>
      <c r="K5293" s="16">
        <f>14328.05 - (14328.05 * $E$1)</f>
        <v>14328.05</v>
      </c>
      <c r="L5293" s="16">
        <f>11744.3 - (11744.3 * $E$1)</f>
        <v>11744.3</v>
      </c>
      <c r="M5293" s="1">
        <v>14328.05</v>
      </c>
      <c r="N5293" s="1">
        <v>11744.3</v>
      </c>
      <c r="O5293" s="1">
        <v>12178.84</v>
      </c>
      <c r="P5293" s="1">
        <v>9982.66</v>
      </c>
      <c r="Q5293">
        <v>1.1000000000000001</v>
      </c>
      <c r="R5293">
        <v>1E-3</v>
      </c>
    </row>
    <row r="5294" spans="1:18" ht="13.8" outlineLevel="2" x14ac:dyDescent="0.25">
      <c r="A5294">
        <v>87971</v>
      </c>
      <c r="B5294" t="s">
        <v>7548</v>
      </c>
      <c r="C5294" t="s">
        <v>7549</v>
      </c>
      <c r="D5294" s="14" t="s">
        <v>7550</v>
      </c>
      <c r="E5294" s="12" t="s">
        <v>28</v>
      </c>
      <c r="F5294" s="13" t="s">
        <v>29</v>
      </c>
      <c r="G5294">
        <v>10</v>
      </c>
      <c r="H5294" t="s">
        <v>30</v>
      </c>
      <c r="I5294">
        <v>10</v>
      </c>
      <c r="J5294" s="15"/>
      <c r="K5294" s="16">
        <f>94.98 - (94.98 * $E$1)</f>
        <v>94.98</v>
      </c>
      <c r="L5294" s="16">
        <f>77.85 - (77.85 * $E$1)</f>
        <v>77.849999999999994</v>
      </c>
      <c r="M5294" s="1">
        <v>94.98</v>
      </c>
      <c r="N5294" s="1">
        <v>77.849999999999994</v>
      </c>
      <c r="O5294" s="1">
        <v>80.73</v>
      </c>
      <c r="P5294" s="1">
        <v>66.17</v>
      </c>
      <c r="Q5294">
        <v>1.0999999999999999E-2</v>
      </c>
      <c r="R5294">
        <v>1.08E-5</v>
      </c>
    </row>
    <row r="5295" spans="1:18" ht="13.8" outlineLevel="2" x14ac:dyDescent="0.25">
      <c r="A5295">
        <v>87972</v>
      </c>
      <c r="B5295" t="s">
        <v>7548</v>
      </c>
      <c r="C5295" t="s">
        <v>7551</v>
      </c>
      <c r="D5295" s="14" t="s">
        <v>7550</v>
      </c>
      <c r="E5295" s="12" t="s">
        <v>28</v>
      </c>
      <c r="F5295" s="13" t="s">
        <v>29</v>
      </c>
      <c r="G5295">
        <v>10</v>
      </c>
      <c r="H5295" t="s">
        <v>30</v>
      </c>
      <c r="I5295">
        <v>10</v>
      </c>
      <c r="J5295" s="15"/>
      <c r="K5295" s="16">
        <f>95.2 - (95.2 * $E$1)</f>
        <v>95.2</v>
      </c>
      <c r="L5295" s="16">
        <f>78.03 - (78.03 * $E$1)</f>
        <v>78.03</v>
      </c>
      <c r="M5295" s="1">
        <v>95.2</v>
      </c>
      <c r="N5295" s="1">
        <v>78.03</v>
      </c>
      <c r="O5295" s="1">
        <v>80.92</v>
      </c>
      <c r="P5295" s="1">
        <v>66.33</v>
      </c>
      <c r="Q5295">
        <v>1.2999999999999999E-2</v>
      </c>
      <c r="R5295">
        <v>2.16E-5</v>
      </c>
    </row>
    <row r="5296" spans="1:18" ht="13.8" outlineLevel="2" x14ac:dyDescent="0.25">
      <c r="A5296">
        <v>80064</v>
      </c>
      <c r="B5296" t="s">
        <v>7548</v>
      </c>
      <c r="C5296" t="s">
        <v>7552</v>
      </c>
      <c r="D5296" s="14" t="s">
        <v>7550</v>
      </c>
      <c r="E5296" s="12" t="s">
        <v>28</v>
      </c>
      <c r="F5296" s="13" t="s">
        <v>29</v>
      </c>
      <c r="G5296">
        <v>10</v>
      </c>
      <c r="H5296" t="s">
        <v>30</v>
      </c>
      <c r="I5296">
        <v>10</v>
      </c>
      <c r="J5296" s="15"/>
      <c r="K5296" s="16">
        <f>95.2 - (95.2 * $E$1)</f>
        <v>95.2</v>
      </c>
      <c r="L5296" s="16">
        <f>78.03 - (78.03 * $E$1)</f>
        <v>78.03</v>
      </c>
      <c r="M5296" s="1">
        <v>95.2</v>
      </c>
      <c r="N5296" s="1">
        <v>78.03</v>
      </c>
      <c r="O5296" s="1">
        <v>80.92</v>
      </c>
      <c r="P5296" s="1">
        <v>66.33</v>
      </c>
      <c r="Q5296">
        <v>1.26E-2</v>
      </c>
      <c r="R5296">
        <v>2.4000000000000001E-5</v>
      </c>
    </row>
    <row r="5297" spans="1:18" ht="13.8" outlineLevel="2" x14ac:dyDescent="0.25">
      <c r="A5297">
        <v>88157</v>
      </c>
      <c r="B5297" t="s">
        <v>7548</v>
      </c>
      <c r="C5297" t="s">
        <v>7553</v>
      </c>
      <c r="D5297" s="14" t="s">
        <v>7550</v>
      </c>
      <c r="E5297" s="12" t="s">
        <v>28</v>
      </c>
      <c r="F5297" s="13" t="s">
        <v>29</v>
      </c>
      <c r="G5297">
        <v>10</v>
      </c>
      <c r="H5297" t="s">
        <v>30</v>
      </c>
      <c r="I5297">
        <v>10</v>
      </c>
      <c r="J5297" s="15"/>
      <c r="K5297" s="16">
        <f>137.1 - (137.1 * $E$1)</f>
        <v>137.1</v>
      </c>
      <c r="L5297" s="16">
        <f>112.38 - (112.38 * $E$1)</f>
        <v>112.38</v>
      </c>
      <c r="M5297" s="1">
        <v>137.1</v>
      </c>
      <c r="N5297" s="1">
        <v>112.38</v>
      </c>
      <c r="O5297" s="1">
        <v>116.54</v>
      </c>
      <c r="P5297" s="1">
        <v>95.52</v>
      </c>
      <c r="Q5297">
        <v>1.7999999999999999E-2</v>
      </c>
      <c r="R5297">
        <v>4.32E-5</v>
      </c>
    </row>
    <row r="5298" spans="1:18" ht="13.8" outlineLevel="2" x14ac:dyDescent="0.25">
      <c r="A5298">
        <v>68116</v>
      </c>
      <c r="B5298" t="s">
        <v>7548</v>
      </c>
      <c r="C5298" t="s">
        <v>7554</v>
      </c>
      <c r="D5298" s="14" t="s">
        <v>7550</v>
      </c>
      <c r="E5298" s="12" t="s">
        <v>28</v>
      </c>
      <c r="F5298" s="13" t="s">
        <v>29</v>
      </c>
      <c r="G5298">
        <v>10</v>
      </c>
      <c r="H5298" t="s">
        <v>30</v>
      </c>
      <c r="I5298">
        <v>10</v>
      </c>
      <c r="J5298" s="15"/>
      <c r="K5298" s="16">
        <f>136.62 - (136.62 * $E$1)</f>
        <v>136.62</v>
      </c>
      <c r="L5298" s="16">
        <f>111.98 - (111.98 * $E$1)</f>
        <v>111.98</v>
      </c>
      <c r="M5298" s="1">
        <v>136.62</v>
      </c>
      <c r="N5298" s="1">
        <v>111.98</v>
      </c>
      <c r="O5298" s="1">
        <v>116.12</v>
      </c>
      <c r="P5298" s="1">
        <v>95.18</v>
      </c>
      <c r="Q5298">
        <v>1.9E-2</v>
      </c>
      <c r="R5298">
        <v>2.16E-5</v>
      </c>
    </row>
    <row r="5299" spans="1:18" ht="13.8" outlineLevel="2" x14ac:dyDescent="0.25">
      <c r="A5299">
        <v>87976</v>
      </c>
      <c r="B5299" t="s">
        <v>7548</v>
      </c>
      <c r="C5299" t="s">
        <v>7555</v>
      </c>
      <c r="D5299" s="14" t="s">
        <v>7550</v>
      </c>
      <c r="E5299" s="12" t="s">
        <v>28</v>
      </c>
      <c r="F5299" s="13" t="s">
        <v>29</v>
      </c>
      <c r="G5299">
        <v>10</v>
      </c>
      <c r="H5299" t="s">
        <v>30</v>
      </c>
      <c r="I5299">
        <v>10</v>
      </c>
      <c r="J5299" s="15"/>
      <c r="K5299" s="16">
        <f>160.23 - (160.23 * $E$1)</f>
        <v>160.22999999999999</v>
      </c>
      <c r="L5299" s="16">
        <f>131.34 - (131.34 * $E$1)</f>
        <v>131.34</v>
      </c>
      <c r="M5299" s="1">
        <v>160.22999999999999</v>
      </c>
      <c r="N5299" s="1">
        <v>131.34</v>
      </c>
      <c r="O5299" s="1">
        <v>136.19999999999999</v>
      </c>
      <c r="P5299" s="1">
        <v>111.64</v>
      </c>
      <c r="Q5299">
        <v>2.5000000000000001E-2</v>
      </c>
      <c r="R5299">
        <v>1.5999999999999999E-5</v>
      </c>
    </row>
    <row r="5300" spans="1:18" ht="13.8" outlineLevel="2" x14ac:dyDescent="0.25">
      <c r="A5300">
        <v>68117</v>
      </c>
      <c r="B5300" t="s">
        <v>7548</v>
      </c>
      <c r="C5300" t="s">
        <v>7556</v>
      </c>
      <c r="D5300" s="14" t="s">
        <v>7550</v>
      </c>
      <c r="E5300" s="12" t="s">
        <v>28</v>
      </c>
      <c r="F5300" s="13" t="s">
        <v>29</v>
      </c>
      <c r="G5300">
        <v>10</v>
      </c>
      <c r="H5300" t="s">
        <v>30</v>
      </c>
      <c r="I5300">
        <v>10</v>
      </c>
      <c r="J5300" s="15"/>
      <c r="K5300" s="16">
        <f>194.9 - (194.9 * $E$1)</f>
        <v>194.9</v>
      </c>
      <c r="L5300" s="16">
        <f>159.75 - (159.75 * $E$1)</f>
        <v>159.75</v>
      </c>
      <c r="M5300" s="1">
        <v>194.9</v>
      </c>
      <c r="N5300" s="1">
        <v>159.75</v>
      </c>
      <c r="O5300" s="1">
        <v>165.66</v>
      </c>
      <c r="P5300" s="1">
        <v>135.79</v>
      </c>
      <c r="Q5300">
        <v>2.8199999999999999E-2</v>
      </c>
      <c r="R5300">
        <v>2.97E-5</v>
      </c>
    </row>
    <row r="5301" spans="1:18" ht="13.8" outlineLevel="2" x14ac:dyDescent="0.25">
      <c r="A5301">
        <v>87978</v>
      </c>
      <c r="B5301" t="s">
        <v>7548</v>
      </c>
      <c r="C5301" t="s">
        <v>7557</v>
      </c>
      <c r="D5301" s="14" t="s">
        <v>7550</v>
      </c>
      <c r="E5301" s="12" t="s">
        <v>28</v>
      </c>
      <c r="F5301" s="13" t="s">
        <v>29</v>
      </c>
      <c r="G5301">
        <v>10</v>
      </c>
      <c r="H5301" t="s">
        <v>30</v>
      </c>
      <c r="I5301">
        <v>10</v>
      </c>
      <c r="J5301" s="15"/>
      <c r="K5301" s="16">
        <f>222.2 - (222.2 * $E$1)</f>
        <v>222.2</v>
      </c>
      <c r="L5301" s="16">
        <f>182.13 - (182.13 * $E$1)</f>
        <v>182.13</v>
      </c>
      <c r="M5301" s="1">
        <v>222.2</v>
      </c>
      <c r="N5301" s="1">
        <v>182.13</v>
      </c>
      <c r="O5301" s="1">
        <v>188.87</v>
      </c>
      <c r="P5301" s="1">
        <v>154.81</v>
      </c>
      <c r="Q5301">
        <v>3.5000000000000003E-2</v>
      </c>
      <c r="R5301">
        <v>3.6000000000000001E-5</v>
      </c>
    </row>
    <row r="5302" spans="1:18" ht="13.8" outlineLevel="2" x14ac:dyDescent="0.25">
      <c r="A5302">
        <v>87979</v>
      </c>
      <c r="B5302" t="s">
        <v>7548</v>
      </c>
      <c r="C5302" t="s">
        <v>7558</v>
      </c>
      <c r="D5302" s="14" t="s">
        <v>7550</v>
      </c>
      <c r="E5302" s="12" t="s">
        <v>28</v>
      </c>
      <c r="F5302" s="13" t="s">
        <v>29</v>
      </c>
      <c r="G5302">
        <v>10</v>
      </c>
      <c r="H5302" t="s">
        <v>30</v>
      </c>
      <c r="I5302">
        <v>10</v>
      </c>
      <c r="J5302" s="15"/>
      <c r="K5302" s="16">
        <f>222.32 - (222.32 * $E$1)</f>
        <v>222.32</v>
      </c>
      <c r="L5302" s="16">
        <f>182.23 - (182.23 * $E$1)</f>
        <v>182.23</v>
      </c>
      <c r="M5302" s="1">
        <v>222.32</v>
      </c>
      <c r="N5302" s="1">
        <v>182.23</v>
      </c>
      <c r="O5302" s="1">
        <v>188.97</v>
      </c>
      <c r="P5302" s="1">
        <v>154.9</v>
      </c>
      <c r="Q5302">
        <v>3.3000000000000002E-2</v>
      </c>
      <c r="R5302">
        <v>1.8E-5</v>
      </c>
    </row>
    <row r="5303" spans="1:18" ht="13.8" outlineLevel="2" x14ac:dyDescent="0.25">
      <c r="A5303">
        <v>68118</v>
      </c>
      <c r="B5303" t="s">
        <v>7548</v>
      </c>
      <c r="C5303" t="s">
        <v>7559</v>
      </c>
      <c r="D5303" s="14" t="s">
        <v>7550</v>
      </c>
      <c r="E5303" s="12" t="s">
        <v>28</v>
      </c>
      <c r="F5303" s="13" t="s">
        <v>29</v>
      </c>
      <c r="G5303">
        <v>10</v>
      </c>
      <c r="H5303" t="s">
        <v>30</v>
      </c>
      <c r="I5303">
        <v>10</v>
      </c>
      <c r="J5303" s="15"/>
      <c r="K5303" s="16">
        <f>282.39 - (282.39 * $E$1)</f>
        <v>282.39</v>
      </c>
      <c r="L5303" s="16">
        <f>231.47 - (231.47 * $E$1)</f>
        <v>231.47</v>
      </c>
      <c r="M5303" s="1">
        <v>282.39</v>
      </c>
      <c r="N5303" s="1">
        <v>231.47</v>
      </c>
      <c r="O5303" s="1">
        <v>240.03</v>
      </c>
      <c r="P5303" s="1">
        <v>196.75</v>
      </c>
      <c r="Q5303">
        <v>4.3400000000000001E-2</v>
      </c>
      <c r="R5303">
        <v>3.6000000000000001E-5</v>
      </c>
    </row>
    <row r="5304" spans="1:18" ht="13.8" outlineLevel="2" x14ac:dyDescent="0.25">
      <c r="A5304">
        <v>87980</v>
      </c>
      <c r="B5304" t="s">
        <v>7548</v>
      </c>
      <c r="C5304" t="s">
        <v>7560</v>
      </c>
      <c r="D5304" s="14" t="s">
        <v>7550</v>
      </c>
      <c r="E5304" s="12" t="s">
        <v>28</v>
      </c>
      <c r="F5304" s="13" t="s">
        <v>29</v>
      </c>
      <c r="G5304">
        <v>10</v>
      </c>
      <c r="H5304" t="s">
        <v>30</v>
      </c>
      <c r="I5304">
        <v>10</v>
      </c>
      <c r="J5304" s="15"/>
      <c r="K5304" s="16">
        <f>331.52 - (331.52 * $E$1)</f>
        <v>331.52</v>
      </c>
      <c r="L5304" s="16">
        <f>271.74 - (271.74 * $E$1)</f>
        <v>271.74</v>
      </c>
      <c r="M5304" s="1">
        <v>331.52</v>
      </c>
      <c r="N5304" s="1">
        <v>271.74</v>
      </c>
      <c r="O5304" s="1">
        <v>281.79000000000002</v>
      </c>
      <c r="P5304" s="1">
        <v>230.98</v>
      </c>
      <c r="Q5304">
        <v>0.04</v>
      </c>
      <c r="R5304">
        <v>5.0099999999999998E-5</v>
      </c>
    </row>
    <row r="5305" spans="1:18" ht="13.8" outlineLevel="2" x14ac:dyDescent="0.25">
      <c r="A5305">
        <v>87982</v>
      </c>
      <c r="B5305" t="s">
        <v>7548</v>
      </c>
      <c r="C5305" t="s">
        <v>7561</v>
      </c>
      <c r="D5305" s="14" t="s">
        <v>7550</v>
      </c>
      <c r="E5305" s="12" t="s">
        <v>28</v>
      </c>
      <c r="F5305" s="13" t="s">
        <v>29</v>
      </c>
      <c r="G5305">
        <v>6</v>
      </c>
      <c r="H5305" t="s">
        <v>30</v>
      </c>
      <c r="I5305">
        <v>6</v>
      </c>
      <c r="J5305" s="15"/>
      <c r="K5305" s="16">
        <f>343.71 - (343.71 * $E$1)</f>
        <v>343.71</v>
      </c>
      <c r="L5305" s="16">
        <f>281.73 - (281.73 * $E$1)</f>
        <v>281.73</v>
      </c>
      <c r="M5305" s="1">
        <v>343.71</v>
      </c>
      <c r="N5305" s="1">
        <v>281.73</v>
      </c>
      <c r="O5305" s="1">
        <v>292.14999999999998</v>
      </c>
      <c r="P5305" s="1">
        <v>239.47</v>
      </c>
      <c r="Q5305">
        <v>4.8333333333332999E-2</v>
      </c>
      <c r="R5305">
        <v>6.3E-5</v>
      </c>
    </row>
    <row r="5306" spans="1:18" ht="13.8" outlineLevel="2" x14ac:dyDescent="0.25">
      <c r="A5306">
        <v>87983</v>
      </c>
      <c r="B5306" t="s">
        <v>7548</v>
      </c>
      <c r="C5306" t="s">
        <v>7562</v>
      </c>
      <c r="D5306" s="14" t="s">
        <v>7550</v>
      </c>
      <c r="E5306" s="12" t="s">
        <v>28</v>
      </c>
      <c r="F5306" s="13" t="s">
        <v>29</v>
      </c>
      <c r="G5306">
        <v>6</v>
      </c>
      <c r="H5306" t="s">
        <v>30</v>
      </c>
      <c r="I5306">
        <v>6</v>
      </c>
      <c r="J5306" s="15"/>
      <c r="K5306" s="16">
        <f>472.62 - (472.62 * $E$1)</f>
        <v>472.62</v>
      </c>
      <c r="L5306" s="16">
        <f>387.39 - (387.39 * $E$1)</f>
        <v>387.39</v>
      </c>
      <c r="M5306" s="1">
        <v>472.62</v>
      </c>
      <c r="N5306" s="1">
        <v>387.39</v>
      </c>
      <c r="O5306" s="1">
        <v>401.72</v>
      </c>
      <c r="P5306" s="1">
        <v>329.28</v>
      </c>
      <c r="Q5306">
        <v>6.8333333333332996E-2</v>
      </c>
      <c r="R5306">
        <v>5.1333333333333E-5</v>
      </c>
    </row>
    <row r="5307" spans="1:18" ht="13.8" outlineLevel="2" x14ac:dyDescent="0.25">
      <c r="A5307">
        <v>68119</v>
      </c>
      <c r="B5307" t="s">
        <v>7548</v>
      </c>
      <c r="C5307" t="s">
        <v>7563</v>
      </c>
      <c r="D5307" s="14" t="s">
        <v>7550</v>
      </c>
      <c r="E5307" s="12" t="s">
        <v>28</v>
      </c>
      <c r="F5307" s="13" t="s">
        <v>29</v>
      </c>
      <c r="G5307">
        <v>6</v>
      </c>
      <c r="H5307" t="s">
        <v>30</v>
      </c>
      <c r="I5307">
        <v>6</v>
      </c>
      <c r="J5307" s="15"/>
      <c r="K5307" s="16">
        <f>490.75 - (490.75 * $E$1)</f>
        <v>490.75</v>
      </c>
      <c r="L5307" s="16">
        <f>402.25 - (402.25 * $E$1)</f>
        <v>402.25</v>
      </c>
      <c r="M5307" s="1">
        <v>490.75</v>
      </c>
      <c r="N5307" s="1">
        <v>402.25</v>
      </c>
      <c r="O5307" s="1">
        <v>417.13</v>
      </c>
      <c r="P5307" s="1">
        <v>341.91</v>
      </c>
      <c r="Q5307">
        <v>7.3999999999999996E-2</v>
      </c>
      <c r="R5307">
        <v>8.0000000000000007E-5</v>
      </c>
    </row>
    <row r="5308" spans="1:18" ht="13.8" outlineLevel="2" x14ac:dyDescent="0.25">
      <c r="A5308">
        <v>87985</v>
      </c>
      <c r="B5308" t="s">
        <v>7548</v>
      </c>
      <c r="C5308" t="s">
        <v>7564</v>
      </c>
      <c r="D5308" s="14" t="s">
        <v>7550</v>
      </c>
      <c r="E5308" s="12" t="s">
        <v>28</v>
      </c>
      <c r="F5308" s="13" t="s">
        <v>29</v>
      </c>
      <c r="G5308">
        <v>6</v>
      </c>
      <c r="H5308" t="s">
        <v>30</v>
      </c>
      <c r="I5308">
        <v>6</v>
      </c>
      <c r="J5308" s="15"/>
      <c r="K5308" s="16">
        <f>627.25 - (627.25 * $E$1)</f>
        <v>627.25</v>
      </c>
      <c r="L5308" s="16">
        <f>514.14 - (514.14 * $E$1)</f>
        <v>514.14</v>
      </c>
      <c r="M5308" s="1">
        <v>627.25</v>
      </c>
      <c r="N5308" s="1">
        <v>514.14</v>
      </c>
      <c r="O5308" s="1">
        <v>533.16</v>
      </c>
      <c r="P5308" s="1">
        <v>437.02</v>
      </c>
      <c r="Q5308">
        <v>0.11166666666666999</v>
      </c>
      <c r="R5308">
        <v>7.7999999999999999E-5</v>
      </c>
    </row>
    <row r="5309" spans="1:18" ht="13.8" outlineLevel="2" x14ac:dyDescent="0.25">
      <c r="A5309">
        <v>87986</v>
      </c>
      <c r="B5309" t="s">
        <v>7548</v>
      </c>
      <c r="C5309" t="s">
        <v>7565</v>
      </c>
      <c r="D5309" s="14" t="s">
        <v>7550</v>
      </c>
      <c r="E5309" s="12" t="s">
        <v>28</v>
      </c>
      <c r="F5309" s="13" t="s">
        <v>29</v>
      </c>
      <c r="G5309">
        <v>6</v>
      </c>
      <c r="H5309" t="s">
        <v>30</v>
      </c>
      <c r="I5309">
        <v>6</v>
      </c>
      <c r="J5309" s="15"/>
      <c r="K5309" s="16">
        <f>627.25 - (627.25 * $E$1)</f>
        <v>627.25</v>
      </c>
      <c r="L5309" s="16">
        <f>514.14 - (514.14 * $E$1)</f>
        <v>514.14</v>
      </c>
      <c r="M5309" s="1">
        <v>627.25</v>
      </c>
      <c r="N5309" s="1">
        <v>514.14</v>
      </c>
      <c r="O5309" s="1">
        <v>533.16</v>
      </c>
      <c r="P5309" s="1">
        <v>437.02</v>
      </c>
      <c r="Q5309">
        <v>0.11166666666666999</v>
      </c>
      <c r="R5309">
        <v>6.3999999999999997E-5</v>
      </c>
    </row>
    <row r="5310" spans="1:18" ht="13.8" outlineLevel="2" x14ac:dyDescent="0.25">
      <c r="A5310">
        <v>68120</v>
      </c>
      <c r="B5310" t="s">
        <v>7548</v>
      </c>
      <c r="C5310" t="s">
        <v>7566</v>
      </c>
      <c r="D5310" s="14" t="s">
        <v>7550</v>
      </c>
      <c r="E5310" s="12" t="s">
        <v>28</v>
      </c>
      <c r="F5310" s="13" t="s">
        <v>29</v>
      </c>
      <c r="G5310">
        <v>6</v>
      </c>
      <c r="H5310" t="s">
        <v>30</v>
      </c>
      <c r="I5310">
        <v>6</v>
      </c>
      <c r="J5310" s="15"/>
      <c r="K5310" s="16">
        <f>821.22 - (821.22 * $E$1)</f>
        <v>821.22</v>
      </c>
      <c r="L5310" s="16">
        <f>673.13 - (673.13 * $E$1)</f>
        <v>673.13</v>
      </c>
      <c r="M5310" s="1">
        <v>821.22</v>
      </c>
      <c r="N5310" s="1">
        <v>673.13</v>
      </c>
      <c r="O5310" s="1">
        <v>698.04</v>
      </c>
      <c r="P5310" s="1">
        <v>572.16</v>
      </c>
      <c r="Q5310">
        <v>0.15166666666667</v>
      </c>
      <c r="R5310">
        <v>1.05E-4</v>
      </c>
    </row>
    <row r="5311" spans="1:18" ht="13.8" outlineLevel="2" x14ac:dyDescent="0.25">
      <c r="A5311">
        <v>88613</v>
      </c>
      <c r="B5311" t="s">
        <v>7548</v>
      </c>
      <c r="C5311" t="s">
        <v>7567</v>
      </c>
      <c r="D5311" s="14" t="s">
        <v>7550</v>
      </c>
      <c r="E5311" s="12" t="s">
        <v>28</v>
      </c>
      <c r="F5311" s="13" t="s">
        <v>29</v>
      </c>
      <c r="G5311">
        <v>6</v>
      </c>
      <c r="H5311" t="s">
        <v>30</v>
      </c>
      <c r="I5311">
        <v>6</v>
      </c>
      <c r="J5311" s="15"/>
      <c r="K5311" s="16">
        <f>908.31 - (908.31 * $E$1)</f>
        <v>908.31</v>
      </c>
      <c r="L5311" s="16">
        <f>744.52 - (744.52 * $E$1)</f>
        <v>744.52</v>
      </c>
      <c r="M5311" s="1">
        <v>908.31</v>
      </c>
      <c r="N5311" s="1">
        <v>744.52</v>
      </c>
      <c r="O5311" s="1">
        <v>772.07</v>
      </c>
      <c r="P5311" s="1">
        <v>632.84</v>
      </c>
      <c r="Q5311">
        <v>0.14000000000000001</v>
      </c>
      <c r="R5311">
        <v>1.05E-4</v>
      </c>
    </row>
    <row r="5312" spans="1:18" ht="13.8" outlineLevel="2" x14ac:dyDescent="0.25">
      <c r="A5312">
        <v>87988</v>
      </c>
      <c r="B5312" t="s">
        <v>7548</v>
      </c>
      <c r="C5312" t="s">
        <v>7568</v>
      </c>
      <c r="D5312" s="14" t="s">
        <v>7550</v>
      </c>
      <c r="E5312" s="12" t="s">
        <v>28</v>
      </c>
      <c r="F5312" s="13" t="s">
        <v>29</v>
      </c>
      <c r="G5312">
        <v>6</v>
      </c>
      <c r="H5312" t="s">
        <v>30</v>
      </c>
      <c r="I5312">
        <v>6</v>
      </c>
      <c r="J5312" s="15"/>
      <c r="K5312" s="16">
        <f>1447.7 - (1447.7 * $E$1)</f>
        <v>1447.7</v>
      </c>
      <c r="L5312" s="16">
        <f>1186.64 - (1186.64 * $E$1)</f>
        <v>1186.6400000000001</v>
      </c>
      <c r="M5312" s="1">
        <v>1447.7</v>
      </c>
      <c r="N5312" s="1">
        <v>1186.6400000000001</v>
      </c>
      <c r="O5312" s="1">
        <v>1230.55</v>
      </c>
      <c r="P5312" s="1">
        <v>1008.64</v>
      </c>
      <c r="Q5312">
        <v>0.17</v>
      </c>
      <c r="R5312">
        <v>1.3333333333333001E-4</v>
      </c>
    </row>
    <row r="5313" spans="1:18" ht="13.8" outlineLevel="2" x14ac:dyDescent="0.25">
      <c r="A5313">
        <v>68121</v>
      </c>
      <c r="B5313" t="s">
        <v>7548</v>
      </c>
      <c r="C5313" t="s">
        <v>7569</v>
      </c>
      <c r="D5313" s="14" t="s">
        <v>7550</v>
      </c>
      <c r="E5313" s="12" t="s">
        <v>28</v>
      </c>
      <c r="F5313" s="13" t="s">
        <v>29</v>
      </c>
      <c r="G5313">
        <v>6</v>
      </c>
      <c r="H5313" t="s">
        <v>30</v>
      </c>
      <c r="I5313">
        <v>6</v>
      </c>
      <c r="J5313" s="15"/>
      <c r="K5313" s="16">
        <f>1499.2 - (1499.2 * $E$1)</f>
        <v>1499.2</v>
      </c>
      <c r="L5313" s="16">
        <f>1228.85 - (1228.85 * $E$1)</f>
        <v>1228.8499999999999</v>
      </c>
      <c r="M5313" s="1">
        <v>1499.2</v>
      </c>
      <c r="N5313" s="1">
        <v>1228.8499999999999</v>
      </c>
      <c r="O5313" s="1">
        <v>1274.32</v>
      </c>
      <c r="P5313" s="1">
        <v>1044.52</v>
      </c>
      <c r="Q5313">
        <v>0.21733333333332999</v>
      </c>
      <c r="R5313">
        <v>3.1E-4</v>
      </c>
    </row>
    <row r="5314" spans="1:18" ht="13.8" outlineLevel="2" x14ac:dyDescent="0.25">
      <c r="A5314">
        <v>87990</v>
      </c>
      <c r="B5314" t="s">
        <v>7548</v>
      </c>
      <c r="C5314" t="s">
        <v>7570</v>
      </c>
      <c r="D5314" s="14" t="s">
        <v>7550</v>
      </c>
      <c r="E5314" s="12" t="s">
        <v>28</v>
      </c>
      <c r="F5314" s="13" t="s">
        <v>29</v>
      </c>
      <c r="G5314">
        <v>6</v>
      </c>
      <c r="H5314" t="s">
        <v>30</v>
      </c>
      <c r="I5314">
        <v>6</v>
      </c>
      <c r="J5314" s="15"/>
      <c r="K5314" s="16">
        <f>1735.02 - (1735.02 * $E$1)</f>
        <v>1735.02</v>
      </c>
      <c r="L5314" s="16">
        <f>1422.15 - (1422.15 * $E$1)</f>
        <v>1422.15</v>
      </c>
      <c r="M5314" s="1">
        <v>1735.02</v>
      </c>
      <c r="N5314" s="1">
        <v>1422.15</v>
      </c>
      <c r="O5314" s="1">
        <v>1474.77</v>
      </c>
      <c r="P5314" s="1">
        <v>1208.83</v>
      </c>
      <c r="Q5314">
        <v>0.25666666666666998</v>
      </c>
      <c r="R5314">
        <v>2.0000000000000001E-4</v>
      </c>
    </row>
    <row r="5315" spans="1:18" ht="13.8" outlineLevel="2" x14ac:dyDescent="0.25">
      <c r="A5315">
        <v>87991</v>
      </c>
      <c r="B5315" t="s">
        <v>7548</v>
      </c>
      <c r="C5315" t="s">
        <v>7571</v>
      </c>
      <c r="D5315" s="14" t="s">
        <v>7550</v>
      </c>
      <c r="E5315" s="12" t="s">
        <v>28</v>
      </c>
      <c r="F5315" s="13" t="s">
        <v>29</v>
      </c>
      <c r="G5315">
        <v>2</v>
      </c>
      <c r="H5315" t="s">
        <v>30</v>
      </c>
      <c r="I5315">
        <v>2</v>
      </c>
      <c r="J5315" s="15"/>
      <c r="K5315" s="16">
        <f>2437.5 - (2437.5 * $E$1)</f>
        <v>2437.5</v>
      </c>
      <c r="L5315" s="16">
        <f>1997.95 - (1997.95 * $E$1)</f>
        <v>1997.95</v>
      </c>
      <c r="M5315" s="1">
        <v>2437.5</v>
      </c>
      <c r="N5315" s="1">
        <v>1997.95</v>
      </c>
      <c r="O5315" s="1">
        <v>2071.87</v>
      </c>
      <c r="P5315" s="1">
        <v>1698.26</v>
      </c>
      <c r="Q5315">
        <v>0.31</v>
      </c>
      <c r="R5315">
        <v>3.6000000000000002E-4</v>
      </c>
    </row>
    <row r="5316" spans="1:18" ht="13.8" outlineLevel="2" x14ac:dyDescent="0.25">
      <c r="A5316">
        <v>87992</v>
      </c>
      <c r="B5316" t="s">
        <v>7548</v>
      </c>
      <c r="C5316" t="s">
        <v>7572</v>
      </c>
      <c r="D5316" s="14" t="s">
        <v>7550</v>
      </c>
      <c r="E5316" s="12" t="s">
        <v>28</v>
      </c>
      <c r="F5316" s="13" t="s">
        <v>29</v>
      </c>
      <c r="G5316">
        <v>2</v>
      </c>
      <c r="H5316" t="s">
        <v>30</v>
      </c>
      <c r="I5316">
        <v>2</v>
      </c>
      <c r="J5316" s="15"/>
      <c r="K5316" s="16">
        <f>2602.8 - (2602.8 * $E$1)</f>
        <v>2602.8000000000002</v>
      </c>
      <c r="L5316" s="16">
        <f>2133.44 - (2133.44 * $E$1)</f>
        <v>2133.44</v>
      </c>
      <c r="M5316" s="1">
        <v>2602.8000000000002</v>
      </c>
      <c r="N5316" s="1">
        <v>2133.44</v>
      </c>
      <c r="O5316" s="1">
        <v>2212.38</v>
      </c>
      <c r="P5316" s="1">
        <v>1813.42</v>
      </c>
      <c r="Q5316">
        <v>0.375</v>
      </c>
      <c r="R5316">
        <v>3.3750000000000002E-4</v>
      </c>
    </row>
    <row r="5317" spans="1:18" ht="13.8" outlineLevel="2" x14ac:dyDescent="0.25">
      <c r="A5317">
        <v>87993</v>
      </c>
      <c r="B5317" t="s">
        <v>7548</v>
      </c>
      <c r="C5317" t="s">
        <v>7573</v>
      </c>
      <c r="D5317" s="14" t="s">
        <v>7550</v>
      </c>
      <c r="E5317" s="12" t="s">
        <v>28</v>
      </c>
      <c r="F5317" s="13" t="s">
        <v>29</v>
      </c>
      <c r="G5317">
        <v>1</v>
      </c>
      <c r="H5317" t="s">
        <v>30</v>
      </c>
      <c r="I5317">
        <v>1</v>
      </c>
      <c r="J5317" s="15"/>
      <c r="K5317" s="16">
        <f>4710.05 - (4710.05 * $E$1)</f>
        <v>4710.05</v>
      </c>
      <c r="L5317" s="16">
        <f>3860.7 - (3860.7 * $E$1)</f>
        <v>3860.7</v>
      </c>
      <c r="M5317" s="1">
        <v>4710.05</v>
      </c>
      <c r="N5317" s="1">
        <v>3860.7</v>
      </c>
      <c r="O5317" s="1">
        <v>4003.55</v>
      </c>
      <c r="P5317" s="1">
        <v>3281.6</v>
      </c>
      <c r="Q5317">
        <v>0.59</v>
      </c>
      <c r="R5317">
        <v>4.86E-4</v>
      </c>
    </row>
    <row r="5318" spans="1:18" ht="13.8" outlineLevel="2" x14ac:dyDescent="0.25">
      <c r="A5318">
        <v>87994</v>
      </c>
      <c r="B5318" t="s">
        <v>7548</v>
      </c>
      <c r="C5318" t="s">
        <v>7574</v>
      </c>
      <c r="D5318" s="14" t="s">
        <v>7550</v>
      </c>
      <c r="E5318" s="12" t="s">
        <v>28</v>
      </c>
      <c r="F5318" s="13" t="s">
        <v>29</v>
      </c>
      <c r="G5318">
        <v>1</v>
      </c>
      <c r="H5318" t="s">
        <v>30</v>
      </c>
      <c r="I5318">
        <v>1</v>
      </c>
      <c r="J5318" s="15"/>
      <c r="K5318" s="16">
        <f>4873.91 - (4873.91 * $E$1)</f>
        <v>4873.91</v>
      </c>
      <c r="L5318" s="16">
        <f>3995.01 - (3995.01 * $E$1)</f>
        <v>3995.01</v>
      </c>
      <c r="M5318" s="1">
        <v>4873.91</v>
      </c>
      <c r="N5318" s="1">
        <v>3995.01</v>
      </c>
      <c r="O5318" s="1">
        <v>4142.83</v>
      </c>
      <c r="P5318" s="1">
        <v>3395.76</v>
      </c>
      <c r="Q5318">
        <v>0.6</v>
      </c>
      <c r="R5318">
        <v>5.2700000000000002E-4</v>
      </c>
    </row>
    <row r="5319" spans="1:18" ht="13.8" outlineLevel="2" x14ac:dyDescent="0.25">
      <c r="A5319">
        <v>87995</v>
      </c>
      <c r="B5319" t="s">
        <v>7548</v>
      </c>
      <c r="C5319" t="s">
        <v>7575</v>
      </c>
      <c r="D5319" s="14" t="s">
        <v>7550</v>
      </c>
      <c r="E5319" s="12" t="s">
        <v>28</v>
      </c>
      <c r="F5319" s="13" t="s">
        <v>29</v>
      </c>
      <c r="G5319">
        <v>1</v>
      </c>
      <c r="H5319" t="s">
        <v>30</v>
      </c>
      <c r="I5319">
        <v>1</v>
      </c>
      <c r="J5319" s="15"/>
      <c r="K5319" s="16">
        <f>8020.91 - (8020.91 * $E$1)</f>
        <v>8020.91</v>
      </c>
      <c r="L5319" s="16">
        <f>6574.52 - (6574.52 * $E$1)</f>
        <v>6574.52</v>
      </c>
      <c r="M5319" s="1">
        <v>8020.91</v>
      </c>
      <c r="N5319" s="1">
        <v>6574.52</v>
      </c>
      <c r="O5319" s="1">
        <v>6817.78</v>
      </c>
      <c r="P5319" s="1">
        <v>5588.34</v>
      </c>
      <c r="Q5319">
        <v>0.9</v>
      </c>
      <c r="R5319">
        <v>1.9599999999999999E-3</v>
      </c>
    </row>
    <row r="5320" spans="1:18" ht="13.8" outlineLevel="2" x14ac:dyDescent="0.25">
      <c r="A5320">
        <v>87996</v>
      </c>
      <c r="B5320" t="s">
        <v>7548</v>
      </c>
      <c r="C5320" t="s">
        <v>7576</v>
      </c>
      <c r="D5320" s="14" t="s">
        <v>7550</v>
      </c>
      <c r="E5320" s="12" t="s">
        <v>28</v>
      </c>
      <c r="F5320" s="13" t="s">
        <v>29</v>
      </c>
      <c r="G5320">
        <v>1</v>
      </c>
      <c r="H5320" t="s">
        <v>30</v>
      </c>
      <c r="I5320">
        <v>1</v>
      </c>
      <c r="J5320" s="15"/>
      <c r="K5320" s="16">
        <f>8761.28 - (8761.28 * $E$1)</f>
        <v>8761.2800000000007</v>
      </c>
      <c r="L5320" s="16">
        <f>7181.38 - (7181.38 * $E$1)</f>
        <v>7181.38</v>
      </c>
      <c r="M5320" s="1">
        <v>8761.2800000000007</v>
      </c>
      <c r="N5320" s="1">
        <v>7181.38</v>
      </c>
      <c r="O5320" s="1">
        <v>7447.09</v>
      </c>
      <c r="P5320" s="1">
        <v>6104.17</v>
      </c>
      <c r="Q5320">
        <v>0.84</v>
      </c>
      <c r="R5320">
        <v>6.4999999999999997E-4</v>
      </c>
    </row>
    <row r="5321" spans="1:18" ht="13.8" outlineLevel="2" x14ac:dyDescent="0.25">
      <c r="A5321">
        <v>87997</v>
      </c>
      <c r="B5321" t="s">
        <v>7548</v>
      </c>
      <c r="C5321" t="s">
        <v>7577</v>
      </c>
      <c r="D5321" s="14" t="s">
        <v>7550</v>
      </c>
      <c r="E5321" s="12" t="s">
        <v>28</v>
      </c>
      <c r="F5321" s="13" t="s">
        <v>29</v>
      </c>
      <c r="G5321">
        <v>1</v>
      </c>
      <c r="H5321" t="s">
        <v>30</v>
      </c>
      <c r="I5321">
        <v>1</v>
      </c>
      <c r="J5321" s="15"/>
      <c r="K5321" s="16">
        <f>15367.58 - (15367.58 * $E$1)</f>
        <v>15367.58</v>
      </c>
      <c r="L5321" s="16">
        <f>12596.38 - (12596.38 * $E$1)</f>
        <v>12596.38</v>
      </c>
      <c r="M5321" s="1">
        <v>15367.58</v>
      </c>
      <c r="N5321" s="1">
        <v>12596.38</v>
      </c>
      <c r="O5321" s="1">
        <v>13062.45</v>
      </c>
      <c r="P5321" s="1">
        <v>10706.92</v>
      </c>
      <c r="Q5321">
        <v>1.57</v>
      </c>
      <c r="R5321">
        <v>1.08E-3</v>
      </c>
    </row>
    <row r="5322" spans="1:18" ht="13.8" outlineLevel="2" x14ac:dyDescent="0.25">
      <c r="A5322">
        <v>88614</v>
      </c>
      <c r="B5322" t="s">
        <v>7548</v>
      </c>
      <c r="C5322" t="s">
        <v>7578</v>
      </c>
      <c r="D5322" s="14" t="s">
        <v>7579</v>
      </c>
      <c r="E5322" s="12" t="s">
        <v>28</v>
      </c>
      <c r="F5322" s="13" t="s">
        <v>29</v>
      </c>
      <c r="G5322">
        <v>10</v>
      </c>
      <c r="H5322" t="s">
        <v>30</v>
      </c>
      <c r="I5322">
        <v>10</v>
      </c>
      <c r="J5322" s="15"/>
      <c r="K5322" s="16">
        <f>106.4 - (106.4 * $E$1)</f>
        <v>106.4</v>
      </c>
      <c r="L5322" s="16">
        <f>87.21 - (87.21 * $E$1)</f>
        <v>87.21</v>
      </c>
      <c r="M5322" s="1">
        <v>106.4</v>
      </c>
      <c r="N5322" s="1">
        <v>87.21</v>
      </c>
      <c r="O5322" s="1">
        <v>90.44</v>
      </c>
      <c r="P5322" s="1">
        <v>74.13</v>
      </c>
      <c r="Q5322">
        <v>1.32E-2</v>
      </c>
      <c r="R5322">
        <v>1.8700000000000001E-5</v>
      </c>
    </row>
    <row r="5323" spans="1:18" ht="13.8" outlineLevel="2" x14ac:dyDescent="0.25">
      <c r="A5323">
        <v>88615</v>
      </c>
      <c r="B5323" t="s">
        <v>7548</v>
      </c>
      <c r="C5323" t="s">
        <v>7580</v>
      </c>
      <c r="D5323" s="14" t="s">
        <v>7579</v>
      </c>
      <c r="E5323" s="12" t="s">
        <v>28</v>
      </c>
      <c r="F5323" s="13" t="s">
        <v>29</v>
      </c>
      <c r="G5323">
        <v>10</v>
      </c>
      <c r="H5323" t="s">
        <v>30</v>
      </c>
      <c r="I5323">
        <v>10</v>
      </c>
      <c r="J5323" s="15"/>
      <c r="K5323" s="16">
        <f>154.46 - (154.46 * $E$1)</f>
        <v>154.46</v>
      </c>
      <c r="L5323" s="16">
        <f>126.61 - (126.61 * $E$1)</f>
        <v>126.61</v>
      </c>
      <c r="M5323" s="1">
        <v>154.46</v>
      </c>
      <c r="N5323" s="1">
        <v>126.61</v>
      </c>
      <c r="O5323" s="1">
        <v>131.29</v>
      </c>
      <c r="P5323" s="1">
        <v>107.62</v>
      </c>
      <c r="Q5323">
        <v>1.9400000000000001E-2</v>
      </c>
      <c r="R5323">
        <v>2.0400000000000001E-5</v>
      </c>
    </row>
    <row r="5324" spans="1:18" ht="13.8" outlineLevel="2" x14ac:dyDescent="0.25">
      <c r="A5324">
        <v>88616</v>
      </c>
      <c r="B5324" t="s">
        <v>7548</v>
      </c>
      <c r="C5324" t="s">
        <v>7581</v>
      </c>
      <c r="D5324" s="14" t="s">
        <v>7579</v>
      </c>
      <c r="E5324" s="12" t="s">
        <v>28</v>
      </c>
      <c r="F5324" s="13" t="s">
        <v>29</v>
      </c>
      <c r="G5324">
        <v>10</v>
      </c>
      <c r="H5324" t="s">
        <v>30</v>
      </c>
      <c r="I5324">
        <v>10</v>
      </c>
      <c r="J5324" s="15"/>
      <c r="K5324" s="16">
        <f>210.16 - (210.16 * $E$1)</f>
        <v>210.16</v>
      </c>
      <c r="L5324" s="16">
        <f>172.26 - (172.26 * $E$1)</f>
        <v>172.26</v>
      </c>
      <c r="M5324" s="1">
        <v>210.16</v>
      </c>
      <c r="N5324" s="1">
        <v>172.26</v>
      </c>
      <c r="O5324" s="1">
        <v>178.63</v>
      </c>
      <c r="P5324" s="1">
        <v>146.41999999999999</v>
      </c>
      <c r="Q5324">
        <v>3.0800000000000001E-2</v>
      </c>
      <c r="R5324">
        <v>2.6999999999999999E-5</v>
      </c>
    </row>
    <row r="5325" spans="1:18" ht="13.8" outlineLevel="2" x14ac:dyDescent="0.25">
      <c r="A5325">
        <v>88617</v>
      </c>
      <c r="B5325" t="s">
        <v>7548</v>
      </c>
      <c r="C5325" t="s">
        <v>7582</v>
      </c>
      <c r="D5325" s="14" t="s">
        <v>7579</v>
      </c>
      <c r="E5325" s="12" t="s">
        <v>28</v>
      </c>
      <c r="F5325" s="13" t="s">
        <v>29</v>
      </c>
      <c r="G5325">
        <v>10</v>
      </c>
      <c r="H5325" t="s">
        <v>30</v>
      </c>
      <c r="I5325">
        <v>10</v>
      </c>
      <c r="J5325" s="15"/>
      <c r="K5325" s="16">
        <f>369.57 - (369.57 * $E$1)</f>
        <v>369.57</v>
      </c>
      <c r="L5325" s="16">
        <f>302.93 - (302.93 * $E$1)</f>
        <v>302.93</v>
      </c>
      <c r="M5325" s="1">
        <v>369.57</v>
      </c>
      <c r="N5325" s="1">
        <v>302.93</v>
      </c>
      <c r="O5325" s="1">
        <v>314.14</v>
      </c>
      <c r="P5325" s="1">
        <v>257.49</v>
      </c>
      <c r="Q5325">
        <v>5.4800000000000001E-2</v>
      </c>
      <c r="R5325">
        <v>4.8999999999999998E-5</v>
      </c>
    </row>
    <row r="5326" spans="1:18" ht="13.8" outlineLevel="2" x14ac:dyDescent="0.25">
      <c r="A5326">
        <v>88618</v>
      </c>
      <c r="B5326" t="s">
        <v>7548</v>
      </c>
      <c r="C5326" t="s">
        <v>7583</v>
      </c>
      <c r="D5326" s="14" t="s">
        <v>7579</v>
      </c>
      <c r="E5326" s="12" t="s">
        <v>28</v>
      </c>
      <c r="F5326" s="13" t="s">
        <v>29</v>
      </c>
      <c r="G5326">
        <v>6</v>
      </c>
      <c r="H5326" t="s">
        <v>30</v>
      </c>
      <c r="I5326">
        <v>6</v>
      </c>
      <c r="J5326" s="15"/>
      <c r="K5326" s="16">
        <f>703.35 - (703.35 * $E$1)</f>
        <v>703.35</v>
      </c>
      <c r="L5326" s="16">
        <f>576.52 - (576.52 * $E$1)</f>
        <v>576.52</v>
      </c>
      <c r="M5326" s="1">
        <v>703.35</v>
      </c>
      <c r="N5326" s="1">
        <v>576.52</v>
      </c>
      <c r="O5326" s="1">
        <v>597.85</v>
      </c>
      <c r="P5326" s="1">
        <v>490.04</v>
      </c>
      <c r="Q5326">
        <v>0.10933333333332999</v>
      </c>
      <c r="R5326">
        <v>7.7999999999999999E-5</v>
      </c>
    </row>
    <row r="5327" spans="1:18" ht="13.8" outlineLevel="2" x14ac:dyDescent="0.25">
      <c r="A5327">
        <v>88619</v>
      </c>
      <c r="B5327" t="s">
        <v>7548</v>
      </c>
      <c r="C5327" t="s">
        <v>7584</v>
      </c>
      <c r="D5327" s="14" t="s">
        <v>7579</v>
      </c>
      <c r="E5327" s="12" t="s">
        <v>28</v>
      </c>
      <c r="F5327" s="13" t="s">
        <v>29</v>
      </c>
      <c r="G5327">
        <v>6</v>
      </c>
      <c r="H5327" t="s">
        <v>30</v>
      </c>
      <c r="I5327">
        <v>6</v>
      </c>
      <c r="J5327" s="15"/>
      <c r="K5327" s="16">
        <f>883.91 - (883.91 * $E$1)</f>
        <v>883.91</v>
      </c>
      <c r="L5327" s="16">
        <f>724.52 - (724.52 * $E$1)</f>
        <v>724.52</v>
      </c>
      <c r="M5327" s="1">
        <v>883.91</v>
      </c>
      <c r="N5327" s="1">
        <v>724.52</v>
      </c>
      <c r="O5327" s="1">
        <v>751.33</v>
      </c>
      <c r="P5327" s="1">
        <v>615.84</v>
      </c>
      <c r="Q5327">
        <v>0.15</v>
      </c>
      <c r="R5327">
        <v>1.1666666666667E-4</v>
      </c>
    </row>
    <row r="5328" spans="1:18" ht="13.8" outlineLevel="2" x14ac:dyDescent="0.25">
      <c r="A5328">
        <v>88620</v>
      </c>
      <c r="B5328" t="s">
        <v>7548</v>
      </c>
      <c r="C5328" t="s">
        <v>7585</v>
      </c>
      <c r="D5328" s="14" t="s">
        <v>7579</v>
      </c>
      <c r="E5328" s="12" t="s">
        <v>28</v>
      </c>
      <c r="F5328" s="13" t="s">
        <v>29</v>
      </c>
      <c r="G5328">
        <v>6</v>
      </c>
      <c r="H5328" t="s">
        <v>30</v>
      </c>
      <c r="I5328">
        <v>6</v>
      </c>
      <c r="J5328" s="15"/>
      <c r="K5328" s="16">
        <f>1674.82 - (1674.82 * $E$1)</f>
        <v>1674.82</v>
      </c>
      <c r="L5328" s="16">
        <f>1372.8 - (1372.8 * $E$1)</f>
        <v>1372.8</v>
      </c>
      <c r="M5328" s="1">
        <v>1674.82</v>
      </c>
      <c r="N5328" s="1">
        <v>1372.8</v>
      </c>
      <c r="O5328" s="1">
        <v>1423.59</v>
      </c>
      <c r="P5328" s="1">
        <v>1166.8800000000001</v>
      </c>
      <c r="Q5328">
        <v>0.25666666666666998</v>
      </c>
      <c r="R5328">
        <v>2.34E-4</v>
      </c>
    </row>
    <row r="5329" spans="1:18" ht="13.8" outlineLevel="2" x14ac:dyDescent="0.25">
      <c r="A5329">
        <v>88621</v>
      </c>
      <c r="B5329" t="s">
        <v>7548</v>
      </c>
      <c r="C5329" t="s">
        <v>7586</v>
      </c>
      <c r="D5329" s="14" t="s">
        <v>7579</v>
      </c>
      <c r="E5329" s="12" t="s">
        <v>28</v>
      </c>
      <c r="F5329" s="13" t="s">
        <v>29</v>
      </c>
      <c r="G5329">
        <v>2</v>
      </c>
      <c r="H5329" t="s">
        <v>30</v>
      </c>
      <c r="I5329">
        <v>2</v>
      </c>
      <c r="J5329" s="15"/>
      <c r="K5329" s="16">
        <f>2770.51 - (2770.51 * $E$1)</f>
        <v>2770.51</v>
      </c>
      <c r="L5329" s="16">
        <f>2270.91 - (2270.91 * $E$1)</f>
        <v>2270.91</v>
      </c>
      <c r="M5329" s="1">
        <v>2770.51</v>
      </c>
      <c r="N5329" s="1">
        <v>2270.91</v>
      </c>
      <c r="O5329" s="1">
        <v>2354.9299999999998</v>
      </c>
      <c r="P5329" s="1">
        <v>1930.27</v>
      </c>
      <c r="Q5329">
        <v>0.36499999999999999</v>
      </c>
      <c r="R5329">
        <v>3.7500000000000001E-4</v>
      </c>
    </row>
    <row r="5330" spans="1:18" ht="13.8" outlineLevel="2" x14ac:dyDescent="0.25">
      <c r="A5330">
        <v>88627</v>
      </c>
      <c r="B5330" t="s">
        <v>7548</v>
      </c>
      <c r="C5330" t="s">
        <v>7587</v>
      </c>
      <c r="D5330" s="14" t="s">
        <v>7588</v>
      </c>
      <c r="E5330" s="12" t="s">
        <v>28</v>
      </c>
      <c r="F5330" s="13" t="s">
        <v>29</v>
      </c>
      <c r="G5330">
        <v>4</v>
      </c>
      <c r="H5330" t="s">
        <v>30</v>
      </c>
      <c r="I5330">
        <v>4</v>
      </c>
      <c r="J5330" s="15"/>
      <c r="K5330" s="16">
        <f>329.31 - (329.31 * $E$1)</f>
        <v>329.31</v>
      </c>
      <c r="L5330" s="16">
        <f>269.93 - (269.93 * $E$1)</f>
        <v>269.93</v>
      </c>
      <c r="M5330" s="1">
        <v>329.31</v>
      </c>
      <c r="N5330" s="1">
        <v>269.93</v>
      </c>
      <c r="O5330" s="1">
        <v>279.92</v>
      </c>
      <c r="P5330" s="1">
        <v>229.44</v>
      </c>
      <c r="Q5330">
        <v>0.23499999999999999</v>
      </c>
      <c r="R5330">
        <v>6.0000000000000002E-5</v>
      </c>
    </row>
    <row r="5331" spans="1:18" ht="13.8" outlineLevel="2" x14ac:dyDescent="0.25">
      <c r="A5331">
        <v>88628</v>
      </c>
      <c r="B5331" t="s">
        <v>7548</v>
      </c>
      <c r="C5331" t="s">
        <v>7589</v>
      </c>
      <c r="D5331" s="14" t="s">
        <v>7588</v>
      </c>
      <c r="E5331" s="12" t="s">
        <v>28</v>
      </c>
      <c r="F5331" s="13" t="s">
        <v>29</v>
      </c>
      <c r="G5331">
        <v>4</v>
      </c>
      <c r="H5331" t="s">
        <v>30</v>
      </c>
      <c r="I5331">
        <v>4</v>
      </c>
      <c r="J5331" s="15"/>
      <c r="K5331" s="16">
        <f>477.47 - (477.47 * $E$1)</f>
        <v>477.47</v>
      </c>
      <c r="L5331" s="16">
        <f>391.37 - (391.37 * $E$1)</f>
        <v>391.37</v>
      </c>
      <c r="M5331" s="1">
        <v>477.47</v>
      </c>
      <c r="N5331" s="1">
        <v>391.37</v>
      </c>
      <c r="O5331" s="1">
        <v>405.85</v>
      </c>
      <c r="P5331" s="1">
        <v>332.66</v>
      </c>
      <c r="Q5331">
        <v>4.0500000000000001E-2</v>
      </c>
      <c r="R5331">
        <v>6.05E-5</v>
      </c>
    </row>
    <row r="5332" spans="1:18" ht="13.8" outlineLevel="2" x14ac:dyDescent="0.25">
      <c r="A5332">
        <v>88629</v>
      </c>
      <c r="B5332" t="s">
        <v>7548</v>
      </c>
      <c r="C5332" t="s">
        <v>7590</v>
      </c>
      <c r="D5332" s="14" t="s">
        <v>7588</v>
      </c>
      <c r="E5332" s="12" t="s">
        <v>28</v>
      </c>
      <c r="F5332" s="13" t="s">
        <v>29</v>
      </c>
      <c r="G5332">
        <v>4</v>
      </c>
      <c r="H5332" t="s">
        <v>30</v>
      </c>
      <c r="I5332">
        <v>4</v>
      </c>
      <c r="J5332" s="15"/>
      <c r="K5332" s="16">
        <f>824.17 - (824.17 * $E$1)</f>
        <v>824.17</v>
      </c>
      <c r="L5332" s="16">
        <f>675.55 - (675.55 * $E$1)</f>
        <v>675.55</v>
      </c>
      <c r="M5332" s="1">
        <v>824.17</v>
      </c>
      <c r="N5332" s="1">
        <v>675.55</v>
      </c>
      <c r="O5332" s="1">
        <v>700.55</v>
      </c>
      <c r="P5332" s="1">
        <v>574.22</v>
      </c>
      <c r="Q5332">
        <v>6.9500000000000006E-2</v>
      </c>
      <c r="R5332">
        <v>9.7499999999999998E-5</v>
      </c>
    </row>
    <row r="5333" spans="1:18" ht="13.8" outlineLevel="2" x14ac:dyDescent="0.25">
      <c r="A5333">
        <v>88630</v>
      </c>
      <c r="B5333" t="s">
        <v>7548</v>
      </c>
      <c r="C5333" t="s">
        <v>7591</v>
      </c>
      <c r="D5333" s="14" t="s">
        <v>7588</v>
      </c>
      <c r="E5333" s="12" t="s">
        <v>28</v>
      </c>
      <c r="F5333" s="13" t="s">
        <v>29</v>
      </c>
      <c r="G5333">
        <v>4</v>
      </c>
      <c r="H5333" t="s">
        <v>30</v>
      </c>
      <c r="I5333">
        <v>4</v>
      </c>
      <c r="J5333" s="15"/>
      <c r="K5333" s="16">
        <f>1050.35 - (1050.35 * $E$1)</f>
        <v>1050.3499999999999</v>
      </c>
      <c r="L5333" s="16">
        <f>860.94 - (860.94 * $E$1)</f>
        <v>860.94</v>
      </c>
      <c r="M5333" s="1">
        <v>1050.3499999999999</v>
      </c>
      <c r="N5333" s="1">
        <v>860.94</v>
      </c>
      <c r="O5333" s="1">
        <v>892.79</v>
      </c>
      <c r="P5333" s="1">
        <v>731.8</v>
      </c>
      <c r="Q5333">
        <v>0.14050000000000001</v>
      </c>
      <c r="R5333">
        <v>1.3650000000000001E-4</v>
      </c>
    </row>
    <row r="5334" spans="1:18" ht="13.8" outlineLevel="2" x14ac:dyDescent="0.25">
      <c r="A5334">
        <v>88622</v>
      </c>
      <c r="B5334" t="s">
        <v>7548</v>
      </c>
      <c r="C5334" t="s">
        <v>7592</v>
      </c>
      <c r="D5334" s="14" t="s">
        <v>7593</v>
      </c>
      <c r="E5334" s="12" t="s">
        <v>28</v>
      </c>
      <c r="F5334" s="13" t="s">
        <v>29</v>
      </c>
      <c r="G5334">
        <v>4</v>
      </c>
      <c r="H5334" t="s">
        <v>30</v>
      </c>
      <c r="I5334">
        <v>4</v>
      </c>
      <c r="J5334" s="15"/>
      <c r="K5334" s="16">
        <f>174.69 - (174.69 * $E$1)</f>
        <v>174.69</v>
      </c>
      <c r="L5334" s="16">
        <f>143.19 - (143.19 * $E$1)</f>
        <v>143.19</v>
      </c>
      <c r="M5334" s="1">
        <v>174.69</v>
      </c>
      <c r="N5334" s="1">
        <v>143.19</v>
      </c>
      <c r="O5334" s="1">
        <v>148.49</v>
      </c>
      <c r="P5334" s="1">
        <v>121.71</v>
      </c>
      <c r="Q5334">
        <v>2.35E-2</v>
      </c>
      <c r="R5334">
        <v>4.3999999999999999E-5</v>
      </c>
    </row>
    <row r="5335" spans="1:18" ht="13.8" outlineLevel="2" x14ac:dyDescent="0.25">
      <c r="A5335">
        <v>88623</v>
      </c>
      <c r="B5335" t="s">
        <v>7548</v>
      </c>
      <c r="C5335" t="s">
        <v>7594</v>
      </c>
      <c r="D5335" s="14" t="s">
        <v>7593</v>
      </c>
      <c r="E5335" s="12" t="s">
        <v>28</v>
      </c>
      <c r="F5335" s="13" t="s">
        <v>29</v>
      </c>
      <c r="G5335">
        <v>4</v>
      </c>
      <c r="H5335" t="s">
        <v>30</v>
      </c>
      <c r="I5335">
        <v>4</v>
      </c>
      <c r="J5335" s="15"/>
      <c r="K5335" s="16">
        <f>273.24 - (273.24 * $E$1)</f>
        <v>273.24</v>
      </c>
      <c r="L5335" s="16">
        <f>223.97 - (223.97 * $E$1)</f>
        <v>223.97</v>
      </c>
      <c r="M5335" s="1">
        <v>273.24</v>
      </c>
      <c r="N5335" s="1">
        <v>223.97</v>
      </c>
      <c r="O5335" s="1">
        <v>232.26</v>
      </c>
      <c r="P5335" s="1">
        <v>190.37</v>
      </c>
      <c r="Q5335">
        <v>3.5000000000000003E-2</v>
      </c>
      <c r="R5335">
        <v>4.3999999999999999E-5</v>
      </c>
    </row>
    <row r="5336" spans="1:18" ht="13.8" outlineLevel="2" x14ac:dyDescent="0.25">
      <c r="A5336">
        <v>88624</v>
      </c>
      <c r="B5336" t="s">
        <v>7548</v>
      </c>
      <c r="C5336" t="s">
        <v>7595</v>
      </c>
      <c r="D5336" s="14" t="s">
        <v>7593</v>
      </c>
      <c r="E5336" s="12" t="s">
        <v>28</v>
      </c>
      <c r="F5336" s="13" t="s">
        <v>29</v>
      </c>
      <c r="G5336">
        <v>4</v>
      </c>
      <c r="H5336" t="s">
        <v>30</v>
      </c>
      <c r="I5336">
        <v>4</v>
      </c>
      <c r="J5336" s="15"/>
      <c r="K5336" s="16">
        <f>379.04 - (379.04 * $E$1)</f>
        <v>379.04</v>
      </c>
      <c r="L5336" s="16">
        <f>310.69 - (310.69 * $E$1)</f>
        <v>310.69</v>
      </c>
      <c r="M5336" s="1">
        <v>379.04</v>
      </c>
      <c r="N5336" s="1">
        <v>310.69</v>
      </c>
      <c r="O5336" s="1">
        <v>322.19</v>
      </c>
      <c r="P5336" s="1">
        <v>264.08999999999997</v>
      </c>
      <c r="Q5336">
        <v>0.05</v>
      </c>
      <c r="R5336">
        <v>8.1000000000000004E-5</v>
      </c>
    </row>
    <row r="5337" spans="1:18" ht="13.8" outlineLevel="2" x14ac:dyDescent="0.25">
      <c r="A5337">
        <v>88625</v>
      </c>
      <c r="B5337" t="s">
        <v>7548</v>
      </c>
      <c r="C5337" t="s">
        <v>7596</v>
      </c>
      <c r="D5337" s="14" t="s">
        <v>7593</v>
      </c>
      <c r="E5337" s="12" t="s">
        <v>28</v>
      </c>
      <c r="F5337" s="13" t="s">
        <v>29</v>
      </c>
      <c r="G5337">
        <v>4</v>
      </c>
      <c r="H5337" t="s">
        <v>30</v>
      </c>
      <c r="I5337">
        <v>4</v>
      </c>
      <c r="J5337" s="15"/>
      <c r="K5337" s="16">
        <f>675.47 - (675.47 * $E$1)</f>
        <v>675.47</v>
      </c>
      <c r="L5337" s="16">
        <f>553.66 - (553.66 * $E$1)</f>
        <v>553.66</v>
      </c>
      <c r="M5337" s="1">
        <v>675.47</v>
      </c>
      <c r="N5337" s="1">
        <v>553.66</v>
      </c>
      <c r="O5337" s="1">
        <v>574.15</v>
      </c>
      <c r="P5337" s="1">
        <v>470.61</v>
      </c>
      <c r="Q5337">
        <v>8.5999999999999993E-2</v>
      </c>
      <c r="R5337">
        <v>1.2525000000000001E-4</v>
      </c>
    </row>
    <row r="5338" spans="1:18" ht="13.8" outlineLevel="2" x14ac:dyDescent="0.25">
      <c r="A5338">
        <v>88631</v>
      </c>
      <c r="B5338" t="s">
        <v>7548</v>
      </c>
      <c r="C5338" t="s">
        <v>7597</v>
      </c>
      <c r="D5338" s="14" t="s">
        <v>7598</v>
      </c>
      <c r="E5338" s="12" t="s">
        <v>28</v>
      </c>
      <c r="F5338" s="13" t="s">
        <v>29</v>
      </c>
      <c r="G5338">
        <v>10</v>
      </c>
      <c r="H5338" t="s">
        <v>30</v>
      </c>
      <c r="I5338">
        <v>10</v>
      </c>
      <c r="J5338" s="15"/>
      <c r="K5338" s="16">
        <f>789.44 - (789.44 * $E$1)</f>
        <v>789.44</v>
      </c>
      <c r="L5338" s="16">
        <f>647.08 - (647.08 * $E$1)</f>
        <v>647.08000000000004</v>
      </c>
      <c r="M5338" s="1">
        <v>789.44</v>
      </c>
      <c r="N5338" s="1">
        <v>647.08000000000004</v>
      </c>
      <c r="O5338" s="1">
        <v>671.02</v>
      </c>
      <c r="P5338" s="1">
        <v>550.02</v>
      </c>
      <c r="Q5338">
        <v>1.6199999999999999E-2</v>
      </c>
      <c r="R5338">
        <v>2.8799999999999999E-5</v>
      </c>
    </row>
    <row r="5339" spans="1:18" ht="13.8" outlineLevel="2" x14ac:dyDescent="0.25">
      <c r="A5339">
        <v>88632</v>
      </c>
      <c r="B5339" t="s">
        <v>7548</v>
      </c>
      <c r="C5339" t="s">
        <v>7599</v>
      </c>
      <c r="D5339" s="14" t="s">
        <v>7598</v>
      </c>
      <c r="E5339" s="12" t="s">
        <v>28</v>
      </c>
      <c r="F5339" s="13" t="s">
        <v>29</v>
      </c>
      <c r="G5339">
        <v>10</v>
      </c>
      <c r="H5339" t="s">
        <v>30</v>
      </c>
      <c r="I5339">
        <v>10</v>
      </c>
      <c r="J5339" s="15"/>
      <c r="K5339" s="16">
        <f>817.31 - (817.31 * $E$1)</f>
        <v>817.31</v>
      </c>
      <c r="L5339" s="16">
        <f>669.93 - (669.93 * $E$1)</f>
        <v>669.93</v>
      </c>
      <c r="M5339" s="1">
        <v>817.31</v>
      </c>
      <c r="N5339" s="1">
        <v>669.93</v>
      </c>
      <c r="O5339" s="1">
        <v>694.72</v>
      </c>
      <c r="P5339" s="1">
        <v>569.44000000000005</v>
      </c>
      <c r="Q5339">
        <v>3.32E-2</v>
      </c>
      <c r="R5339">
        <v>3.6000000000000001E-5</v>
      </c>
    </row>
    <row r="5340" spans="1:18" ht="13.8" outlineLevel="2" x14ac:dyDescent="0.25">
      <c r="A5340">
        <v>88633</v>
      </c>
      <c r="B5340" t="s">
        <v>7548</v>
      </c>
      <c r="C5340" t="s">
        <v>7600</v>
      </c>
      <c r="D5340" s="14" t="s">
        <v>7598</v>
      </c>
      <c r="E5340" s="12" t="s">
        <v>28</v>
      </c>
      <c r="F5340" s="13" t="s">
        <v>29</v>
      </c>
      <c r="G5340">
        <v>10</v>
      </c>
      <c r="H5340" t="s">
        <v>30</v>
      </c>
      <c r="I5340">
        <v>10</v>
      </c>
      <c r="J5340" s="15"/>
      <c r="K5340" s="16">
        <f>887.77 - (887.77 * $E$1)</f>
        <v>887.77</v>
      </c>
      <c r="L5340" s="16">
        <f>727.68 - (727.68 * $E$1)</f>
        <v>727.68</v>
      </c>
      <c r="M5340" s="1">
        <v>887.77</v>
      </c>
      <c r="N5340" s="1">
        <v>727.68</v>
      </c>
      <c r="O5340" s="1">
        <v>754.6</v>
      </c>
      <c r="P5340" s="1">
        <v>618.53</v>
      </c>
      <c r="Q5340">
        <v>4.3999999999999997E-2</v>
      </c>
      <c r="R5340">
        <v>4.32E-5</v>
      </c>
    </row>
    <row r="5341" spans="1:18" ht="13.8" outlineLevel="2" x14ac:dyDescent="0.25">
      <c r="A5341">
        <v>88634</v>
      </c>
      <c r="B5341" t="s">
        <v>7548</v>
      </c>
      <c r="C5341" t="s">
        <v>7601</v>
      </c>
      <c r="D5341" s="14" t="s">
        <v>7598</v>
      </c>
      <c r="E5341" s="12" t="s">
        <v>28</v>
      </c>
      <c r="F5341" s="13" t="s">
        <v>29</v>
      </c>
      <c r="G5341">
        <v>10</v>
      </c>
      <c r="H5341" t="s">
        <v>30</v>
      </c>
      <c r="I5341">
        <v>10</v>
      </c>
      <c r="J5341" s="15"/>
      <c r="K5341" s="16">
        <f>1108.41 - (1108.41 * $E$1)</f>
        <v>1108.4100000000001</v>
      </c>
      <c r="L5341" s="16">
        <f>908.53 - (908.53 * $E$1)</f>
        <v>908.53</v>
      </c>
      <c r="M5341" s="1">
        <v>1108.4100000000001</v>
      </c>
      <c r="N5341" s="1">
        <v>908.53</v>
      </c>
      <c r="O5341" s="1">
        <v>942.15</v>
      </c>
      <c r="P5341" s="1">
        <v>772.25</v>
      </c>
      <c r="Q5341">
        <v>8.7499999999999994E-2</v>
      </c>
      <c r="R5341">
        <v>5.5999999999999999E-5</v>
      </c>
    </row>
    <row r="5342" spans="1:18" ht="13.8" outlineLevel="2" x14ac:dyDescent="0.25">
      <c r="A5342">
        <v>88635</v>
      </c>
      <c r="B5342" t="s">
        <v>7548</v>
      </c>
      <c r="C5342" t="s">
        <v>7602</v>
      </c>
      <c r="D5342" s="14" t="s">
        <v>7598</v>
      </c>
      <c r="E5342" s="12" t="s">
        <v>28</v>
      </c>
      <c r="F5342" s="13" t="s">
        <v>29</v>
      </c>
      <c r="G5342">
        <v>5</v>
      </c>
      <c r="H5342" t="s">
        <v>30</v>
      </c>
      <c r="I5342">
        <v>5</v>
      </c>
      <c r="J5342" s="15"/>
      <c r="K5342" s="16">
        <f>1693.34 - (1693.34 * $E$1)</f>
        <v>1693.34</v>
      </c>
      <c r="L5342" s="16">
        <f>1387.98 - (1387.98 * $E$1)</f>
        <v>1387.98</v>
      </c>
      <c r="M5342" s="1">
        <v>1693.34</v>
      </c>
      <c r="N5342" s="1">
        <v>1387.98</v>
      </c>
      <c r="O5342" s="1">
        <v>1439.34</v>
      </c>
      <c r="P5342" s="1">
        <v>1179.78</v>
      </c>
      <c r="Q5342">
        <v>0.158</v>
      </c>
      <c r="R5342">
        <v>1.2320000000000001E-4</v>
      </c>
    </row>
    <row r="5343" spans="1:18" ht="13.8" outlineLevel="2" x14ac:dyDescent="0.25">
      <c r="A5343">
        <v>89022</v>
      </c>
      <c r="B5343" t="s">
        <v>7548</v>
      </c>
      <c r="C5343" t="s">
        <v>7603</v>
      </c>
      <c r="D5343" s="14" t="s">
        <v>7598</v>
      </c>
      <c r="E5343" s="12" t="s">
        <v>28</v>
      </c>
      <c r="F5343" s="13" t="s">
        <v>29</v>
      </c>
      <c r="G5343">
        <v>3</v>
      </c>
      <c r="H5343" t="s">
        <v>30</v>
      </c>
      <c r="I5343">
        <v>3</v>
      </c>
      <c r="J5343" s="15"/>
      <c r="K5343" s="16">
        <f>3947.51 - (3947.51 * $E$1)</f>
        <v>3947.51</v>
      </c>
      <c r="L5343" s="16">
        <f>3235.66 - (3235.66 * $E$1)</f>
        <v>3235.66</v>
      </c>
      <c r="M5343" s="1">
        <v>3947.51</v>
      </c>
      <c r="N5343" s="1">
        <v>3235.66</v>
      </c>
      <c r="O5343" s="1">
        <v>3355.38</v>
      </c>
      <c r="P5343" s="1">
        <v>2750.31</v>
      </c>
      <c r="Q5343">
        <v>0.21466666666667</v>
      </c>
      <c r="R5343">
        <v>2.3833333333333001E-4</v>
      </c>
    </row>
    <row r="5344" spans="1:18" ht="13.8" outlineLevel="2" x14ac:dyDescent="0.25">
      <c r="A5344">
        <v>89023</v>
      </c>
      <c r="B5344" t="s">
        <v>7548</v>
      </c>
      <c r="C5344" t="s">
        <v>7604</v>
      </c>
      <c r="D5344" s="14" t="s">
        <v>7598</v>
      </c>
      <c r="E5344" s="12" t="s">
        <v>28</v>
      </c>
      <c r="F5344" s="13" t="s">
        <v>29</v>
      </c>
      <c r="G5344">
        <v>1</v>
      </c>
      <c r="H5344" t="s">
        <v>30</v>
      </c>
      <c r="I5344">
        <v>1</v>
      </c>
      <c r="J5344" s="15"/>
      <c r="K5344" s="16">
        <f>4632.44 - (4632.44 * $E$1)</f>
        <v>4632.4399999999996</v>
      </c>
      <c r="L5344" s="16">
        <f>3797.08 - (3797.08 * $E$1)</f>
        <v>3797.08</v>
      </c>
      <c r="M5344" s="1">
        <v>4632.4399999999996</v>
      </c>
      <c r="N5344" s="1">
        <v>3797.08</v>
      </c>
      <c r="O5344" s="1">
        <v>3937.57</v>
      </c>
      <c r="P5344" s="1">
        <v>3227.52</v>
      </c>
      <c r="Q5344">
        <v>0.39</v>
      </c>
      <c r="R5344">
        <v>2.1599999999999999E-4</v>
      </c>
    </row>
    <row r="5345" spans="1:18" ht="13.8" outlineLevel="2" x14ac:dyDescent="0.25">
      <c r="A5345">
        <v>89024</v>
      </c>
      <c r="B5345" t="s">
        <v>7548</v>
      </c>
      <c r="C5345" t="s">
        <v>7605</v>
      </c>
      <c r="D5345" s="14" t="s">
        <v>7598</v>
      </c>
      <c r="E5345" s="12" t="s">
        <v>28</v>
      </c>
      <c r="F5345" s="13" t="s">
        <v>29</v>
      </c>
      <c r="G5345">
        <v>1</v>
      </c>
      <c r="H5345" t="s">
        <v>30</v>
      </c>
      <c r="I5345">
        <v>1</v>
      </c>
      <c r="J5345" s="15"/>
      <c r="K5345" s="16">
        <f>6374.49 - (6374.49 * $E$1)</f>
        <v>6374.49</v>
      </c>
      <c r="L5345" s="16">
        <f>5224.99 - (5224.99 * $E$1)</f>
        <v>5224.99</v>
      </c>
      <c r="M5345" s="1">
        <v>6374.49</v>
      </c>
      <c r="N5345" s="1">
        <v>5224.99</v>
      </c>
      <c r="O5345" s="1">
        <v>5418.31</v>
      </c>
      <c r="P5345" s="1">
        <v>4441.24</v>
      </c>
      <c r="Q5345">
        <v>0.55800000000000005</v>
      </c>
      <c r="R5345">
        <v>3.4299999999999999E-4</v>
      </c>
    </row>
    <row r="5346" spans="1:18" ht="13.8" outlineLevel="2" x14ac:dyDescent="0.25">
      <c r="A5346">
        <v>89320</v>
      </c>
      <c r="B5346" t="s">
        <v>7548</v>
      </c>
      <c r="C5346" t="s">
        <v>7606</v>
      </c>
      <c r="D5346" s="14" t="s">
        <v>7607</v>
      </c>
      <c r="E5346" s="12" t="s">
        <v>28</v>
      </c>
      <c r="F5346" s="13" t="s">
        <v>29</v>
      </c>
      <c r="G5346">
        <v>10</v>
      </c>
      <c r="H5346" t="s">
        <v>30</v>
      </c>
      <c r="I5346">
        <v>10</v>
      </c>
      <c r="J5346" s="15"/>
      <c r="K5346" s="16">
        <f>139.3 - (139.3 * $E$1)</f>
        <v>139.30000000000001</v>
      </c>
      <c r="L5346" s="16">
        <f>114.18 - (114.18 * $E$1)</f>
        <v>114.18</v>
      </c>
      <c r="M5346" s="1">
        <v>139.30000000000001</v>
      </c>
      <c r="N5346" s="1">
        <v>114.18</v>
      </c>
      <c r="O5346" s="1">
        <v>118.4</v>
      </c>
      <c r="P5346" s="1">
        <v>97.05</v>
      </c>
      <c r="Q5346">
        <v>1.2999999999999999E-2</v>
      </c>
      <c r="R5346">
        <v>2.8799999999999999E-5</v>
      </c>
    </row>
    <row r="5347" spans="1:18" ht="13.8" outlineLevel="2" x14ac:dyDescent="0.25">
      <c r="A5347">
        <v>89321</v>
      </c>
      <c r="B5347" t="s">
        <v>7548</v>
      </c>
      <c r="C5347" t="s">
        <v>7608</v>
      </c>
      <c r="D5347" s="14" t="s">
        <v>7607</v>
      </c>
      <c r="E5347" s="12" t="s">
        <v>28</v>
      </c>
      <c r="F5347" s="13" t="s">
        <v>29</v>
      </c>
      <c r="G5347">
        <v>10</v>
      </c>
      <c r="H5347" t="s">
        <v>30</v>
      </c>
      <c r="I5347">
        <v>10</v>
      </c>
      <c r="J5347" s="15"/>
      <c r="K5347" s="16">
        <f>200.28 - (200.28 * $E$1)</f>
        <v>200.28</v>
      </c>
      <c r="L5347" s="16">
        <f>164.16 - (164.16 * $E$1)</f>
        <v>164.16</v>
      </c>
      <c r="M5347" s="1">
        <v>200.28</v>
      </c>
      <c r="N5347" s="1">
        <v>164.16</v>
      </c>
      <c r="O5347" s="1">
        <v>170.23</v>
      </c>
      <c r="P5347" s="1">
        <v>139.54</v>
      </c>
      <c r="Q5347">
        <v>1.4E-2</v>
      </c>
      <c r="R5347">
        <v>2.16E-5</v>
      </c>
    </row>
    <row r="5348" spans="1:18" ht="13.8" outlineLevel="2" x14ac:dyDescent="0.25">
      <c r="A5348">
        <v>89322</v>
      </c>
      <c r="B5348" t="s">
        <v>7548</v>
      </c>
      <c r="C5348" t="s">
        <v>7609</v>
      </c>
      <c r="D5348" s="14" t="s">
        <v>7607</v>
      </c>
      <c r="E5348" s="12" t="s">
        <v>28</v>
      </c>
      <c r="F5348" s="13" t="s">
        <v>29</v>
      </c>
      <c r="G5348">
        <v>10</v>
      </c>
      <c r="H5348" t="s">
        <v>30</v>
      </c>
      <c r="I5348">
        <v>10</v>
      </c>
      <c r="J5348" s="15"/>
      <c r="K5348" s="16">
        <f>273.69 - (273.69 * $E$1)</f>
        <v>273.69</v>
      </c>
      <c r="L5348" s="16">
        <f>224.34 - (224.34 * $E$1)</f>
        <v>224.34</v>
      </c>
      <c r="M5348" s="1">
        <v>273.69</v>
      </c>
      <c r="N5348" s="1">
        <v>224.34</v>
      </c>
      <c r="O5348" s="1">
        <v>232.64</v>
      </c>
      <c r="P5348" s="1">
        <v>190.69</v>
      </c>
      <c r="Q5348">
        <v>2.9000000000000001E-2</v>
      </c>
      <c r="R5348">
        <v>2.97E-5</v>
      </c>
    </row>
    <row r="5349" spans="1:18" ht="13.8" outlineLevel="2" x14ac:dyDescent="0.25">
      <c r="A5349">
        <v>89323</v>
      </c>
      <c r="B5349" t="s">
        <v>7548</v>
      </c>
      <c r="C5349" t="s">
        <v>7610</v>
      </c>
      <c r="D5349" s="14" t="s">
        <v>7607</v>
      </c>
      <c r="E5349" s="12" t="s">
        <v>28</v>
      </c>
      <c r="F5349" s="13" t="s">
        <v>29</v>
      </c>
      <c r="G5349">
        <v>10</v>
      </c>
      <c r="H5349" t="s">
        <v>30</v>
      </c>
      <c r="I5349">
        <v>10</v>
      </c>
      <c r="J5349" s="15"/>
      <c r="K5349" s="16">
        <f>478.75 - (478.75 * $E$1)</f>
        <v>478.75</v>
      </c>
      <c r="L5349" s="16">
        <f>392.42 - (392.42 * $E$1)</f>
        <v>392.42</v>
      </c>
      <c r="M5349" s="1">
        <v>478.75</v>
      </c>
      <c r="N5349" s="1">
        <v>392.42</v>
      </c>
      <c r="O5349" s="1">
        <v>406.94</v>
      </c>
      <c r="P5349" s="1">
        <v>333.56</v>
      </c>
      <c r="Q5349">
        <v>5.7000000000000002E-2</v>
      </c>
      <c r="R5349">
        <v>3.6000000000000001E-5</v>
      </c>
    </row>
    <row r="5350" spans="1:18" ht="13.8" outlineLevel="2" x14ac:dyDescent="0.25">
      <c r="A5350">
        <v>89324</v>
      </c>
      <c r="B5350" t="s">
        <v>7548</v>
      </c>
      <c r="C5350" t="s">
        <v>7611</v>
      </c>
      <c r="D5350" s="14" t="s">
        <v>7607</v>
      </c>
      <c r="E5350" s="12" t="s">
        <v>28</v>
      </c>
      <c r="F5350" s="13" t="s">
        <v>29</v>
      </c>
      <c r="G5350">
        <v>6</v>
      </c>
      <c r="H5350" t="s">
        <v>30</v>
      </c>
      <c r="I5350">
        <v>6</v>
      </c>
      <c r="J5350" s="15"/>
      <c r="K5350" s="16">
        <f>723.42 - (723.42 * $E$1)</f>
        <v>723.42</v>
      </c>
      <c r="L5350" s="16">
        <f>592.97 - (592.97 * $E$1)</f>
        <v>592.97</v>
      </c>
      <c r="M5350" s="1">
        <v>723.42</v>
      </c>
      <c r="N5350" s="1">
        <v>592.97</v>
      </c>
      <c r="O5350" s="1">
        <v>614.91</v>
      </c>
      <c r="P5350" s="1">
        <v>504.02</v>
      </c>
      <c r="Q5350">
        <v>7.3333333333333001E-2</v>
      </c>
      <c r="R5350">
        <v>8.0000000000000007E-5</v>
      </c>
    </row>
    <row r="5351" spans="1:18" ht="13.8" outlineLevel="2" x14ac:dyDescent="0.25">
      <c r="A5351">
        <v>83621</v>
      </c>
      <c r="B5351" t="s">
        <v>7532</v>
      </c>
      <c r="C5351" t="s">
        <v>7612</v>
      </c>
      <c r="D5351" s="14" t="s">
        <v>7613</v>
      </c>
      <c r="E5351" s="12" t="s">
        <v>28</v>
      </c>
      <c r="F5351" s="13" t="s">
        <v>29</v>
      </c>
      <c r="G5351">
        <v>10</v>
      </c>
      <c r="H5351" t="s">
        <v>30</v>
      </c>
      <c r="I5351">
        <v>10</v>
      </c>
      <c r="J5351" s="15"/>
      <c r="K5351" s="16">
        <f>345.27 - (345.27 * $E$1)</f>
        <v>345.27</v>
      </c>
      <c r="L5351" s="16">
        <f>283.01 - (283.01 * $E$1)</f>
        <v>283.01</v>
      </c>
      <c r="M5351" s="1">
        <v>345.27</v>
      </c>
      <c r="N5351" s="1">
        <v>283.01</v>
      </c>
      <c r="O5351" s="1">
        <v>293.48</v>
      </c>
      <c r="P5351" s="1">
        <v>240.56</v>
      </c>
      <c r="Q5351">
        <v>0.01</v>
      </c>
      <c r="R5351">
        <v>4.1999999999999996E-6</v>
      </c>
    </row>
    <row r="5352" spans="1:18" ht="13.8" outlineLevel="2" x14ac:dyDescent="0.25">
      <c r="A5352">
        <v>83622</v>
      </c>
      <c r="B5352" t="s">
        <v>7532</v>
      </c>
      <c r="C5352" t="s">
        <v>7614</v>
      </c>
      <c r="D5352" s="14" t="s">
        <v>7613</v>
      </c>
      <c r="E5352" s="12" t="s">
        <v>28</v>
      </c>
      <c r="F5352" s="13" t="s">
        <v>29</v>
      </c>
      <c r="G5352">
        <v>10</v>
      </c>
      <c r="H5352" t="s">
        <v>30</v>
      </c>
      <c r="I5352">
        <v>10</v>
      </c>
      <c r="J5352" s="15"/>
      <c r="K5352" s="16">
        <f>527.96 - (527.96 * $E$1)</f>
        <v>527.96</v>
      </c>
      <c r="L5352" s="16">
        <f>432.75 - (432.75 * $E$1)</f>
        <v>432.75</v>
      </c>
      <c r="M5352" s="1">
        <v>527.96</v>
      </c>
      <c r="N5352" s="1">
        <v>432.75</v>
      </c>
      <c r="O5352" s="1">
        <v>448.76</v>
      </c>
      <c r="P5352" s="1">
        <v>367.84</v>
      </c>
      <c r="Q5352">
        <v>0.03</v>
      </c>
      <c r="R5352">
        <v>9.5999999999999996E-6</v>
      </c>
    </row>
    <row r="5353" spans="1:18" ht="13.8" outlineLevel="2" x14ac:dyDescent="0.25">
      <c r="A5353">
        <v>83623</v>
      </c>
      <c r="B5353" t="s">
        <v>7532</v>
      </c>
      <c r="C5353" t="s">
        <v>7615</v>
      </c>
      <c r="D5353" s="14" t="s">
        <v>7613</v>
      </c>
      <c r="E5353" s="12" t="s">
        <v>28</v>
      </c>
      <c r="F5353" s="13" t="s">
        <v>29</v>
      </c>
      <c r="G5353">
        <v>10</v>
      </c>
      <c r="H5353" t="s">
        <v>30</v>
      </c>
      <c r="I5353">
        <v>10</v>
      </c>
      <c r="J5353" s="15"/>
      <c r="K5353" s="16">
        <f>614.07 - (614.07 * $E$1)</f>
        <v>614.07000000000005</v>
      </c>
      <c r="L5353" s="16">
        <f>503.34 - (503.34 * $E$1)</f>
        <v>503.34</v>
      </c>
      <c r="M5353" s="1">
        <v>614.07000000000005</v>
      </c>
      <c r="N5353" s="1">
        <v>503.34</v>
      </c>
      <c r="O5353" s="1">
        <v>521.96</v>
      </c>
      <c r="P5353" s="1">
        <v>427.84</v>
      </c>
      <c r="Q5353">
        <v>0.04</v>
      </c>
      <c r="R5353">
        <v>1.8E-5</v>
      </c>
    </row>
    <row r="5354" spans="1:18" ht="13.8" outlineLevel="2" x14ac:dyDescent="0.25">
      <c r="A5354">
        <v>83624</v>
      </c>
      <c r="B5354" t="s">
        <v>7532</v>
      </c>
      <c r="C5354" t="s">
        <v>7616</v>
      </c>
      <c r="D5354" s="14" t="s">
        <v>7613</v>
      </c>
      <c r="E5354" s="12" t="s">
        <v>28</v>
      </c>
      <c r="F5354" s="13" t="s">
        <v>29</v>
      </c>
      <c r="G5354">
        <v>10</v>
      </c>
      <c r="H5354" t="s">
        <v>30</v>
      </c>
      <c r="I5354">
        <v>10</v>
      </c>
      <c r="J5354" s="15"/>
      <c r="K5354" s="16">
        <f>662.12 - (662.12 * $E$1)</f>
        <v>662.12</v>
      </c>
      <c r="L5354" s="16">
        <f>542.72 - (542.72 * $E$1)</f>
        <v>542.72</v>
      </c>
      <c r="M5354" s="1">
        <v>662.12</v>
      </c>
      <c r="N5354" s="1">
        <v>542.72</v>
      </c>
      <c r="O5354" s="1">
        <v>562.79999999999995</v>
      </c>
      <c r="P5354" s="1">
        <v>461.31</v>
      </c>
      <c r="Q5354">
        <v>0.05</v>
      </c>
      <c r="R5354">
        <v>2.4000000000000001E-5</v>
      </c>
    </row>
    <row r="5355" spans="1:18" ht="13.8" outlineLevel="2" x14ac:dyDescent="0.25">
      <c r="A5355">
        <v>83625</v>
      </c>
      <c r="B5355" t="s">
        <v>7532</v>
      </c>
      <c r="C5355" t="s">
        <v>7617</v>
      </c>
      <c r="D5355" s="14" t="s">
        <v>7613</v>
      </c>
      <c r="E5355" s="12" t="s">
        <v>28</v>
      </c>
      <c r="F5355" s="13" t="s">
        <v>29</v>
      </c>
      <c r="G5355">
        <v>10</v>
      </c>
      <c r="H5355" t="s">
        <v>30</v>
      </c>
      <c r="I5355">
        <v>10</v>
      </c>
      <c r="J5355" s="15"/>
      <c r="K5355" s="16">
        <f>779.76 - (779.76 * $E$1)</f>
        <v>779.76</v>
      </c>
      <c r="L5355" s="16">
        <f>639.15 - (639.15 * $E$1)</f>
        <v>639.15</v>
      </c>
      <c r="M5355" s="1">
        <v>779.76</v>
      </c>
      <c r="N5355" s="1">
        <v>639.15</v>
      </c>
      <c r="O5355" s="1">
        <v>662.8</v>
      </c>
      <c r="P5355" s="1">
        <v>543.28</v>
      </c>
      <c r="Q5355">
        <v>0.06</v>
      </c>
      <c r="R5355">
        <v>3.0000000000000001E-5</v>
      </c>
    </row>
    <row r="5356" spans="1:18" ht="13.8" outlineLevel="2" x14ac:dyDescent="0.25">
      <c r="A5356">
        <v>88026</v>
      </c>
      <c r="B5356" t="s">
        <v>7532</v>
      </c>
      <c r="C5356" t="s">
        <v>7618</v>
      </c>
      <c r="D5356" s="14" t="s">
        <v>7613</v>
      </c>
      <c r="E5356" s="12" t="s">
        <v>28</v>
      </c>
      <c r="F5356" s="13" t="s">
        <v>29</v>
      </c>
      <c r="G5356">
        <v>10</v>
      </c>
      <c r="H5356" t="s">
        <v>30</v>
      </c>
      <c r="I5356">
        <v>10</v>
      </c>
      <c r="J5356" s="15"/>
      <c r="K5356" s="16">
        <f>900.06 - (900.06 * $E$1)</f>
        <v>900.06</v>
      </c>
      <c r="L5356" s="16">
        <f>737.75 - (737.75 * $E$1)</f>
        <v>737.75</v>
      </c>
      <c r="M5356" s="1">
        <v>900.06</v>
      </c>
      <c r="N5356" s="1">
        <v>737.75</v>
      </c>
      <c r="O5356" s="1">
        <v>765.05</v>
      </c>
      <c r="P5356" s="1">
        <v>627.09</v>
      </c>
      <c r="Q5356">
        <v>5.5E-2</v>
      </c>
      <c r="R5356">
        <v>4.32E-5</v>
      </c>
    </row>
    <row r="5357" spans="1:18" ht="13.8" outlineLevel="2" x14ac:dyDescent="0.25">
      <c r="A5357">
        <v>83626</v>
      </c>
      <c r="B5357" t="s">
        <v>7532</v>
      </c>
      <c r="C5357" t="s">
        <v>7619</v>
      </c>
      <c r="D5357" s="14" t="s">
        <v>7613</v>
      </c>
      <c r="E5357" s="12" t="s">
        <v>28</v>
      </c>
      <c r="F5357" s="13" t="s">
        <v>29</v>
      </c>
      <c r="G5357">
        <v>10</v>
      </c>
      <c r="H5357" t="s">
        <v>30</v>
      </c>
      <c r="I5357">
        <v>10</v>
      </c>
      <c r="J5357" s="15"/>
      <c r="K5357" s="16">
        <f>1270.17 - (1270.17 * $E$1)</f>
        <v>1270.17</v>
      </c>
      <c r="L5357" s="16">
        <f>1041.12 - (1041.12 * $E$1)</f>
        <v>1041.1199999999999</v>
      </c>
      <c r="M5357" s="1">
        <v>1270.17</v>
      </c>
      <c r="N5357" s="1">
        <v>1041.1199999999999</v>
      </c>
      <c r="O5357" s="1">
        <v>1079.6400000000001</v>
      </c>
      <c r="P5357" s="1">
        <v>884.95</v>
      </c>
      <c r="Q5357">
        <v>0.1</v>
      </c>
      <c r="R5357">
        <v>5.7800000000000002E-5</v>
      </c>
    </row>
    <row r="5358" spans="1:18" ht="13.8" outlineLevel="2" x14ac:dyDescent="0.25">
      <c r="A5358">
        <v>88028</v>
      </c>
      <c r="B5358" t="s">
        <v>7532</v>
      </c>
      <c r="C5358" t="s">
        <v>7620</v>
      </c>
      <c r="D5358" s="14" t="s">
        <v>7613</v>
      </c>
      <c r="E5358" s="12" t="s">
        <v>28</v>
      </c>
      <c r="F5358" s="13" t="s">
        <v>29</v>
      </c>
      <c r="G5358">
        <v>4</v>
      </c>
      <c r="H5358" t="s">
        <v>30</v>
      </c>
      <c r="I5358">
        <v>4</v>
      </c>
      <c r="J5358" s="15"/>
      <c r="K5358" s="16">
        <f>1596.78 - (1596.78 * $E$1)</f>
        <v>1596.78</v>
      </c>
      <c r="L5358" s="16">
        <f>1308.84 - (1308.84 * $E$1)</f>
        <v>1308.8399999999999</v>
      </c>
      <c r="M5358" s="1">
        <v>1596.78</v>
      </c>
      <c r="N5358" s="1">
        <v>1308.8399999999999</v>
      </c>
      <c r="O5358" s="1">
        <v>1357.27</v>
      </c>
      <c r="P5358" s="1">
        <v>1112.51</v>
      </c>
      <c r="Q5358">
        <v>0.105</v>
      </c>
      <c r="R5358">
        <v>4.8999999999999998E-5</v>
      </c>
    </row>
    <row r="5359" spans="1:18" ht="13.8" outlineLevel="2" x14ac:dyDescent="0.25">
      <c r="A5359">
        <v>83627</v>
      </c>
      <c r="B5359" t="s">
        <v>7532</v>
      </c>
      <c r="C5359" t="s">
        <v>7621</v>
      </c>
      <c r="D5359" s="14" t="s">
        <v>7613</v>
      </c>
      <c r="E5359" s="12" t="s">
        <v>28</v>
      </c>
      <c r="F5359" s="13" t="s">
        <v>29</v>
      </c>
      <c r="G5359">
        <v>4</v>
      </c>
      <c r="H5359" t="s">
        <v>30</v>
      </c>
      <c r="I5359">
        <v>4</v>
      </c>
      <c r="J5359" s="15"/>
      <c r="K5359" s="16">
        <f>1897.65 - (1897.65 * $E$1)</f>
        <v>1897.65</v>
      </c>
      <c r="L5359" s="16">
        <f>1555.45 - (1555.45 * $E$1)</f>
        <v>1555.45</v>
      </c>
      <c r="M5359" s="1">
        <v>1897.65</v>
      </c>
      <c r="N5359" s="1">
        <v>1555.45</v>
      </c>
      <c r="O5359" s="1">
        <v>1613</v>
      </c>
      <c r="P5359" s="1">
        <v>1322.13</v>
      </c>
      <c r="Q5359">
        <v>0.15</v>
      </c>
      <c r="R5359">
        <v>8.0000000000000007E-5</v>
      </c>
    </row>
    <row r="5360" spans="1:18" ht="13.8" outlineLevel="2" x14ac:dyDescent="0.25">
      <c r="A5360">
        <v>83628</v>
      </c>
      <c r="B5360" t="s">
        <v>7532</v>
      </c>
      <c r="C5360" t="s">
        <v>7622</v>
      </c>
      <c r="D5360" s="14" t="s">
        <v>7613</v>
      </c>
      <c r="E5360" s="12" t="s">
        <v>28</v>
      </c>
      <c r="F5360" s="13" t="s">
        <v>29</v>
      </c>
      <c r="G5360">
        <v>4</v>
      </c>
      <c r="H5360" t="s">
        <v>30</v>
      </c>
      <c r="I5360">
        <v>4</v>
      </c>
      <c r="J5360" s="15"/>
      <c r="K5360" s="16">
        <f>3107.61 - (3107.61 * $E$1)</f>
        <v>3107.61</v>
      </c>
      <c r="L5360" s="16">
        <f>2547.22 - (2547.22 * $E$1)</f>
        <v>2547.2199999999998</v>
      </c>
      <c r="M5360" s="1">
        <v>3107.61</v>
      </c>
      <c r="N5360" s="1">
        <v>2547.2199999999998</v>
      </c>
      <c r="O5360" s="1">
        <v>2641.47</v>
      </c>
      <c r="P5360" s="1">
        <v>2165.14</v>
      </c>
      <c r="Q5360">
        <v>0.27500000000000002</v>
      </c>
      <c r="R5360">
        <v>1.6650000000000001E-4</v>
      </c>
    </row>
    <row r="5361" spans="1:18" ht="13.8" outlineLevel="2" x14ac:dyDescent="0.25">
      <c r="A5361">
        <v>83629</v>
      </c>
      <c r="B5361" t="s">
        <v>7532</v>
      </c>
      <c r="C5361" t="s">
        <v>7623</v>
      </c>
      <c r="D5361" s="14" t="s">
        <v>7613</v>
      </c>
      <c r="E5361" s="12" t="s">
        <v>28</v>
      </c>
      <c r="F5361" s="13" t="s">
        <v>29</v>
      </c>
      <c r="G5361">
        <v>4</v>
      </c>
      <c r="H5361" t="s">
        <v>30</v>
      </c>
      <c r="I5361">
        <v>4</v>
      </c>
      <c r="J5361" s="15"/>
      <c r="K5361" s="16">
        <f>4369.56 - (4369.56 * $E$1)</f>
        <v>4369.5600000000004</v>
      </c>
      <c r="L5361" s="16">
        <f>3581.61 - (3581.61 * $E$1)</f>
        <v>3581.61</v>
      </c>
      <c r="M5361" s="1">
        <v>4369.5600000000004</v>
      </c>
      <c r="N5361" s="1">
        <v>3581.61</v>
      </c>
      <c r="O5361" s="1">
        <v>3714.13</v>
      </c>
      <c r="P5361" s="1">
        <v>3044.37</v>
      </c>
      <c r="Q5361">
        <v>0.4</v>
      </c>
      <c r="R5361">
        <v>2.1599999999999999E-4</v>
      </c>
    </row>
    <row r="5362" spans="1:18" ht="13.8" outlineLevel="2" x14ac:dyDescent="0.25">
      <c r="A5362">
        <v>88032</v>
      </c>
      <c r="B5362" t="s">
        <v>7532</v>
      </c>
      <c r="C5362" t="s">
        <v>7624</v>
      </c>
      <c r="D5362" s="14" t="s">
        <v>7613</v>
      </c>
      <c r="E5362" s="12" t="s">
        <v>28</v>
      </c>
      <c r="F5362" s="13" t="s">
        <v>29</v>
      </c>
      <c r="G5362">
        <v>4</v>
      </c>
      <c r="H5362" t="s">
        <v>30</v>
      </c>
      <c r="I5362">
        <v>4</v>
      </c>
      <c r="J5362" s="15"/>
      <c r="K5362" s="16">
        <f>5850.25 - (5850.25 * $E$1)</f>
        <v>5850.25</v>
      </c>
      <c r="L5362" s="16">
        <f>4795.29 - (4795.29 * $E$1)</f>
        <v>4795.29</v>
      </c>
      <c r="M5362" s="1">
        <v>5850.25</v>
      </c>
      <c r="N5362" s="1">
        <v>4795.29</v>
      </c>
      <c r="O5362" s="1">
        <v>4972.72</v>
      </c>
      <c r="P5362" s="1">
        <v>4076</v>
      </c>
      <c r="Q5362">
        <v>0.42499999999999999</v>
      </c>
      <c r="R5362">
        <v>2.4499999999999999E-4</v>
      </c>
    </row>
    <row r="5363" spans="1:18" ht="13.8" outlineLevel="2" x14ac:dyDescent="0.25">
      <c r="A5363">
        <v>88033</v>
      </c>
      <c r="B5363" t="s">
        <v>7532</v>
      </c>
      <c r="C5363" t="s">
        <v>7625</v>
      </c>
      <c r="D5363" s="14" t="s">
        <v>7613</v>
      </c>
      <c r="E5363" s="12" t="s">
        <v>28</v>
      </c>
      <c r="F5363" s="13" t="s">
        <v>29</v>
      </c>
      <c r="G5363">
        <v>2</v>
      </c>
      <c r="H5363" t="s">
        <v>30</v>
      </c>
      <c r="I5363">
        <v>2</v>
      </c>
      <c r="J5363" s="15"/>
      <c r="K5363" s="16">
        <f>7932.05 - (7932.05 * $E$1)</f>
        <v>7932.05</v>
      </c>
      <c r="L5363" s="16">
        <f>6501.68 - (6501.68 * $E$1)</f>
        <v>6501.68</v>
      </c>
      <c r="M5363" s="1">
        <v>7932.05</v>
      </c>
      <c r="N5363" s="1">
        <v>6501.68</v>
      </c>
      <c r="O5363" s="1">
        <v>6742.24</v>
      </c>
      <c r="P5363" s="1">
        <v>5526.43</v>
      </c>
      <c r="Q5363">
        <v>0.64500000000000002</v>
      </c>
      <c r="R5363">
        <v>3.6000000000000002E-4</v>
      </c>
    </row>
    <row r="5364" spans="1:18" ht="13.8" outlineLevel="2" x14ac:dyDescent="0.25">
      <c r="A5364">
        <v>68123</v>
      </c>
      <c r="B5364" t="s">
        <v>7548</v>
      </c>
      <c r="C5364" t="s">
        <v>7626</v>
      </c>
      <c r="D5364" s="14" t="s">
        <v>7627</v>
      </c>
      <c r="E5364" s="12" t="s">
        <v>28</v>
      </c>
      <c r="F5364" s="13" t="s">
        <v>29</v>
      </c>
      <c r="G5364">
        <v>10</v>
      </c>
      <c r="H5364" t="s">
        <v>30</v>
      </c>
      <c r="I5364">
        <v>10</v>
      </c>
      <c r="J5364" s="15"/>
      <c r="K5364" s="16">
        <f>97.84 - (97.84 * $E$1)</f>
        <v>97.84</v>
      </c>
      <c r="L5364" s="16">
        <f>80.2 - (80.2 * $E$1)</f>
        <v>80.2</v>
      </c>
      <c r="M5364" s="1">
        <v>97.84</v>
      </c>
      <c r="N5364" s="1">
        <v>80.2</v>
      </c>
      <c r="O5364" s="1">
        <v>83.17</v>
      </c>
      <c r="P5364" s="1">
        <v>68.17</v>
      </c>
      <c r="Q5364">
        <v>1.26E-2</v>
      </c>
      <c r="R5364">
        <v>2.16E-5</v>
      </c>
    </row>
    <row r="5365" spans="1:18" ht="13.8" outlineLevel="2" x14ac:dyDescent="0.25">
      <c r="A5365">
        <v>60881</v>
      </c>
      <c r="B5365" t="s">
        <v>7548</v>
      </c>
      <c r="C5365" t="s">
        <v>7628</v>
      </c>
      <c r="D5365" s="14" t="s">
        <v>7627</v>
      </c>
      <c r="E5365" s="12" t="s">
        <v>28</v>
      </c>
      <c r="F5365" s="13" t="s">
        <v>29</v>
      </c>
      <c r="G5365">
        <v>10</v>
      </c>
      <c r="H5365" t="s">
        <v>30</v>
      </c>
      <c r="I5365">
        <v>10</v>
      </c>
      <c r="J5365" s="15"/>
      <c r="K5365" s="16">
        <f>141.86 - (141.86 * $E$1)</f>
        <v>141.86000000000001</v>
      </c>
      <c r="L5365" s="16">
        <f>116.28 - (116.28 * $E$1)</f>
        <v>116.28</v>
      </c>
      <c r="M5365" s="1">
        <v>141.86000000000001</v>
      </c>
      <c r="N5365" s="1">
        <v>116.28</v>
      </c>
      <c r="O5365" s="1">
        <v>120.58</v>
      </c>
      <c r="P5365" s="1">
        <v>98.84</v>
      </c>
      <c r="Q5365">
        <v>1.9E-2</v>
      </c>
      <c r="R5365">
        <v>2.16E-5</v>
      </c>
    </row>
    <row r="5366" spans="1:18" ht="13.8" outlineLevel="2" x14ac:dyDescent="0.25">
      <c r="A5366">
        <v>60882</v>
      </c>
      <c r="B5366" t="s">
        <v>7548</v>
      </c>
      <c r="C5366" t="s">
        <v>7629</v>
      </c>
      <c r="D5366" s="14" t="s">
        <v>7627</v>
      </c>
      <c r="E5366" s="12" t="s">
        <v>28</v>
      </c>
      <c r="F5366" s="13" t="s">
        <v>29</v>
      </c>
      <c r="G5366">
        <v>10</v>
      </c>
      <c r="H5366" t="s">
        <v>30</v>
      </c>
      <c r="I5366">
        <v>10</v>
      </c>
      <c r="J5366" s="15"/>
      <c r="K5366" s="16">
        <f>167.36 - (167.36 * $E$1)</f>
        <v>167.36</v>
      </c>
      <c r="L5366" s="16">
        <f>137.18 - (137.18 * $E$1)</f>
        <v>137.18</v>
      </c>
      <c r="M5366" s="1">
        <v>167.36</v>
      </c>
      <c r="N5366" s="1">
        <v>137.18</v>
      </c>
      <c r="O5366" s="1">
        <v>142.26</v>
      </c>
      <c r="P5366" s="1">
        <v>116.6</v>
      </c>
      <c r="Q5366">
        <v>2.3800000000000002E-2</v>
      </c>
      <c r="R5366">
        <v>3.7100000000000001E-5</v>
      </c>
    </row>
    <row r="5367" spans="1:18" ht="13.8" outlineLevel="2" x14ac:dyDescent="0.25">
      <c r="A5367">
        <v>60883</v>
      </c>
      <c r="B5367" t="s">
        <v>7548</v>
      </c>
      <c r="C5367" t="s">
        <v>7630</v>
      </c>
      <c r="D5367" s="14" t="s">
        <v>7627</v>
      </c>
      <c r="E5367" s="12" t="s">
        <v>28</v>
      </c>
      <c r="F5367" s="13" t="s">
        <v>29</v>
      </c>
      <c r="G5367">
        <v>10</v>
      </c>
      <c r="H5367" t="s">
        <v>30</v>
      </c>
      <c r="I5367">
        <v>10</v>
      </c>
      <c r="J5367" s="15"/>
      <c r="K5367" s="16">
        <f>193.05 - (193.05 * $E$1)</f>
        <v>193.05</v>
      </c>
      <c r="L5367" s="16">
        <f>158.24 - (158.24 * $E$1)</f>
        <v>158.24</v>
      </c>
      <c r="M5367" s="1">
        <v>193.05</v>
      </c>
      <c r="N5367" s="1">
        <v>158.24</v>
      </c>
      <c r="O5367" s="1">
        <v>164.09</v>
      </c>
      <c r="P5367" s="1">
        <v>134.5</v>
      </c>
      <c r="Q5367">
        <v>2.8400000000000002E-2</v>
      </c>
      <c r="R5367">
        <v>3.2400000000000001E-5</v>
      </c>
    </row>
    <row r="5368" spans="1:18" ht="13.8" outlineLevel="2" x14ac:dyDescent="0.25">
      <c r="A5368">
        <v>60884</v>
      </c>
      <c r="B5368" t="s">
        <v>7548</v>
      </c>
      <c r="C5368" t="s">
        <v>7631</v>
      </c>
      <c r="D5368" s="14" t="s">
        <v>7627</v>
      </c>
      <c r="E5368" s="12" t="s">
        <v>28</v>
      </c>
      <c r="F5368" s="13" t="s">
        <v>29</v>
      </c>
      <c r="G5368">
        <v>10</v>
      </c>
      <c r="H5368" t="s">
        <v>30</v>
      </c>
      <c r="I5368">
        <v>10</v>
      </c>
      <c r="J5368" s="15"/>
      <c r="K5368" s="16">
        <f>223.28 - (223.28 * $E$1)</f>
        <v>223.28</v>
      </c>
      <c r="L5368" s="16">
        <f>183.02 - (183.02 * $E$1)</f>
        <v>183.02</v>
      </c>
      <c r="M5368" s="1">
        <v>223.28</v>
      </c>
      <c r="N5368" s="1">
        <v>183.02</v>
      </c>
      <c r="O5368" s="1">
        <v>189.79</v>
      </c>
      <c r="P5368" s="1">
        <v>155.57</v>
      </c>
      <c r="Q5368">
        <v>3.3000000000000002E-2</v>
      </c>
      <c r="R5368">
        <v>3.2400000000000001E-5</v>
      </c>
    </row>
    <row r="5369" spans="1:18" ht="13.8" outlineLevel="2" x14ac:dyDescent="0.25">
      <c r="A5369">
        <v>88003</v>
      </c>
      <c r="B5369" t="s">
        <v>7548</v>
      </c>
      <c r="C5369" t="s">
        <v>7632</v>
      </c>
      <c r="D5369" s="14" t="s">
        <v>7627</v>
      </c>
      <c r="E5369" s="12" t="s">
        <v>28</v>
      </c>
      <c r="F5369" s="13" t="s">
        <v>29</v>
      </c>
      <c r="G5369">
        <v>10</v>
      </c>
      <c r="H5369" t="s">
        <v>30</v>
      </c>
      <c r="I5369">
        <v>10</v>
      </c>
      <c r="J5369" s="15"/>
      <c r="K5369" s="16">
        <f>257.93 - (257.93 * $E$1)</f>
        <v>257.93</v>
      </c>
      <c r="L5369" s="16">
        <f>211.42 - (211.42 * $E$1)</f>
        <v>211.42</v>
      </c>
      <c r="M5369" s="1">
        <v>257.93</v>
      </c>
      <c r="N5369" s="1">
        <v>211.42</v>
      </c>
      <c r="O5369" s="1">
        <v>219.24</v>
      </c>
      <c r="P5369" s="1">
        <v>179.71</v>
      </c>
      <c r="Q5369">
        <v>3.7999999999999999E-2</v>
      </c>
      <c r="R5369">
        <v>5.3999999999999998E-5</v>
      </c>
    </row>
    <row r="5370" spans="1:18" ht="13.8" outlineLevel="2" x14ac:dyDescent="0.25">
      <c r="A5370">
        <v>60885</v>
      </c>
      <c r="B5370" t="s">
        <v>7548</v>
      </c>
      <c r="C5370" t="s">
        <v>7633</v>
      </c>
      <c r="D5370" s="14" t="s">
        <v>7627</v>
      </c>
      <c r="E5370" s="12" t="s">
        <v>28</v>
      </c>
      <c r="F5370" s="13" t="s">
        <v>29</v>
      </c>
      <c r="G5370">
        <v>10</v>
      </c>
      <c r="H5370" t="s">
        <v>30</v>
      </c>
      <c r="I5370">
        <v>10</v>
      </c>
      <c r="J5370" s="15"/>
      <c r="K5370" s="16">
        <f>355.76 - (355.76 * $E$1)</f>
        <v>355.76</v>
      </c>
      <c r="L5370" s="16">
        <f>291.61 - (291.61 * $E$1)</f>
        <v>291.61</v>
      </c>
      <c r="M5370" s="1">
        <v>355.76</v>
      </c>
      <c r="N5370" s="1">
        <v>291.61</v>
      </c>
      <c r="O5370" s="1">
        <v>302.39999999999998</v>
      </c>
      <c r="P5370" s="1">
        <v>247.87</v>
      </c>
      <c r="Q5370">
        <v>5.2999999999999999E-2</v>
      </c>
      <c r="R5370">
        <v>5.1999999999999997E-5</v>
      </c>
    </row>
    <row r="5371" spans="1:18" ht="13.8" outlineLevel="2" x14ac:dyDescent="0.25">
      <c r="A5371">
        <v>88005</v>
      </c>
      <c r="B5371" t="s">
        <v>7548</v>
      </c>
      <c r="C5371" t="s">
        <v>7634</v>
      </c>
      <c r="D5371" s="14" t="s">
        <v>7627</v>
      </c>
      <c r="E5371" s="12" t="s">
        <v>28</v>
      </c>
      <c r="F5371" s="13" t="s">
        <v>29</v>
      </c>
      <c r="G5371">
        <v>6</v>
      </c>
      <c r="H5371" t="s">
        <v>30</v>
      </c>
      <c r="I5371">
        <v>6</v>
      </c>
      <c r="J5371" s="15"/>
      <c r="K5371" s="16">
        <f>477.07 - (477.07 * $E$1)</f>
        <v>477.07</v>
      </c>
      <c r="L5371" s="16">
        <f>391.04 - (391.04 * $E$1)</f>
        <v>391.04</v>
      </c>
      <c r="M5371" s="1">
        <v>477.07</v>
      </c>
      <c r="N5371" s="1">
        <v>391.04</v>
      </c>
      <c r="O5371" s="1">
        <v>405.51</v>
      </c>
      <c r="P5371" s="1">
        <v>332.38</v>
      </c>
      <c r="Q5371">
        <v>7.0000000000000007E-2</v>
      </c>
      <c r="R5371">
        <v>4.6666666666666997E-5</v>
      </c>
    </row>
    <row r="5372" spans="1:18" ht="13.8" outlineLevel="2" x14ac:dyDescent="0.25">
      <c r="A5372">
        <v>60886</v>
      </c>
      <c r="B5372" t="s">
        <v>7548</v>
      </c>
      <c r="C5372" t="s">
        <v>7635</v>
      </c>
      <c r="D5372" s="14" t="s">
        <v>7627</v>
      </c>
      <c r="E5372" s="12" t="s">
        <v>28</v>
      </c>
      <c r="F5372" s="13" t="s">
        <v>29</v>
      </c>
      <c r="G5372">
        <v>6</v>
      </c>
      <c r="H5372" t="s">
        <v>30</v>
      </c>
      <c r="I5372">
        <v>6</v>
      </c>
      <c r="J5372" s="15"/>
      <c r="K5372" s="16">
        <f>649.35 - (649.35 * $E$1)</f>
        <v>649.35</v>
      </c>
      <c r="L5372" s="16">
        <f>532.25 - (532.25 * $E$1)</f>
        <v>532.25</v>
      </c>
      <c r="M5372" s="1">
        <v>649.35</v>
      </c>
      <c r="N5372" s="1">
        <v>532.25</v>
      </c>
      <c r="O5372" s="1">
        <v>551.94000000000005</v>
      </c>
      <c r="P5372" s="1">
        <v>452.41</v>
      </c>
      <c r="Q5372">
        <v>0.10833333333333001</v>
      </c>
      <c r="R5372">
        <v>7.7999999999999999E-5</v>
      </c>
    </row>
    <row r="5373" spans="1:18" ht="13.8" outlineLevel="2" x14ac:dyDescent="0.25">
      <c r="A5373">
        <v>60887</v>
      </c>
      <c r="B5373" t="s">
        <v>7548</v>
      </c>
      <c r="C5373" t="s">
        <v>7636</v>
      </c>
      <c r="D5373" s="14" t="s">
        <v>7627</v>
      </c>
      <c r="E5373" s="12" t="s">
        <v>28</v>
      </c>
      <c r="F5373" s="13" t="s">
        <v>29</v>
      </c>
      <c r="G5373">
        <v>6</v>
      </c>
      <c r="H5373" t="s">
        <v>30</v>
      </c>
      <c r="I5373">
        <v>6</v>
      </c>
      <c r="J5373" s="15"/>
      <c r="K5373" s="16">
        <f>1072.12 - (1072.12 * $E$1)</f>
        <v>1072.1199999999999</v>
      </c>
      <c r="L5373" s="16">
        <f>878.79 - (878.79 * $E$1)</f>
        <v>878.79</v>
      </c>
      <c r="M5373" s="1">
        <v>1072.1199999999999</v>
      </c>
      <c r="N5373" s="1">
        <v>878.79</v>
      </c>
      <c r="O5373" s="1">
        <v>911.31</v>
      </c>
      <c r="P5373" s="1">
        <v>746.97</v>
      </c>
      <c r="Q5373">
        <v>0.16566666666666999</v>
      </c>
      <c r="R5373">
        <v>1.3333333333333001E-4</v>
      </c>
    </row>
    <row r="5374" spans="1:18" ht="13.8" outlineLevel="2" x14ac:dyDescent="0.25">
      <c r="A5374">
        <v>68124</v>
      </c>
      <c r="B5374" t="s">
        <v>7548</v>
      </c>
      <c r="C5374" t="s">
        <v>7637</v>
      </c>
      <c r="D5374" s="14" t="s">
        <v>7627</v>
      </c>
      <c r="E5374" s="12" t="s">
        <v>28</v>
      </c>
      <c r="F5374" s="13" t="s">
        <v>29</v>
      </c>
      <c r="G5374">
        <v>6</v>
      </c>
      <c r="H5374" t="s">
        <v>30</v>
      </c>
      <c r="I5374">
        <v>6</v>
      </c>
      <c r="J5374" s="15"/>
      <c r="K5374" s="16">
        <f>1605.43 - (1605.43 * $E$1)</f>
        <v>1605.43</v>
      </c>
      <c r="L5374" s="16">
        <f>1315.93 - (1315.93 * $E$1)</f>
        <v>1315.93</v>
      </c>
      <c r="M5374" s="1">
        <v>1605.43</v>
      </c>
      <c r="N5374" s="1">
        <v>1315.93</v>
      </c>
      <c r="O5374" s="1">
        <v>1364.62</v>
      </c>
      <c r="P5374" s="1">
        <v>1118.54</v>
      </c>
      <c r="Q5374">
        <v>0.255</v>
      </c>
      <c r="R5374">
        <v>1.8000000000000001E-4</v>
      </c>
    </row>
    <row r="5375" spans="1:18" ht="13.8" outlineLevel="2" x14ac:dyDescent="0.25">
      <c r="A5375">
        <v>88009</v>
      </c>
      <c r="B5375" t="s">
        <v>7548</v>
      </c>
      <c r="C5375" t="s">
        <v>7638</v>
      </c>
      <c r="D5375" s="14" t="s">
        <v>7627</v>
      </c>
      <c r="E5375" s="12" t="s">
        <v>28</v>
      </c>
      <c r="F5375" s="13" t="s">
        <v>29</v>
      </c>
      <c r="G5375">
        <v>2</v>
      </c>
      <c r="H5375" t="s">
        <v>30</v>
      </c>
      <c r="I5375">
        <v>2</v>
      </c>
      <c r="J5375" s="15"/>
      <c r="K5375" s="16">
        <f>2227.54 - (2227.54 * $E$1)</f>
        <v>2227.54</v>
      </c>
      <c r="L5375" s="16">
        <f>1825.85 - (1825.85 * $E$1)</f>
        <v>1825.85</v>
      </c>
      <c r="M5375" s="1">
        <v>2227.54</v>
      </c>
      <c r="N5375" s="1">
        <v>1825.85</v>
      </c>
      <c r="O5375" s="1">
        <v>1893.41</v>
      </c>
      <c r="P5375" s="1">
        <v>1551.97</v>
      </c>
      <c r="Q5375">
        <v>0.31</v>
      </c>
      <c r="R5375">
        <v>2.4499999999999999E-4</v>
      </c>
    </row>
    <row r="5376" spans="1:18" ht="13.8" outlineLevel="2" x14ac:dyDescent="0.25">
      <c r="A5376">
        <v>88010</v>
      </c>
      <c r="B5376" t="s">
        <v>7548</v>
      </c>
      <c r="C5376" t="s">
        <v>7639</v>
      </c>
      <c r="D5376" s="14" t="s">
        <v>7627</v>
      </c>
      <c r="E5376" s="12" t="s">
        <v>28</v>
      </c>
      <c r="F5376" s="13" t="s">
        <v>29</v>
      </c>
      <c r="G5376">
        <v>1</v>
      </c>
      <c r="H5376" t="s">
        <v>30</v>
      </c>
      <c r="I5376">
        <v>1</v>
      </c>
      <c r="J5376" s="15"/>
      <c r="K5376" s="16">
        <f>4111.23 - (4111.23 * $E$1)</f>
        <v>4111.2299999999996</v>
      </c>
      <c r="L5376" s="16">
        <f>3369.86 - (3369.86 * $E$1)</f>
        <v>3369.86</v>
      </c>
      <c r="M5376" s="1">
        <v>4111.2299999999996</v>
      </c>
      <c r="N5376" s="1">
        <v>3369.86</v>
      </c>
      <c r="O5376" s="1">
        <v>3494.54</v>
      </c>
      <c r="P5376" s="1">
        <v>2864.38</v>
      </c>
      <c r="Q5376">
        <v>0.59</v>
      </c>
      <c r="R5376">
        <v>4.86E-4</v>
      </c>
    </row>
    <row r="5377" spans="1:18" ht="13.8" outlineLevel="2" x14ac:dyDescent="0.25">
      <c r="A5377">
        <v>88831</v>
      </c>
      <c r="B5377" t="s">
        <v>7548</v>
      </c>
      <c r="C5377" t="s">
        <v>7640</v>
      </c>
      <c r="D5377" s="14" t="s">
        <v>7641</v>
      </c>
      <c r="E5377" s="12" t="s">
        <v>28</v>
      </c>
      <c r="F5377" s="13" t="s">
        <v>29</v>
      </c>
      <c r="G5377">
        <v>10</v>
      </c>
      <c r="H5377" t="s">
        <v>30</v>
      </c>
      <c r="I5377">
        <v>10</v>
      </c>
      <c r="J5377" s="15"/>
      <c r="K5377" s="16">
        <f>101.35 - (101.35 * $E$1)</f>
        <v>101.35</v>
      </c>
      <c r="L5377" s="16">
        <f>83.07 - (83.07 * $E$1)</f>
        <v>83.07</v>
      </c>
      <c r="M5377" s="1">
        <v>101.35</v>
      </c>
      <c r="N5377" s="1">
        <v>83.07</v>
      </c>
      <c r="O5377" s="1">
        <v>86.14</v>
      </c>
      <c r="P5377" s="1">
        <v>70.61</v>
      </c>
      <c r="Q5377">
        <v>1.2800000000000001E-2</v>
      </c>
      <c r="R5377">
        <v>2.16E-5</v>
      </c>
    </row>
    <row r="5378" spans="1:18" ht="13.8" outlineLevel="2" x14ac:dyDescent="0.25">
      <c r="A5378">
        <v>88832</v>
      </c>
      <c r="B5378" t="s">
        <v>7548</v>
      </c>
      <c r="C5378" t="s">
        <v>7642</v>
      </c>
      <c r="D5378" s="14" t="s">
        <v>7641</v>
      </c>
      <c r="E5378" s="12" t="s">
        <v>28</v>
      </c>
      <c r="F5378" s="13" t="s">
        <v>29</v>
      </c>
      <c r="G5378">
        <v>10</v>
      </c>
      <c r="H5378" t="s">
        <v>30</v>
      </c>
      <c r="I5378">
        <v>10</v>
      </c>
      <c r="J5378" s="15"/>
      <c r="K5378" s="16">
        <f>146.45 - (146.45 * $E$1)</f>
        <v>146.44999999999999</v>
      </c>
      <c r="L5378" s="16">
        <f>120.04 - (120.04 * $E$1)</f>
        <v>120.04</v>
      </c>
      <c r="M5378" s="1">
        <v>146.44999999999999</v>
      </c>
      <c r="N5378" s="1">
        <v>120.04</v>
      </c>
      <c r="O5378" s="1">
        <v>124.48</v>
      </c>
      <c r="P5378" s="1">
        <v>102.03</v>
      </c>
      <c r="Q5378">
        <v>1.9400000000000001E-2</v>
      </c>
      <c r="R5378">
        <v>1.98E-5</v>
      </c>
    </row>
    <row r="5379" spans="1:18" ht="13.8" outlineLevel="2" x14ac:dyDescent="0.25">
      <c r="A5379">
        <v>88833</v>
      </c>
      <c r="B5379" t="s">
        <v>7548</v>
      </c>
      <c r="C5379" t="s">
        <v>7643</v>
      </c>
      <c r="D5379" s="14" t="s">
        <v>7641</v>
      </c>
      <c r="E5379" s="12" t="s">
        <v>28</v>
      </c>
      <c r="F5379" s="13" t="s">
        <v>29</v>
      </c>
      <c r="G5379">
        <v>10</v>
      </c>
      <c r="H5379" t="s">
        <v>30</v>
      </c>
      <c r="I5379">
        <v>10</v>
      </c>
      <c r="J5379" s="15"/>
      <c r="K5379" s="16">
        <f>170.19 - (170.19 * $E$1)</f>
        <v>170.19</v>
      </c>
      <c r="L5379" s="16">
        <f>139.5 - (139.5 * $E$1)</f>
        <v>139.5</v>
      </c>
      <c r="M5379" s="1">
        <v>170.19</v>
      </c>
      <c r="N5379" s="1">
        <v>139.5</v>
      </c>
      <c r="O5379" s="1">
        <v>144.66</v>
      </c>
      <c r="P5379" s="1">
        <v>118.58</v>
      </c>
      <c r="Q5379">
        <v>2.64E-2</v>
      </c>
      <c r="R5379">
        <v>2.1999999999999999E-5</v>
      </c>
    </row>
    <row r="5380" spans="1:18" ht="13.8" outlineLevel="2" x14ac:dyDescent="0.25">
      <c r="A5380">
        <v>88834</v>
      </c>
      <c r="B5380" t="s">
        <v>7548</v>
      </c>
      <c r="C5380" t="s">
        <v>7644</v>
      </c>
      <c r="D5380" s="14" t="s">
        <v>7641</v>
      </c>
      <c r="E5380" s="12" t="s">
        <v>28</v>
      </c>
      <c r="F5380" s="13" t="s">
        <v>29</v>
      </c>
      <c r="G5380">
        <v>10</v>
      </c>
      <c r="H5380" t="s">
        <v>30</v>
      </c>
      <c r="I5380">
        <v>10</v>
      </c>
      <c r="J5380" s="15"/>
      <c r="K5380" s="16">
        <f>200.21 - (200.21 * $E$1)</f>
        <v>200.21</v>
      </c>
      <c r="L5380" s="16">
        <f>164.11 - (164.11 * $E$1)</f>
        <v>164.11</v>
      </c>
      <c r="M5380" s="1">
        <v>200.21</v>
      </c>
      <c r="N5380" s="1">
        <v>164.11</v>
      </c>
      <c r="O5380" s="1">
        <v>170.18</v>
      </c>
      <c r="P5380" s="1">
        <v>139.49</v>
      </c>
      <c r="Q5380">
        <v>0.03</v>
      </c>
      <c r="R5380">
        <v>3.6000000000000001E-5</v>
      </c>
    </row>
    <row r="5381" spans="1:18" ht="13.8" outlineLevel="2" x14ac:dyDescent="0.25">
      <c r="A5381">
        <v>88835</v>
      </c>
      <c r="B5381" t="s">
        <v>7548</v>
      </c>
      <c r="C5381" t="s">
        <v>7645</v>
      </c>
      <c r="D5381" s="14" t="s">
        <v>7641</v>
      </c>
      <c r="E5381" s="12" t="s">
        <v>28</v>
      </c>
      <c r="F5381" s="13" t="s">
        <v>29</v>
      </c>
      <c r="G5381">
        <v>10</v>
      </c>
      <c r="H5381" t="s">
        <v>30</v>
      </c>
      <c r="I5381">
        <v>10</v>
      </c>
      <c r="J5381" s="15"/>
      <c r="K5381" s="16">
        <f>233.78 - (233.78 * $E$1)</f>
        <v>233.78</v>
      </c>
      <c r="L5381" s="16">
        <f>191.62 - (191.62 * $E$1)</f>
        <v>191.62</v>
      </c>
      <c r="M5381" s="1">
        <v>233.78</v>
      </c>
      <c r="N5381" s="1">
        <v>191.62</v>
      </c>
      <c r="O5381" s="1">
        <v>198.71</v>
      </c>
      <c r="P5381" s="1">
        <v>162.88</v>
      </c>
      <c r="Q5381">
        <v>3.5200000000000002E-2</v>
      </c>
      <c r="R5381">
        <v>4.2899999999999999E-5</v>
      </c>
    </row>
    <row r="5382" spans="1:18" ht="13.8" outlineLevel="2" x14ac:dyDescent="0.25">
      <c r="A5382">
        <v>88837</v>
      </c>
      <c r="B5382" t="s">
        <v>7548</v>
      </c>
      <c r="C5382" t="s">
        <v>7646</v>
      </c>
      <c r="D5382" s="14" t="s">
        <v>7641</v>
      </c>
      <c r="E5382" s="12" t="s">
        <v>28</v>
      </c>
      <c r="F5382" s="13" t="s">
        <v>29</v>
      </c>
      <c r="G5382">
        <v>10</v>
      </c>
      <c r="H5382" t="s">
        <v>30</v>
      </c>
      <c r="I5382">
        <v>10</v>
      </c>
      <c r="J5382" s="15"/>
      <c r="K5382" s="16">
        <f>362.99 - (362.99 * $E$1)</f>
        <v>362.99</v>
      </c>
      <c r="L5382" s="16">
        <f>297.53 - (297.53 * $E$1)</f>
        <v>297.52999999999997</v>
      </c>
      <c r="M5382" s="1">
        <v>362.99</v>
      </c>
      <c r="N5382" s="1">
        <v>297.52999999999997</v>
      </c>
      <c r="O5382" s="1">
        <v>308.54000000000002</v>
      </c>
      <c r="P5382" s="1">
        <v>252.9</v>
      </c>
      <c r="Q5382">
        <v>5.3199999999999997E-2</v>
      </c>
      <c r="R5382">
        <v>6.0000000000000002E-5</v>
      </c>
    </row>
    <row r="5383" spans="1:18" ht="13.8" outlineLevel="2" x14ac:dyDescent="0.25">
      <c r="A5383">
        <v>88839</v>
      </c>
      <c r="B5383" t="s">
        <v>7548</v>
      </c>
      <c r="C5383" t="s">
        <v>7647</v>
      </c>
      <c r="D5383" s="14" t="s">
        <v>7641</v>
      </c>
      <c r="E5383" s="12" t="s">
        <v>28</v>
      </c>
      <c r="F5383" s="13" t="s">
        <v>29</v>
      </c>
      <c r="G5383">
        <v>6</v>
      </c>
      <c r="H5383" t="s">
        <v>30</v>
      </c>
      <c r="I5383">
        <v>6</v>
      </c>
      <c r="J5383" s="15"/>
      <c r="K5383" s="16">
        <f>674.75 - (674.75 * $E$1)</f>
        <v>674.75</v>
      </c>
      <c r="L5383" s="16">
        <f>553.07 - (553.07 * $E$1)</f>
        <v>553.07000000000005</v>
      </c>
      <c r="M5383" s="1">
        <v>674.75</v>
      </c>
      <c r="N5383" s="1">
        <v>553.07000000000005</v>
      </c>
      <c r="O5383" s="1">
        <v>573.53</v>
      </c>
      <c r="P5383" s="1">
        <v>470.11</v>
      </c>
      <c r="Q5383">
        <v>0.1</v>
      </c>
      <c r="R5383">
        <v>1E-4</v>
      </c>
    </row>
    <row r="5384" spans="1:18" ht="13.8" outlineLevel="2" x14ac:dyDescent="0.25">
      <c r="A5384">
        <v>88840</v>
      </c>
      <c r="B5384" t="s">
        <v>7548</v>
      </c>
      <c r="C5384" t="s">
        <v>7648</v>
      </c>
      <c r="D5384" s="14" t="s">
        <v>7641</v>
      </c>
      <c r="E5384" s="12" t="s">
        <v>28</v>
      </c>
      <c r="F5384" s="13" t="s">
        <v>29</v>
      </c>
      <c r="G5384">
        <v>6</v>
      </c>
      <c r="H5384" t="s">
        <v>30</v>
      </c>
      <c r="I5384">
        <v>6</v>
      </c>
      <c r="J5384" s="15"/>
      <c r="K5384" s="16">
        <f>1097.63 - (1097.63 * $E$1)</f>
        <v>1097.6300000000001</v>
      </c>
      <c r="L5384" s="16">
        <f>899.7 - (899.7 * $E$1)</f>
        <v>899.7</v>
      </c>
      <c r="M5384" s="1">
        <v>1097.6300000000001</v>
      </c>
      <c r="N5384" s="1">
        <v>899.7</v>
      </c>
      <c r="O5384" s="1">
        <v>932.99</v>
      </c>
      <c r="P5384" s="1">
        <v>764.75</v>
      </c>
      <c r="Q5384">
        <v>0.23333333333333001</v>
      </c>
      <c r="R5384">
        <v>1.4999999999999999E-4</v>
      </c>
    </row>
    <row r="5385" spans="1:18" ht="13.8" outlineLevel="2" x14ac:dyDescent="0.25">
      <c r="A5385">
        <v>88249</v>
      </c>
      <c r="B5385" t="s">
        <v>7649</v>
      </c>
      <c r="C5385" t="s">
        <v>7650</v>
      </c>
      <c r="D5385" s="14" t="s">
        <v>7651</v>
      </c>
      <c r="E5385" s="12" t="s">
        <v>28</v>
      </c>
      <c r="F5385" s="13" t="s">
        <v>29</v>
      </c>
      <c r="G5385">
        <v>10</v>
      </c>
      <c r="H5385" t="s">
        <v>30</v>
      </c>
      <c r="I5385">
        <v>10</v>
      </c>
      <c r="J5385" s="15"/>
      <c r="K5385" s="16">
        <f>163.46 - (163.46 * $E$1)</f>
        <v>163.46</v>
      </c>
      <c r="L5385" s="16">
        <f>133.98 - (133.98 * $E$1)</f>
        <v>133.97999999999999</v>
      </c>
      <c r="M5385" s="1">
        <v>163.46</v>
      </c>
      <c r="N5385" s="1">
        <v>133.97999999999999</v>
      </c>
      <c r="O5385" s="1">
        <v>138.94</v>
      </c>
      <c r="P5385" s="1">
        <v>113.88</v>
      </c>
      <c r="Q5385">
        <v>1.9E-2</v>
      </c>
      <c r="R5385">
        <v>2.16E-5</v>
      </c>
    </row>
    <row r="5386" spans="1:18" ht="13.8" outlineLevel="2" x14ac:dyDescent="0.25">
      <c r="A5386">
        <v>88250</v>
      </c>
      <c r="B5386" t="s">
        <v>7649</v>
      </c>
      <c r="C5386" t="s">
        <v>7652</v>
      </c>
      <c r="D5386" s="14" t="s">
        <v>7651</v>
      </c>
      <c r="E5386" s="12" t="s">
        <v>28</v>
      </c>
      <c r="F5386" s="13" t="s">
        <v>29</v>
      </c>
      <c r="G5386">
        <v>10</v>
      </c>
      <c r="H5386" t="s">
        <v>30</v>
      </c>
      <c r="I5386">
        <v>10</v>
      </c>
      <c r="J5386" s="15"/>
      <c r="K5386" s="16">
        <f>164.68 - (164.68 * $E$1)</f>
        <v>164.68</v>
      </c>
      <c r="L5386" s="16">
        <f>134.98 - (134.98 * $E$1)</f>
        <v>134.97999999999999</v>
      </c>
      <c r="M5386" s="1">
        <v>164.68</v>
      </c>
      <c r="N5386" s="1">
        <v>134.97999999999999</v>
      </c>
      <c r="O5386" s="1">
        <v>139.97</v>
      </c>
      <c r="P5386" s="1">
        <v>114.73</v>
      </c>
      <c r="Q5386">
        <v>2.1999999999999999E-2</v>
      </c>
      <c r="R5386">
        <v>1.9199999999999999E-5</v>
      </c>
    </row>
    <row r="5387" spans="1:18" ht="13.8" outlineLevel="2" x14ac:dyDescent="0.25">
      <c r="A5387">
        <v>88844</v>
      </c>
      <c r="B5387" t="s">
        <v>7649</v>
      </c>
      <c r="C5387" t="s">
        <v>7653</v>
      </c>
      <c r="D5387" s="14" t="s">
        <v>7651</v>
      </c>
      <c r="E5387" s="12" t="s">
        <v>28</v>
      </c>
      <c r="F5387" s="13" t="s">
        <v>29</v>
      </c>
      <c r="G5387">
        <v>10</v>
      </c>
      <c r="H5387" t="s">
        <v>30</v>
      </c>
      <c r="I5387">
        <v>10</v>
      </c>
      <c r="J5387" s="15"/>
      <c r="K5387" s="16">
        <f>219.51 - (219.51 * $E$1)</f>
        <v>219.51</v>
      </c>
      <c r="L5387" s="16">
        <f>179.93 - (179.93 * $E$1)</f>
        <v>179.93</v>
      </c>
      <c r="M5387" s="1">
        <v>219.51</v>
      </c>
      <c r="N5387" s="1">
        <v>179.93</v>
      </c>
      <c r="O5387" s="1">
        <v>186.59</v>
      </c>
      <c r="P5387" s="1">
        <v>152.94</v>
      </c>
      <c r="Q5387">
        <v>0.05</v>
      </c>
      <c r="R5387">
        <v>2.97E-5</v>
      </c>
    </row>
    <row r="5388" spans="1:18" ht="13.8" outlineLevel="2" x14ac:dyDescent="0.25">
      <c r="A5388">
        <v>88251</v>
      </c>
      <c r="B5388" t="s">
        <v>7649</v>
      </c>
      <c r="C5388" t="s">
        <v>7654</v>
      </c>
      <c r="D5388" s="14" t="s">
        <v>7651</v>
      </c>
      <c r="E5388" s="12" t="s">
        <v>28</v>
      </c>
      <c r="F5388" s="13" t="s">
        <v>29</v>
      </c>
      <c r="G5388">
        <v>10</v>
      </c>
      <c r="H5388" t="s">
        <v>30</v>
      </c>
      <c r="I5388">
        <v>10</v>
      </c>
      <c r="J5388" s="15"/>
      <c r="K5388" s="16">
        <f>384.42 - (384.42 * $E$1)</f>
        <v>384.42</v>
      </c>
      <c r="L5388" s="16">
        <f>315.1 - (315.1 * $E$1)</f>
        <v>315.10000000000002</v>
      </c>
      <c r="M5388" s="1">
        <v>384.42</v>
      </c>
      <c r="N5388" s="1">
        <v>315.10000000000002</v>
      </c>
      <c r="O5388" s="1">
        <v>326.76</v>
      </c>
      <c r="P5388" s="1">
        <v>267.83999999999997</v>
      </c>
      <c r="Q5388">
        <v>4.7E-2</v>
      </c>
      <c r="R5388">
        <v>5.0399999999999999E-5</v>
      </c>
    </row>
    <row r="5389" spans="1:18" ht="13.8" outlineLevel="2" x14ac:dyDescent="0.25">
      <c r="A5389">
        <v>88845</v>
      </c>
      <c r="B5389" t="s">
        <v>7649</v>
      </c>
      <c r="C5389" t="s">
        <v>7655</v>
      </c>
      <c r="D5389" s="14" t="s">
        <v>7651</v>
      </c>
      <c r="E5389" s="12" t="s">
        <v>28</v>
      </c>
      <c r="F5389" s="13" t="s">
        <v>29</v>
      </c>
      <c r="G5389">
        <v>10</v>
      </c>
      <c r="H5389" t="s">
        <v>30</v>
      </c>
      <c r="I5389">
        <v>10</v>
      </c>
      <c r="J5389" s="15"/>
      <c r="K5389" s="16">
        <f>428.9 - (428.9 * $E$1)</f>
        <v>428.9</v>
      </c>
      <c r="L5389" s="16">
        <f>351.56 - (351.56 * $E$1)</f>
        <v>351.56</v>
      </c>
      <c r="M5389" s="1">
        <v>428.9</v>
      </c>
      <c r="N5389" s="1">
        <v>351.56</v>
      </c>
      <c r="O5389" s="1">
        <v>364.57</v>
      </c>
      <c r="P5389" s="1">
        <v>298.83</v>
      </c>
      <c r="Q5389">
        <v>5.8999999999999997E-2</v>
      </c>
      <c r="R5389">
        <v>3.6000000000000001E-5</v>
      </c>
    </row>
    <row r="5390" spans="1:18" ht="13.8" outlineLevel="2" x14ac:dyDescent="0.25">
      <c r="A5390">
        <v>88846</v>
      </c>
      <c r="B5390" t="s">
        <v>7649</v>
      </c>
      <c r="C5390" t="s">
        <v>7656</v>
      </c>
      <c r="D5390" s="14" t="s">
        <v>7651</v>
      </c>
      <c r="E5390" s="12" t="s">
        <v>28</v>
      </c>
      <c r="F5390" s="13" t="s">
        <v>29</v>
      </c>
      <c r="G5390">
        <v>6</v>
      </c>
      <c r="H5390" t="s">
        <v>30</v>
      </c>
      <c r="I5390">
        <v>6</v>
      </c>
      <c r="J5390" s="15"/>
      <c r="K5390" s="16">
        <f>658.37 - (658.37 * $E$1)</f>
        <v>658.37</v>
      </c>
      <c r="L5390" s="16">
        <f>539.65 - (539.65 * $E$1)</f>
        <v>539.65</v>
      </c>
      <c r="M5390" s="1">
        <v>658.37</v>
      </c>
      <c r="N5390" s="1">
        <v>539.65</v>
      </c>
      <c r="O5390" s="1">
        <v>559.62</v>
      </c>
      <c r="P5390" s="1">
        <v>458.7</v>
      </c>
      <c r="Q5390">
        <v>0.11333333333333</v>
      </c>
      <c r="R5390">
        <v>8.0000000000000007E-5</v>
      </c>
    </row>
    <row r="5391" spans="1:18" ht="13.8" outlineLevel="2" x14ac:dyDescent="0.25">
      <c r="A5391">
        <v>88167</v>
      </c>
      <c r="B5391" t="s">
        <v>7657</v>
      </c>
      <c r="C5391" t="s">
        <v>7658</v>
      </c>
      <c r="D5391" s="14" t="s">
        <v>7659</v>
      </c>
      <c r="E5391" s="12" t="s">
        <v>28</v>
      </c>
      <c r="F5391" s="13" t="s">
        <v>29</v>
      </c>
      <c r="G5391">
        <v>10</v>
      </c>
      <c r="H5391" t="s">
        <v>30</v>
      </c>
      <c r="I5391">
        <v>10</v>
      </c>
      <c r="J5391" s="15"/>
      <c r="K5391" s="16">
        <f>1669.51 - (1669.51 * $E$1)</f>
        <v>1669.51</v>
      </c>
      <c r="L5391" s="16">
        <f>1368.45 - (1368.45 * $E$1)</f>
        <v>1368.45</v>
      </c>
      <c r="M5391" s="1">
        <v>1669.51</v>
      </c>
      <c r="N5391" s="1">
        <v>1368.45</v>
      </c>
      <c r="O5391" s="1">
        <v>1419.08</v>
      </c>
      <c r="P5391" s="1">
        <v>1163.18</v>
      </c>
      <c r="Q5391">
        <v>4.9000000000000002E-2</v>
      </c>
      <c r="R5391">
        <v>5.1999999999999997E-5</v>
      </c>
    </row>
    <row r="5392" spans="1:18" ht="13.8" outlineLevel="2" x14ac:dyDescent="0.25">
      <c r="A5392">
        <v>89110</v>
      </c>
      <c r="B5392" t="s">
        <v>7657</v>
      </c>
      <c r="C5392" t="s">
        <v>7660</v>
      </c>
      <c r="D5392" s="14" t="s">
        <v>7659</v>
      </c>
      <c r="E5392" s="12" t="s">
        <v>28</v>
      </c>
      <c r="F5392" s="13" t="s">
        <v>29</v>
      </c>
      <c r="G5392">
        <v>10</v>
      </c>
      <c r="H5392" t="s">
        <v>30</v>
      </c>
      <c r="I5392">
        <v>10</v>
      </c>
      <c r="J5392" s="15"/>
      <c r="K5392" s="16">
        <f>1886.12 - (1886.12 * $E$1)</f>
        <v>1886.12</v>
      </c>
      <c r="L5392" s="16">
        <f>1546 - (1546 * $E$1)</f>
        <v>1546</v>
      </c>
      <c r="M5392" s="1">
        <v>1886.12</v>
      </c>
      <c r="N5392" s="1">
        <v>1546</v>
      </c>
      <c r="O5392" s="1">
        <v>1603.2</v>
      </c>
      <c r="P5392" s="1">
        <v>1314.1</v>
      </c>
      <c r="Q5392">
        <v>8.3000000000000004E-2</v>
      </c>
      <c r="R5392">
        <v>4.1999999999999998E-5</v>
      </c>
    </row>
    <row r="5393" spans="1:18" ht="13.8" outlineLevel="2" x14ac:dyDescent="0.25">
      <c r="A5393">
        <v>88168</v>
      </c>
      <c r="B5393" t="s">
        <v>7657</v>
      </c>
      <c r="C5393" t="s">
        <v>7661</v>
      </c>
      <c r="D5393" s="14" t="s">
        <v>7659</v>
      </c>
      <c r="E5393" s="12" t="s">
        <v>28</v>
      </c>
      <c r="F5393" s="13" t="s">
        <v>29</v>
      </c>
      <c r="G5393">
        <v>10</v>
      </c>
      <c r="H5393" t="s">
        <v>30</v>
      </c>
      <c r="I5393">
        <v>10</v>
      </c>
      <c r="J5393" s="15"/>
      <c r="K5393" s="16">
        <f>1926.67 - (1926.67 * $E$1)</f>
        <v>1926.67</v>
      </c>
      <c r="L5393" s="16">
        <f>1579.24 - (1579.24 * $E$1)</f>
        <v>1579.24</v>
      </c>
      <c r="M5393" s="1">
        <v>1926.67</v>
      </c>
      <c r="N5393" s="1">
        <v>1579.24</v>
      </c>
      <c r="O5393" s="1">
        <v>1637.67</v>
      </c>
      <c r="P5393" s="1">
        <v>1342.35</v>
      </c>
      <c r="Q5393">
        <v>7.5999999999999998E-2</v>
      </c>
      <c r="R5393">
        <v>8.6500000000000002E-5</v>
      </c>
    </row>
    <row r="5394" spans="1:18" ht="13.8" outlineLevel="2" x14ac:dyDescent="0.25">
      <c r="A5394">
        <v>88169</v>
      </c>
      <c r="B5394" t="s">
        <v>7657</v>
      </c>
      <c r="C5394" t="s">
        <v>7662</v>
      </c>
      <c r="D5394" s="14" t="s">
        <v>7659</v>
      </c>
      <c r="E5394" s="12" t="s">
        <v>28</v>
      </c>
      <c r="F5394" s="13" t="s">
        <v>29</v>
      </c>
      <c r="G5394">
        <v>10</v>
      </c>
      <c r="H5394" t="s">
        <v>30</v>
      </c>
      <c r="I5394">
        <v>10</v>
      </c>
      <c r="J5394" s="15"/>
      <c r="K5394" s="16">
        <f>2625.03 - (2625.03 * $E$1)</f>
        <v>2625.03</v>
      </c>
      <c r="L5394" s="16">
        <f>2151.66 - (2151.66 * $E$1)</f>
        <v>2151.66</v>
      </c>
      <c r="M5394" s="1">
        <v>2625.03</v>
      </c>
      <c r="N5394" s="1">
        <v>2151.66</v>
      </c>
      <c r="O5394" s="1">
        <v>2231.27</v>
      </c>
      <c r="P5394" s="1">
        <v>1828.91</v>
      </c>
      <c r="Q5394">
        <v>9.8000000000000004E-2</v>
      </c>
      <c r="R5394">
        <v>8.8399999999999994E-5</v>
      </c>
    </row>
    <row r="5395" spans="1:18" ht="13.8" outlineLevel="2" x14ac:dyDescent="0.25">
      <c r="A5395">
        <v>89111</v>
      </c>
      <c r="B5395" t="s">
        <v>7657</v>
      </c>
      <c r="C5395" t="s">
        <v>7663</v>
      </c>
      <c r="D5395" s="14" t="s">
        <v>7659</v>
      </c>
      <c r="E5395" s="12" t="s">
        <v>28</v>
      </c>
      <c r="F5395" s="13" t="s">
        <v>29</v>
      </c>
      <c r="G5395">
        <v>10</v>
      </c>
      <c r="H5395" t="s">
        <v>30</v>
      </c>
      <c r="I5395">
        <v>10</v>
      </c>
      <c r="J5395" s="15"/>
      <c r="K5395" s="16">
        <f>3174.23 - (3174.23 * $E$1)</f>
        <v>3174.23</v>
      </c>
      <c r="L5395" s="16">
        <f>2601.83 - (2601.83 * $E$1)</f>
        <v>2601.83</v>
      </c>
      <c r="M5395" s="1">
        <v>3174.23</v>
      </c>
      <c r="N5395" s="1">
        <v>2601.83</v>
      </c>
      <c r="O5395" s="1">
        <v>2698.1</v>
      </c>
      <c r="P5395" s="1">
        <v>2211.56</v>
      </c>
      <c r="Q5395">
        <v>0.10199999999999999</v>
      </c>
      <c r="R5395">
        <v>1.0399999999999999E-4</v>
      </c>
    </row>
    <row r="5396" spans="1:18" ht="13.8" outlineLevel="2" x14ac:dyDescent="0.25">
      <c r="A5396">
        <v>89112</v>
      </c>
      <c r="B5396" t="s">
        <v>7657</v>
      </c>
      <c r="C5396" t="s">
        <v>7664</v>
      </c>
      <c r="D5396" s="14" t="s">
        <v>7659</v>
      </c>
      <c r="E5396" s="12" t="s">
        <v>28</v>
      </c>
      <c r="F5396" s="13" t="s">
        <v>29</v>
      </c>
      <c r="G5396">
        <v>10</v>
      </c>
      <c r="H5396" t="s">
        <v>30</v>
      </c>
      <c r="I5396">
        <v>10</v>
      </c>
      <c r="J5396" s="15"/>
      <c r="K5396" s="16">
        <f>3336.8 - (3336.8 * $E$1)</f>
        <v>3336.8</v>
      </c>
      <c r="L5396" s="16">
        <f>2735.08 - (2735.08 * $E$1)</f>
        <v>2735.08</v>
      </c>
      <c r="M5396" s="1">
        <v>3336.8</v>
      </c>
      <c r="N5396" s="1">
        <v>2735.08</v>
      </c>
      <c r="O5396" s="1">
        <v>2836.28</v>
      </c>
      <c r="P5396" s="1">
        <v>2324.8200000000002</v>
      </c>
      <c r="Q5396">
        <v>0.114</v>
      </c>
      <c r="R5396">
        <v>1.0399999999999999E-4</v>
      </c>
    </row>
    <row r="5397" spans="1:18" ht="13.8" outlineLevel="2" x14ac:dyDescent="0.25">
      <c r="A5397">
        <v>88170</v>
      </c>
      <c r="B5397" t="s">
        <v>7657</v>
      </c>
      <c r="C5397" t="s">
        <v>7665</v>
      </c>
      <c r="D5397" s="14" t="s">
        <v>7659</v>
      </c>
      <c r="E5397" s="12" t="s">
        <v>28</v>
      </c>
      <c r="F5397" s="13" t="s">
        <v>29</v>
      </c>
      <c r="G5397">
        <v>10</v>
      </c>
      <c r="H5397" t="s">
        <v>30</v>
      </c>
      <c r="I5397">
        <v>10</v>
      </c>
      <c r="J5397" s="15"/>
      <c r="K5397" s="16">
        <f>3528.61 - (3528.61 * $E$1)</f>
        <v>3528.61</v>
      </c>
      <c r="L5397" s="16">
        <f>2892.3 - (2892.3 * $E$1)</f>
        <v>2892.3</v>
      </c>
      <c r="M5397" s="1">
        <v>3528.61</v>
      </c>
      <c r="N5397" s="1">
        <v>2892.3</v>
      </c>
      <c r="O5397" s="1">
        <v>2999.32</v>
      </c>
      <c r="P5397" s="1">
        <v>2458.46</v>
      </c>
      <c r="Q5397">
        <v>0.122</v>
      </c>
      <c r="R5397">
        <v>1.8000000000000001E-4</v>
      </c>
    </row>
    <row r="5398" spans="1:18" ht="13.8" outlineLevel="2" x14ac:dyDescent="0.25">
      <c r="A5398">
        <v>89113</v>
      </c>
      <c r="B5398" t="s">
        <v>7657</v>
      </c>
      <c r="C5398" t="s">
        <v>7666</v>
      </c>
      <c r="D5398" s="14" t="s">
        <v>7659</v>
      </c>
      <c r="E5398" s="12" t="s">
        <v>28</v>
      </c>
      <c r="F5398" s="13" t="s">
        <v>29</v>
      </c>
      <c r="G5398">
        <v>4</v>
      </c>
      <c r="H5398" t="s">
        <v>30</v>
      </c>
      <c r="I5398">
        <v>4</v>
      </c>
      <c r="J5398" s="15"/>
      <c r="K5398" s="16">
        <f>4710.64 - (4710.64 * $E$1)</f>
        <v>4710.6400000000003</v>
      </c>
      <c r="L5398" s="16">
        <f>3861.18 - (3861.18 * $E$1)</f>
        <v>3861.18</v>
      </c>
      <c r="M5398" s="1">
        <v>4710.6400000000003</v>
      </c>
      <c r="N5398" s="1">
        <v>3861.18</v>
      </c>
      <c r="O5398" s="1">
        <v>4004.04</v>
      </c>
      <c r="P5398" s="1">
        <v>3282</v>
      </c>
      <c r="Q5398">
        <v>0.2</v>
      </c>
      <c r="R5398">
        <v>1.8000000000000001E-4</v>
      </c>
    </row>
    <row r="5399" spans="1:18" ht="13.8" outlineLevel="2" x14ac:dyDescent="0.25">
      <c r="A5399">
        <v>88171</v>
      </c>
      <c r="B5399" t="s">
        <v>7657</v>
      </c>
      <c r="C5399" t="s">
        <v>7667</v>
      </c>
      <c r="D5399" s="14" t="s">
        <v>7659</v>
      </c>
      <c r="E5399" s="12" t="s">
        <v>28</v>
      </c>
      <c r="F5399" s="13" t="s">
        <v>29</v>
      </c>
      <c r="G5399">
        <v>4</v>
      </c>
      <c r="H5399" t="s">
        <v>30</v>
      </c>
      <c r="I5399">
        <v>4</v>
      </c>
      <c r="J5399" s="15"/>
      <c r="K5399" s="16">
        <f>5687.95 - (5687.95 * $E$1)</f>
        <v>5687.95</v>
      </c>
      <c r="L5399" s="16">
        <f>4662.25 - (4662.25 * $E$1)</f>
        <v>4662.25</v>
      </c>
      <c r="M5399" s="1">
        <v>5687.95</v>
      </c>
      <c r="N5399" s="1">
        <v>4662.25</v>
      </c>
      <c r="O5399" s="1">
        <v>4834.75</v>
      </c>
      <c r="P5399" s="1">
        <v>3962.91</v>
      </c>
      <c r="Q5399">
        <v>0.21249999999999999</v>
      </c>
      <c r="R5399">
        <v>3.1199999999999999E-4</v>
      </c>
    </row>
    <row r="5400" spans="1:18" ht="13.8" outlineLevel="2" x14ac:dyDescent="0.25">
      <c r="A5400">
        <v>87943</v>
      </c>
      <c r="B5400" t="s">
        <v>7668</v>
      </c>
      <c r="C5400" t="s">
        <v>7669</v>
      </c>
      <c r="D5400" s="14" t="s">
        <v>7670</v>
      </c>
      <c r="E5400" s="12" t="s">
        <v>28</v>
      </c>
      <c r="F5400" s="13" t="s">
        <v>29</v>
      </c>
      <c r="G5400">
        <v>10</v>
      </c>
      <c r="H5400" t="s">
        <v>30</v>
      </c>
      <c r="I5400">
        <v>10</v>
      </c>
      <c r="J5400" s="15"/>
      <c r="K5400" s="16">
        <f>498.48 - (498.48 * $E$1)</f>
        <v>498.48</v>
      </c>
      <c r="L5400" s="16">
        <f>408.59 - (408.59 * $E$1)</f>
        <v>408.59</v>
      </c>
      <c r="M5400" s="1">
        <v>498.48</v>
      </c>
      <c r="N5400" s="1">
        <v>408.59</v>
      </c>
      <c r="O5400" s="1">
        <v>423.71</v>
      </c>
      <c r="P5400" s="1">
        <v>347.3</v>
      </c>
      <c r="Q5400">
        <v>4.9000000000000002E-2</v>
      </c>
      <c r="R5400">
        <v>4.88E-5</v>
      </c>
    </row>
    <row r="5401" spans="1:18" ht="13.8" outlineLevel="2" x14ac:dyDescent="0.25">
      <c r="A5401">
        <v>87944</v>
      </c>
      <c r="B5401" t="s">
        <v>7668</v>
      </c>
      <c r="C5401" t="s">
        <v>7671</v>
      </c>
      <c r="D5401" s="14" t="s">
        <v>7670</v>
      </c>
      <c r="E5401" s="12" t="s">
        <v>28</v>
      </c>
      <c r="F5401" s="13" t="s">
        <v>29</v>
      </c>
      <c r="G5401">
        <v>10</v>
      </c>
      <c r="H5401" t="s">
        <v>30</v>
      </c>
      <c r="I5401">
        <v>10</v>
      </c>
      <c r="J5401" s="15"/>
      <c r="K5401" s="16">
        <f>521.89 - (521.89 * $E$1)</f>
        <v>521.89</v>
      </c>
      <c r="L5401" s="16">
        <f>427.78 - (427.78 * $E$1)</f>
        <v>427.78</v>
      </c>
      <c r="M5401" s="1">
        <v>521.89</v>
      </c>
      <c r="N5401" s="1">
        <v>427.78</v>
      </c>
      <c r="O5401" s="1">
        <v>443.61</v>
      </c>
      <c r="P5401" s="1">
        <v>363.61</v>
      </c>
      <c r="Q5401">
        <v>5.1999999999999998E-2</v>
      </c>
      <c r="R5401">
        <v>4.6199999999999998E-5</v>
      </c>
    </row>
    <row r="5402" spans="1:18" ht="13.8" outlineLevel="2" x14ac:dyDescent="0.25">
      <c r="A5402">
        <v>87945</v>
      </c>
      <c r="B5402" t="s">
        <v>7668</v>
      </c>
      <c r="C5402" t="s">
        <v>7672</v>
      </c>
      <c r="D5402" s="14" t="s">
        <v>7670</v>
      </c>
      <c r="E5402" s="12" t="s">
        <v>28</v>
      </c>
      <c r="F5402" s="13" t="s">
        <v>29</v>
      </c>
      <c r="G5402">
        <v>10</v>
      </c>
      <c r="H5402" t="s">
        <v>30</v>
      </c>
      <c r="I5402">
        <v>10</v>
      </c>
      <c r="J5402" s="15"/>
      <c r="K5402" s="16">
        <f>562.68 - (562.68 * $E$1)</f>
        <v>562.67999999999995</v>
      </c>
      <c r="L5402" s="16">
        <f>461.21 - (461.21 * $E$1)</f>
        <v>461.21</v>
      </c>
      <c r="M5402" s="1">
        <v>562.67999999999995</v>
      </c>
      <c r="N5402" s="1">
        <v>461.21</v>
      </c>
      <c r="O5402" s="1">
        <v>478.27</v>
      </c>
      <c r="P5402" s="1">
        <v>392.03</v>
      </c>
      <c r="Q5402">
        <v>5.8999999999999997E-2</v>
      </c>
      <c r="R5402">
        <v>6.7199999999999994E-5</v>
      </c>
    </row>
    <row r="5403" spans="1:18" ht="13.8" outlineLevel="2" x14ac:dyDescent="0.25">
      <c r="A5403">
        <v>87946</v>
      </c>
      <c r="B5403" t="s">
        <v>7668</v>
      </c>
      <c r="C5403" t="s">
        <v>7673</v>
      </c>
      <c r="D5403" s="14" t="s">
        <v>7670</v>
      </c>
      <c r="E5403" s="12" t="s">
        <v>28</v>
      </c>
      <c r="F5403" s="13" t="s">
        <v>29</v>
      </c>
      <c r="G5403">
        <v>10</v>
      </c>
      <c r="H5403" t="s">
        <v>30</v>
      </c>
      <c r="I5403">
        <v>10</v>
      </c>
      <c r="J5403" s="15"/>
      <c r="K5403" s="16">
        <f>726.56 - (726.56 * $E$1)</f>
        <v>726.56</v>
      </c>
      <c r="L5403" s="16">
        <f>595.54 - (595.54 * $E$1)</f>
        <v>595.54</v>
      </c>
      <c r="M5403" s="1">
        <v>726.56</v>
      </c>
      <c r="N5403" s="1">
        <v>595.54</v>
      </c>
      <c r="O5403" s="1">
        <v>617.57000000000005</v>
      </c>
      <c r="P5403" s="1">
        <v>506.21</v>
      </c>
      <c r="Q5403">
        <v>7.9000000000000001E-2</v>
      </c>
      <c r="R5403">
        <v>5.8499999999999999E-5</v>
      </c>
    </row>
    <row r="5404" spans="1:18" ht="13.8" outlineLevel="2" x14ac:dyDescent="0.25">
      <c r="A5404">
        <v>87947</v>
      </c>
      <c r="B5404" t="s">
        <v>7668</v>
      </c>
      <c r="C5404" t="s">
        <v>7674</v>
      </c>
      <c r="D5404" s="14" t="s">
        <v>7670</v>
      </c>
      <c r="E5404" s="12" t="s">
        <v>28</v>
      </c>
      <c r="F5404" s="13" t="s">
        <v>29</v>
      </c>
      <c r="G5404">
        <v>10</v>
      </c>
      <c r="H5404" t="s">
        <v>30</v>
      </c>
      <c r="I5404">
        <v>10</v>
      </c>
      <c r="J5404" s="15"/>
      <c r="K5404" s="16">
        <f>726.85 - (726.85 * $E$1)</f>
        <v>726.85</v>
      </c>
      <c r="L5404" s="16">
        <f>595.78 - (595.78 * $E$1)</f>
        <v>595.78</v>
      </c>
      <c r="M5404" s="1">
        <v>726.85</v>
      </c>
      <c r="N5404" s="1">
        <v>595.78</v>
      </c>
      <c r="O5404" s="1">
        <v>617.82000000000005</v>
      </c>
      <c r="P5404" s="1">
        <v>506.41</v>
      </c>
      <c r="Q5404">
        <v>7.6999999999999999E-2</v>
      </c>
      <c r="R5404">
        <v>5.7599999999999997E-5</v>
      </c>
    </row>
    <row r="5405" spans="1:18" ht="13.8" outlineLevel="2" x14ac:dyDescent="0.25">
      <c r="A5405">
        <v>87948</v>
      </c>
      <c r="B5405" t="s">
        <v>7668</v>
      </c>
      <c r="C5405" t="s">
        <v>7675</v>
      </c>
      <c r="D5405" s="14" t="s">
        <v>7670</v>
      </c>
      <c r="E5405" s="12" t="s">
        <v>28</v>
      </c>
      <c r="F5405" s="13" t="s">
        <v>29</v>
      </c>
      <c r="G5405">
        <v>10</v>
      </c>
      <c r="H5405" t="s">
        <v>30</v>
      </c>
      <c r="I5405">
        <v>10</v>
      </c>
      <c r="J5405" s="15"/>
      <c r="K5405" s="16">
        <f>1081.07 - (1081.07 * $E$1)</f>
        <v>1081.07</v>
      </c>
      <c r="L5405" s="16">
        <f>886.12 - (886.12 * $E$1)</f>
        <v>886.12</v>
      </c>
      <c r="M5405" s="1">
        <v>1081.07</v>
      </c>
      <c r="N5405" s="1">
        <v>886.12</v>
      </c>
      <c r="O5405" s="1">
        <v>918.91</v>
      </c>
      <c r="P5405" s="1">
        <v>753.2</v>
      </c>
      <c r="Q5405">
        <v>0.106</v>
      </c>
      <c r="R5405">
        <v>1.02E-4</v>
      </c>
    </row>
    <row r="5406" spans="1:18" ht="13.8" outlineLevel="2" x14ac:dyDescent="0.25">
      <c r="A5406">
        <v>89105</v>
      </c>
      <c r="B5406" t="s">
        <v>7668</v>
      </c>
      <c r="C5406" t="s">
        <v>7676</v>
      </c>
      <c r="D5406" s="14" t="s">
        <v>7670</v>
      </c>
      <c r="E5406" s="12" t="s">
        <v>28</v>
      </c>
      <c r="F5406" s="13" t="s">
        <v>29</v>
      </c>
      <c r="G5406">
        <v>10</v>
      </c>
      <c r="H5406" t="s">
        <v>30</v>
      </c>
      <c r="I5406">
        <v>10</v>
      </c>
      <c r="J5406" s="15"/>
      <c r="K5406" s="16">
        <f>1071.33 - (1071.33 * $E$1)</f>
        <v>1071.33</v>
      </c>
      <c r="L5406" s="16">
        <f>878.14 - (878.14 * $E$1)</f>
        <v>878.14</v>
      </c>
      <c r="M5406" s="1">
        <v>1071.33</v>
      </c>
      <c r="N5406" s="1">
        <v>878.14</v>
      </c>
      <c r="O5406" s="1">
        <v>910.63</v>
      </c>
      <c r="P5406" s="1">
        <v>746.42</v>
      </c>
      <c r="Q5406">
        <v>0.111</v>
      </c>
      <c r="R5406">
        <v>1.0399999999999999E-4</v>
      </c>
    </row>
    <row r="5407" spans="1:18" ht="13.8" outlineLevel="2" x14ac:dyDescent="0.25">
      <c r="A5407">
        <v>87950</v>
      </c>
      <c r="B5407" t="s">
        <v>7668</v>
      </c>
      <c r="C5407" t="s">
        <v>7677</v>
      </c>
      <c r="D5407" s="14" t="s">
        <v>7670</v>
      </c>
      <c r="E5407" s="12" t="s">
        <v>28</v>
      </c>
      <c r="F5407" s="13" t="s">
        <v>29</v>
      </c>
      <c r="G5407">
        <v>10</v>
      </c>
      <c r="H5407" t="s">
        <v>30</v>
      </c>
      <c r="I5407">
        <v>10</v>
      </c>
      <c r="J5407" s="15"/>
      <c r="K5407" s="16">
        <f>1105.73 - (1105.73 * $E$1)</f>
        <v>1105.73</v>
      </c>
      <c r="L5407" s="16">
        <f>906.34 - (906.34 * $E$1)</f>
        <v>906.34</v>
      </c>
      <c r="M5407" s="1">
        <v>1105.73</v>
      </c>
      <c r="N5407" s="1">
        <v>906.34</v>
      </c>
      <c r="O5407" s="1">
        <v>939.87</v>
      </c>
      <c r="P5407" s="1">
        <v>770.39</v>
      </c>
      <c r="Q5407">
        <v>0.109</v>
      </c>
      <c r="R5407">
        <v>9.5199999999999997E-5</v>
      </c>
    </row>
    <row r="5408" spans="1:18" ht="13.8" outlineLevel="2" x14ac:dyDescent="0.25">
      <c r="A5408">
        <v>89196</v>
      </c>
      <c r="B5408" t="s">
        <v>7668</v>
      </c>
      <c r="C5408" t="s">
        <v>7678</v>
      </c>
      <c r="D5408" s="14" t="s">
        <v>7670</v>
      </c>
      <c r="E5408" s="12" t="s">
        <v>28</v>
      </c>
      <c r="F5408" s="13" t="s">
        <v>29</v>
      </c>
      <c r="G5408">
        <v>10</v>
      </c>
      <c r="H5408" t="s">
        <v>30</v>
      </c>
      <c r="I5408">
        <v>10</v>
      </c>
      <c r="J5408" s="15"/>
      <c r="K5408" s="16">
        <f>1245.89 - (1245.89 * $E$1)</f>
        <v>1245.8900000000001</v>
      </c>
      <c r="L5408" s="16">
        <f>1021.22 - (1021.22 * $E$1)</f>
        <v>1021.22</v>
      </c>
      <c r="M5408" s="1">
        <v>1245.8900000000001</v>
      </c>
      <c r="N5408" s="1">
        <v>1021.22</v>
      </c>
      <c r="O5408" s="1">
        <v>1059.01</v>
      </c>
      <c r="P5408" s="1">
        <v>868.04</v>
      </c>
      <c r="Q5408">
        <v>0.109</v>
      </c>
      <c r="R5408">
        <v>9.5199999999999997E-5</v>
      </c>
    </row>
    <row r="5409" spans="1:18" ht="13.8" outlineLevel="2" x14ac:dyDescent="0.25">
      <c r="A5409">
        <v>87951</v>
      </c>
      <c r="B5409" t="s">
        <v>7668</v>
      </c>
      <c r="C5409" t="s">
        <v>7679</v>
      </c>
      <c r="D5409" s="14" t="s">
        <v>7670</v>
      </c>
      <c r="E5409" s="12" t="s">
        <v>28</v>
      </c>
      <c r="F5409" s="13" t="s">
        <v>29</v>
      </c>
      <c r="G5409">
        <v>10</v>
      </c>
      <c r="H5409" t="s">
        <v>30</v>
      </c>
      <c r="I5409">
        <v>10</v>
      </c>
      <c r="J5409" s="15"/>
      <c r="K5409" s="16">
        <f>1384.52 - (1384.52 * $E$1)</f>
        <v>1384.52</v>
      </c>
      <c r="L5409" s="16">
        <f>1134.85 - (1134.85 * $E$1)</f>
        <v>1134.8499999999999</v>
      </c>
      <c r="M5409" s="1">
        <v>1384.52</v>
      </c>
      <c r="N5409" s="1">
        <v>1134.8499999999999</v>
      </c>
      <c r="O5409" s="1">
        <v>1176.8399999999999</v>
      </c>
      <c r="P5409" s="1">
        <v>964.62</v>
      </c>
      <c r="Q5409">
        <v>0.13700000000000001</v>
      </c>
      <c r="R5409">
        <v>1.071E-4</v>
      </c>
    </row>
    <row r="5410" spans="1:18" ht="13.8" outlineLevel="2" x14ac:dyDescent="0.25">
      <c r="A5410">
        <v>89106</v>
      </c>
      <c r="B5410" t="s">
        <v>7668</v>
      </c>
      <c r="C5410" t="s">
        <v>7680</v>
      </c>
      <c r="D5410" s="14" t="s">
        <v>7670</v>
      </c>
      <c r="E5410" s="12" t="s">
        <v>28</v>
      </c>
      <c r="F5410" s="13" t="s">
        <v>29</v>
      </c>
      <c r="G5410">
        <v>6</v>
      </c>
      <c r="H5410" t="s">
        <v>30</v>
      </c>
      <c r="I5410">
        <v>6</v>
      </c>
      <c r="J5410" s="15"/>
      <c r="K5410" s="16">
        <f>1571.25 - (1571.25 * $E$1)</f>
        <v>1571.25</v>
      </c>
      <c r="L5410" s="16">
        <f>1287.91 - (1287.91 * $E$1)</f>
        <v>1287.9100000000001</v>
      </c>
      <c r="M5410" s="1">
        <v>1571.25</v>
      </c>
      <c r="N5410" s="1">
        <v>1287.9100000000001</v>
      </c>
      <c r="O5410" s="1">
        <v>1335.56</v>
      </c>
      <c r="P5410" s="1">
        <v>1094.72</v>
      </c>
      <c r="Q5410">
        <v>0.19500000000000001</v>
      </c>
      <c r="R5410">
        <v>1E-4</v>
      </c>
    </row>
    <row r="5411" spans="1:18" ht="13.8" outlineLevel="2" x14ac:dyDescent="0.25">
      <c r="A5411">
        <v>89107</v>
      </c>
      <c r="B5411" t="s">
        <v>7668</v>
      </c>
      <c r="C5411" t="s">
        <v>7681</v>
      </c>
      <c r="D5411" s="14" t="s">
        <v>7670</v>
      </c>
      <c r="E5411" s="12" t="s">
        <v>28</v>
      </c>
      <c r="F5411" s="13" t="s">
        <v>29</v>
      </c>
      <c r="G5411">
        <v>6</v>
      </c>
      <c r="H5411" t="s">
        <v>30</v>
      </c>
      <c r="I5411">
        <v>6</v>
      </c>
      <c r="J5411" s="15"/>
      <c r="K5411" s="16">
        <f>2102.91 - (2102.91 * $E$1)</f>
        <v>2102.91</v>
      </c>
      <c r="L5411" s="16">
        <f>1723.7 - (1723.7 * $E$1)</f>
        <v>1723.7</v>
      </c>
      <c r="M5411" s="1">
        <v>2102.91</v>
      </c>
      <c r="N5411" s="1">
        <v>1723.7</v>
      </c>
      <c r="O5411" s="1">
        <v>1787.48</v>
      </c>
      <c r="P5411" s="1">
        <v>1465.15</v>
      </c>
      <c r="Q5411">
        <v>0.19500000000000001</v>
      </c>
      <c r="R5411">
        <v>1E-4</v>
      </c>
    </row>
    <row r="5412" spans="1:18" ht="13.8" outlineLevel="2" x14ac:dyDescent="0.25">
      <c r="A5412">
        <v>87953</v>
      </c>
      <c r="B5412" t="s">
        <v>7668</v>
      </c>
      <c r="C5412" t="s">
        <v>7682</v>
      </c>
      <c r="D5412" s="14" t="s">
        <v>7670</v>
      </c>
      <c r="E5412" s="12" t="s">
        <v>28</v>
      </c>
      <c r="F5412" s="13" t="s">
        <v>29</v>
      </c>
      <c r="G5412">
        <v>6</v>
      </c>
      <c r="H5412" t="s">
        <v>30</v>
      </c>
      <c r="I5412">
        <v>6</v>
      </c>
      <c r="J5412" s="15"/>
      <c r="K5412" s="16">
        <f>1775.51 - (1775.51 * $E$1)</f>
        <v>1775.51</v>
      </c>
      <c r="L5412" s="16">
        <f>1455.34 - (1455.34 * $E$1)</f>
        <v>1455.34</v>
      </c>
      <c r="M5412" s="1">
        <v>1775.51</v>
      </c>
      <c r="N5412" s="1">
        <v>1455.34</v>
      </c>
      <c r="O5412" s="1">
        <v>1509.19</v>
      </c>
      <c r="P5412" s="1">
        <v>1237.04</v>
      </c>
      <c r="Q5412">
        <v>0.18</v>
      </c>
      <c r="R5412">
        <v>2.4000000000000001E-4</v>
      </c>
    </row>
    <row r="5413" spans="1:18" ht="13.8" outlineLevel="2" x14ac:dyDescent="0.25">
      <c r="A5413">
        <v>87954</v>
      </c>
      <c r="B5413" t="s">
        <v>7668</v>
      </c>
      <c r="C5413" t="s">
        <v>7683</v>
      </c>
      <c r="D5413" s="14" t="s">
        <v>7670</v>
      </c>
      <c r="E5413" s="12" t="s">
        <v>28</v>
      </c>
      <c r="F5413" s="13" t="s">
        <v>29</v>
      </c>
      <c r="G5413">
        <v>6</v>
      </c>
      <c r="H5413" t="s">
        <v>30</v>
      </c>
      <c r="I5413">
        <v>6</v>
      </c>
      <c r="J5413" s="15"/>
      <c r="K5413" s="16">
        <f>2350.34 - (2350.34 * $E$1)</f>
        <v>2350.34</v>
      </c>
      <c r="L5413" s="16">
        <f>1926.51 - (1926.51 * $E$1)</f>
        <v>1926.51</v>
      </c>
      <c r="M5413" s="1">
        <v>2350.34</v>
      </c>
      <c r="N5413" s="1">
        <v>1926.51</v>
      </c>
      <c r="O5413" s="1">
        <v>1997.79</v>
      </c>
      <c r="P5413" s="1">
        <v>1637.53</v>
      </c>
      <c r="Q5413">
        <v>0.23</v>
      </c>
      <c r="R5413">
        <v>2.6400000000000002E-4</v>
      </c>
    </row>
    <row r="5414" spans="1:18" ht="13.8" outlineLevel="2" x14ac:dyDescent="0.25">
      <c r="A5414">
        <v>87955</v>
      </c>
      <c r="B5414" t="s">
        <v>7668</v>
      </c>
      <c r="C5414" t="s">
        <v>7684</v>
      </c>
      <c r="D5414" s="14" t="s">
        <v>7670</v>
      </c>
      <c r="E5414" s="12" t="s">
        <v>28</v>
      </c>
      <c r="F5414" s="13" t="s">
        <v>29</v>
      </c>
      <c r="G5414">
        <v>4</v>
      </c>
      <c r="H5414" t="s">
        <v>30</v>
      </c>
      <c r="I5414">
        <v>4</v>
      </c>
      <c r="J5414" s="15"/>
      <c r="K5414" s="16">
        <f>2758.3 - (2758.3 * $E$1)</f>
        <v>2758.3</v>
      </c>
      <c r="L5414" s="16">
        <f>2260.9 - (2260.9 * $E$1)</f>
        <v>2260.9</v>
      </c>
      <c r="M5414" s="1">
        <v>2758.3</v>
      </c>
      <c r="N5414" s="1">
        <v>2260.9</v>
      </c>
      <c r="O5414" s="1">
        <v>2344.5500000000002</v>
      </c>
      <c r="P5414" s="1">
        <v>1921.77</v>
      </c>
      <c r="Q5414">
        <v>0.3</v>
      </c>
      <c r="R5414">
        <v>4.1649999999999999E-4</v>
      </c>
    </row>
    <row r="5415" spans="1:18" ht="13.8" outlineLevel="2" x14ac:dyDescent="0.25">
      <c r="A5415">
        <v>89108</v>
      </c>
      <c r="B5415" t="s">
        <v>7668</v>
      </c>
      <c r="C5415" t="s">
        <v>7685</v>
      </c>
      <c r="D5415" s="14" t="s">
        <v>7670</v>
      </c>
      <c r="E5415" s="12" t="s">
        <v>28</v>
      </c>
      <c r="F5415" s="13" t="s">
        <v>29</v>
      </c>
      <c r="G5415">
        <v>1</v>
      </c>
      <c r="H5415" t="s">
        <v>30</v>
      </c>
      <c r="I5415">
        <v>1</v>
      </c>
      <c r="J5415" s="15"/>
      <c r="K5415" s="16">
        <f>4586.74 - (4586.74 * $E$1)</f>
        <v>4586.74</v>
      </c>
      <c r="L5415" s="16">
        <f>3759.62 - (3759.62 * $E$1)</f>
        <v>3759.62</v>
      </c>
      <c r="M5415" s="1">
        <v>4586.74</v>
      </c>
      <c r="N5415" s="1">
        <v>3759.62</v>
      </c>
      <c r="O5415" s="1">
        <v>3898.73</v>
      </c>
      <c r="P5415" s="1">
        <v>3195.68</v>
      </c>
      <c r="Q5415">
        <v>0.5</v>
      </c>
      <c r="R5415">
        <v>1.08E-3</v>
      </c>
    </row>
    <row r="5416" spans="1:18" ht="13.8" outlineLevel="2" x14ac:dyDescent="0.25">
      <c r="A5416">
        <v>89109</v>
      </c>
      <c r="B5416" t="s">
        <v>7668</v>
      </c>
      <c r="C5416" t="s">
        <v>7686</v>
      </c>
      <c r="D5416" s="14" t="s">
        <v>7670</v>
      </c>
      <c r="E5416" s="12" t="s">
        <v>28</v>
      </c>
      <c r="F5416" s="13" t="s">
        <v>29</v>
      </c>
      <c r="G5416">
        <v>1</v>
      </c>
      <c r="H5416" t="s">
        <v>30</v>
      </c>
      <c r="I5416">
        <v>1</v>
      </c>
      <c r="J5416" s="15"/>
      <c r="K5416" s="16">
        <f>5658.07 - (5658.07 * $E$1)</f>
        <v>5658.07</v>
      </c>
      <c r="L5416" s="16">
        <f>4637.76 - (4637.76 * $E$1)</f>
        <v>4637.76</v>
      </c>
      <c r="M5416" s="1">
        <v>5658.07</v>
      </c>
      <c r="N5416" s="1">
        <v>4637.76</v>
      </c>
      <c r="O5416" s="1">
        <v>4809.3599999999997</v>
      </c>
      <c r="P5416" s="1">
        <v>3942.1</v>
      </c>
      <c r="Q5416">
        <v>0.57999999999999996</v>
      </c>
      <c r="R5416">
        <v>1.08E-3</v>
      </c>
    </row>
    <row r="5417" spans="1:18" ht="13.8" outlineLevel="2" x14ac:dyDescent="0.25">
      <c r="A5417">
        <v>88243</v>
      </c>
      <c r="B5417" t="s">
        <v>7687</v>
      </c>
      <c r="C5417" t="s">
        <v>7688</v>
      </c>
      <c r="D5417" s="14" t="s">
        <v>7689</v>
      </c>
      <c r="E5417" s="12" t="s">
        <v>28</v>
      </c>
      <c r="F5417" s="13" t="s">
        <v>29</v>
      </c>
      <c r="G5417">
        <v>10</v>
      </c>
      <c r="H5417" t="s">
        <v>30</v>
      </c>
      <c r="I5417">
        <v>10</v>
      </c>
      <c r="J5417" s="15"/>
      <c r="K5417" s="16">
        <f>616.87 - (616.87 * $E$1)</f>
        <v>616.87</v>
      </c>
      <c r="L5417" s="16">
        <f>505.63 - (505.63 * $E$1)</f>
        <v>505.63</v>
      </c>
      <c r="M5417" s="1">
        <v>616.87</v>
      </c>
      <c r="N5417" s="1">
        <v>505.63</v>
      </c>
      <c r="O5417" s="1">
        <v>524.34</v>
      </c>
      <c r="P5417" s="1">
        <v>429.79</v>
      </c>
      <c r="Q5417">
        <v>3.1800000000000002E-2</v>
      </c>
      <c r="R5417">
        <v>1.98E-5</v>
      </c>
    </row>
    <row r="5418" spans="1:18" ht="13.8" outlineLevel="2" x14ac:dyDescent="0.25">
      <c r="A5418">
        <v>88244</v>
      </c>
      <c r="B5418" t="s">
        <v>7687</v>
      </c>
      <c r="C5418" t="s">
        <v>7690</v>
      </c>
      <c r="D5418" s="14" t="s">
        <v>7689</v>
      </c>
      <c r="E5418" s="12" t="s">
        <v>28</v>
      </c>
      <c r="F5418" s="13" t="s">
        <v>29</v>
      </c>
      <c r="G5418">
        <v>10</v>
      </c>
      <c r="H5418" t="s">
        <v>30</v>
      </c>
      <c r="I5418">
        <v>10</v>
      </c>
      <c r="J5418" s="15"/>
      <c r="K5418" s="16">
        <f>656.73 - (656.73 * $E$1)</f>
        <v>656.73</v>
      </c>
      <c r="L5418" s="16">
        <f>538.3 - (538.3 * $E$1)</f>
        <v>538.29999999999995</v>
      </c>
      <c r="M5418" s="1">
        <v>656.73</v>
      </c>
      <c r="N5418" s="1">
        <v>538.29999999999995</v>
      </c>
      <c r="O5418" s="1">
        <v>558.22</v>
      </c>
      <c r="P5418" s="1">
        <v>457.56</v>
      </c>
      <c r="Q5418">
        <v>4.2000000000000003E-2</v>
      </c>
      <c r="R5418">
        <v>4.7599999999999998E-5</v>
      </c>
    </row>
    <row r="5419" spans="1:18" ht="13.8" outlineLevel="2" x14ac:dyDescent="0.25">
      <c r="A5419">
        <v>88245</v>
      </c>
      <c r="B5419" t="s">
        <v>7687</v>
      </c>
      <c r="C5419" t="s">
        <v>7691</v>
      </c>
      <c r="D5419" s="14" t="s">
        <v>7689</v>
      </c>
      <c r="E5419" s="12" t="s">
        <v>28</v>
      </c>
      <c r="F5419" s="13" t="s">
        <v>29</v>
      </c>
      <c r="G5419">
        <v>10</v>
      </c>
      <c r="H5419" t="s">
        <v>30</v>
      </c>
      <c r="I5419">
        <v>10</v>
      </c>
      <c r="J5419" s="15"/>
      <c r="K5419" s="16">
        <f>701.22 - (701.22 * $E$1)</f>
        <v>701.22</v>
      </c>
      <c r="L5419" s="16">
        <f>574.77 - (574.77 * $E$1)</f>
        <v>574.77</v>
      </c>
      <c r="M5419" s="1">
        <v>701.22</v>
      </c>
      <c r="N5419" s="1">
        <v>574.77</v>
      </c>
      <c r="O5419" s="1">
        <v>596.04</v>
      </c>
      <c r="P5419" s="1">
        <v>488.55</v>
      </c>
      <c r="Q5419">
        <v>0.05</v>
      </c>
      <c r="R5419">
        <v>6.7199999999999994E-5</v>
      </c>
    </row>
    <row r="5420" spans="1:18" ht="13.8" outlineLevel="2" x14ac:dyDescent="0.25">
      <c r="A5420">
        <v>88847</v>
      </c>
      <c r="B5420" t="s">
        <v>7692</v>
      </c>
      <c r="C5420" t="s">
        <v>7693</v>
      </c>
      <c r="D5420" s="14" t="s">
        <v>7693</v>
      </c>
      <c r="E5420" s="12" t="s">
        <v>28</v>
      </c>
      <c r="F5420" s="13" t="s">
        <v>29</v>
      </c>
      <c r="G5420">
        <v>10</v>
      </c>
      <c r="H5420" t="s">
        <v>30</v>
      </c>
      <c r="I5420">
        <v>10</v>
      </c>
      <c r="J5420" s="15"/>
      <c r="K5420" s="16">
        <f>335.55 - (335.55 * $E$1)</f>
        <v>335.55</v>
      </c>
      <c r="L5420" s="16">
        <f>275.04 - (275.04 * $E$1)</f>
        <v>275.04000000000002</v>
      </c>
      <c r="M5420" s="1">
        <v>335.55</v>
      </c>
      <c r="N5420" s="1">
        <v>275.04000000000002</v>
      </c>
      <c r="O5420" s="1">
        <v>285.22000000000003</v>
      </c>
      <c r="P5420" s="1">
        <v>233.78</v>
      </c>
      <c r="Q5420">
        <v>5.0000000000000001E-3</v>
      </c>
      <c r="R5420">
        <v>9.5999999999999996E-6</v>
      </c>
    </row>
    <row r="5421" spans="1:18" ht="13.8" outlineLevel="2" x14ac:dyDescent="0.25">
      <c r="A5421">
        <v>88848</v>
      </c>
      <c r="B5421" t="s">
        <v>7692</v>
      </c>
      <c r="C5421" t="s">
        <v>7694</v>
      </c>
      <c r="D5421" s="14" t="s">
        <v>7694</v>
      </c>
      <c r="E5421" s="12" t="s">
        <v>28</v>
      </c>
      <c r="F5421" s="13" t="s">
        <v>29</v>
      </c>
      <c r="G5421">
        <v>10</v>
      </c>
      <c r="H5421" t="s">
        <v>30</v>
      </c>
      <c r="I5421">
        <v>10</v>
      </c>
      <c r="J5421" s="15"/>
      <c r="K5421" s="16">
        <f>467.11 - (467.11 * $E$1)</f>
        <v>467.11</v>
      </c>
      <c r="L5421" s="16">
        <f>382.88 - (382.88 * $E$1)</f>
        <v>382.88</v>
      </c>
      <c r="M5421" s="1">
        <v>467.11</v>
      </c>
      <c r="N5421" s="1">
        <v>382.88</v>
      </c>
      <c r="O5421" s="1">
        <v>397.05</v>
      </c>
      <c r="P5421" s="1">
        <v>325.45</v>
      </c>
      <c r="Q5421">
        <v>8.9999999999999993E-3</v>
      </c>
      <c r="R5421">
        <v>2.8799999999999999E-5</v>
      </c>
    </row>
    <row r="5422" spans="1:18" ht="13.8" outlineLevel="2" x14ac:dyDescent="0.25">
      <c r="A5422">
        <v>88849</v>
      </c>
      <c r="B5422" t="s">
        <v>7692</v>
      </c>
      <c r="C5422" t="s">
        <v>7695</v>
      </c>
      <c r="D5422" s="14" t="s">
        <v>7695</v>
      </c>
      <c r="E5422" s="12" t="s">
        <v>28</v>
      </c>
      <c r="F5422" s="13" t="s">
        <v>29</v>
      </c>
      <c r="G5422">
        <v>10</v>
      </c>
      <c r="H5422" t="s">
        <v>30</v>
      </c>
      <c r="I5422">
        <v>10</v>
      </c>
      <c r="J5422" s="15"/>
      <c r="K5422" s="16">
        <f>511.63 - (511.63 * $E$1)</f>
        <v>511.63</v>
      </c>
      <c r="L5422" s="16">
        <f>419.37 - (419.37 * $E$1)</f>
        <v>419.37</v>
      </c>
      <c r="M5422" s="1">
        <v>511.63</v>
      </c>
      <c r="N5422" s="1">
        <v>419.37</v>
      </c>
      <c r="O5422" s="1">
        <v>434.89</v>
      </c>
      <c r="P5422" s="1">
        <v>356.46</v>
      </c>
      <c r="Q5422">
        <v>1.6E-2</v>
      </c>
      <c r="R5422">
        <v>4.4100000000000001E-5</v>
      </c>
    </row>
    <row r="5423" spans="1:18" ht="13.8" outlineLevel="2" x14ac:dyDescent="0.25">
      <c r="A5423">
        <v>88246</v>
      </c>
      <c r="B5423" t="s">
        <v>7696</v>
      </c>
      <c r="C5423" t="s">
        <v>7697</v>
      </c>
      <c r="D5423" s="14" t="s">
        <v>7697</v>
      </c>
      <c r="E5423" s="12" t="s">
        <v>28</v>
      </c>
      <c r="F5423" s="13" t="s">
        <v>29</v>
      </c>
      <c r="G5423">
        <v>10</v>
      </c>
      <c r="H5423" t="s">
        <v>30</v>
      </c>
      <c r="I5423">
        <v>10</v>
      </c>
      <c r="J5423" s="15"/>
      <c r="K5423" s="16">
        <f>192.26 - (192.26 * $E$1)</f>
        <v>192.26</v>
      </c>
      <c r="L5423" s="16">
        <f>157.59 - (157.59 * $E$1)</f>
        <v>157.59</v>
      </c>
      <c r="M5423" s="1">
        <v>192.26</v>
      </c>
      <c r="N5423" s="1">
        <v>157.59</v>
      </c>
      <c r="O5423" s="1">
        <v>163.41999999999999</v>
      </c>
      <c r="P5423" s="1">
        <v>133.94999999999999</v>
      </c>
      <c r="Q5423">
        <v>7.0000000000000001E-3</v>
      </c>
      <c r="R5423">
        <v>2.4700000000000001E-5</v>
      </c>
    </row>
    <row r="5424" spans="1:18" ht="13.8" outlineLevel="2" x14ac:dyDescent="0.25">
      <c r="A5424">
        <v>88247</v>
      </c>
      <c r="B5424" t="s">
        <v>7696</v>
      </c>
      <c r="C5424" t="s">
        <v>7698</v>
      </c>
      <c r="D5424" s="14" t="s">
        <v>7698</v>
      </c>
      <c r="E5424" s="12" t="s">
        <v>28</v>
      </c>
      <c r="F5424" s="13" t="s">
        <v>29</v>
      </c>
      <c r="G5424">
        <v>10</v>
      </c>
      <c r="H5424" t="s">
        <v>30</v>
      </c>
      <c r="I5424">
        <v>10</v>
      </c>
      <c r="J5424" s="15"/>
      <c r="K5424" s="16">
        <f>252.08 - (252.08 * $E$1)</f>
        <v>252.08</v>
      </c>
      <c r="L5424" s="16">
        <f>206.62 - (206.62 * $E$1)</f>
        <v>206.62</v>
      </c>
      <c r="M5424" s="1">
        <v>252.08</v>
      </c>
      <c r="N5424" s="1">
        <v>206.62</v>
      </c>
      <c r="O5424" s="1">
        <v>214.26</v>
      </c>
      <c r="P5424" s="1">
        <v>175.63</v>
      </c>
      <c r="Q5424">
        <v>0.01</v>
      </c>
      <c r="R5424">
        <v>9.0000000000000002E-6</v>
      </c>
    </row>
    <row r="5425" spans="1:18" ht="13.8" outlineLevel="2" x14ac:dyDescent="0.25">
      <c r="A5425">
        <v>88248</v>
      </c>
      <c r="B5425" t="s">
        <v>7696</v>
      </c>
      <c r="C5425" t="s">
        <v>7699</v>
      </c>
      <c r="D5425" s="14" t="s">
        <v>7699</v>
      </c>
      <c r="E5425" s="12" t="s">
        <v>28</v>
      </c>
      <c r="F5425" s="13" t="s">
        <v>29</v>
      </c>
      <c r="G5425">
        <v>10</v>
      </c>
      <c r="H5425" t="s">
        <v>30</v>
      </c>
      <c r="I5425">
        <v>10</v>
      </c>
      <c r="J5425" s="15"/>
      <c r="K5425" s="16">
        <f>265.98 - (265.98 * $E$1)</f>
        <v>265.98</v>
      </c>
      <c r="L5425" s="16">
        <f>218.02 - (218.02 * $E$1)</f>
        <v>218.02</v>
      </c>
      <c r="M5425" s="1">
        <v>265.98</v>
      </c>
      <c r="N5425" s="1">
        <v>218.02</v>
      </c>
      <c r="O5425" s="1">
        <v>226.09</v>
      </c>
      <c r="P5425" s="1">
        <v>185.32</v>
      </c>
      <c r="Q5425">
        <v>1.6E-2</v>
      </c>
      <c r="R5425">
        <v>1.7600000000000001E-5</v>
      </c>
    </row>
    <row r="5426" spans="1:18" ht="13.8" outlineLevel="2" x14ac:dyDescent="0.25">
      <c r="A5426">
        <v>89602</v>
      </c>
      <c r="B5426" t="s">
        <v>7700</v>
      </c>
      <c r="C5426" t="s">
        <v>7701</v>
      </c>
      <c r="D5426" s="14" t="s">
        <v>7702</v>
      </c>
      <c r="E5426" s="12" t="s">
        <v>28</v>
      </c>
      <c r="F5426" s="13" t="s">
        <v>29</v>
      </c>
      <c r="G5426">
        <v>10</v>
      </c>
      <c r="H5426" t="s">
        <v>30</v>
      </c>
      <c r="I5426">
        <v>10</v>
      </c>
      <c r="J5426" s="15"/>
      <c r="K5426" s="16">
        <f>87.44 - (87.44 * $E$1)</f>
        <v>87.44</v>
      </c>
      <c r="L5426" s="16">
        <f>71.67 - (71.67 * $E$1)</f>
        <v>71.67</v>
      </c>
      <c r="M5426" s="1">
        <v>87.44</v>
      </c>
      <c r="N5426" s="1">
        <v>71.67</v>
      </c>
      <c r="O5426" s="1">
        <v>74.319999999999993</v>
      </c>
      <c r="P5426" s="1">
        <v>60.92</v>
      </c>
      <c r="Q5426">
        <v>7.0000000000000001E-3</v>
      </c>
      <c r="R5426">
        <v>2.16E-5</v>
      </c>
    </row>
    <row r="5427" spans="1:18" ht="13.8" outlineLevel="2" x14ac:dyDescent="0.25">
      <c r="A5427">
        <v>89603</v>
      </c>
      <c r="B5427" t="s">
        <v>7700</v>
      </c>
      <c r="C5427" t="s">
        <v>7703</v>
      </c>
      <c r="D5427" s="14" t="s">
        <v>7702</v>
      </c>
      <c r="E5427" s="12" t="s">
        <v>28</v>
      </c>
      <c r="F5427" s="13" t="s">
        <v>29</v>
      </c>
      <c r="G5427">
        <v>10</v>
      </c>
      <c r="H5427" t="s">
        <v>30</v>
      </c>
      <c r="I5427">
        <v>10</v>
      </c>
      <c r="J5427" s="15"/>
      <c r="K5427" s="16">
        <f>109.5 - (109.5 * $E$1)</f>
        <v>109.5</v>
      </c>
      <c r="L5427" s="16">
        <f>89.75 - (89.75 * $E$1)</f>
        <v>89.75</v>
      </c>
      <c r="M5427" s="1">
        <v>109.5</v>
      </c>
      <c r="N5427" s="1">
        <v>89.75</v>
      </c>
      <c r="O5427" s="1">
        <v>93.07</v>
      </c>
      <c r="P5427" s="1">
        <v>76.290000000000006</v>
      </c>
      <c r="Q5427">
        <v>1.0999999999999999E-2</v>
      </c>
      <c r="R5427">
        <v>2.97E-5</v>
      </c>
    </row>
    <row r="5428" spans="1:18" ht="13.8" outlineLevel="2" x14ac:dyDescent="0.25">
      <c r="A5428">
        <v>89604</v>
      </c>
      <c r="B5428" t="s">
        <v>7700</v>
      </c>
      <c r="C5428" t="s">
        <v>7704</v>
      </c>
      <c r="D5428" s="14" t="s">
        <v>7702</v>
      </c>
      <c r="E5428" s="12" t="s">
        <v>28</v>
      </c>
      <c r="F5428" s="13" t="s">
        <v>29</v>
      </c>
      <c r="G5428">
        <v>10</v>
      </c>
      <c r="H5428" t="s">
        <v>30</v>
      </c>
      <c r="I5428">
        <v>10</v>
      </c>
      <c r="J5428" s="15"/>
      <c r="K5428" s="16">
        <f>184.4 - (184.4 * $E$1)</f>
        <v>184.4</v>
      </c>
      <c r="L5428" s="16">
        <f>151.15 - (151.15 * $E$1)</f>
        <v>151.15</v>
      </c>
      <c r="M5428" s="1">
        <v>184.4</v>
      </c>
      <c r="N5428" s="1">
        <v>151.15</v>
      </c>
      <c r="O5428" s="1">
        <v>156.74</v>
      </c>
      <c r="P5428" s="1">
        <v>128.47999999999999</v>
      </c>
      <c r="Q5428">
        <v>1.7999999999999999E-2</v>
      </c>
      <c r="R5428">
        <v>5.7200000000000001E-5</v>
      </c>
    </row>
    <row r="5429" spans="1:18" ht="13.8" outlineLevel="2" x14ac:dyDescent="0.25">
      <c r="A5429">
        <v>89605</v>
      </c>
      <c r="B5429" t="s">
        <v>7700</v>
      </c>
      <c r="C5429" t="s">
        <v>7705</v>
      </c>
      <c r="D5429" s="14" t="s">
        <v>7702</v>
      </c>
      <c r="E5429" s="12" t="s">
        <v>28</v>
      </c>
      <c r="F5429" s="13" t="s">
        <v>29</v>
      </c>
      <c r="G5429">
        <v>10</v>
      </c>
      <c r="H5429" t="s">
        <v>30</v>
      </c>
      <c r="I5429">
        <v>10</v>
      </c>
      <c r="J5429" s="15"/>
      <c r="K5429" s="16">
        <f>342.55 - (342.55 * $E$1)</f>
        <v>342.55</v>
      </c>
      <c r="L5429" s="16">
        <f>280.78 - (280.78 * $E$1)</f>
        <v>280.77999999999997</v>
      </c>
      <c r="M5429" s="1">
        <v>342.55</v>
      </c>
      <c r="N5429" s="1">
        <v>280.77999999999997</v>
      </c>
      <c r="O5429" s="1">
        <v>291.17</v>
      </c>
      <c r="P5429" s="1">
        <v>238.66</v>
      </c>
      <c r="Q5429">
        <v>3.6999999999999998E-2</v>
      </c>
      <c r="R5429">
        <v>4.8000000000000001E-5</v>
      </c>
    </row>
    <row r="5430" spans="1:18" ht="13.8" outlineLevel="2" x14ac:dyDescent="0.25">
      <c r="A5430">
        <v>89606</v>
      </c>
      <c r="B5430" t="s">
        <v>7700</v>
      </c>
      <c r="C5430" t="s">
        <v>7706</v>
      </c>
      <c r="D5430" s="14" t="s">
        <v>7702</v>
      </c>
      <c r="E5430" s="12" t="s">
        <v>28</v>
      </c>
      <c r="F5430" s="13" t="s">
        <v>29</v>
      </c>
      <c r="G5430">
        <v>10</v>
      </c>
      <c r="H5430" t="s">
        <v>30</v>
      </c>
      <c r="I5430">
        <v>10</v>
      </c>
      <c r="J5430" s="15"/>
      <c r="K5430" s="16">
        <f>528.13 - (528.13 * $E$1)</f>
        <v>528.13</v>
      </c>
      <c r="L5430" s="16">
        <f>432.89 - (432.89 * $E$1)</f>
        <v>432.89</v>
      </c>
      <c r="M5430" s="1">
        <v>528.13</v>
      </c>
      <c r="N5430" s="1">
        <v>432.89</v>
      </c>
      <c r="O5430" s="1">
        <v>448.91</v>
      </c>
      <c r="P5430" s="1">
        <v>367.96</v>
      </c>
      <c r="Q5430">
        <v>0.06</v>
      </c>
      <c r="R5430">
        <v>6.3E-5</v>
      </c>
    </row>
    <row r="5431" spans="1:18" ht="13.8" outlineLevel="2" x14ac:dyDescent="0.25">
      <c r="A5431">
        <v>89597</v>
      </c>
      <c r="B5431" t="s">
        <v>7707</v>
      </c>
      <c r="C5431" t="s">
        <v>7708</v>
      </c>
      <c r="D5431" s="14" t="s">
        <v>7702</v>
      </c>
      <c r="E5431" s="12" t="s">
        <v>28</v>
      </c>
      <c r="F5431" s="13" t="s">
        <v>29</v>
      </c>
      <c r="G5431">
        <v>10</v>
      </c>
      <c r="H5431" t="s">
        <v>30</v>
      </c>
      <c r="I5431">
        <v>10</v>
      </c>
      <c r="J5431" s="15"/>
      <c r="K5431" s="16">
        <f>106.59 - (106.59 * $E$1)</f>
        <v>106.59</v>
      </c>
      <c r="L5431" s="16">
        <f>87.37 - (87.37 * $E$1)</f>
        <v>87.37</v>
      </c>
      <c r="M5431" s="1">
        <v>106.59</v>
      </c>
      <c r="N5431" s="1">
        <v>87.37</v>
      </c>
      <c r="O5431" s="1">
        <v>90.6</v>
      </c>
      <c r="P5431" s="1">
        <v>74.260000000000005</v>
      </c>
      <c r="Q5431">
        <v>9.7000000000000003E-3</v>
      </c>
      <c r="R5431">
        <v>2.16E-5</v>
      </c>
    </row>
    <row r="5432" spans="1:18" ht="13.8" outlineLevel="2" x14ac:dyDescent="0.25">
      <c r="A5432">
        <v>89598</v>
      </c>
      <c r="B5432" t="s">
        <v>7707</v>
      </c>
      <c r="C5432" t="s">
        <v>7709</v>
      </c>
      <c r="D5432" s="14" t="s">
        <v>7702</v>
      </c>
      <c r="E5432" s="12" t="s">
        <v>28</v>
      </c>
      <c r="F5432" s="13" t="s">
        <v>29</v>
      </c>
      <c r="G5432">
        <v>10</v>
      </c>
      <c r="H5432" t="s">
        <v>30</v>
      </c>
      <c r="I5432">
        <v>10</v>
      </c>
      <c r="J5432" s="15"/>
      <c r="K5432" s="16">
        <f>130.04 - (130.04 * $E$1)</f>
        <v>130.04</v>
      </c>
      <c r="L5432" s="16">
        <f>106.59 - (106.59 * $E$1)</f>
        <v>106.59</v>
      </c>
      <c r="M5432" s="1">
        <v>130.04</v>
      </c>
      <c r="N5432" s="1">
        <v>106.59</v>
      </c>
      <c r="O5432" s="1">
        <v>110.53</v>
      </c>
      <c r="P5432" s="1">
        <v>90.6</v>
      </c>
      <c r="Q5432">
        <v>1.2999999999999999E-2</v>
      </c>
      <c r="R5432">
        <v>2.97E-5</v>
      </c>
    </row>
    <row r="5433" spans="1:18" ht="13.8" outlineLevel="2" x14ac:dyDescent="0.25">
      <c r="A5433">
        <v>89599</v>
      </c>
      <c r="B5433" t="s">
        <v>7707</v>
      </c>
      <c r="C5433" t="s">
        <v>7710</v>
      </c>
      <c r="D5433" s="14" t="s">
        <v>7702</v>
      </c>
      <c r="E5433" s="12" t="s">
        <v>28</v>
      </c>
      <c r="F5433" s="13" t="s">
        <v>29</v>
      </c>
      <c r="G5433">
        <v>10</v>
      </c>
      <c r="H5433" t="s">
        <v>30</v>
      </c>
      <c r="I5433">
        <v>10</v>
      </c>
      <c r="J5433" s="15"/>
      <c r="K5433" s="16">
        <f>208.25 - (208.25 * $E$1)</f>
        <v>208.25</v>
      </c>
      <c r="L5433" s="16">
        <f>170.7 - (170.7 * $E$1)</f>
        <v>170.7</v>
      </c>
      <c r="M5433" s="1">
        <v>208.25</v>
      </c>
      <c r="N5433" s="1">
        <v>170.7</v>
      </c>
      <c r="O5433" s="1">
        <v>177.02</v>
      </c>
      <c r="P5433" s="1">
        <v>145.1</v>
      </c>
      <c r="Q5433">
        <v>0.02</v>
      </c>
      <c r="R5433">
        <v>5.7200000000000001E-5</v>
      </c>
    </row>
    <row r="5434" spans="1:18" ht="13.8" outlineLevel="2" x14ac:dyDescent="0.25">
      <c r="A5434">
        <v>89600</v>
      </c>
      <c r="B5434" t="s">
        <v>7707</v>
      </c>
      <c r="C5434" t="s">
        <v>7711</v>
      </c>
      <c r="D5434" s="14" t="s">
        <v>7702</v>
      </c>
      <c r="E5434" s="12" t="s">
        <v>28</v>
      </c>
      <c r="F5434" s="13" t="s">
        <v>29</v>
      </c>
      <c r="G5434">
        <v>10</v>
      </c>
      <c r="H5434" t="s">
        <v>30</v>
      </c>
      <c r="I5434">
        <v>10</v>
      </c>
      <c r="J5434" s="15"/>
      <c r="K5434" s="16">
        <f>365.66 - (365.66 * $E$1)</f>
        <v>365.66</v>
      </c>
      <c r="L5434" s="16">
        <f>299.72 - (299.72 * $E$1)</f>
        <v>299.72000000000003</v>
      </c>
      <c r="M5434" s="1">
        <v>365.66</v>
      </c>
      <c r="N5434" s="1">
        <v>299.72000000000003</v>
      </c>
      <c r="O5434" s="1">
        <v>310.81</v>
      </c>
      <c r="P5434" s="1">
        <v>254.76</v>
      </c>
      <c r="Q5434">
        <v>3.5000000000000003E-2</v>
      </c>
      <c r="R5434">
        <v>4.8000000000000001E-5</v>
      </c>
    </row>
    <row r="5435" spans="1:18" ht="13.8" outlineLevel="2" x14ac:dyDescent="0.25">
      <c r="A5435">
        <v>89601</v>
      </c>
      <c r="B5435" t="s">
        <v>7707</v>
      </c>
      <c r="C5435" t="s">
        <v>7712</v>
      </c>
      <c r="D5435" s="14" t="s">
        <v>7702</v>
      </c>
      <c r="E5435" s="12" t="s">
        <v>28</v>
      </c>
      <c r="F5435" s="13" t="s">
        <v>29</v>
      </c>
      <c r="G5435">
        <v>10</v>
      </c>
      <c r="H5435" t="s">
        <v>30</v>
      </c>
      <c r="I5435">
        <v>10</v>
      </c>
      <c r="J5435" s="15"/>
      <c r="K5435" s="16">
        <f>584.12 - (584.12 * $E$1)</f>
        <v>584.12</v>
      </c>
      <c r="L5435" s="16">
        <f>478.79 - (478.79 * $E$1)</f>
        <v>478.79</v>
      </c>
      <c r="M5435" s="1">
        <v>584.12</v>
      </c>
      <c r="N5435" s="1">
        <v>478.79</v>
      </c>
      <c r="O5435" s="1">
        <v>496.51</v>
      </c>
      <c r="P5435" s="1">
        <v>406.97</v>
      </c>
      <c r="Q5435">
        <v>5.8999999999999997E-2</v>
      </c>
      <c r="R5435">
        <v>6.3E-5</v>
      </c>
    </row>
    <row r="5436" spans="1:18" ht="13.8" outlineLevel="2" x14ac:dyDescent="0.25">
      <c r="A5436">
        <v>88230</v>
      </c>
      <c r="B5436" t="s">
        <v>7713</v>
      </c>
      <c r="C5436" t="s">
        <v>7714</v>
      </c>
      <c r="D5436" s="14" t="s">
        <v>7715</v>
      </c>
      <c r="E5436" s="12" t="s">
        <v>28</v>
      </c>
      <c r="F5436" s="13" t="s">
        <v>29</v>
      </c>
      <c r="G5436">
        <v>50</v>
      </c>
      <c r="H5436" t="s">
        <v>30</v>
      </c>
      <c r="I5436">
        <v>50</v>
      </c>
      <c r="J5436" s="15"/>
      <c r="K5436" s="16">
        <f>20.02 - (20.02 * $E$1)</f>
        <v>20.02</v>
      </c>
      <c r="L5436" s="16">
        <f>16.41 - (16.41 * $E$1)</f>
        <v>16.41</v>
      </c>
      <c r="M5436" s="1">
        <v>20.02</v>
      </c>
      <c r="N5436" s="1">
        <v>16.41</v>
      </c>
      <c r="O5436" s="1">
        <v>17.02</v>
      </c>
      <c r="P5436" s="1">
        <v>13.95</v>
      </c>
      <c r="Q5436">
        <v>1.3600000000000001E-3</v>
      </c>
      <c r="R5436">
        <v>2.1600000000000001E-6</v>
      </c>
    </row>
    <row r="5437" spans="1:18" ht="13.8" outlineLevel="2" x14ac:dyDescent="0.25">
      <c r="A5437">
        <v>88231</v>
      </c>
      <c r="B5437" t="s">
        <v>7713</v>
      </c>
      <c r="C5437" t="s">
        <v>7716</v>
      </c>
      <c r="D5437" s="14" t="s">
        <v>7715</v>
      </c>
      <c r="E5437" s="12" t="s">
        <v>28</v>
      </c>
      <c r="F5437" s="13" t="s">
        <v>29</v>
      </c>
      <c r="G5437">
        <v>50</v>
      </c>
      <c r="H5437" t="s">
        <v>30</v>
      </c>
      <c r="I5437">
        <v>50</v>
      </c>
      <c r="J5437" s="15"/>
      <c r="K5437" s="16">
        <f>23.78 - (23.78 * $E$1)</f>
        <v>23.78</v>
      </c>
      <c r="L5437" s="16">
        <f>19.49 - (19.49 * $E$1)</f>
        <v>19.489999999999998</v>
      </c>
      <c r="M5437" s="1">
        <v>23.78</v>
      </c>
      <c r="N5437" s="1">
        <v>19.489999999999998</v>
      </c>
      <c r="O5437" s="1">
        <v>20.21</v>
      </c>
      <c r="P5437" s="1">
        <v>16.57</v>
      </c>
      <c r="Q5437">
        <v>2.1199999999999999E-3</v>
      </c>
      <c r="R5437">
        <v>3.5200000000000002E-6</v>
      </c>
    </row>
    <row r="5438" spans="1:18" ht="13.8" outlineLevel="2" x14ac:dyDescent="0.25">
      <c r="A5438">
        <v>88232</v>
      </c>
      <c r="B5438" t="s">
        <v>7713</v>
      </c>
      <c r="C5438" t="s">
        <v>7717</v>
      </c>
      <c r="D5438" s="14" t="s">
        <v>7715</v>
      </c>
      <c r="E5438" s="12" t="s">
        <v>28</v>
      </c>
      <c r="F5438" s="13" t="s">
        <v>29</v>
      </c>
      <c r="G5438">
        <v>50</v>
      </c>
      <c r="H5438" t="s">
        <v>30</v>
      </c>
      <c r="I5438">
        <v>50</v>
      </c>
      <c r="J5438" s="15"/>
      <c r="K5438" s="16">
        <f>40.42 - (40.42 * $E$1)</f>
        <v>40.42</v>
      </c>
      <c r="L5438" s="16">
        <f>33.13 - (33.13 * $E$1)</f>
        <v>33.130000000000003</v>
      </c>
      <c r="M5438" s="1">
        <v>40.42</v>
      </c>
      <c r="N5438" s="1">
        <v>33.130000000000003</v>
      </c>
      <c r="O5438" s="1">
        <v>34.36</v>
      </c>
      <c r="P5438" s="1">
        <v>28.16</v>
      </c>
      <c r="Q5438">
        <v>3.0000000000000001E-3</v>
      </c>
      <c r="R5438">
        <v>2.7E-6</v>
      </c>
    </row>
    <row r="5439" spans="1:18" ht="13.8" outlineLevel="2" x14ac:dyDescent="0.25">
      <c r="A5439">
        <v>88233</v>
      </c>
      <c r="B5439" t="s">
        <v>7713</v>
      </c>
      <c r="C5439" t="s">
        <v>7718</v>
      </c>
      <c r="D5439" s="14" t="s">
        <v>7715</v>
      </c>
      <c r="E5439" s="12" t="s">
        <v>28</v>
      </c>
      <c r="F5439" s="13" t="s">
        <v>29</v>
      </c>
      <c r="G5439">
        <v>50</v>
      </c>
      <c r="H5439" t="s">
        <v>30</v>
      </c>
      <c r="I5439">
        <v>50</v>
      </c>
      <c r="J5439" s="15"/>
      <c r="K5439" s="16">
        <f>48.25 - (48.25 * $E$1)</f>
        <v>48.25</v>
      </c>
      <c r="L5439" s="16">
        <f>39.55 - (39.55 * $E$1)</f>
        <v>39.549999999999997</v>
      </c>
      <c r="M5439" s="1">
        <v>48.25</v>
      </c>
      <c r="N5439" s="1">
        <v>39.549999999999997</v>
      </c>
      <c r="O5439" s="1">
        <v>41.01</v>
      </c>
      <c r="P5439" s="1">
        <v>33.619999999999997</v>
      </c>
      <c r="Q5439">
        <v>4.4000000000000003E-3</v>
      </c>
      <c r="R5439">
        <v>6.4999999999999996E-6</v>
      </c>
    </row>
    <row r="5440" spans="1:18" ht="13.8" outlineLevel="2" x14ac:dyDescent="0.25">
      <c r="A5440">
        <v>88234</v>
      </c>
      <c r="B5440" t="s">
        <v>7713</v>
      </c>
      <c r="C5440" t="s">
        <v>7719</v>
      </c>
      <c r="D5440" s="14" t="s">
        <v>7715</v>
      </c>
      <c r="E5440" s="12" t="s">
        <v>28</v>
      </c>
      <c r="F5440" s="13" t="s">
        <v>29</v>
      </c>
      <c r="G5440">
        <v>50</v>
      </c>
      <c r="H5440" t="s">
        <v>30</v>
      </c>
      <c r="I5440">
        <v>50</v>
      </c>
      <c r="J5440" s="15"/>
      <c r="K5440" s="16">
        <f>96.47 - (96.47 * $E$1)</f>
        <v>96.47</v>
      </c>
      <c r="L5440" s="16">
        <f>79.07 - (79.07 * $E$1)</f>
        <v>79.069999999999993</v>
      </c>
      <c r="M5440" s="1">
        <v>96.47</v>
      </c>
      <c r="N5440" s="1">
        <v>79.069999999999993</v>
      </c>
      <c r="O5440" s="1">
        <v>82</v>
      </c>
      <c r="P5440" s="1">
        <v>67.209999999999994</v>
      </c>
      <c r="Q5440">
        <v>8.3999999999999995E-3</v>
      </c>
      <c r="R5440">
        <v>8.9600000000000006E-6</v>
      </c>
    </row>
    <row r="5441" spans="1:18" ht="13.8" outlineLevel="2" x14ac:dyDescent="0.25">
      <c r="A5441">
        <v>88235</v>
      </c>
      <c r="B5441" t="s">
        <v>7713</v>
      </c>
      <c r="C5441" t="s">
        <v>7720</v>
      </c>
      <c r="D5441" s="14" t="s">
        <v>7715</v>
      </c>
      <c r="E5441" s="12" t="s">
        <v>28</v>
      </c>
      <c r="F5441" s="13" t="s">
        <v>29</v>
      </c>
      <c r="G5441">
        <v>25</v>
      </c>
      <c r="H5441" t="s">
        <v>30</v>
      </c>
      <c r="I5441">
        <v>25</v>
      </c>
      <c r="J5441" s="15"/>
      <c r="K5441" s="16">
        <f>199.52 - (199.52 * $E$1)</f>
        <v>199.52</v>
      </c>
      <c r="L5441" s="16">
        <f>163.54 - (163.54 * $E$1)</f>
        <v>163.54</v>
      </c>
      <c r="M5441" s="1">
        <v>199.52</v>
      </c>
      <c r="N5441" s="1">
        <v>163.54</v>
      </c>
      <c r="O5441" s="1">
        <v>169.59</v>
      </c>
      <c r="P5441" s="1">
        <v>139.01</v>
      </c>
      <c r="Q5441">
        <v>1.7999999999999999E-2</v>
      </c>
      <c r="R5441">
        <v>2.8560000000000001E-5</v>
      </c>
    </row>
    <row r="5442" spans="1:18" ht="13.8" outlineLevel="2" x14ac:dyDescent="0.25">
      <c r="A5442">
        <v>88236</v>
      </c>
      <c r="B5442" t="s">
        <v>7713</v>
      </c>
      <c r="C5442" t="s">
        <v>7721</v>
      </c>
      <c r="D5442" s="14" t="s">
        <v>7715</v>
      </c>
      <c r="E5442" s="12" t="s">
        <v>28</v>
      </c>
      <c r="F5442" s="13" t="s">
        <v>29</v>
      </c>
      <c r="G5442">
        <v>25</v>
      </c>
      <c r="H5442" t="s">
        <v>30</v>
      </c>
      <c r="I5442">
        <v>25</v>
      </c>
      <c r="J5442" s="15"/>
      <c r="K5442" s="16">
        <f>302.68 - (302.68 * $E$1)</f>
        <v>302.68</v>
      </c>
      <c r="L5442" s="16">
        <f>248.1 - (248.1 * $E$1)</f>
        <v>248.1</v>
      </c>
      <c r="M5442" s="1">
        <v>302.68</v>
      </c>
      <c r="N5442" s="1">
        <v>248.1</v>
      </c>
      <c r="O5442" s="1">
        <v>257.27999999999997</v>
      </c>
      <c r="P5442" s="1">
        <v>210.89</v>
      </c>
      <c r="Q5442">
        <v>2.8000000000000001E-2</v>
      </c>
      <c r="R5442">
        <v>3.6480000000000003E-5</v>
      </c>
    </row>
    <row r="5443" spans="1:18" ht="13.8" outlineLevel="2" x14ac:dyDescent="0.25">
      <c r="A5443">
        <v>88237</v>
      </c>
      <c r="B5443" t="s">
        <v>7713</v>
      </c>
      <c r="C5443" t="s">
        <v>7722</v>
      </c>
      <c r="D5443" s="14" t="s">
        <v>7723</v>
      </c>
      <c r="E5443" s="12" t="s">
        <v>28</v>
      </c>
      <c r="F5443" s="13" t="s">
        <v>29</v>
      </c>
      <c r="G5443">
        <v>50</v>
      </c>
      <c r="H5443" t="s">
        <v>30</v>
      </c>
      <c r="I5443">
        <v>50</v>
      </c>
      <c r="J5443" s="15"/>
      <c r="K5443" s="16">
        <f>27.6 - (27.6 * $E$1)</f>
        <v>27.6</v>
      </c>
      <c r="L5443" s="16">
        <f>22.62 - (22.62 * $E$1)</f>
        <v>22.62</v>
      </c>
      <c r="M5443" s="1">
        <v>27.6</v>
      </c>
      <c r="N5443" s="1">
        <v>22.62</v>
      </c>
      <c r="O5443" s="1">
        <v>23.46</v>
      </c>
      <c r="P5443" s="1">
        <v>19.23</v>
      </c>
      <c r="Q5443">
        <v>2.0799999999999998E-3</v>
      </c>
      <c r="R5443">
        <v>4.9400000000000001E-6</v>
      </c>
    </row>
    <row r="5444" spans="1:18" ht="13.8" outlineLevel="2" x14ac:dyDescent="0.25">
      <c r="A5444">
        <v>88238</v>
      </c>
      <c r="B5444" t="s">
        <v>7713</v>
      </c>
      <c r="C5444" t="s">
        <v>7724</v>
      </c>
      <c r="D5444" s="14" t="s">
        <v>7723</v>
      </c>
      <c r="E5444" s="12" t="s">
        <v>28</v>
      </c>
      <c r="F5444" s="13" t="s">
        <v>29</v>
      </c>
      <c r="G5444">
        <v>50</v>
      </c>
      <c r="H5444" t="s">
        <v>30</v>
      </c>
      <c r="I5444">
        <v>50</v>
      </c>
      <c r="J5444" s="15"/>
      <c r="K5444" s="16">
        <f>53.99 - (53.99 * $E$1)</f>
        <v>53.99</v>
      </c>
      <c r="L5444" s="16">
        <f>44.25 - (44.25 * $E$1)</f>
        <v>44.25</v>
      </c>
      <c r="M5444" s="1">
        <v>53.99</v>
      </c>
      <c r="N5444" s="1">
        <v>44.25</v>
      </c>
      <c r="O5444" s="1">
        <v>45.89</v>
      </c>
      <c r="P5444" s="1">
        <v>37.61</v>
      </c>
      <c r="Q5444">
        <v>2.8400000000000001E-3</v>
      </c>
      <c r="R5444">
        <v>5.5999999999999997E-6</v>
      </c>
    </row>
    <row r="5445" spans="1:18" ht="13.8" outlineLevel="2" x14ac:dyDescent="0.25">
      <c r="A5445">
        <v>88239</v>
      </c>
      <c r="B5445" t="s">
        <v>7713</v>
      </c>
      <c r="C5445" t="s">
        <v>7725</v>
      </c>
      <c r="D5445" s="14" t="s">
        <v>7723</v>
      </c>
      <c r="E5445" s="12" t="s">
        <v>28</v>
      </c>
      <c r="F5445" s="13" t="s">
        <v>29</v>
      </c>
      <c r="G5445">
        <v>50</v>
      </c>
      <c r="H5445" t="s">
        <v>30</v>
      </c>
      <c r="I5445">
        <v>50</v>
      </c>
      <c r="J5445" s="15"/>
      <c r="K5445" s="16">
        <f>60.96 - (60.96 * $E$1)</f>
        <v>60.96</v>
      </c>
      <c r="L5445" s="16">
        <f>49.97 - (49.97 * $E$1)</f>
        <v>49.97</v>
      </c>
      <c r="M5445" s="1">
        <v>60.96</v>
      </c>
      <c r="N5445" s="1">
        <v>49.97</v>
      </c>
      <c r="O5445" s="1">
        <v>51.82</v>
      </c>
      <c r="P5445" s="1">
        <v>42.47</v>
      </c>
      <c r="Q5445">
        <v>4.2399999999999998E-3</v>
      </c>
      <c r="R5445">
        <v>5.5999999999999997E-6</v>
      </c>
    </row>
    <row r="5446" spans="1:18" ht="13.8" outlineLevel="2" x14ac:dyDescent="0.25">
      <c r="A5446">
        <v>88240</v>
      </c>
      <c r="B5446" t="s">
        <v>7713</v>
      </c>
      <c r="C5446" t="s">
        <v>7726</v>
      </c>
      <c r="D5446" s="14" t="s">
        <v>7723</v>
      </c>
      <c r="E5446" s="12" t="s">
        <v>28</v>
      </c>
      <c r="F5446" s="13" t="s">
        <v>29</v>
      </c>
      <c r="G5446">
        <v>25</v>
      </c>
      <c r="H5446" t="s">
        <v>30</v>
      </c>
      <c r="I5446">
        <v>25</v>
      </c>
      <c r="J5446" s="15"/>
      <c r="K5446" s="16">
        <f>105.23 - (105.23 * $E$1)</f>
        <v>105.23</v>
      </c>
      <c r="L5446" s="16">
        <f>86.25 - (86.25 * $E$1)</f>
        <v>86.25</v>
      </c>
      <c r="M5446" s="1">
        <v>105.23</v>
      </c>
      <c r="N5446" s="1">
        <v>86.25</v>
      </c>
      <c r="O5446" s="1">
        <v>89.44</v>
      </c>
      <c r="P5446" s="1">
        <v>73.31</v>
      </c>
      <c r="Q5446">
        <v>8.8000000000000005E-3</v>
      </c>
      <c r="R5446">
        <v>1.9040000000000001E-5</v>
      </c>
    </row>
    <row r="5447" spans="1:18" ht="13.8" outlineLevel="2" x14ac:dyDescent="0.25">
      <c r="A5447">
        <v>88241</v>
      </c>
      <c r="B5447" t="s">
        <v>7713</v>
      </c>
      <c r="C5447" t="s">
        <v>7727</v>
      </c>
      <c r="D5447" s="14" t="s">
        <v>7723</v>
      </c>
      <c r="E5447" s="12" t="s">
        <v>28</v>
      </c>
      <c r="F5447" s="13" t="s">
        <v>29</v>
      </c>
      <c r="G5447">
        <v>25</v>
      </c>
      <c r="H5447" t="s">
        <v>30</v>
      </c>
      <c r="I5447">
        <v>25</v>
      </c>
      <c r="J5447" s="15"/>
      <c r="K5447" s="16">
        <f>204.63 - (204.63 * $E$1)</f>
        <v>204.63</v>
      </c>
      <c r="L5447" s="16">
        <f>167.73 - (167.73 * $E$1)</f>
        <v>167.73</v>
      </c>
      <c r="M5447" s="1">
        <v>204.63</v>
      </c>
      <c r="N5447" s="1">
        <v>167.73</v>
      </c>
      <c r="O5447" s="1">
        <v>173.94</v>
      </c>
      <c r="P5447" s="1">
        <v>142.57</v>
      </c>
      <c r="Q5447">
        <v>2.0160000000000001E-2</v>
      </c>
      <c r="R5447">
        <v>3.6000000000000001E-5</v>
      </c>
    </row>
    <row r="5448" spans="1:18" ht="13.8" outlineLevel="2" x14ac:dyDescent="0.25">
      <c r="A5448">
        <v>88242</v>
      </c>
      <c r="B5448" t="s">
        <v>7713</v>
      </c>
      <c r="C5448" t="s">
        <v>7728</v>
      </c>
      <c r="D5448" s="14" t="s">
        <v>7723</v>
      </c>
      <c r="E5448" s="12" t="s">
        <v>28</v>
      </c>
      <c r="F5448" s="13" t="s">
        <v>29</v>
      </c>
      <c r="G5448">
        <v>25</v>
      </c>
      <c r="H5448" t="s">
        <v>30</v>
      </c>
      <c r="I5448">
        <v>25</v>
      </c>
      <c r="J5448" s="15"/>
      <c r="K5448" s="16">
        <f>339.42 - (339.42 * $E$1)</f>
        <v>339.42</v>
      </c>
      <c r="L5448" s="16">
        <f>278.21 - (278.21 * $E$1)</f>
        <v>278.20999999999998</v>
      </c>
      <c r="M5448" s="1">
        <v>339.42</v>
      </c>
      <c r="N5448" s="1">
        <v>278.20999999999998</v>
      </c>
      <c r="O5448" s="1">
        <v>288.5</v>
      </c>
      <c r="P5448" s="1">
        <v>236.48</v>
      </c>
      <c r="Q5448">
        <v>3.1199999999999999E-2</v>
      </c>
      <c r="R5448">
        <v>5.7599999999999997E-5</v>
      </c>
    </row>
    <row r="5449" spans="1:18" ht="13.8" outlineLevel="2" x14ac:dyDescent="0.25">
      <c r="A5449">
        <v>88664</v>
      </c>
      <c r="B5449" t="s">
        <v>7729</v>
      </c>
      <c r="C5449" t="s">
        <v>7730</v>
      </c>
      <c r="D5449" s="14" t="s">
        <v>7731</v>
      </c>
      <c r="E5449" s="12" t="s">
        <v>28</v>
      </c>
      <c r="F5449" s="13" t="s">
        <v>29</v>
      </c>
      <c r="G5449">
        <v>50</v>
      </c>
      <c r="H5449" t="s">
        <v>30</v>
      </c>
      <c r="I5449">
        <v>50</v>
      </c>
      <c r="J5449" s="15"/>
      <c r="K5449" s="16">
        <f>53.38 - (53.38 * $E$1)</f>
        <v>53.38</v>
      </c>
      <c r="L5449" s="16">
        <f>43.75 - (43.75 * $E$1)</f>
        <v>43.75</v>
      </c>
      <c r="M5449" s="1">
        <v>53.38</v>
      </c>
      <c r="N5449" s="1">
        <v>43.75</v>
      </c>
      <c r="O5449" s="1">
        <v>45.37</v>
      </c>
      <c r="P5449" s="1">
        <v>37.19</v>
      </c>
      <c r="Q5449">
        <v>4.64E-3</v>
      </c>
      <c r="R5449">
        <v>4.3200000000000001E-6</v>
      </c>
    </row>
    <row r="5450" spans="1:18" ht="13.8" outlineLevel="2" x14ac:dyDescent="0.25">
      <c r="A5450">
        <v>88665</v>
      </c>
      <c r="B5450" t="s">
        <v>7729</v>
      </c>
      <c r="C5450" t="s">
        <v>7732</v>
      </c>
      <c r="D5450" s="14" t="s">
        <v>7731</v>
      </c>
      <c r="E5450" s="12" t="s">
        <v>28</v>
      </c>
      <c r="F5450" s="13" t="s">
        <v>29</v>
      </c>
      <c r="G5450">
        <v>50</v>
      </c>
      <c r="H5450" t="s">
        <v>30</v>
      </c>
      <c r="I5450">
        <v>50</v>
      </c>
      <c r="J5450" s="15"/>
      <c r="K5450" s="16">
        <f>63.53 - (63.53 * $E$1)</f>
        <v>63.53</v>
      </c>
      <c r="L5450" s="16">
        <f>52.07 - (52.07 * $E$1)</f>
        <v>52.07</v>
      </c>
      <c r="M5450" s="1">
        <v>63.53</v>
      </c>
      <c r="N5450" s="1">
        <v>52.07</v>
      </c>
      <c r="O5450" s="1">
        <v>54</v>
      </c>
      <c r="P5450" s="1">
        <v>44.26</v>
      </c>
      <c r="Q5450">
        <v>8.1600000000000006E-3</v>
      </c>
      <c r="R5450">
        <v>5.4E-6</v>
      </c>
    </row>
    <row r="5451" spans="1:18" ht="13.8" outlineLevel="2" x14ac:dyDescent="0.25">
      <c r="A5451">
        <v>88666</v>
      </c>
      <c r="B5451" t="s">
        <v>7729</v>
      </c>
      <c r="C5451" t="s">
        <v>7733</v>
      </c>
      <c r="D5451" s="14" t="s">
        <v>7731</v>
      </c>
      <c r="E5451" s="12" t="s">
        <v>28</v>
      </c>
      <c r="F5451" s="13" t="s">
        <v>29</v>
      </c>
      <c r="G5451">
        <v>50</v>
      </c>
      <c r="H5451" t="s">
        <v>30</v>
      </c>
      <c r="I5451">
        <v>50</v>
      </c>
      <c r="J5451" s="15"/>
      <c r="K5451" s="16">
        <f>77.71 - (77.71 * $E$1)</f>
        <v>77.709999999999994</v>
      </c>
      <c r="L5451" s="16">
        <f>63.7 - (63.7 * $E$1)</f>
        <v>63.7</v>
      </c>
      <c r="M5451" s="1">
        <v>77.709999999999994</v>
      </c>
      <c r="N5451" s="1">
        <v>63.7</v>
      </c>
      <c r="O5451" s="1">
        <v>66.06</v>
      </c>
      <c r="P5451" s="1">
        <v>54.15</v>
      </c>
      <c r="Q5451">
        <v>1.26E-2</v>
      </c>
      <c r="R5451">
        <v>1.08E-5</v>
      </c>
    </row>
    <row r="5452" spans="1:18" ht="13.8" outlineLevel="2" x14ac:dyDescent="0.25">
      <c r="A5452">
        <v>88667</v>
      </c>
      <c r="B5452" t="s">
        <v>7729</v>
      </c>
      <c r="C5452" t="s">
        <v>7734</v>
      </c>
      <c r="D5452" s="14" t="s">
        <v>7731</v>
      </c>
      <c r="E5452" s="12" t="s">
        <v>28</v>
      </c>
      <c r="F5452" s="13" t="s">
        <v>29</v>
      </c>
      <c r="G5452">
        <v>20</v>
      </c>
      <c r="H5452" t="s">
        <v>30</v>
      </c>
      <c r="I5452">
        <v>20</v>
      </c>
      <c r="J5452" s="15"/>
      <c r="K5452" s="16">
        <f>134.57 - (134.57 * $E$1)</f>
        <v>134.57</v>
      </c>
      <c r="L5452" s="16">
        <f>110.3 - (110.3 * $E$1)</f>
        <v>110.3</v>
      </c>
      <c r="M5452" s="1">
        <v>134.57</v>
      </c>
      <c r="N5452" s="1">
        <v>110.3</v>
      </c>
      <c r="O5452" s="1">
        <v>114.38</v>
      </c>
      <c r="P5452" s="1">
        <v>93.76</v>
      </c>
      <c r="Q5452">
        <v>1.9199999999999998E-2</v>
      </c>
      <c r="R5452">
        <v>1.8E-5</v>
      </c>
    </row>
    <row r="5453" spans="1:18" ht="13.8" outlineLevel="2" x14ac:dyDescent="0.25">
      <c r="A5453">
        <v>88668</v>
      </c>
      <c r="B5453" t="s">
        <v>7729</v>
      </c>
      <c r="C5453" t="s">
        <v>7735</v>
      </c>
      <c r="D5453" s="14" t="s">
        <v>7731</v>
      </c>
      <c r="E5453" s="12" t="s">
        <v>28</v>
      </c>
      <c r="F5453" s="13" t="s">
        <v>29</v>
      </c>
      <c r="G5453">
        <v>20</v>
      </c>
      <c r="H5453" t="s">
        <v>30</v>
      </c>
      <c r="I5453">
        <v>20</v>
      </c>
      <c r="J5453" s="15"/>
      <c r="K5453" s="16">
        <f>227.51 - (227.51 * $E$1)</f>
        <v>227.51</v>
      </c>
      <c r="L5453" s="16">
        <f>186.48 - (186.48 * $E$1)</f>
        <v>186.48</v>
      </c>
      <c r="M5453" s="1">
        <v>227.51</v>
      </c>
      <c r="N5453" s="1">
        <v>186.48</v>
      </c>
      <c r="O5453" s="1">
        <v>193.38</v>
      </c>
      <c r="P5453" s="1">
        <v>158.51</v>
      </c>
      <c r="Q5453">
        <v>3.0300000000000001E-2</v>
      </c>
      <c r="R5453">
        <v>2.7650000000000001E-5</v>
      </c>
    </row>
    <row r="5454" spans="1:18" ht="16.5" customHeight="1" outlineLevel="1" x14ac:dyDescent="0.35">
      <c r="A5454" s="9"/>
      <c r="B5454" s="10" t="s">
        <v>7736</v>
      </c>
      <c r="C5454" s="10"/>
      <c r="D5454" s="10"/>
      <c r="E5454" s="10"/>
      <c r="F5454" s="10"/>
      <c r="G5454" s="10"/>
      <c r="H5454" s="10"/>
      <c r="I5454" s="10"/>
      <c r="J5454" s="10"/>
      <c r="K5454" s="10"/>
      <c r="L5454" s="10"/>
      <c r="M5454" s="10"/>
      <c r="N5454" s="10"/>
      <c r="O5454" s="10"/>
      <c r="P5454" s="10"/>
      <c r="Q5454" s="10"/>
      <c r="R5454" s="11"/>
    </row>
    <row r="5455" spans="1:18" ht="13.8" outlineLevel="2" x14ac:dyDescent="0.25">
      <c r="A5455">
        <v>88639</v>
      </c>
      <c r="B5455" t="s">
        <v>7737</v>
      </c>
      <c r="C5455" t="s">
        <v>7738</v>
      </c>
      <c r="D5455" s="14" t="s">
        <v>7739</v>
      </c>
      <c r="E5455" s="12" t="s">
        <v>28</v>
      </c>
      <c r="F5455" s="13" t="s">
        <v>29</v>
      </c>
      <c r="G5455">
        <v>100</v>
      </c>
      <c r="H5455" t="s">
        <v>30</v>
      </c>
      <c r="I5455">
        <v>100</v>
      </c>
      <c r="J5455" s="15"/>
      <c r="K5455" s="16">
        <f>11.9 - (11.9 * $E$1)</f>
        <v>11.9</v>
      </c>
      <c r="L5455" s="16">
        <f>9.75 - (9.75 * $E$1)</f>
        <v>9.75</v>
      </c>
      <c r="M5455" s="1">
        <v>11.9</v>
      </c>
      <c r="N5455" s="1">
        <v>9.75</v>
      </c>
      <c r="O5455" s="1">
        <v>10.11</v>
      </c>
      <c r="P5455" s="1">
        <v>8.2899999999999991</v>
      </c>
      <c r="Q5455">
        <v>4.0000000000000001E-3</v>
      </c>
      <c r="R5455">
        <v>1.173E-5</v>
      </c>
    </row>
    <row r="5456" spans="1:18" ht="13.8" outlineLevel="2" x14ac:dyDescent="0.25">
      <c r="A5456">
        <v>88640</v>
      </c>
      <c r="B5456" t="s">
        <v>7737</v>
      </c>
      <c r="C5456" t="s">
        <v>7740</v>
      </c>
      <c r="D5456" s="14" t="s">
        <v>7739</v>
      </c>
      <c r="E5456" s="12" t="s">
        <v>28</v>
      </c>
      <c r="F5456" s="13" t="s">
        <v>29</v>
      </c>
      <c r="G5456">
        <v>100</v>
      </c>
      <c r="H5456" t="s">
        <v>30</v>
      </c>
      <c r="I5456">
        <v>100</v>
      </c>
      <c r="J5456" s="15"/>
      <c r="K5456" s="16">
        <f>13.91 - (13.91 * $E$1)</f>
        <v>13.91</v>
      </c>
      <c r="L5456" s="16">
        <f>11.4 - (11.4 * $E$1)</f>
        <v>11.4</v>
      </c>
      <c r="M5456" s="1">
        <v>13.91</v>
      </c>
      <c r="N5456" s="1">
        <v>11.4</v>
      </c>
      <c r="O5456" s="1">
        <v>11.82</v>
      </c>
      <c r="P5456" s="1">
        <v>9.69</v>
      </c>
      <c r="Q5456">
        <v>6.4000000000000003E-3</v>
      </c>
      <c r="R5456">
        <v>1.84E-5</v>
      </c>
    </row>
    <row r="5457" spans="1:18" ht="13.8" outlineLevel="2" x14ac:dyDescent="0.25">
      <c r="A5457">
        <v>88641</v>
      </c>
      <c r="B5457" t="s">
        <v>7737</v>
      </c>
      <c r="C5457" t="s">
        <v>7741</v>
      </c>
      <c r="D5457" s="14" t="s">
        <v>7739</v>
      </c>
      <c r="E5457" s="12" t="s">
        <v>28</v>
      </c>
      <c r="F5457" s="13" t="s">
        <v>29</v>
      </c>
      <c r="G5457">
        <v>100</v>
      </c>
      <c r="H5457" t="s">
        <v>30</v>
      </c>
      <c r="I5457">
        <v>100</v>
      </c>
      <c r="J5457" s="15"/>
      <c r="K5457" s="16">
        <f>18.67 - (18.67 * $E$1)</f>
        <v>18.670000000000002</v>
      </c>
      <c r="L5457" s="16">
        <f>15.3 - (15.3 * $E$1)</f>
        <v>15.3</v>
      </c>
      <c r="M5457" s="1">
        <v>18.670000000000002</v>
      </c>
      <c r="N5457" s="1">
        <v>15.3</v>
      </c>
      <c r="O5457" s="1">
        <v>15.87</v>
      </c>
      <c r="P5457" s="1">
        <v>13.01</v>
      </c>
      <c r="Q5457">
        <v>8.0000000000000002E-3</v>
      </c>
      <c r="R5457">
        <v>2.94E-5</v>
      </c>
    </row>
    <row r="5458" spans="1:18" ht="13.8" outlineLevel="2" x14ac:dyDescent="0.25">
      <c r="A5458">
        <v>88642</v>
      </c>
      <c r="B5458" t="s">
        <v>7737</v>
      </c>
      <c r="C5458" t="s">
        <v>7742</v>
      </c>
      <c r="D5458" s="14" t="s">
        <v>7739</v>
      </c>
      <c r="E5458" s="12" t="s">
        <v>28</v>
      </c>
      <c r="F5458" s="13" t="s">
        <v>29</v>
      </c>
      <c r="G5458">
        <v>100</v>
      </c>
      <c r="H5458" t="s">
        <v>30</v>
      </c>
      <c r="I5458">
        <v>100</v>
      </c>
      <c r="J5458" s="15"/>
      <c r="K5458" s="16">
        <f>21.75 - (21.75 * $E$1)</f>
        <v>21.75</v>
      </c>
      <c r="L5458" s="16">
        <f>17.83 - (17.83 * $E$1)</f>
        <v>17.829999999999998</v>
      </c>
      <c r="M5458" s="1">
        <v>21.75</v>
      </c>
      <c r="N5458" s="1">
        <v>17.829999999999998</v>
      </c>
      <c r="O5458" s="1">
        <v>18.489999999999998</v>
      </c>
      <c r="P5458" s="1">
        <v>15.16</v>
      </c>
      <c r="Q5458">
        <v>0.01</v>
      </c>
      <c r="R5458">
        <v>3.8640000000000003E-5</v>
      </c>
    </row>
    <row r="5459" spans="1:18" ht="13.8" outlineLevel="2" x14ac:dyDescent="0.25">
      <c r="A5459">
        <v>88643</v>
      </c>
      <c r="B5459" t="s">
        <v>7737</v>
      </c>
      <c r="C5459" t="s">
        <v>7743</v>
      </c>
      <c r="D5459" s="14" t="s">
        <v>7739</v>
      </c>
      <c r="E5459" s="12" t="s">
        <v>28</v>
      </c>
      <c r="F5459" s="13" t="s">
        <v>29</v>
      </c>
      <c r="G5459">
        <v>100</v>
      </c>
      <c r="H5459" t="s">
        <v>30</v>
      </c>
      <c r="I5459">
        <v>100</v>
      </c>
      <c r="J5459" s="15"/>
      <c r="K5459" s="16">
        <f>28.23 - (28.23 * $E$1)</f>
        <v>28.23</v>
      </c>
      <c r="L5459" s="16">
        <f>23.14 - (23.14 * $E$1)</f>
        <v>23.14</v>
      </c>
      <c r="M5459" s="1">
        <v>28.23</v>
      </c>
      <c r="N5459" s="1">
        <v>23.14</v>
      </c>
      <c r="O5459" s="1">
        <v>24</v>
      </c>
      <c r="P5459" s="1">
        <v>19.670000000000002</v>
      </c>
      <c r="Q5459">
        <v>1.2200000000000001E-2</v>
      </c>
      <c r="R5459">
        <v>4.5240000000000001E-5</v>
      </c>
    </row>
    <row r="5460" spans="1:18" ht="13.8" outlineLevel="2" x14ac:dyDescent="0.25">
      <c r="A5460">
        <v>88644</v>
      </c>
      <c r="B5460" t="s">
        <v>7737</v>
      </c>
      <c r="C5460" t="s">
        <v>7744</v>
      </c>
      <c r="D5460" s="14" t="s">
        <v>7739</v>
      </c>
      <c r="E5460" s="12" t="s">
        <v>28</v>
      </c>
      <c r="F5460" s="13" t="s">
        <v>29</v>
      </c>
      <c r="G5460">
        <v>50</v>
      </c>
      <c r="H5460" t="s">
        <v>30</v>
      </c>
      <c r="I5460">
        <v>50</v>
      </c>
      <c r="J5460" s="15"/>
      <c r="K5460" s="16">
        <f>30.6 - (30.6 * $E$1)</f>
        <v>30.6</v>
      </c>
      <c r="L5460" s="16">
        <f>25.08 - (25.08 * $E$1)</f>
        <v>25.08</v>
      </c>
      <c r="M5460" s="1">
        <v>30.6</v>
      </c>
      <c r="N5460" s="1">
        <v>25.08</v>
      </c>
      <c r="O5460" s="1">
        <v>26.01</v>
      </c>
      <c r="P5460" s="1">
        <v>21.32</v>
      </c>
      <c r="Q5460">
        <v>1.44E-2</v>
      </c>
      <c r="R5460">
        <v>9.0480000000000001E-5</v>
      </c>
    </row>
    <row r="5461" spans="1:18" ht="13.8" outlineLevel="2" x14ac:dyDescent="0.25">
      <c r="A5461">
        <v>88645</v>
      </c>
      <c r="B5461" t="s">
        <v>7737</v>
      </c>
      <c r="C5461" t="s">
        <v>7745</v>
      </c>
      <c r="D5461" s="14" t="s">
        <v>7739</v>
      </c>
      <c r="E5461" s="12" t="s">
        <v>28</v>
      </c>
      <c r="F5461" s="13" t="s">
        <v>29</v>
      </c>
      <c r="G5461">
        <v>50</v>
      </c>
      <c r="H5461" t="s">
        <v>30</v>
      </c>
      <c r="I5461">
        <v>50</v>
      </c>
      <c r="J5461" s="15"/>
      <c r="K5461" s="16">
        <f>42.07 - (42.07 * $E$1)</f>
        <v>42.07</v>
      </c>
      <c r="L5461" s="16">
        <f>34.48 - (34.48 * $E$1)</f>
        <v>34.479999999999997</v>
      </c>
      <c r="M5461" s="1">
        <v>42.07</v>
      </c>
      <c r="N5461" s="1">
        <v>34.479999999999997</v>
      </c>
      <c r="O5461" s="1">
        <v>35.76</v>
      </c>
      <c r="P5461" s="1">
        <v>29.31</v>
      </c>
      <c r="Q5461">
        <v>0.02</v>
      </c>
      <c r="R5461">
        <v>7.3919999999999997E-5</v>
      </c>
    </row>
    <row r="5462" spans="1:18" ht="13.8" outlineLevel="2" x14ac:dyDescent="0.25">
      <c r="A5462">
        <v>88646</v>
      </c>
      <c r="B5462" t="s">
        <v>7737</v>
      </c>
      <c r="C5462" t="s">
        <v>7746</v>
      </c>
      <c r="D5462" s="14" t="s">
        <v>7739</v>
      </c>
      <c r="E5462" s="12" t="s">
        <v>28</v>
      </c>
      <c r="F5462" s="13" t="s">
        <v>29</v>
      </c>
      <c r="G5462">
        <v>50</v>
      </c>
      <c r="H5462" t="s">
        <v>30</v>
      </c>
      <c r="I5462">
        <v>50</v>
      </c>
      <c r="J5462" s="15"/>
      <c r="K5462" s="16">
        <f>51.01 - (51.01 * $E$1)</f>
        <v>51.01</v>
      </c>
      <c r="L5462" s="16">
        <f>41.81 - (41.81 * $E$1)</f>
        <v>41.81</v>
      </c>
      <c r="M5462" s="1">
        <v>51.01</v>
      </c>
      <c r="N5462" s="1">
        <v>41.81</v>
      </c>
      <c r="O5462" s="1">
        <v>43.36</v>
      </c>
      <c r="P5462" s="1">
        <v>35.54</v>
      </c>
      <c r="Q5462">
        <v>2.5600000000000001E-2</v>
      </c>
      <c r="R5462">
        <v>9.0480000000000001E-5</v>
      </c>
    </row>
    <row r="5463" spans="1:18" ht="13.8" outlineLevel="2" x14ac:dyDescent="0.25">
      <c r="A5463">
        <v>88647</v>
      </c>
      <c r="B5463" t="s">
        <v>7737</v>
      </c>
      <c r="C5463" t="s">
        <v>7747</v>
      </c>
      <c r="D5463" s="14" t="s">
        <v>7739</v>
      </c>
      <c r="E5463" s="12" t="s">
        <v>28</v>
      </c>
      <c r="F5463" s="13" t="s">
        <v>29</v>
      </c>
      <c r="G5463">
        <v>50</v>
      </c>
      <c r="H5463" t="s">
        <v>30</v>
      </c>
      <c r="I5463">
        <v>50</v>
      </c>
      <c r="J5463" s="15"/>
      <c r="K5463" s="16">
        <f>69.06 - (69.06 * $E$1)</f>
        <v>69.06</v>
      </c>
      <c r="L5463" s="16">
        <f>56.61 - (56.61 * $E$1)</f>
        <v>56.61</v>
      </c>
      <c r="M5463" s="1">
        <v>69.06</v>
      </c>
      <c r="N5463" s="1">
        <v>56.61</v>
      </c>
      <c r="O5463" s="1">
        <v>58.7</v>
      </c>
      <c r="P5463" s="1">
        <v>48.12</v>
      </c>
      <c r="Q5463">
        <v>0.04</v>
      </c>
      <c r="R5463">
        <v>1.5119999999999999E-4</v>
      </c>
    </row>
    <row r="5464" spans="1:18" ht="13.8" outlineLevel="2" x14ac:dyDescent="0.25">
      <c r="A5464">
        <v>88648</v>
      </c>
      <c r="B5464" t="s">
        <v>7737</v>
      </c>
      <c r="C5464" t="s">
        <v>7748</v>
      </c>
      <c r="D5464" s="14" t="s">
        <v>7739</v>
      </c>
      <c r="E5464" s="12" t="s">
        <v>28</v>
      </c>
      <c r="F5464" s="13" t="s">
        <v>29</v>
      </c>
      <c r="G5464">
        <v>25</v>
      </c>
      <c r="H5464" t="s">
        <v>30</v>
      </c>
      <c r="I5464">
        <v>25</v>
      </c>
      <c r="J5464" s="15"/>
      <c r="K5464" s="16">
        <f>118.18 - (118.18 * $E$1)</f>
        <v>118.18</v>
      </c>
      <c r="L5464" s="16">
        <f>96.87 - (96.87 * $E$1)</f>
        <v>96.87</v>
      </c>
      <c r="M5464" s="1">
        <v>118.18</v>
      </c>
      <c r="N5464" s="1">
        <v>96.87</v>
      </c>
      <c r="O5464" s="1">
        <v>100.45</v>
      </c>
      <c r="P5464" s="1">
        <v>82.34</v>
      </c>
      <c r="Q5464">
        <v>5.5599999999999997E-2</v>
      </c>
      <c r="R5464">
        <v>1.9320000000000001E-4</v>
      </c>
    </row>
    <row r="5465" spans="1:18" ht="13.8" outlineLevel="2" x14ac:dyDescent="0.25">
      <c r="A5465">
        <v>88649</v>
      </c>
      <c r="B5465" t="s">
        <v>7737</v>
      </c>
      <c r="C5465" t="s">
        <v>7749</v>
      </c>
      <c r="D5465" s="14" t="s">
        <v>7739</v>
      </c>
      <c r="E5465" s="12" t="s">
        <v>28</v>
      </c>
      <c r="F5465" s="13" t="s">
        <v>29</v>
      </c>
      <c r="G5465">
        <v>20</v>
      </c>
      <c r="H5465" t="s">
        <v>30</v>
      </c>
      <c r="I5465">
        <v>20</v>
      </c>
      <c r="J5465" s="15"/>
      <c r="K5465" s="16">
        <f>151.69 - (151.69 * $E$1)</f>
        <v>151.69</v>
      </c>
      <c r="L5465" s="16">
        <f>124.34 - (124.34 * $E$1)</f>
        <v>124.34</v>
      </c>
      <c r="M5465" s="1">
        <v>151.69</v>
      </c>
      <c r="N5465" s="1">
        <v>124.34</v>
      </c>
      <c r="O5465" s="1">
        <v>128.94</v>
      </c>
      <c r="P5465" s="1">
        <v>105.69</v>
      </c>
      <c r="Q5465">
        <v>0.08</v>
      </c>
      <c r="R5465">
        <v>2.4000000000000001E-4</v>
      </c>
    </row>
    <row r="5466" spans="1:18" ht="13.8" outlineLevel="2" x14ac:dyDescent="0.25">
      <c r="A5466">
        <v>88650</v>
      </c>
      <c r="B5466" t="s">
        <v>7737</v>
      </c>
      <c r="C5466" t="s">
        <v>7750</v>
      </c>
      <c r="D5466" s="14" t="s">
        <v>7739</v>
      </c>
      <c r="E5466" s="12" t="s">
        <v>28</v>
      </c>
      <c r="F5466" s="13" t="s">
        <v>29</v>
      </c>
      <c r="G5466">
        <v>20</v>
      </c>
      <c r="H5466" t="s">
        <v>30</v>
      </c>
      <c r="I5466">
        <v>20</v>
      </c>
      <c r="J5466" s="15"/>
      <c r="K5466" s="16">
        <f>188.71 - (188.71 * $E$1)</f>
        <v>188.71</v>
      </c>
      <c r="L5466" s="16">
        <f>154.68 - (154.68 * $E$1)</f>
        <v>154.68</v>
      </c>
      <c r="M5466" s="1">
        <v>188.71</v>
      </c>
      <c r="N5466" s="1">
        <v>154.68</v>
      </c>
      <c r="O5466" s="1">
        <v>160.4</v>
      </c>
      <c r="P5466" s="1">
        <v>131.47999999999999</v>
      </c>
      <c r="Q5466">
        <v>9.7000000000000003E-2</v>
      </c>
      <c r="R5466">
        <v>3.9199999999999999E-4</v>
      </c>
    </row>
    <row r="5467" spans="1:18" ht="13.8" outlineLevel="2" x14ac:dyDescent="0.25">
      <c r="A5467">
        <v>89070</v>
      </c>
      <c r="B5467" t="s">
        <v>7737</v>
      </c>
      <c r="C5467" t="s">
        <v>7751</v>
      </c>
      <c r="D5467" s="14" t="s">
        <v>7739</v>
      </c>
      <c r="E5467" s="12" t="s">
        <v>28</v>
      </c>
      <c r="F5467" s="13" t="s">
        <v>29</v>
      </c>
      <c r="G5467">
        <v>5</v>
      </c>
      <c r="H5467" t="s">
        <v>30</v>
      </c>
      <c r="I5467">
        <v>5</v>
      </c>
      <c r="J5467" s="15"/>
      <c r="K5467" s="16">
        <f>338.43 - (338.43 * $E$1)</f>
        <v>338.43</v>
      </c>
      <c r="L5467" s="16">
        <f>277.4 - (277.4 * $E$1)</f>
        <v>277.39999999999998</v>
      </c>
      <c r="M5467" s="1">
        <v>338.43</v>
      </c>
      <c r="N5467" s="1">
        <v>277.39999999999998</v>
      </c>
      <c r="O5467" s="1">
        <v>287.66000000000003</v>
      </c>
      <c r="P5467" s="1">
        <v>235.79</v>
      </c>
      <c r="Q5467">
        <v>0.19600000000000001</v>
      </c>
      <c r="R5467">
        <v>2.3993999999999999E-3</v>
      </c>
    </row>
    <row r="5468" spans="1:18" ht="13.8" outlineLevel="2" x14ac:dyDescent="0.25">
      <c r="A5468">
        <v>6442</v>
      </c>
      <c r="B5468" t="s">
        <v>7737</v>
      </c>
      <c r="C5468" t="s">
        <v>7752</v>
      </c>
      <c r="D5468" s="14" t="s">
        <v>7753</v>
      </c>
      <c r="E5468" s="12" t="s">
        <v>28</v>
      </c>
      <c r="F5468" s="13" t="s">
        <v>29</v>
      </c>
      <c r="G5468">
        <v>100</v>
      </c>
      <c r="H5468" t="s">
        <v>30</v>
      </c>
      <c r="I5468">
        <v>100</v>
      </c>
      <c r="J5468" s="15"/>
      <c r="K5468" s="16">
        <f>11.9 - (11.9 * $E$1)</f>
        <v>11.9</v>
      </c>
      <c r="L5468" s="16">
        <f>9.75 - (9.75 * $E$1)</f>
        <v>9.75</v>
      </c>
      <c r="M5468" s="1">
        <v>11.9</v>
      </c>
      <c r="N5468" s="1">
        <v>9.75</v>
      </c>
      <c r="O5468" s="1">
        <v>10.11</v>
      </c>
      <c r="P5468" s="1">
        <v>8.2899999999999991</v>
      </c>
      <c r="Q5468">
        <v>4.0000000000000001E-3</v>
      </c>
      <c r="R5468">
        <v>1.173E-5</v>
      </c>
    </row>
    <row r="5469" spans="1:18" ht="13.8" outlineLevel="2" x14ac:dyDescent="0.25">
      <c r="A5469">
        <v>51297</v>
      </c>
      <c r="B5469" t="s">
        <v>7737</v>
      </c>
      <c r="C5469" t="s">
        <v>7754</v>
      </c>
      <c r="D5469" s="14" t="s">
        <v>7753</v>
      </c>
      <c r="E5469" s="12" t="s">
        <v>28</v>
      </c>
      <c r="F5469" s="13" t="s">
        <v>29</v>
      </c>
      <c r="G5469">
        <v>100</v>
      </c>
      <c r="H5469" t="s">
        <v>30</v>
      </c>
      <c r="I5469">
        <v>100</v>
      </c>
      <c r="J5469" s="15"/>
      <c r="K5469" s="16">
        <f>13.91 - (13.91 * $E$1)</f>
        <v>13.91</v>
      </c>
      <c r="L5469" s="16">
        <f>11.4 - (11.4 * $E$1)</f>
        <v>11.4</v>
      </c>
      <c r="M5469" s="1">
        <v>13.91</v>
      </c>
      <c r="N5469" s="1">
        <v>11.4</v>
      </c>
      <c r="O5469" s="1">
        <v>11.82</v>
      </c>
      <c r="P5469" s="1">
        <v>9.69</v>
      </c>
      <c r="Q5469">
        <v>6.3499999999999997E-3</v>
      </c>
      <c r="R5469">
        <v>1.84E-5</v>
      </c>
    </row>
    <row r="5470" spans="1:18" ht="13.8" outlineLevel="2" x14ac:dyDescent="0.25">
      <c r="A5470">
        <v>6448</v>
      </c>
      <c r="B5470" t="s">
        <v>7737</v>
      </c>
      <c r="C5470" t="s">
        <v>7755</v>
      </c>
      <c r="D5470" s="14" t="s">
        <v>7753</v>
      </c>
      <c r="E5470" s="12" t="s">
        <v>28</v>
      </c>
      <c r="F5470" s="13" t="s">
        <v>29</v>
      </c>
      <c r="G5470">
        <v>100</v>
      </c>
      <c r="H5470" t="s">
        <v>30</v>
      </c>
      <c r="I5470">
        <v>100</v>
      </c>
      <c r="J5470" s="15"/>
      <c r="K5470" s="16">
        <f>18.67 - (18.67 * $E$1)</f>
        <v>18.670000000000002</v>
      </c>
      <c r="L5470" s="16">
        <f>15.3 - (15.3 * $E$1)</f>
        <v>15.3</v>
      </c>
      <c r="M5470" s="1">
        <v>18.670000000000002</v>
      </c>
      <c r="N5470" s="1">
        <v>15.3</v>
      </c>
      <c r="O5470" s="1">
        <v>15.87</v>
      </c>
      <c r="P5470" s="1">
        <v>13.01</v>
      </c>
      <c r="Q5470">
        <v>8.0000000000000002E-3</v>
      </c>
      <c r="R5470">
        <v>2.94E-5</v>
      </c>
    </row>
    <row r="5471" spans="1:18" ht="13.8" outlineLevel="2" x14ac:dyDescent="0.25">
      <c r="A5471">
        <v>6403</v>
      </c>
      <c r="B5471" t="s">
        <v>7737</v>
      </c>
      <c r="C5471" t="s">
        <v>7756</v>
      </c>
      <c r="D5471" s="14" t="s">
        <v>7753</v>
      </c>
      <c r="E5471" s="12" t="s">
        <v>28</v>
      </c>
      <c r="F5471" s="13" t="s">
        <v>29</v>
      </c>
      <c r="G5471">
        <v>100</v>
      </c>
      <c r="H5471" t="s">
        <v>30</v>
      </c>
      <c r="I5471">
        <v>100</v>
      </c>
      <c r="J5471" s="15"/>
      <c r="K5471" s="16">
        <f>21.75 - (21.75 * $E$1)</f>
        <v>21.75</v>
      </c>
      <c r="L5471" s="16">
        <f>17.83 - (17.83 * $E$1)</f>
        <v>17.829999999999998</v>
      </c>
      <c r="M5471" s="1">
        <v>21.75</v>
      </c>
      <c r="N5471" s="1">
        <v>17.829999999999998</v>
      </c>
      <c r="O5471" s="1">
        <v>18.489999999999998</v>
      </c>
      <c r="P5471" s="1">
        <v>15.16</v>
      </c>
      <c r="Q5471">
        <v>0.01</v>
      </c>
      <c r="R5471">
        <v>3.8640000000000003E-5</v>
      </c>
    </row>
    <row r="5472" spans="1:18" ht="13.8" outlineLevel="2" x14ac:dyDescent="0.25">
      <c r="A5472">
        <v>6443</v>
      </c>
      <c r="B5472" t="s">
        <v>7737</v>
      </c>
      <c r="C5472" t="s">
        <v>7757</v>
      </c>
      <c r="D5472" s="14" t="s">
        <v>7753</v>
      </c>
      <c r="E5472" s="12" t="s">
        <v>28</v>
      </c>
      <c r="F5472" s="13" t="s">
        <v>29</v>
      </c>
      <c r="G5472">
        <v>100</v>
      </c>
      <c r="H5472" t="s">
        <v>30</v>
      </c>
      <c r="I5472">
        <v>100</v>
      </c>
      <c r="J5472" s="15"/>
      <c r="K5472" s="16">
        <f>28.23 - (28.23 * $E$1)</f>
        <v>28.23</v>
      </c>
      <c r="L5472" s="16">
        <f>23.14 - (23.14 * $E$1)</f>
        <v>23.14</v>
      </c>
      <c r="M5472" s="1">
        <v>28.23</v>
      </c>
      <c r="N5472" s="1">
        <v>23.14</v>
      </c>
      <c r="O5472" s="1">
        <v>24</v>
      </c>
      <c r="P5472" s="1">
        <v>19.670000000000002</v>
      </c>
      <c r="Q5472">
        <v>1.2200000000000001E-2</v>
      </c>
      <c r="R5472">
        <v>4.5240000000000001E-5</v>
      </c>
    </row>
    <row r="5473" spans="1:18" ht="13.8" outlineLevel="2" x14ac:dyDescent="0.25">
      <c r="A5473">
        <v>88164</v>
      </c>
      <c r="B5473" t="s">
        <v>7737</v>
      </c>
      <c r="C5473" t="s">
        <v>7758</v>
      </c>
      <c r="D5473" s="14" t="s">
        <v>7753</v>
      </c>
      <c r="E5473" s="12" t="s">
        <v>28</v>
      </c>
      <c r="F5473" s="13" t="s">
        <v>29</v>
      </c>
      <c r="G5473">
        <v>50</v>
      </c>
      <c r="H5473" t="s">
        <v>30</v>
      </c>
      <c r="I5473">
        <v>50</v>
      </c>
      <c r="J5473" s="15"/>
      <c r="K5473" s="16">
        <f>30.6 - (30.6 * $E$1)</f>
        <v>30.6</v>
      </c>
      <c r="L5473" s="16">
        <f>25.08 - (25.08 * $E$1)</f>
        <v>25.08</v>
      </c>
      <c r="M5473" s="1">
        <v>30.6</v>
      </c>
      <c r="N5473" s="1">
        <v>25.08</v>
      </c>
      <c r="O5473" s="1">
        <v>26.01</v>
      </c>
      <c r="P5473" s="1">
        <v>21.32</v>
      </c>
      <c r="Q5473">
        <v>3.3999999999999998E-3</v>
      </c>
      <c r="R5473">
        <v>6.6119999999999997E-5</v>
      </c>
    </row>
    <row r="5474" spans="1:18" ht="13.8" outlineLevel="2" x14ac:dyDescent="0.25">
      <c r="A5474">
        <v>6444</v>
      </c>
      <c r="B5474" t="s">
        <v>7737</v>
      </c>
      <c r="C5474" t="s">
        <v>7759</v>
      </c>
      <c r="D5474" s="14" t="s">
        <v>7753</v>
      </c>
      <c r="E5474" s="12" t="s">
        <v>28</v>
      </c>
      <c r="F5474" s="13" t="s">
        <v>29</v>
      </c>
      <c r="G5474">
        <v>50</v>
      </c>
      <c r="H5474" t="s">
        <v>30</v>
      </c>
      <c r="I5474">
        <v>50</v>
      </c>
      <c r="J5474" s="15"/>
      <c r="K5474" s="16">
        <f>42.07 - (42.07 * $E$1)</f>
        <v>42.07</v>
      </c>
      <c r="L5474" s="16">
        <f>34.48 - (34.48 * $E$1)</f>
        <v>34.479999999999997</v>
      </c>
      <c r="M5474" s="1">
        <v>42.07</v>
      </c>
      <c r="N5474" s="1">
        <v>34.479999999999997</v>
      </c>
      <c r="O5474" s="1">
        <v>35.76</v>
      </c>
      <c r="P5474" s="1">
        <v>29.31</v>
      </c>
      <c r="Q5474">
        <v>0.02</v>
      </c>
      <c r="R5474">
        <v>7.3919999999999997E-5</v>
      </c>
    </row>
    <row r="5475" spans="1:18" ht="13.8" outlineLevel="2" x14ac:dyDescent="0.25">
      <c r="A5475">
        <v>88165</v>
      </c>
      <c r="B5475" t="s">
        <v>7737</v>
      </c>
      <c r="C5475" t="s">
        <v>7760</v>
      </c>
      <c r="D5475" s="14" t="s">
        <v>7753</v>
      </c>
      <c r="E5475" s="12" t="s">
        <v>28</v>
      </c>
      <c r="F5475" s="13" t="s">
        <v>29</v>
      </c>
      <c r="G5475">
        <v>50</v>
      </c>
      <c r="H5475" t="s">
        <v>30</v>
      </c>
      <c r="I5475">
        <v>50</v>
      </c>
      <c r="J5475" s="15"/>
      <c r="K5475" s="16">
        <f>51.01 - (51.01 * $E$1)</f>
        <v>51.01</v>
      </c>
      <c r="L5475" s="16">
        <f>41.81 - (41.81 * $E$1)</f>
        <v>41.81</v>
      </c>
      <c r="M5475" s="1">
        <v>51.01</v>
      </c>
      <c r="N5475" s="1">
        <v>41.81</v>
      </c>
      <c r="O5475" s="1">
        <v>43.36</v>
      </c>
      <c r="P5475" s="1">
        <v>35.54</v>
      </c>
      <c r="Q5475">
        <v>2.58E-2</v>
      </c>
      <c r="R5475">
        <v>1.2879999999999999E-4</v>
      </c>
    </row>
    <row r="5476" spans="1:18" ht="13.8" outlineLevel="2" x14ac:dyDescent="0.25">
      <c r="A5476">
        <v>51299</v>
      </c>
      <c r="B5476" t="s">
        <v>7737</v>
      </c>
      <c r="C5476" t="s">
        <v>7761</v>
      </c>
      <c r="D5476" s="14" t="s">
        <v>7753</v>
      </c>
      <c r="E5476" s="12" t="s">
        <v>28</v>
      </c>
      <c r="F5476" s="13" t="s">
        <v>29</v>
      </c>
      <c r="G5476">
        <v>50</v>
      </c>
      <c r="H5476" t="s">
        <v>30</v>
      </c>
      <c r="I5476">
        <v>50</v>
      </c>
      <c r="J5476" s="15"/>
      <c r="K5476" s="16">
        <f>69.06 - (69.06 * $E$1)</f>
        <v>69.06</v>
      </c>
      <c r="L5476" s="16">
        <f>56.61 - (56.61 * $E$1)</f>
        <v>56.61</v>
      </c>
      <c r="M5476" s="1">
        <v>69.06</v>
      </c>
      <c r="N5476" s="1">
        <v>56.61</v>
      </c>
      <c r="O5476" s="1">
        <v>58.7</v>
      </c>
      <c r="P5476" s="1">
        <v>48.12</v>
      </c>
      <c r="Q5476">
        <v>0.04</v>
      </c>
      <c r="R5476">
        <v>1.5119999999999999E-4</v>
      </c>
    </row>
    <row r="5477" spans="1:18" ht="13.8" outlineLevel="2" x14ac:dyDescent="0.25">
      <c r="A5477">
        <v>6445</v>
      </c>
      <c r="B5477" t="s">
        <v>7737</v>
      </c>
      <c r="C5477" t="s">
        <v>7762</v>
      </c>
      <c r="D5477" s="14" t="s">
        <v>7753</v>
      </c>
      <c r="E5477" s="12" t="s">
        <v>28</v>
      </c>
      <c r="F5477" s="13" t="s">
        <v>29</v>
      </c>
      <c r="G5477">
        <v>25</v>
      </c>
      <c r="H5477" t="s">
        <v>30</v>
      </c>
      <c r="I5477">
        <v>25</v>
      </c>
      <c r="J5477" s="15"/>
      <c r="K5477" s="16">
        <f>118.18 - (118.18 * $E$1)</f>
        <v>118.18</v>
      </c>
      <c r="L5477" s="16">
        <f>96.87 - (96.87 * $E$1)</f>
        <v>96.87</v>
      </c>
      <c r="M5477" s="1">
        <v>118.18</v>
      </c>
      <c r="N5477" s="1">
        <v>96.87</v>
      </c>
      <c r="O5477" s="1">
        <v>100.45</v>
      </c>
      <c r="P5477" s="1">
        <v>82.34</v>
      </c>
      <c r="Q5477">
        <v>5.5599999999999997E-2</v>
      </c>
      <c r="R5477">
        <v>1.9320000000000001E-4</v>
      </c>
    </row>
    <row r="5478" spans="1:18" ht="13.8" outlineLevel="2" x14ac:dyDescent="0.25">
      <c r="A5478">
        <v>6446</v>
      </c>
      <c r="B5478" t="s">
        <v>7737</v>
      </c>
      <c r="C5478" t="s">
        <v>7763</v>
      </c>
      <c r="D5478" s="14" t="s">
        <v>7753</v>
      </c>
      <c r="E5478" s="12" t="s">
        <v>28</v>
      </c>
      <c r="F5478" s="13" t="s">
        <v>29</v>
      </c>
      <c r="G5478">
        <v>20</v>
      </c>
      <c r="H5478" t="s">
        <v>30</v>
      </c>
      <c r="I5478">
        <v>20</v>
      </c>
      <c r="J5478" s="15"/>
      <c r="K5478" s="16">
        <f>151.69 - (151.69 * $E$1)</f>
        <v>151.69</v>
      </c>
      <c r="L5478" s="16">
        <f>124.34 - (124.34 * $E$1)</f>
        <v>124.34</v>
      </c>
      <c r="M5478" s="1">
        <v>151.69</v>
      </c>
      <c r="N5478" s="1">
        <v>124.34</v>
      </c>
      <c r="O5478" s="1">
        <v>128.94</v>
      </c>
      <c r="P5478" s="1">
        <v>105.69</v>
      </c>
      <c r="Q5478">
        <v>0.08</v>
      </c>
      <c r="R5478">
        <v>2.4000000000000001E-4</v>
      </c>
    </row>
    <row r="5479" spans="1:18" ht="13.8" outlineLevel="2" x14ac:dyDescent="0.25">
      <c r="A5479">
        <v>6452</v>
      </c>
      <c r="B5479" t="s">
        <v>7737</v>
      </c>
      <c r="C5479" t="s">
        <v>7764</v>
      </c>
      <c r="D5479" s="14" t="s">
        <v>7753</v>
      </c>
      <c r="E5479" s="12" t="s">
        <v>28</v>
      </c>
      <c r="F5479" s="13" t="s">
        <v>29</v>
      </c>
      <c r="G5479">
        <v>20</v>
      </c>
      <c r="H5479" t="s">
        <v>30</v>
      </c>
      <c r="I5479">
        <v>20</v>
      </c>
      <c r="J5479" s="15"/>
      <c r="K5479" s="16">
        <f>188.71 - (188.71 * $E$1)</f>
        <v>188.71</v>
      </c>
      <c r="L5479" s="16">
        <f>154.68 - (154.68 * $E$1)</f>
        <v>154.68</v>
      </c>
      <c r="M5479" s="1">
        <v>188.71</v>
      </c>
      <c r="N5479" s="1">
        <v>154.68</v>
      </c>
      <c r="O5479" s="1">
        <v>160.4</v>
      </c>
      <c r="P5479" s="1">
        <v>131.47999999999999</v>
      </c>
      <c r="Q5479">
        <v>9.7000000000000003E-2</v>
      </c>
      <c r="R5479">
        <v>3.9199999999999999E-4</v>
      </c>
    </row>
    <row r="5480" spans="1:18" ht="13.8" outlineLevel="2" x14ac:dyDescent="0.25">
      <c r="A5480">
        <v>88166</v>
      </c>
      <c r="B5480" t="s">
        <v>7737</v>
      </c>
      <c r="C5480" t="s">
        <v>7765</v>
      </c>
      <c r="D5480" s="14" t="s">
        <v>7753</v>
      </c>
      <c r="E5480" s="12" t="s">
        <v>28</v>
      </c>
      <c r="F5480" s="13" t="s">
        <v>29</v>
      </c>
      <c r="G5480">
        <v>5</v>
      </c>
      <c r="H5480" t="s">
        <v>30</v>
      </c>
      <c r="I5480">
        <v>5</v>
      </c>
      <c r="J5480" s="15"/>
      <c r="K5480" s="16">
        <f>338.43 - (338.43 * $E$1)</f>
        <v>338.43</v>
      </c>
      <c r="L5480" s="16">
        <f>277.4 - (277.4 * $E$1)</f>
        <v>277.39999999999998</v>
      </c>
      <c r="M5480" s="1">
        <v>338.43</v>
      </c>
      <c r="N5480" s="1">
        <v>277.39999999999998</v>
      </c>
      <c r="O5480" s="1">
        <v>287.66000000000003</v>
      </c>
      <c r="P5480" s="1">
        <v>235.79</v>
      </c>
      <c r="Q5480">
        <v>0.17799999999999999</v>
      </c>
      <c r="R5480">
        <v>7.6499999999999995E-4</v>
      </c>
    </row>
    <row r="5481" spans="1:18" ht="13.8" outlineLevel="2" x14ac:dyDescent="0.25">
      <c r="A5481">
        <v>89114</v>
      </c>
      <c r="B5481" t="s">
        <v>7737</v>
      </c>
      <c r="C5481" t="s">
        <v>7766</v>
      </c>
      <c r="D5481" s="14" t="s">
        <v>7767</v>
      </c>
      <c r="E5481" s="12" t="s">
        <v>28</v>
      </c>
      <c r="F5481" s="13" t="s">
        <v>29</v>
      </c>
      <c r="G5481">
        <v>100</v>
      </c>
      <c r="H5481" t="s">
        <v>30</v>
      </c>
      <c r="I5481">
        <v>100</v>
      </c>
      <c r="J5481" s="15"/>
      <c r="K5481" s="16">
        <f>27.57 - (27.57 * $E$1)</f>
        <v>27.57</v>
      </c>
      <c r="L5481" s="16">
        <f>22.6 - (22.6 * $E$1)</f>
        <v>22.6</v>
      </c>
      <c r="M5481" s="1">
        <v>27.57</v>
      </c>
      <c r="N5481" s="1">
        <v>22.6</v>
      </c>
      <c r="O5481" s="1">
        <v>23.44</v>
      </c>
      <c r="P5481" s="1">
        <v>19.21</v>
      </c>
      <c r="Q5481">
        <v>8.0000000000000002E-3</v>
      </c>
      <c r="R5481">
        <v>1.6799999999999998E-5</v>
      </c>
    </row>
    <row r="5482" spans="1:18" ht="13.8" outlineLevel="2" x14ac:dyDescent="0.25">
      <c r="A5482">
        <v>80033</v>
      </c>
      <c r="B5482" t="s">
        <v>7737</v>
      </c>
      <c r="C5482" t="s">
        <v>7768</v>
      </c>
      <c r="D5482" s="14" t="s">
        <v>7767</v>
      </c>
      <c r="E5482" s="12" t="s">
        <v>28</v>
      </c>
      <c r="F5482" s="13" t="s">
        <v>29</v>
      </c>
      <c r="G5482">
        <v>100</v>
      </c>
      <c r="H5482" t="s">
        <v>30</v>
      </c>
      <c r="I5482">
        <v>100</v>
      </c>
      <c r="J5482" s="15"/>
      <c r="K5482" s="16">
        <f>25.17 - (25.17 * $E$1)</f>
        <v>25.17</v>
      </c>
      <c r="L5482" s="16">
        <f>20.63 - (20.63 * $E$1)</f>
        <v>20.63</v>
      </c>
      <c r="M5482" s="1">
        <v>25.17</v>
      </c>
      <c r="N5482" s="1">
        <v>20.63</v>
      </c>
      <c r="O5482" s="1">
        <v>21.39</v>
      </c>
      <c r="P5482" s="1">
        <v>17.54</v>
      </c>
      <c r="Q5482">
        <v>7.1799999999999998E-3</v>
      </c>
      <c r="R5482">
        <v>1.6799999999999998E-5</v>
      </c>
    </row>
    <row r="5483" spans="1:18" ht="13.8" outlineLevel="2" x14ac:dyDescent="0.25">
      <c r="A5483">
        <v>89115</v>
      </c>
      <c r="B5483" t="s">
        <v>7737</v>
      </c>
      <c r="C5483" t="s">
        <v>7769</v>
      </c>
      <c r="D5483" s="14" t="s">
        <v>7767</v>
      </c>
      <c r="E5483" s="12" t="s">
        <v>28</v>
      </c>
      <c r="F5483" s="13" t="s">
        <v>29</v>
      </c>
      <c r="G5483">
        <v>100</v>
      </c>
      <c r="H5483" t="s">
        <v>30</v>
      </c>
      <c r="I5483">
        <v>100</v>
      </c>
      <c r="J5483" s="15"/>
      <c r="K5483" s="16">
        <f>40.06 - (40.06 * $E$1)</f>
        <v>40.06</v>
      </c>
      <c r="L5483" s="16">
        <f>32.84 - (32.84 * $E$1)</f>
        <v>32.840000000000003</v>
      </c>
      <c r="M5483" s="1">
        <v>40.06</v>
      </c>
      <c r="N5483" s="1">
        <v>32.840000000000003</v>
      </c>
      <c r="O5483" s="1">
        <v>34.06</v>
      </c>
      <c r="P5483" s="1">
        <v>27.91</v>
      </c>
      <c r="Q5483">
        <v>1.23E-2</v>
      </c>
      <c r="R5483">
        <v>2.4640000000000001E-5</v>
      </c>
    </row>
    <row r="5484" spans="1:18" ht="13.8" outlineLevel="2" x14ac:dyDescent="0.25">
      <c r="A5484">
        <v>80034</v>
      </c>
      <c r="B5484" t="s">
        <v>7737</v>
      </c>
      <c r="C5484" t="s">
        <v>7770</v>
      </c>
      <c r="D5484" s="14" t="s">
        <v>7767</v>
      </c>
      <c r="E5484" s="12" t="s">
        <v>28</v>
      </c>
      <c r="F5484" s="13" t="s">
        <v>29</v>
      </c>
      <c r="G5484">
        <v>100</v>
      </c>
      <c r="H5484" t="s">
        <v>30</v>
      </c>
      <c r="I5484">
        <v>100</v>
      </c>
      <c r="J5484" s="15"/>
      <c r="K5484" s="16">
        <f>36.83 - (36.83 * $E$1)</f>
        <v>36.83</v>
      </c>
      <c r="L5484" s="16">
        <f>30.19 - (30.19 * $E$1)</f>
        <v>30.19</v>
      </c>
      <c r="M5484" s="1">
        <v>36.83</v>
      </c>
      <c r="N5484" s="1">
        <v>30.19</v>
      </c>
      <c r="O5484" s="1">
        <v>31.31</v>
      </c>
      <c r="P5484" s="1">
        <v>25.66</v>
      </c>
      <c r="Q5484">
        <v>1.1379999999999999E-2</v>
      </c>
      <c r="R5484">
        <v>2.4640000000000001E-5</v>
      </c>
    </row>
    <row r="5485" spans="1:18" ht="13.8" outlineLevel="2" x14ac:dyDescent="0.25">
      <c r="A5485">
        <v>89116</v>
      </c>
      <c r="B5485" t="s">
        <v>7737</v>
      </c>
      <c r="C5485" t="s">
        <v>7771</v>
      </c>
      <c r="D5485" s="14" t="s">
        <v>7767</v>
      </c>
      <c r="E5485" s="12" t="s">
        <v>28</v>
      </c>
      <c r="F5485" s="13" t="s">
        <v>29</v>
      </c>
      <c r="G5485">
        <v>100</v>
      </c>
      <c r="H5485" t="s">
        <v>30</v>
      </c>
      <c r="I5485">
        <v>100</v>
      </c>
      <c r="J5485" s="15"/>
      <c r="K5485" s="16">
        <f>55.56 - (55.56 * $E$1)</f>
        <v>55.56</v>
      </c>
      <c r="L5485" s="16">
        <f>45.54 - (45.54 * $E$1)</f>
        <v>45.54</v>
      </c>
      <c r="M5485" s="1">
        <v>55.56</v>
      </c>
      <c r="N5485" s="1">
        <v>45.54</v>
      </c>
      <c r="O5485" s="1">
        <v>47.22</v>
      </c>
      <c r="P5485" s="1">
        <v>38.71</v>
      </c>
      <c r="Q5485">
        <v>2.1000000000000001E-2</v>
      </c>
      <c r="R5485">
        <v>6.1249999999999998E-5</v>
      </c>
    </row>
    <row r="5486" spans="1:18" ht="13.8" outlineLevel="2" x14ac:dyDescent="0.25">
      <c r="A5486">
        <v>80035</v>
      </c>
      <c r="B5486" t="s">
        <v>7737</v>
      </c>
      <c r="C5486" t="s">
        <v>7772</v>
      </c>
      <c r="D5486" s="14" t="s">
        <v>7767</v>
      </c>
      <c r="E5486" s="12" t="s">
        <v>28</v>
      </c>
      <c r="F5486" s="13" t="s">
        <v>29</v>
      </c>
      <c r="G5486">
        <v>100</v>
      </c>
      <c r="H5486" t="s">
        <v>30</v>
      </c>
      <c r="I5486">
        <v>100</v>
      </c>
      <c r="J5486" s="15"/>
      <c r="K5486" s="16">
        <f>51.08 - (51.08 * $E$1)</f>
        <v>51.08</v>
      </c>
      <c r="L5486" s="16">
        <f>41.87 - (41.87 * $E$1)</f>
        <v>41.87</v>
      </c>
      <c r="M5486" s="1">
        <v>51.08</v>
      </c>
      <c r="N5486" s="1">
        <v>41.87</v>
      </c>
      <c r="O5486" s="1">
        <v>43.42</v>
      </c>
      <c r="P5486" s="1">
        <v>35.590000000000003</v>
      </c>
      <c r="Q5486">
        <v>1.9040000000000001E-2</v>
      </c>
      <c r="R5486">
        <v>6.1249999999999998E-5</v>
      </c>
    </row>
    <row r="5487" spans="1:18" ht="13.8" outlineLevel="2" x14ac:dyDescent="0.25">
      <c r="A5487">
        <v>89117</v>
      </c>
      <c r="B5487" t="s">
        <v>7737</v>
      </c>
      <c r="C5487" t="s">
        <v>7773</v>
      </c>
      <c r="D5487" s="14" t="s">
        <v>7767</v>
      </c>
      <c r="E5487" s="12" t="s">
        <v>28</v>
      </c>
      <c r="F5487" s="13" t="s">
        <v>29</v>
      </c>
      <c r="G5487">
        <v>50</v>
      </c>
      <c r="H5487" t="s">
        <v>30</v>
      </c>
      <c r="I5487">
        <v>50</v>
      </c>
      <c r="J5487" s="15"/>
      <c r="K5487" s="16">
        <f>81.31 - (81.31 * $E$1)</f>
        <v>81.31</v>
      </c>
      <c r="L5487" s="16">
        <f>66.65 - (66.65 * $E$1)</f>
        <v>66.650000000000006</v>
      </c>
      <c r="M5487" s="1">
        <v>81.31</v>
      </c>
      <c r="N5487" s="1">
        <v>66.650000000000006</v>
      </c>
      <c r="O5487" s="1">
        <v>69.12</v>
      </c>
      <c r="P5487" s="1">
        <v>56.65</v>
      </c>
      <c r="Q5487">
        <v>3.4000000000000002E-2</v>
      </c>
      <c r="R5487">
        <v>1.0948E-4</v>
      </c>
    </row>
    <row r="5488" spans="1:18" ht="13.8" outlineLevel="2" x14ac:dyDescent="0.25">
      <c r="A5488">
        <v>80036</v>
      </c>
      <c r="B5488" t="s">
        <v>7737</v>
      </c>
      <c r="C5488" t="s">
        <v>7774</v>
      </c>
      <c r="D5488" s="14" t="s">
        <v>7767</v>
      </c>
      <c r="E5488" s="12" t="s">
        <v>28</v>
      </c>
      <c r="F5488" s="13" t="s">
        <v>29</v>
      </c>
      <c r="G5488">
        <v>50</v>
      </c>
      <c r="H5488" t="s">
        <v>30</v>
      </c>
      <c r="I5488">
        <v>50</v>
      </c>
      <c r="J5488" s="15"/>
      <c r="K5488" s="16">
        <f>74.38 - (74.38 * $E$1)</f>
        <v>74.38</v>
      </c>
      <c r="L5488" s="16">
        <f>60.97 - (60.97 * $E$1)</f>
        <v>60.97</v>
      </c>
      <c r="M5488" s="1">
        <v>74.38</v>
      </c>
      <c r="N5488" s="1">
        <v>60.97</v>
      </c>
      <c r="O5488" s="1">
        <v>63.23</v>
      </c>
      <c r="P5488" s="1">
        <v>51.82</v>
      </c>
      <c r="Q5488">
        <v>2.8000000000000001E-2</v>
      </c>
      <c r="R5488">
        <v>1.0948E-4</v>
      </c>
    </row>
    <row r="5489" spans="1:18" ht="13.8" outlineLevel="2" x14ac:dyDescent="0.25">
      <c r="A5489">
        <v>89118</v>
      </c>
      <c r="B5489" t="s">
        <v>7737</v>
      </c>
      <c r="C5489" t="s">
        <v>7775</v>
      </c>
      <c r="D5489" s="14" t="s">
        <v>7767</v>
      </c>
      <c r="E5489" s="12" t="s">
        <v>28</v>
      </c>
      <c r="F5489" s="13" t="s">
        <v>29</v>
      </c>
      <c r="G5489">
        <v>30</v>
      </c>
      <c r="H5489" t="s">
        <v>30</v>
      </c>
      <c r="I5489">
        <v>30</v>
      </c>
      <c r="J5489" s="15"/>
      <c r="K5489" s="16">
        <f>116.01 - (116.01 * $E$1)</f>
        <v>116.01</v>
      </c>
      <c r="L5489" s="16">
        <f>95.09 - (95.09 * $E$1)</f>
        <v>95.09</v>
      </c>
      <c r="M5489" s="1">
        <v>116.01</v>
      </c>
      <c r="N5489" s="1">
        <v>95.09</v>
      </c>
      <c r="O5489" s="1">
        <v>98.61</v>
      </c>
      <c r="P5489" s="1">
        <v>80.83</v>
      </c>
      <c r="Q5489">
        <v>5.0999999999999997E-2</v>
      </c>
      <c r="R5489">
        <v>1.998E-4</v>
      </c>
    </row>
    <row r="5490" spans="1:18" ht="13.8" outlineLevel="2" x14ac:dyDescent="0.25">
      <c r="A5490">
        <v>80037</v>
      </c>
      <c r="B5490" t="s">
        <v>7737</v>
      </c>
      <c r="C5490" t="s">
        <v>7776</v>
      </c>
      <c r="D5490" s="14" t="s">
        <v>7767</v>
      </c>
      <c r="E5490" s="12" t="s">
        <v>28</v>
      </c>
      <c r="F5490" s="13" t="s">
        <v>29</v>
      </c>
      <c r="G5490">
        <v>30</v>
      </c>
      <c r="H5490" t="s">
        <v>30</v>
      </c>
      <c r="I5490">
        <v>30</v>
      </c>
      <c r="J5490" s="15"/>
      <c r="K5490" s="16">
        <f>105.36 - (105.36 * $E$1)</f>
        <v>105.36</v>
      </c>
      <c r="L5490" s="16">
        <f>86.36 - (86.36 * $E$1)</f>
        <v>86.36</v>
      </c>
      <c r="M5490" s="1">
        <v>105.36</v>
      </c>
      <c r="N5490" s="1">
        <v>86.36</v>
      </c>
      <c r="O5490" s="1">
        <v>89.56</v>
      </c>
      <c r="P5490" s="1">
        <v>73.41</v>
      </c>
      <c r="Q5490">
        <v>4.6666666666667002E-2</v>
      </c>
      <c r="R5490">
        <v>1.998E-4</v>
      </c>
    </row>
    <row r="5491" spans="1:18" ht="13.8" outlineLevel="2" x14ac:dyDescent="0.25">
      <c r="A5491">
        <v>80038</v>
      </c>
      <c r="B5491" t="s">
        <v>7737</v>
      </c>
      <c r="C5491" t="s">
        <v>7777</v>
      </c>
      <c r="D5491" s="14" t="s">
        <v>7767</v>
      </c>
      <c r="E5491" s="12" t="s">
        <v>28</v>
      </c>
      <c r="F5491" s="13" t="s">
        <v>29</v>
      </c>
      <c r="G5491">
        <v>20</v>
      </c>
      <c r="H5491" t="s">
        <v>30</v>
      </c>
      <c r="I5491">
        <v>20</v>
      </c>
      <c r="J5491" s="15"/>
      <c r="K5491" s="16">
        <f>157.86 - (157.86 * $E$1)</f>
        <v>157.86000000000001</v>
      </c>
      <c r="L5491" s="16">
        <f>129.39 - (129.39 * $E$1)</f>
        <v>129.38999999999999</v>
      </c>
      <c r="M5491" s="1">
        <v>157.86000000000001</v>
      </c>
      <c r="N5491" s="1">
        <v>129.38999999999999</v>
      </c>
      <c r="O5491" s="1">
        <v>134.18</v>
      </c>
      <c r="P5491" s="1">
        <v>109.98</v>
      </c>
      <c r="Q5491">
        <v>7.4999999999999997E-2</v>
      </c>
      <c r="R5491">
        <v>2.3039999999999999E-4</v>
      </c>
    </row>
    <row r="5492" spans="1:18" ht="13.8" outlineLevel="2" x14ac:dyDescent="0.25">
      <c r="A5492">
        <v>80039</v>
      </c>
      <c r="B5492" t="s">
        <v>7737</v>
      </c>
      <c r="C5492" t="s">
        <v>7778</v>
      </c>
      <c r="D5492" s="14" t="s">
        <v>7767</v>
      </c>
      <c r="E5492" s="12" t="s">
        <v>28</v>
      </c>
      <c r="F5492" s="13" t="s">
        <v>29</v>
      </c>
      <c r="G5492">
        <v>15</v>
      </c>
      <c r="H5492" t="s">
        <v>30</v>
      </c>
      <c r="I5492">
        <v>15</v>
      </c>
      <c r="J5492" s="15"/>
      <c r="K5492" s="16">
        <f>243.21 - (243.21 * $E$1)</f>
        <v>243.21</v>
      </c>
      <c r="L5492" s="16">
        <f>199.35 - (199.35 * $E$1)</f>
        <v>199.35</v>
      </c>
      <c r="M5492" s="1">
        <v>243.21</v>
      </c>
      <c r="N5492" s="1">
        <v>199.35</v>
      </c>
      <c r="O5492" s="1">
        <v>206.73</v>
      </c>
      <c r="P5492" s="1">
        <v>169.45</v>
      </c>
      <c r="Q5492">
        <v>0.12</v>
      </c>
      <c r="R5492">
        <v>3.0360000000000001E-4</v>
      </c>
    </row>
    <row r="5493" spans="1:18" ht="13.8" outlineLevel="2" x14ac:dyDescent="0.25">
      <c r="A5493">
        <v>80040</v>
      </c>
      <c r="B5493" t="s">
        <v>7737</v>
      </c>
      <c r="C5493" t="s">
        <v>7779</v>
      </c>
      <c r="D5493" s="14" t="s">
        <v>7767</v>
      </c>
      <c r="E5493" s="12" t="s">
        <v>28</v>
      </c>
      <c r="F5493" s="13" t="s">
        <v>29</v>
      </c>
      <c r="G5493">
        <v>5</v>
      </c>
      <c r="H5493" t="s">
        <v>30</v>
      </c>
      <c r="I5493">
        <v>5</v>
      </c>
      <c r="J5493" s="15"/>
      <c r="K5493" s="16">
        <f>347.59 - (347.59 * $E$1)</f>
        <v>347.59</v>
      </c>
      <c r="L5493" s="16">
        <f>284.91 - (284.91 * $E$1)</f>
        <v>284.91000000000003</v>
      </c>
      <c r="M5493" s="1">
        <v>347.59</v>
      </c>
      <c r="N5493" s="1">
        <v>284.91000000000003</v>
      </c>
      <c r="O5493" s="1">
        <v>295.45</v>
      </c>
      <c r="P5493" s="1">
        <v>242.17</v>
      </c>
      <c r="Q5493">
        <v>0.19320000000000001</v>
      </c>
      <c r="R5493">
        <v>6.7319999999999999E-4</v>
      </c>
    </row>
    <row r="5494" spans="1:18" ht="13.8" outlineLevel="2" x14ac:dyDescent="0.25">
      <c r="A5494">
        <v>88158</v>
      </c>
      <c r="B5494" t="s">
        <v>7737</v>
      </c>
      <c r="C5494" t="s">
        <v>7780</v>
      </c>
      <c r="D5494" s="14" t="s">
        <v>7781</v>
      </c>
      <c r="E5494" s="12" t="s">
        <v>28</v>
      </c>
      <c r="F5494" s="13" t="s">
        <v>29</v>
      </c>
      <c r="G5494">
        <v>100</v>
      </c>
      <c r="H5494" t="s">
        <v>30</v>
      </c>
      <c r="I5494">
        <v>100</v>
      </c>
      <c r="J5494" s="15"/>
      <c r="K5494" s="16">
        <f>14.84 - (14.84 * $E$1)</f>
        <v>14.84</v>
      </c>
      <c r="L5494" s="16">
        <f>12.16 - (12.16 * $E$1)</f>
        <v>12.16</v>
      </c>
      <c r="M5494" s="1">
        <v>14.84</v>
      </c>
      <c r="N5494" s="1">
        <v>12.16</v>
      </c>
      <c r="O5494" s="1">
        <v>12.61</v>
      </c>
      <c r="P5494" s="1">
        <v>10.34</v>
      </c>
      <c r="Q5494">
        <v>3.2000000000000002E-3</v>
      </c>
      <c r="R5494">
        <v>1.4080000000000001E-5</v>
      </c>
    </row>
    <row r="5495" spans="1:18" ht="13.8" outlineLevel="2" x14ac:dyDescent="0.25">
      <c r="A5495">
        <v>80043</v>
      </c>
      <c r="B5495" t="s">
        <v>7737</v>
      </c>
      <c r="C5495" t="s">
        <v>7782</v>
      </c>
      <c r="D5495" s="14" t="s">
        <v>7781</v>
      </c>
      <c r="E5495" s="12" t="s">
        <v>28</v>
      </c>
      <c r="F5495" s="13" t="s">
        <v>29</v>
      </c>
      <c r="G5495">
        <v>100</v>
      </c>
      <c r="H5495" t="s">
        <v>30</v>
      </c>
      <c r="I5495">
        <v>100</v>
      </c>
      <c r="J5495" s="15"/>
      <c r="K5495" s="16">
        <f>11.9 - (11.9 * $E$1)</f>
        <v>11.9</v>
      </c>
      <c r="L5495" s="16">
        <f>9.75 - (9.75 * $E$1)</f>
        <v>9.75</v>
      </c>
      <c r="M5495" s="1">
        <v>11.9</v>
      </c>
      <c r="N5495" s="1">
        <v>9.75</v>
      </c>
      <c r="O5495" s="1">
        <v>10.11</v>
      </c>
      <c r="P5495" s="1">
        <v>8.2899999999999991</v>
      </c>
      <c r="Q5495">
        <v>4.62E-3</v>
      </c>
      <c r="R5495">
        <v>1.6500000000000001E-5</v>
      </c>
    </row>
    <row r="5496" spans="1:18" ht="13.8" outlineLevel="2" x14ac:dyDescent="0.25">
      <c r="A5496">
        <v>88159</v>
      </c>
      <c r="B5496" t="s">
        <v>7737</v>
      </c>
      <c r="C5496" t="s">
        <v>7783</v>
      </c>
      <c r="D5496" s="14" t="s">
        <v>7781</v>
      </c>
      <c r="E5496" s="12" t="s">
        <v>28</v>
      </c>
      <c r="F5496" s="13" t="s">
        <v>29</v>
      </c>
      <c r="G5496">
        <v>100</v>
      </c>
      <c r="H5496" t="s">
        <v>30</v>
      </c>
      <c r="I5496">
        <v>100</v>
      </c>
      <c r="J5496" s="15"/>
      <c r="K5496" s="16">
        <f>14.54 - (14.54 * $E$1)</f>
        <v>14.54</v>
      </c>
      <c r="L5496" s="16">
        <f>11.92 - (11.92 * $E$1)</f>
        <v>11.92</v>
      </c>
      <c r="M5496" s="1">
        <v>14.54</v>
      </c>
      <c r="N5496" s="1">
        <v>11.92</v>
      </c>
      <c r="O5496" s="1">
        <v>12.36</v>
      </c>
      <c r="P5496" s="1">
        <v>10.130000000000001</v>
      </c>
      <c r="Q5496">
        <v>6.6E-3</v>
      </c>
      <c r="R5496">
        <v>1.9199999999999999E-5</v>
      </c>
    </row>
    <row r="5497" spans="1:18" ht="13.8" outlineLevel="2" x14ac:dyDescent="0.25">
      <c r="A5497">
        <v>80044</v>
      </c>
      <c r="B5497" t="s">
        <v>7737</v>
      </c>
      <c r="C5497" t="s">
        <v>7784</v>
      </c>
      <c r="D5497" s="14" t="s">
        <v>7781</v>
      </c>
      <c r="E5497" s="12" t="s">
        <v>28</v>
      </c>
      <c r="F5497" s="13" t="s">
        <v>29</v>
      </c>
      <c r="G5497">
        <v>100</v>
      </c>
      <c r="H5497" t="s">
        <v>30</v>
      </c>
      <c r="I5497">
        <v>100</v>
      </c>
      <c r="J5497" s="15"/>
      <c r="K5497" s="16">
        <f>13.91 - (13.91 * $E$1)</f>
        <v>13.91</v>
      </c>
      <c r="L5497" s="16">
        <f>11.4 - (11.4 * $E$1)</f>
        <v>11.4</v>
      </c>
      <c r="M5497" s="1">
        <v>13.91</v>
      </c>
      <c r="N5497" s="1">
        <v>11.4</v>
      </c>
      <c r="O5497" s="1">
        <v>11.82</v>
      </c>
      <c r="P5497" s="1">
        <v>9.69</v>
      </c>
      <c r="Q5497">
        <v>6.5799999999999999E-3</v>
      </c>
      <c r="R5497">
        <v>2.3E-5</v>
      </c>
    </row>
    <row r="5498" spans="1:18" ht="13.8" outlineLevel="2" x14ac:dyDescent="0.25">
      <c r="A5498">
        <v>88160</v>
      </c>
      <c r="B5498" t="s">
        <v>7737</v>
      </c>
      <c r="C5498" t="s">
        <v>7785</v>
      </c>
      <c r="D5498" s="14" t="s">
        <v>7781</v>
      </c>
      <c r="E5498" s="12" t="s">
        <v>28</v>
      </c>
      <c r="F5498" s="13" t="s">
        <v>29</v>
      </c>
      <c r="G5498">
        <v>100</v>
      </c>
      <c r="H5498" t="s">
        <v>30</v>
      </c>
      <c r="I5498">
        <v>100</v>
      </c>
      <c r="J5498" s="15"/>
      <c r="K5498" s="16">
        <f>19.28 - (19.28 * $E$1)</f>
        <v>19.28</v>
      </c>
      <c r="L5498" s="16">
        <f>15.8 - (15.8 * $E$1)</f>
        <v>15.8</v>
      </c>
      <c r="M5498" s="1">
        <v>19.28</v>
      </c>
      <c r="N5498" s="1">
        <v>15.8</v>
      </c>
      <c r="O5498" s="1">
        <v>16.38</v>
      </c>
      <c r="P5498" s="1">
        <v>13.43</v>
      </c>
      <c r="Q5498">
        <v>8.8000000000000005E-3</v>
      </c>
      <c r="R5498">
        <v>3.3599999999999997E-5</v>
      </c>
    </row>
    <row r="5499" spans="1:18" ht="13.8" outlineLevel="2" x14ac:dyDescent="0.25">
      <c r="A5499">
        <v>80045</v>
      </c>
      <c r="B5499" t="s">
        <v>7737</v>
      </c>
      <c r="C5499" t="s">
        <v>7786</v>
      </c>
      <c r="D5499" s="14" t="s">
        <v>7781</v>
      </c>
      <c r="E5499" s="12" t="s">
        <v>28</v>
      </c>
      <c r="F5499" s="13" t="s">
        <v>29</v>
      </c>
      <c r="G5499">
        <v>100</v>
      </c>
      <c r="H5499" t="s">
        <v>30</v>
      </c>
      <c r="I5499">
        <v>100</v>
      </c>
      <c r="J5499" s="15"/>
      <c r="K5499" s="16">
        <f>21.75 - (21.75 * $E$1)</f>
        <v>21.75</v>
      </c>
      <c r="L5499" s="16">
        <f>17.83 - (17.83 * $E$1)</f>
        <v>17.829999999999998</v>
      </c>
      <c r="M5499" s="1">
        <v>21.75</v>
      </c>
      <c r="N5499" s="1">
        <v>17.829999999999998</v>
      </c>
      <c r="O5499" s="1">
        <v>18.489999999999998</v>
      </c>
      <c r="P5499" s="1">
        <v>15.16</v>
      </c>
      <c r="Q5499">
        <v>0.01</v>
      </c>
      <c r="R5499">
        <v>4.032E-5</v>
      </c>
    </row>
    <row r="5500" spans="1:18" ht="13.8" outlineLevel="2" x14ac:dyDescent="0.25">
      <c r="A5500">
        <v>88161</v>
      </c>
      <c r="B5500" t="s">
        <v>7737</v>
      </c>
      <c r="C5500" t="s">
        <v>7787</v>
      </c>
      <c r="D5500" s="14" t="s">
        <v>7781</v>
      </c>
      <c r="E5500" s="12" t="s">
        <v>28</v>
      </c>
      <c r="F5500" s="13" t="s">
        <v>29</v>
      </c>
      <c r="G5500">
        <v>100</v>
      </c>
      <c r="H5500" t="s">
        <v>30</v>
      </c>
      <c r="I5500">
        <v>100</v>
      </c>
      <c r="J5500" s="15"/>
      <c r="K5500" s="16">
        <f>28.83 - (28.83 * $E$1)</f>
        <v>28.83</v>
      </c>
      <c r="L5500" s="16">
        <f>23.63 - (23.63 * $E$1)</f>
        <v>23.63</v>
      </c>
      <c r="M5500" s="1">
        <v>28.83</v>
      </c>
      <c r="N5500" s="1">
        <v>23.63</v>
      </c>
      <c r="O5500" s="1">
        <v>24.5</v>
      </c>
      <c r="P5500" s="1">
        <v>20.09</v>
      </c>
      <c r="Q5500">
        <v>1.3599999999999999E-2</v>
      </c>
      <c r="R5500">
        <v>5.6350000000000001E-5</v>
      </c>
    </row>
    <row r="5501" spans="1:18" ht="13.8" outlineLevel="2" x14ac:dyDescent="0.25">
      <c r="A5501">
        <v>88162</v>
      </c>
      <c r="B5501" t="s">
        <v>7737</v>
      </c>
      <c r="C5501" t="s">
        <v>7788</v>
      </c>
      <c r="D5501" s="14" t="s">
        <v>7781</v>
      </c>
      <c r="E5501" s="12" t="s">
        <v>28</v>
      </c>
      <c r="F5501" s="13" t="s">
        <v>29</v>
      </c>
      <c r="G5501">
        <v>100</v>
      </c>
      <c r="H5501" t="s">
        <v>30</v>
      </c>
      <c r="I5501">
        <v>100</v>
      </c>
      <c r="J5501" s="15"/>
      <c r="K5501" s="16">
        <f>44.12 - (44.12 * $E$1)</f>
        <v>44.12</v>
      </c>
      <c r="L5501" s="16">
        <f>36.16 - (36.16 * $E$1)</f>
        <v>36.159999999999997</v>
      </c>
      <c r="M5501" s="1">
        <v>44.12</v>
      </c>
      <c r="N5501" s="1">
        <v>36.159999999999997</v>
      </c>
      <c r="O5501" s="1">
        <v>37.5</v>
      </c>
      <c r="P5501" s="1">
        <v>30.74</v>
      </c>
      <c r="Q5501">
        <v>2.35E-2</v>
      </c>
      <c r="R5501">
        <v>7.2799999999999994E-5</v>
      </c>
    </row>
    <row r="5502" spans="1:18" ht="13.8" outlineLevel="2" x14ac:dyDescent="0.25">
      <c r="A5502">
        <v>80046</v>
      </c>
      <c r="B5502" t="s">
        <v>7737</v>
      </c>
      <c r="C5502" t="s">
        <v>7789</v>
      </c>
      <c r="D5502" s="14" t="s">
        <v>7781</v>
      </c>
      <c r="E5502" s="12" t="s">
        <v>28</v>
      </c>
      <c r="F5502" s="13" t="s">
        <v>29</v>
      </c>
      <c r="G5502">
        <v>100</v>
      </c>
      <c r="H5502" t="s">
        <v>30</v>
      </c>
      <c r="I5502">
        <v>100</v>
      </c>
      <c r="J5502" s="15"/>
      <c r="K5502" s="16">
        <f>42.04 - (42.04 * $E$1)</f>
        <v>42.04</v>
      </c>
      <c r="L5502" s="16">
        <f>34.46 - (34.46 * $E$1)</f>
        <v>34.46</v>
      </c>
      <c r="M5502" s="1">
        <v>42.04</v>
      </c>
      <c r="N5502" s="1">
        <v>34.46</v>
      </c>
      <c r="O5502" s="1">
        <v>35.74</v>
      </c>
      <c r="P5502" s="1">
        <v>29.29</v>
      </c>
      <c r="Q5502">
        <v>2.1999999999999999E-2</v>
      </c>
      <c r="R5502">
        <v>8.1199999999999995E-5</v>
      </c>
    </row>
    <row r="5503" spans="1:18" ht="13.8" outlineLevel="2" x14ac:dyDescent="0.25">
      <c r="A5503">
        <v>80047</v>
      </c>
      <c r="B5503" t="s">
        <v>7737</v>
      </c>
      <c r="C5503" t="s">
        <v>7790</v>
      </c>
      <c r="D5503" s="14" t="s">
        <v>7781</v>
      </c>
      <c r="E5503" s="12" t="s">
        <v>28</v>
      </c>
      <c r="F5503" s="13" t="s">
        <v>29</v>
      </c>
      <c r="G5503">
        <v>50</v>
      </c>
      <c r="H5503" t="s">
        <v>30</v>
      </c>
      <c r="I5503">
        <v>50</v>
      </c>
      <c r="J5503" s="15"/>
      <c r="K5503" s="16">
        <f>55.33 - (55.33 * $E$1)</f>
        <v>55.33</v>
      </c>
      <c r="L5503" s="16">
        <f>45.35 - (45.35 * $E$1)</f>
        <v>45.35</v>
      </c>
      <c r="M5503" s="1">
        <v>55.33</v>
      </c>
      <c r="N5503" s="1">
        <v>45.35</v>
      </c>
      <c r="O5503" s="1">
        <v>47.03</v>
      </c>
      <c r="P5503" s="1">
        <v>38.549999999999997</v>
      </c>
      <c r="Q5503">
        <v>2.4E-2</v>
      </c>
      <c r="R5503">
        <v>1.176E-4</v>
      </c>
    </row>
    <row r="5504" spans="1:18" ht="13.8" outlineLevel="2" x14ac:dyDescent="0.25">
      <c r="A5504">
        <v>88163</v>
      </c>
      <c r="B5504" t="s">
        <v>7737</v>
      </c>
      <c r="C5504" t="s">
        <v>7791</v>
      </c>
      <c r="D5504" s="14" t="s">
        <v>7781</v>
      </c>
      <c r="E5504" s="12" t="s">
        <v>28</v>
      </c>
      <c r="F5504" s="13" t="s">
        <v>29</v>
      </c>
      <c r="G5504">
        <v>50</v>
      </c>
      <c r="H5504" t="s">
        <v>30</v>
      </c>
      <c r="I5504">
        <v>50</v>
      </c>
      <c r="J5504" s="15"/>
      <c r="K5504" s="16">
        <f>68.02 - (68.02 * $E$1)</f>
        <v>68.02</v>
      </c>
      <c r="L5504" s="16">
        <f>55.75 - (55.75 * $E$1)</f>
        <v>55.75</v>
      </c>
      <c r="M5504" s="1">
        <v>68.02</v>
      </c>
      <c r="N5504" s="1">
        <v>55.75</v>
      </c>
      <c r="O5504" s="1">
        <v>57.81</v>
      </c>
      <c r="P5504" s="1">
        <v>47.39</v>
      </c>
      <c r="Q5504">
        <v>0.04</v>
      </c>
      <c r="R5504">
        <v>2.1672E-4</v>
      </c>
    </row>
    <row r="5505" spans="1:18" ht="13.8" outlineLevel="2" x14ac:dyDescent="0.25">
      <c r="A5505">
        <v>80048</v>
      </c>
      <c r="B5505" t="s">
        <v>7737</v>
      </c>
      <c r="C5505" t="s">
        <v>7792</v>
      </c>
      <c r="D5505" s="14" t="s">
        <v>7781</v>
      </c>
      <c r="E5505" s="12" t="s">
        <v>28</v>
      </c>
      <c r="F5505" s="13" t="s">
        <v>29</v>
      </c>
      <c r="G5505">
        <v>25</v>
      </c>
      <c r="H5505" t="s">
        <v>30</v>
      </c>
      <c r="I5505">
        <v>25</v>
      </c>
      <c r="J5505" s="15"/>
      <c r="K5505" s="16">
        <f>117.4 - (117.4 * $E$1)</f>
        <v>117.4</v>
      </c>
      <c r="L5505" s="16">
        <f>96.23 - (96.23 * $E$1)</f>
        <v>96.23</v>
      </c>
      <c r="M5505" s="1">
        <v>117.4</v>
      </c>
      <c r="N5505" s="1">
        <v>96.23</v>
      </c>
      <c r="O5505" s="1">
        <v>99.79</v>
      </c>
      <c r="P5505" s="1">
        <v>81.8</v>
      </c>
      <c r="Q5505">
        <v>6.9000000000000006E-2</v>
      </c>
      <c r="R5505">
        <v>2.7280000000000002E-4</v>
      </c>
    </row>
    <row r="5506" spans="1:18" ht="13.8" outlineLevel="2" x14ac:dyDescent="0.25">
      <c r="A5506">
        <v>80049</v>
      </c>
      <c r="B5506" t="s">
        <v>7737</v>
      </c>
      <c r="C5506" t="s">
        <v>7793</v>
      </c>
      <c r="D5506" s="14" t="s">
        <v>7781</v>
      </c>
      <c r="E5506" s="12" t="s">
        <v>28</v>
      </c>
      <c r="F5506" s="13" t="s">
        <v>29</v>
      </c>
      <c r="G5506">
        <v>20</v>
      </c>
      <c r="H5506" t="s">
        <v>30</v>
      </c>
      <c r="I5506">
        <v>20</v>
      </c>
      <c r="J5506" s="15"/>
      <c r="K5506" s="16">
        <f>151.69 - (151.69 * $E$1)</f>
        <v>151.69</v>
      </c>
      <c r="L5506" s="16">
        <f>124.34 - (124.34 * $E$1)</f>
        <v>124.34</v>
      </c>
      <c r="M5506" s="1">
        <v>151.69</v>
      </c>
      <c r="N5506" s="1">
        <v>124.34</v>
      </c>
      <c r="O5506" s="1">
        <v>128.94</v>
      </c>
      <c r="P5506" s="1">
        <v>105.69</v>
      </c>
      <c r="Q5506">
        <v>8.5000000000000006E-2</v>
      </c>
      <c r="R5506">
        <v>2.7999999999999998E-4</v>
      </c>
    </row>
    <row r="5507" spans="1:18" ht="13.8" outlineLevel="2" x14ac:dyDescent="0.25">
      <c r="A5507">
        <v>80050</v>
      </c>
      <c r="B5507" t="s">
        <v>7737</v>
      </c>
      <c r="C5507" t="s">
        <v>7794</v>
      </c>
      <c r="D5507" s="14" t="s">
        <v>7781</v>
      </c>
      <c r="E5507" s="12" t="s">
        <v>28</v>
      </c>
      <c r="F5507" s="13" t="s">
        <v>29</v>
      </c>
      <c r="G5507">
        <v>20</v>
      </c>
      <c r="H5507" t="s">
        <v>30</v>
      </c>
      <c r="I5507">
        <v>20</v>
      </c>
      <c r="J5507" s="15"/>
      <c r="K5507" s="16">
        <f>187.7 - (187.7 * $E$1)</f>
        <v>187.7</v>
      </c>
      <c r="L5507" s="16">
        <f>153.85 - (153.85 * $E$1)</f>
        <v>153.85</v>
      </c>
      <c r="M5507" s="1">
        <v>187.7</v>
      </c>
      <c r="N5507" s="1">
        <v>153.85</v>
      </c>
      <c r="O5507" s="1">
        <v>159.54</v>
      </c>
      <c r="P5507" s="1">
        <v>130.77000000000001</v>
      </c>
      <c r="Q5507">
        <v>0.1</v>
      </c>
      <c r="R5507">
        <v>3.4965000000000002E-4</v>
      </c>
    </row>
    <row r="5508" spans="1:18" ht="13.8" outlineLevel="2" x14ac:dyDescent="0.25">
      <c r="A5508">
        <v>85475</v>
      </c>
      <c r="B5508" t="s">
        <v>7737</v>
      </c>
      <c r="C5508" t="s">
        <v>7795</v>
      </c>
      <c r="D5508" s="14" t="s">
        <v>7796</v>
      </c>
      <c r="E5508" s="12" t="s">
        <v>28</v>
      </c>
      <c r="F5508" s="13" t="s">
        <v>29</v>
      </c>
      <c r="G5508">
        <v>100</v>
      </c>
      <c r="H5508" t="s">
        <v>30</v>
      </c>
      <c r="I5508">
        <v>100</v>
      </c>
      <c r="J5508" s="15"/>
      <c r="K5508" s="16">
        <f>15.56 - (15.56 * $E$1)</f>
        <v>15.56</v>
      </c>
      <c r="L5508" s="16">
        <f>12.75 - (12.75 * $E$1)</f>
        <v>12.75</v>
      </c>
      <c r="M5508" s="1">
        <v>15.56</v>
      </c>
      <c r="N5508" s="1">
        <v>12.75</v>
      </c>
      <c r="O5508" s="1">
        <v>13.22</v>
      </c>
      <c r="P5508" s="1">
        <v>10.84</v>
      </c>
      <c r="Q5508">
        <v>4.5999999999999999E-3</v>
      </c>
      <c r="R5508">
        <v>1.3499999999999999E-5</v>
      </c>
    </row>
    <row r="5509" spans="1:18" ht="13.8" outlineLevel="2" x14ac:dyDescent="0.25">
      <c r="A5509">
        <v>85476</v>
      </c>
      <c r="B5509" t="s">
        <v>7737</v>
      </c>
      <c r="C5509" t="s">
        <v>7797</v>
      </c>
      <c r="D5509" s="14" t="s">
        <v>7796</v>
      </c>
      <c r="E5509" s="12" t="s">
        <v>28</v>
      </c>
      <c r="F5509" s="13" t="s">
        <v>29</v>
      </c>
      <c r="G5509">
        <v>100</v>
      </c>
      <c r="H5509" t="s">
        <v>30</v>
      </c>
      <c r="I5509">
        <v>100</v>
      </c>
      <c r="J5509" s="15"/>
      <c r="K5509" s="16">
        <f>18.81 - (18.81 * $E$1)</f>
        <v>18.809999999999999</v>
      </c>
      <c r="L5509" s="16">
        <f>15.42 - (15.42 * $E$1)</f>
        <v>15.42</v>
      </c>
      <c r="M5509" s="1">
        <v>18.809999999999999</v>
      </c>
      <c r="N5509" s="1">
        <v>15.42</v>
      </c>
      <c r="O5509" s="1">
        <v>15.99</v>
      </c>
      <c r="P5509" s="1">
        <v>13.11</v>
      </c>
      <c r="Q5509">
        <v>7.0000000000000001E-3</v>
      </c>
      <c r="R5509">
        <v>2.9439999999999999E-5</v>
      </c>
    </row>
    <row r="5510" spans="1:18" ht="13.8" outlineLevel="2" x14ac:dyDescent="0.25">
      <c r="A5510">
        <v>85477</v>
      </c>
      <c r="B5510" t="s">
        <v>7737</v>
      </c>
      <c r="C5510" t="s">
        <v>7798</v>
      </c>
      <c r="D5510" s="14" t="s">
        <v>7796</v>
      </c>
      <c r="E5510" s="12" t="s">
        <v>28</v>
      </c>
      <c r="F5510" s="13" t="s">
        <v>29</v>
      </c>
      <c r="G5510">
        <v>100</v>
      </c>
      <c r="H5510" t="s">
        <v>30</v>
      </c>
      <c r="I5510">
        <v>100</v>
      </c>
      <c r="J5510" s="15"/>
      <c r="K5510" s="16">
        <f>28.99 - (28.99 * $E$1)</f>
        <v>28.99</v>
      </c>
      <c r="L5510" s="16">
        <f>23.76 - (23.76 * $E$1)</f>
        <v>23.76</v>
      </c>
      <c r="M5510" s="1">
        <v>28.99</v>
      </c>
      <c r="N5510" s="1">
        <v>23.76</v>
      </c>
      <c r="O5510" s="1">
        <v>24.64</v>
      </c>
      <c r="P5510" s="1">
        <v>20.2</v>
      </c>
      <c r="Q5510">
        <v>1.0500000000000001E-2</v>
      </c>
      <c r="R5510">
        <v>6.0059999999999998E-5</v>
      </c>
    </row>
    <row r="5511" spans="1:18" ht="13.8" outlineLevel="2" x14ac:dyDescent="0.25">
      <c r="A5511">
        <v>85478</v>
      </c>
      <c r="B5511" t="s">
        <v>7737</v>
      </c>
      <c r="C5511" t="s">
        <v>7799</v>
      </c>
      <c r="D5511" s="14" t="s">
        <v>7796</v>
      </c>
      <c r="E5511" s="12" t="s">
        <v>28</v>
      </c>
      <c r="F5511" s="13" t="s">
        <v>29</v>
      </c>
      <c r="G5511">
        <v>50</v>
      </c>
      <c r="H5511" t="s">
        <v>30</v>
      </c>
      <c r="I5511">
        <v>50</v>
      </c>
      <c r="J5511" s="15"/>
      <c r="K5511" s="16">
        <f>55.6 - (55.6 * $E$1)</f>
        <v>55.6</v>
      </c>
      <c r="L5511" s="16">
        <f>45.57 - (45.57 * $E$1)</f>
        <v>45.57</v>
      </c>
      <c r="M5511" s="1">
        <v>55.6</v>
      </c>
      <c r="N5511" s="1">
        <v>45.57</v>
      </c>
      <c r="O5511" s="1">
        <v>47.26</v>
      </c>
      <c r="P5511" s="1">
        <v>38.729999999999997</v>
      </c>
      <c r="Q5511">
        <v>2.1999999999999999E-2</v>
      </c>
      <c r="R5511">
        <v>1.4559999999999999E-4</v>
      </c>
    </row>
    <row r="5512" spans="1:18" ht="13.8" outlineLevel="2" x14ac:dyDescent="0.25">
      <c r="A5512">
        <v>85479</v>
      </c>
      <c r="B5512" t="s">
        <v>7737</v>
      </c>
      <c r="C5512" t="s">
        <v>7800</v>
      </c>
      <c r="D5512" s="14" t="s">
        <v>7796</v>
      </c>
      <c r="E5512" s="12" t="s">
        <v>28</v>
      </c>
      <c r="F5512" s="13" t="s">
        <v>29</v>
      </c>
      <c r="G5512">
        <v>30</v>
      </c>
      <c r="H5512" t="s">
        <v>30</v>
      </c>
      <c r="I5512">
        <v>30</v>
      </c>
      <c r="J5512" s="15"/>
      <c r="K5512" s="16">
        <f>70.46 - (70.46 * $E$1)</f>
        <v>70.459999999999994</v>
      </c>
      <c r="L5512" s="16">
        <f>57.75 - (57.75 * $E$1)</f>
        <v>57.75</v>
      </c>
      <c r="M5512" s="1">
        <v>70.459999999999994</v>
      </c>
      <c r="N5512" s="1">
        <v>57.75</v>
      </c>
      <c r="O5512" s="1">
        <v>59.89</v>
      </c>
      <c r="P5512" s="1">
        <v>49.09</v>
      </c>
      <c r="Q5512">
        <v>2.6666666666667001E-2</v>
      </c>
      <c r="R5512">
        <v>1.716E-4</v>
      </c>
    </row>
    <row r="5513" spans="1:18" ht="13.8" outlineLevel="2" x14ac:dyDescent="0.25">
      <c r="A5513">
        <v>85480</v>
      </c>
      <c r="B5513" t="s">
        <v>7737</v>
      </c>
      <c r="C5513" t="s">
        <v>7801</v>
      </c>
      <c r="D5513" s="14" t="s">
        <v>7796</v>
      </c>
      <c r="E5513" s="12" t="s">
        <v>28</v>
      </c>
      <c r="F5513" s="13" t="s">
        <v>29</v>
      </c>
      <c r="G5513">
        <v>25</v>
      </c>
      <c r="H5513" t="s">
        <v>30</v>
      </c>
      <c r="I5513">
        <v>25</v>
      </c>
      <c r="J5513" s="15"/>
      <c r="K5513" s="16">
        <f>154.89 - (154.89 * $E$1)</f>
        <v>154.88999999999999</v>
      </c>
      <c r="L5513" s="16">
        <f>126.96 - (126.96 * $E$1)</f>
        <v>126.96</v>
      </c>
      <c r="M5513" s="1">
        <v>154.88999999999999</v>
      </c>
      <c r="N5513" s="1">
        <v>126.96</v>
      </c>
      <c r="O5513" s="1">
        <v>131.66</v>
      </c>
      <c r="P5513" s="1">
        <v>107.92</v>
      </c>
      <c r="Q5513">
        <v>5.5199999999999999E-2</v>
      </c>
      <c r="R5513">
        <v>2.9520000000000002E-4</v>
      </c>
    </row>
    <row r="5514" spans="1:18" ht="13.8" outlineLevel="2" x14ac:dyDescent="0.25">
      <c r="A5514">
        <v>85481</v>
      </c>
      <c r="B5514" t="s">
        <v>7737</v>
      </c>
      <c r="C5514" t="s">
        <v>7802</v>
      </c>
      <c r="D5514" s="14" t="s">
        <v>7796</v>
      </c>
      <c r="E5514" s="12" t="s">
        <v>28</v>
      </c>
      <c r="F5514" s="13" t="s">
        <v>29</v>
      </c>
      <c r="G5514">
        <v>15</v>
      </c>
      <c r="H5514" t="s">
        <v>30</v>
      </c>
      <c r="I5514">
        <v>15</v>
      </c>
      <c r="J5514" s="15"/>
      <c r="K5514" s="16">
        <f>198.84 - (198.84 * $E$1)</f>
        <v>198.84</v>
      </c>
      <c r="L5514" s="16">
        <f>162.98 - (162.98 * $E$1)</f>
        <v>162.97999999999999</v>
      </c>
      <c r="M5514" s="1">
        <v>198.84</v>
      </c>
      <c r="N5514" s="1">
        <v>162.97999999999999</v>
      </c>
      <c r="O5514" s="1">
        <v>169.01</v>
      </c>
      <c r="P5514" s="1">
        <v>138.53</v>
      </c>
      <c r="Q5514">
        <v>8.6666666666667003E-2</v>
      </c>
      <c r="R5514">
        <v>4.9200000000000003E-4</v>
      </c>
    </row>
    <row r="5515" spans="1:18" ht="13.8" outlineLevel="2" x14ac:dyDescent="0.25">
      <c r="A5515">
        <v>85482</v>
      </c>
      <c r="B5515" t="s">
        <v>7737</v>
      </c>
      <c r="C5515" t="s">
        <v>7803</v>
      </c>
      <c r="D5515" s="14" t="s">
        <v>7796</v>
      </c>
      <c r="E5515" s="12" t="s">
        <v>28</v>
      </c>
      <c r="F5515" s="13" t="s">
        <v>29</v>
      </c>
      <c r="G5515">
        <v>5</v>
      </c>
      <c r="H5515" t="s">
        <v>30</v>
      </c>
      <c r="I5515">
        <v>5</v>
      </c>
      <c r="J5515" s="15"/>
      <c r="K5515" s="16">
        <f>256.82 - (256.82 * $E$1)</f>
        <v>256.82</v>
      </c>
      <c r="L5515" s="16">
        <f>210.51 - (210.51 * $E$1)</f>
        <v>210.51</v>
      </c>
      <c r="M5515" s="1">
        <v>256.82</v>
      </c>
      <c r="N5515" s="1">
        <v>210.51</v>
      </c>
      <c r="O5515" s="1">
        <v>218.3</v>
      </c>
      <c r="P5515" s="1">
        <v>178.93</v>
      </c>
      <c r="Q5515">
        <v>0.1</v>
      </c>
      <c r="R5515">
        <v>1.0692E-3</v>
      </c>
    </row>
    <row r="5516" spans="1:18" ht="13.8" outlineLevel="2" x14ac:dyDescent="0.25">
      <c r="A5516">
        <v>80026</v>
      </c>
      <c r="B5516" t="s">
        <v>7737</v>
      </c>
      <c r="C5516" t="s">
        <v>7804</v>
      </c>
      <c r="D5516" s="14" t="s">
        <v>7805</v>
      </c>
      <c r="E5516" s="12" t="s">
        <v>28</v>
      </c>
      <c r="F5516" s="13" t="s">
        <v>29</v>
      </c>
      <c r="G5516">
        <v>100</v>
      </c>
      <c r="H5516" t="s">
        <v>30</v>
      </c>
      <c r="I5516">
        <v>100</v>
      </c>
      <c r="J5516" s="15"/>
      <c r="K5516" s="16">
        <f>39 - (39 * $E$1)</f>
        <v>39</v>
      </c>
      <c r="L5516" s="16">
        <f>31.97 - (31.97 * $E$1)</f>
        <v>31.97</v>
      </c>
      <c r="M5516" s="1">
        <v>39</v>
      </c>
      <c r="N5516" s="1">
        <v>31.97</v>
      </c>
      <c r="O5516" s="1">
        <v>33.15</v>
      </c>
      <c r="P5516" s="1">
        <v>27.17</v>
      </c>
      <c r="Q5516">
        <v>6.0000000000000001E-3</v>
      </c>
      <c r="R5516">
        <v>2.3E-5</v>
      </c>
    </row>
    <row r="5517" spans="1:18" ht="13.8" outlineLevel="2" x14ac:dyDescent="0.25">
      <c r="A5517">
        <v>80027</v>
      </c>
      <c r="B5517" t="s">
        <v>7737</v>
      </c>
      <c r="C5517" t="s">
        <v>7806</v>
      </c>
      <c r="D5517" s="14" t="s">
        <v>7805</v>
      </c>
      <c r="E5517" s="12" t="s">
        <v>28</v>
      </c>
      <c r="F5517" s="13" t="s">
        <v>29</v>
      </c>
      <c r="G5517">
        <v>100</v>
      </c>
      <c r="H5517" t="s">
        <v>30</v>
      </c>
      <c r="I5517">
        <v>100</v>
      </c>
      <c r="J5517" s="15"/>
      <c r="K5517" s="16">
        <f>46.38 - (46.38 * $E$1)</f>
        <v>46.38</v>
      </c>
      <c r="L5517" s="16">
        <f>38.02 - (38.02 * $E$1)</f>
        <v>38.020000000000003</v>
      </c>
      <c r="M5517" s="1">
        <v>46.38</v>
      </c>
      <c r="N5517" s="1">
        <v>38.020000000000003</v>
      </c>
      <c r="O5517" s="1">
        <v>39.43</v>
      </c>
      <c r="P5517" s="1">
        <v>32.32</v>
      </c>
      <c r="Q5517">
        <v>1.0999999999999999E-2</v>
      </c>
      <c r="R5517">
        <v>3.3599999999999997E-5</v>
      </c>
    </row>
    <row r="5518" spans="1:18" ht="13.8" outlineLevel="2" x14ac:dyDescent="0.25">
      <c r="A5518">
        <v>80028</v>
      </c>
      <c r="B5518" t="s">
        <v>7737</v>
      </c>
      <c r="C5518" t="s">
        <v>7807</v>
      </c>
      <c r="D5518" s="14" t="s">
        <v>7805</v>
      </c>
      <c r="E5518" s="12" t="s">
        <v>28</v>
      </c>
      <c r="F5518" s="13" t="s">
        <v>29</v>
      </c>
      <c r="G5518">
        <v>100</v>
      </c>
      <c r="H5518" t="s">
        <v>30</v>
      </c>
      <c r="I5518">
        <v>100</v>
      </c>
      <c r="J5518" s="15"/>
      <c r="K5518" s="16">
        <f>57.91 - (57.91 * $E$1)</f>
        <v>57.91</v>
      </c>
      <c r="L5518" s="16">
        <f>47.47 - (47.47 * $E$1)</f>
        <v>47.47</v>
      </c>
      <c r="M5518" s="1">
        <v>57.91</v>
      </c>
      <c r="N5518" s="1">
        <v>47.47</v>
      </c>
      <c r="O5518" s="1">
        <v>49.23</v>
      </c>
      <c r="P5518" s="1">
        <v>40.35</v>
      </c>
      <c r="Q5518">
        <v>1.3679999999999999E-2</v>
      </c>
      <c r="R5518">
        <v>4.0800000000000002E-5</v>
      </c>
    </row>
    <row r="5519" spans="1:18" ht="13.8" outlineLevel="2" x14ac:dyDescent="0.25">
      <c r="A5519">
        <v>80029</v>
      </c>
      <c r="B5519" t="s">
        <v>7737</v>
      </c>
      <c r="C5519" t="s">
        <v>7808</v>
      </c>
      <c r="D5519" s="14" t="s">
        <v>7805</v>
      </c>
      <c r="E5519" s="12" t="s">
        <v>28</v>
      </c>
      <c r="F5519" s="13" t="s">
        <v>29</v>
      </c>
      <c r="G5519">
        <v>100</v>
      </c>
      <c r="H5519" t="s">
        <v>30</v>
      </c>
      <c r="I5519">
        <v>100</v>
      </c>
      <c r="J5519" s="15"/>
      <c r="K5519" s="16">
        <f>71.55 - (71.55 * $E$1)</f>
        <v>71.55</v>
      </c>
      <c r="L5519" s="16">
        <f>58.65 - (58.65 * $E$1)</f>
        <v>58.65</v>
      </c>
      <c r="M5519" s="1">
        <v>71.55</v>
      </c>
      <c r="N5519" s="1">
        <v>58.65</v>
      </c>
      <c r="O5519" s="1">
        <v>60.82</v>
      </c>
      <c r="P5519" s="1">
        <v>49.85</v>
      </c>
      <c r="Q5519">
        <v>1.7000000000000001E-2</v>
      </c>
      <c r="R5519">
        <v>8.9599999999999996E-5</v>
      </c>
    </row>
    <row r="5520" spans="1:18" ht="13.8" outlineLevel="2" x14ac:dyDescent="0.25">
      <c r="A5520">
        <v>88651</v>
      </c>
      <c r="B5520" t="s">
        <v>7737</v>
      </c>
      <c r="C5520" t="s">
        <v>7809</v>
      </c>
      <c r="D5520" s="14" t="s">
        <v>7805</v>
      </c>
      <c r="E5520" s="12" t="s">
        <v>28</v>
      </c>
      <c r="F5520" s="13" t="s">
        <v>29</v>
      </c>
      <c r="G5520">
        <v>50</v>
      </c>
      <c r="H5520" t="s">
        <v>30</v>
      </c>
      <c r="I5520">
        <v>50</v>
      </c>
      <c r="J5520" s="15"/>
      <c r="K5520" s="16">
        <f>83.88 - (83.88 * $E$1)</f>
        <v>83.88</v>
      </c>
      <c r="L5520" s="16">
        <f>68.75 - (68.75 * $E$1)</f>
        <v>68.75</v>
      </c>
      <c r="M5520" s="1">
        <v>83.88</v>
      </c>
      <c r="N5520" s="1">
        <v>68.75</v>
      </c>
      <c r="O5520" s="1">
        <v>71.290000000000006</v>
      </c>
      <c r="P5520" s="1">
        <v>58.44</v>
      </c>
      <c r="Q5520">
        <v>2.2599999999999999E-2</v>
      </c>
      <c r="R5520">
        <v>1.2543999999999999E-4</v>
      </c>
    </row>
    <row r="5521" spans="1:18" ht="13.8" outlineLevel="2" x14ac:dyDescent="0.25">
      <c r="A5521">
        <v>88652</v>
      </c>
      <c r="B5521" t="s">
        <v>7737</v>
      </c>
      <c r="C5521" t="s">
        <v>7810</v>
      </c>
      <c r="D5521" s="14" t="s">
        <v>7805</v>
      </c>
      <c r="E5521" s="12" t="s">
        <v>28</v>
      </c>
      <c r="F5521" s="13" t="s">
        <v>29</v>
      </c>
      <c r="G5521">
        <v>50</v>
      </c>
      <c r="H5521" t="s">
        <v>30</v>
      </c>
      <c r="I5521">
        <v>50</v>
      </c>
      <c r="J5521" s="15"/>
      <c r="K5521" s="16">
        <f>117.91 - (117.91 * $E$1)</f>
        <v>117.91</v>
      </c>
      <c r="L5521" s="16">
        <f>96.65 - (96.65 * $E$1)</f>
        <v>96.65</v>
      </c>
      <c r="M5521" s="1">
        <v>117.91</v>
      </c>
      <c r="N5521" s="1">
        <v>96.65</v>
      </c>
      <c r="O5521" s="1">
        <v>100.23</v>
      </c>
      <c r="P5521" s="1">
        <v>82.15</v>
      </c>
      <c r="Q5521">
        <v>4.6199999999999998E-2</v>
      </c>
      <c r="R5521">
        <v>1.3439999999999999E-4</v>
      </c>
    </row>
    <row r="5522" spans="1:18" ht="13.8" outlineLevel="2" x14ac:dyDescent="0.25">
      <c r="A5522">
        <v>88636</v>
      </c>
      <c r="B5522" t="s">
        <v>7811</v>
      </c>
      <c r="C5522" t="s">
        <v>7812</v>
      </c>
      <c r="D5522" s="14" t="s">
        <v>7813</v>
      </c>
      <c r="E5522" s="12" t="s">
        <v>28</v>
      </c>
      <c r="F5522" s="13" t="s">
        <v>29</v>
      </c>
      <c r="G5522">
        <v>100</v>
      </c>
      <c r="H5522" t="s">
        <v>30</v>
      </c>
      <c r="I5522">
        <v>100</v>
      </c>
      <c r="J5522" s="15"/>
      <c r="K5522" s="16">
        <f>72.63 - (72.63 * $E$1)</f>
        <v>72.63</v>
      </c>
      <c r="L5522" s="16">
        <f>59.53 - (59.53 * $E$1)</f>
        <v>59.53</v>
      </c>
      <c r="M5522" s="1">
        <v>72.63</v>
      </c>
      <c r="N5522" s="1">
        <v>59.53</v>
      </c>
      <c r="O5522" s="1">
        <v>61.73</v>
      </c>
      <c r="P5522" s="1">
        <v>50.6</v>
      </c>
      <c r="Q5522">
        <v>6.4999999999999997E-3</v>
      </c>
      <c r="R5522">
        <v>2.3999999999999999E-6</v>
      </c>
    </row>
    <row r="5523" spans="1:18" ht="13.8" outlineLevel="2" x14ac:dyDescent="0.25">
      <c r="A5523">
        <v>88637</v>
      </c>
      <c r="B5523" t="s">
        <v>7811</v>
      </c>
      <c r="C5523" t="s">
        <v>7814</v>
      </c>
      <c r="D5523" s="14" t="s">
        <v>7813</v>
      </c>
      <c r="E5523" s="12" t="s">
        <v>28</v>
      </c>
      <c r="F5523" s="13" t="s">
        <v>29</v>
      </c>
      <c r="G5523">
        <v>100</v>
      </c>
      <c r="H5523" t="s">
        <v>30</v>
      </c>
      <c r="I5523">
        <v>100</v>
      </c>
      <c r="J5523" s="15"/>
      <c r="K5523" s="16">
        <f>81 - (81 * $E$1)</f>
        <v>81</v>
      </c>
      <c r="L5523" s="16">
        <f>66.39 - (66.39 * $E$1)</f>
        <v>66.39</v>
      </c>
      <c r="M5523" s="1">
        <v>81</v>
      </c>
      <c r="N5523" s="1">
        <v>66.39</v>
      </c>
      <c r="O5523" s="1">
        <v>68.849999999999994</v>
      </c>
      <c r="P5523" s="1">
        <v>56.43</v>
      </c>
      <c r="Q5523">
        <v>9.4000000000000004E-3</v>
      </c>
      <c r="R5523">
        <v>3.5999999999999998E-6</v>
      </c>
    </row>
    <row r="5524" spans="1:18" ht="13.8" outlineLevel="2" x14ac:dyDescent="0.25">
      <c r="A5524">
        <v>88638</v>
      </c>
      <c r="B5524" t="s">
        <v>7811</v>
      </c>
      <c r="C5524" t="s">
        <v>7815</v>
      </c>
      <c r="D5524" s="14" t="s">
        <v>7813</v>
      </c>
      <c r="E5524" s="12" t="s">
        <v>28</v>
      </c>
      <c r="F5524" s="13" t="s">
        <v>29</v>
      </c>
      <c r="G5524">
        <v>100</v>
      </c>
      <c r="H5524" t="s">
        <v>30</v>
      </c>
      <c r="I5524">
        <v>100</v>
      </c>
      <c r="J5524" s="15"/>
      <c r="K5524" s="16">
        <f>89.19 - (89.19 * $E$1)</f>
        <v>89.19</v>
      </c>
      <c r="L5524" s="16">
        <f>73.11 - (73.11 * $E$1)</f>
        <v>73.11</v>
      </c>
      <c r="M5524" s="1">
        <v>89.19</v>
      </c>
      <c r="N5524" s="1">
        <v>73.11</v>
      </c>
      <c r="O5524" s="1">
        <v>75.819999999999993</v>
      </c>
      <c r="P5524" s="1">
        <v>62.14</v>
      </c>
      <c r="Q5524">
        <v>1.0800000000000001E-2</v>
      </c>
      <c r="R5524">
        <v>2.9699999999999999E-6</v>
      </c>
    </row>
    <row r="5525" spans="1:18" ht="13.8" outlineLevel="2" x14ac:dyDescent="0.25">
      <c r="A5525">
        <v>88672</v>
      </c>
      <c r="B5525" t="s">
        <v>7816</v>
      </c>
      <c r="C5525" t="s">
        <v>7817</v>
      </c>
      <c r="D5525" s="14" t="s">
        <v>7818</v>
      </c>
      <c r="E5525" s="12" t="s">
        <v>28</v>
      </c>
      <c r="F5525" s="13" t="s">
        <v>29</v>
      </c>
      <c r="G5525">
        <v>100</v>
      </c>
      <c r="H5525" t="s">
        <v>30</v>
      </c>
      <c r="I5525">
        <v>100</v>
      </c>
      <c r="J5525" s="15"/>
      <c r="K5525" s="16">
        <f>8.63 - (8.63 * $E$1)</f>
        <v>8.6300000000000008</v>
      </c>
      <c r="L5525" s="16">
        <f>7.07 - (7.07 * $E$1)</f>
        <v>7.07</v>
      </c>
      <c r="M5525" s="1">
        <v>8.6300000000000008</v>
      </c>
      <c r="N5525" s="1">
        <v>7.07</v>
      </c>
      <c r="O5525" s="1">
        <v>7.33</v>
      </c>
      <c r="P5525" s="1">
        <v>6.01</v>
      </c>
      <c r="Q5525">
        <v>1.1999999999999999E-3</v>
      </c>
      <c r="R5525">
        <v>1.9999999999999999E-6</v>
      </c>
    </row>
    <row r="5526" spans="1:18" ht="13.8" outlineLevel="2" x14ac:dyDescent="0.25">
      <c r="A5526">
        <v>88673</v>
      </c>
      <c r="B5526" t="s">
        <v>7816</v>
      </c>
      <c r="C5526" t="s">
        <v>7819</v>
      </c>
      <c r="D5526" s="14" t="s">
        <v>7818</v>
      </c>
      <c r="E5526" s="12" t="s">
        <v>28</v>
      </c>
      <c r="F5526" s="13" t="s">
        <v>29</v>
      </c>
      <c r="G5526">
        <v>100</v>
      </c>
      <c r="H5526" t="s">
        <v>30</v>
      </c>
      <c r="I5526">
        <v>100</v>
      </c>
      <c r="J5526" s="15"/>
      <c r="K5526" s="16">
        <f>10.17 - (10.17 * $E$1)</f>
        <v>10.17</v>
      </c>
      <c r="L5526" s="16">
        <f>8.34 - (8.34 * $E$1)</f>
        <v>8.34</v>
      </c>
      <c r="M5526" s="1">
        <v>10.17</v>
      </c>
      <c r="N5526" s="1">
        <v>8.34</v>
      </c>
      <c r="O5526" s="1">
        <v>8.65</v>
      </c>
      <c r="P5526" s="1">
        <v>7.09</v>
      </c>
      <c r="Q5526">
        <v>2.3999999999999998E-3</v>
      </c>
      <c r="R5526">
        <v>1.9999999999999999E-6</v>
      </c>
    </row>
    <row r="5527" spans="1:18" ht="13.8" outlineLevel="2" x14ac:dyDescent="0.25">
      <c r="A5527">
        <v>88674</v>
      </c>
      <c r="B5527" t="s">
        <v>7816</v>
      </c>
      <c r="C5527" t="s">
        <v>7820</v>
      </c>
      <c r="D5527" s="14" t="s">
        <v>7818</v>
      </c>
      <c r="E5527" s="12" t="s">
        <v>28</v>
      </c>
      <c r="F5527" s="13" t="s">
        <v>29</v>
      </c>
      <c r="G5527">
        <v>100</v>
      </c>
      <c r="H5527" t="s">
        <v>30</v>
      </c>
      <c r="I5527">
        <v>100</v>
      </c>
      <c r="J5527" s="15"/>
      <c r="K5527" s="16">
        <f>13.81 - (13.81 * $E$1)</f>
        <v>13.81</v>
      </c>
      <c r="L5527" s="16">
        <f>11.32 - (11.32 * $E$1)</f>
        <v>11.32</v>
      </c>
      <c r="M5527" s="1">
        <v>13.81</v>
      </c>
      <c r="N5527" s="1">
        <v>11.32</v>
      </c>
      <c r="O5527" s="1">
        <v>11.74</v>
      </c>
      <c r="P5527" s="1">
        <v>9.6199999999999992</v>
      </c>
      <c r="Q5527">
        <v>2.8999999999999998E-3</v>
      </c>
      <c r="R5527">
        <v>3.3000000000000002E-6</v>
      </c>
    </row>
    <row r="5528" spans="1:18" ht="13.8" outlineLevel="2" x14ac:dyDescent="0.25">
      <c r="A5528">
        <v>88675</v>
      </c>
      <c r="B5528" t="s">
        <v>7816</v>
      </c>
      <c r="C5528" t="s">
        <v>7821</v>
      </c>
      <c r="D5528" s="14" t="s">
        <v>7818</v>
      </c>
      <c r="E5528" s="12" t="s">
        <v>28</v>
      </c>
      <c r="F5528" s="13" t="s">
        <v>29</v>
      </c>
      <c r="G5528">
        <v>100</v>
      </c>
      <c r="H5528" t="s">
        <v>30</v>
      </c>
      <c r="I5528">
        <v>100</v>
      </c>
      <c r="J5528" s="15"/>
      <c r="K5528" s="16">
        <f>24.13 - (24.13 * $E$1)</f>
        <v>24.13</v>
      </c>
      <c r="L5528" s="16">
        <f>19.78 - (19.78 * $E$1)</f>
        <v>19.78</v>
      </c>
      <c r="M5528" s="1">
        <v>24.13</v>
      </c>
      <c r="N5528" s="1">
        <v>19.78</v>
      </c>
      <c r="O5528" s="1">
        <v>20.51</v>
      </c>
      <c r="P5528" s="1">
        <v>16.809999999999999</v>
      </c>
      <c r="Q5528">
        <v>5.7999999999999996E-3</v>
      </c>
      <c r="R5528">
        <v>7.2799999999999998E-6</v>
      </c>
    </row>
    <row r="5529" spans="1:18" ht="13.8" outlineLevel="2" x14ac:dyDescent="0.25">
      <c r="A5529">
        <v>88676</v>
      </c>
      <c r="B5529" t="s">
        <v>7816</v>
      </c>
      <c r="C5529" t="s">
        <v>7822</v>
      </c>
      <c r="D5529" s="14" t="s">
        <v>7818</v>
      </c>
      <c r="E5529" s="12" t="s">
        <v>28</v>
      </c>
      <c r="F5529" s="13" t="s">
        <v>29</v>
      </c>
      <c r="G5529">
        <v>50</v>
      </c>
      <c r="H5529" t="s">
        <v>30</v>
      </c>
      <c r="I5529">
        <v>50</v>
      </c>
      <c r="J5529" s="15"/>
      <c r="K5529" s="16">
        <f>35.81 - (35.81 * $E$1)</f>
        <v>35.81</v>
      </c>
      <c r="L5529" s="16">
        <f>29.35 - (29.35 * $E$1)</f>
        <v>29.35</v>
      </c>
      <c r="M5529" s="1">
        <v>35.81</v>
      </c>
      <c r="N5529" s="1">
        <v>29.35</v>
      </c>
      <c r="O5529" s="1">
        <v>30.44</v>
      </c>
      <c r="P5529" s="1">
        <v>24.95</v>
      </c>
      <c r="Q5529">
        <v>9.1999999999999998E-3</v>
      </c>
      <c r="R5529">
        <v>1.6799999999999998E-5</v>
      </c>
    </row>
    <row r="5530" spans="1:18" ht="13.8" outlineLevel="2" x14ac:dyDescent="0.25">
      <c r="A5530">
        <v>88661</v>
      </c>
      <c r="B5530" t="s">
        <v>7823</v>
      </c>
      <c r="C5530" t="s">
        <v>7824</v>
      </c>
      <c r="D5530" s="14" t="s">
        <v>7825</v>
      </c>
      <c r="E5530" s="12" t="s">
        <v>28</v>
      </c>
      <c r="F5530" s="13" t="s">
        <v>29</v>
      </c>
      <c r="G5530">
        <v>100</v>
      </c>
      <c r="H5530" t="s">
        <v>30</v>
      </c>
      <c r="I5530">
        <v>100</v>
      </c>
      <c r="J5530" s="15"/>
      <c r="K5530" s="16">
        <f>59.66 - (59.66 * $E$1)</f>
        <v>59.66</v>
      </c>
      <c r="L5530" s="16">
        <f>48.9 - (48.9 * $E$1)</f>
        <v>48.9</v>
      </c>
      <c r="M5530" s="1">
        <v>59.66</v>
      </c>
      <c r="N5530" s="1">
        <v>48.9</v>
      </c>
      <c r="O5530" s="1">
        <v>50.71</v>
      </c>
      <c r="P5530" s="1">
        <v>41.57</v>
      </c>
      <c r="Q5530">
        <v>1E-3</v>
      </c>
      <c r="R5530">
        <v>3.2000000000000001E-7</v>
      </c>
    </row>
    <row r="5531" spans="1:18" ht="13.8" outlineLevel="2" x14ac:dyDescent="0.25">
      <c r="A5531">
        <v>88662</v>
      </c>
      <c r="B5531" t="s">
        <v>7823</v>
      </c>
      <c r="C5531" t="s">
        <v>7826</v>
      </c>
      <c r="D5531" s="14" t="s">
        <v>7827</v>
      </c>
      <c r="E5531" s="12" t="s">
        <v>28</v>
      </c>
      <c r="F5531" s="13" t="s">
        <v>29</v>
      </c>
      <c r="G5531">
        <v>100</v>
      </c>
      <c r="H5531" t="s">
        <v>30</v>
      </c>
      <c r="I5531">
        <v>100</v>
      </c>
      <c r="J5531" s="15"/>
      <c r="K5531" s="16">
        <f>59.89 - (59.89 * $E$1)</f>
        <v>59.89</v>
      </c>
      <c r="L5531" s="16">
        <f>49.09 - (49.09 * $E$1)</f>
        <v>49.09</v>
      </c>
      <c r="M5531" s="1">
        <v>59.89</v>
      </c>
      <c r="N5531" s="1">
        <v>49.09</v>
      </c>
      <c r="O5531" s="1">
        <v>50.91</v>
      </c>
      <c r="P5531" s="1">
        <v>41.73</v>
      </c>
      <c r="Q5531">
        <v>2.7000000000000001E-3</v>
      </c>
      <c r="R5531">
        <v>2.5600000000000001E-6</v>
      </c>
    </row>
    <row r="5532" spans="1:18" ht="13.8" outlineLevel="2" x14ac:dyDescent="0.25">
      <c r="A5532">
        <v>88663</v>
      </c>
      <c r="B5532" t="s">
        <v>7823</v>
      </c>
      <c r="C5532" t="s">
        <v>7828</v>
      </c>
      <c r="D5532" s="14" t="s">
        <v>7829</v>
      </c>
      <c r="E5532" s="12" t="s">
        <v>28</v>
      </c>
      <c r="F5532" s="13" t="s">
        <v>29</v>
      </c>
      <c r="G5532">
        <v>100</v>
      </c>
      <c r="H5532" t="s">
        <v>30</v>
      </c>
      <c r="I5532">
        <v>100</v>
      </c>
      <c r="J5532" s="15"/>
      <c r="K5532" s="16">
        <f>59.93 - (59.93 * $E$1)</f>
        <v>59.93</v>
      </c>
      <c r="L5532" s="16">
        <f>49.12 - (49.12 * $E$1)</f>
        <v>49.12</v>
      </c>
      <c r="M5532" s="1">
        <v>59.93</v>
      </c>
      <c r="N5532" s="1">
        <v>49.12</v>
      </c>
      <c r="O5532" s="1">
        <v>50.94</v>
      </c>
      <c r="P5532" s="1">
        <v>41.75</v>
      </c>
      <c r="Q5532">
        <v>2.8999999999999998E-3</v>
      </c>
      <c r="R5532">
        <v>3.2399999999999999E-6</v>
      </c>
    </row>
    <row r="5533" spans="1:18" ht="13.8" outlineLevel="2" x14ac:dyDescent="0.25">
      <c r="A5533">
        <v>88850</v>
      </c>
      <c r="B5533" t="s">
        <v>7823</v>
      </c>
      <c r="C5533" t="s">
        <v>7830</v>
      </c>
      <c r="D5533" s="14" t="s">
        <v>7831</v>
      </c>
      <c r="E5533" s="12" t="s">
        <v>28</v>
      </c>
      <c r="F5533" s="13" t="s">
        <v>29</v>
      </c>
      <c r="G5533">
        <v>100</v>
      </c>
      <c r="H5533" t="s">
        <v>30</v>
      </c>
      <c r="I5533">
        <v>100</v>
      </c>
      <c r="J5533" s="15"/>
      <c r="K5533" s="16">
        <f>59.66 - (59.66 * $E$1)</f>
        <v>59.66</v>
      </c>
      <c r="L5533" s="16">
        <f>48.9 - (48.9 * $E$1)</f>
        <v>48.9</v>
      </c>
      <c r="M5533" s="1">
        <v>59.66</v>
      </c>
      <c r="N5533" s="1">
        <v>48.9</v>
      </c>
      <c r="O5533" s="1">
        <v>50.71</v>
      </c>
      <c r="P5533" s="1">
        <v>41.57</v>
      </c>
      <c r="Q5533">
        <v>1E-3</v>
      </c>
      <c r="R5533">
        <v>3.2000000000000001E-7</v>
      </c>
    </row>
    <row r="5534" spans="1:18" ht="13.8" outlineLevel="2" x14ac:dyDescent="0.25">
      <c r="A5534">
        <v>88851</v>
      </c>
      <c r="B5534" t="s">
        <v>7823</v>
      </c>
      <c r="C5534" t="s">
        <v>7832</v>
      </c>
      <c r="D5534" s="14" t="s">
        <v>7833</v>
      </c>
      <c r="E5534" s="12" t="s">
        <v>28</v>
      </c>
      <c r="F5534" s="13" t="s">
        <v>29</v>
      </c>
      <c r="G5534">
        <v>100</v>
      </c>
      <c r="H5534" t="s">
        <v>30</v>
      </c>
      <c r="I5534">
        <v>100</v>
      </c>
      <c r="J5534" s="15"/>
      <c r="K5534" s="16">
        <f>59.89 - (59.89 * $E$1)</f>
        <v>59.89</v>
      </c>
      <c r="L5534" s="16">
        <f>49.09 - (49.09 * $E$1)</f>
        <v>49.09</v>
      </c>
      <c r="M5534" s="1">
        <v>59.89</v>
      </c>
      <c r="N5534" s="1">
        <v>49.09</v>
      </c>
      <c r="O5534" s="1">
        <v>50.91</v>
      </c>
      <c r="P5534" s="1">
        <v>41.73</v>
      </c>
      <c r="Q5534">
        <v>2.7000000000000001E-3</v>
      </c>
      <c r="R5534">
        <v>2.5600000000000001E-6</v>
      </c>
    </row>
    <row r="5535" spans="1:18" ht="13.8" outlineLevel="2" x14ac:dyDescent="0.25">
      <c r="A5535">
        <v>88852</v>
      </c>
      <c r="B5535" t="s">
        <v>7823</v>
      </c>
      <c r="C5535" t="s">
        <v>7834</v>
      </c>
      <c r="D5535" s="14" t="s">
        <v>7835</v>
      </c>
      <c r="E5535" s="12" t="s">
        <v>28</v>
      </c>
      <c r="F5535" s="13" t="s">
        <v>29</v>
      </c>
      <c r="G5535">
        <v>100</v>
      </c>
      <c r="H5535" t="s">
        <v>30</v>
      </c>
      <c r="I5535">
        <v>100</v>
      </c>
      <c r="J5535" s="15"/>
      <c r="K5535" s="16">
        <f>59.93 - (59.93 * $E$1)</f>
        <v>59.93</v>
      </c>
      <c r="L5535" s="16">
        <f>49.12 - (49.12 * $E$1)</f>
        <v>49.12</v>
      </c>
      <c r="M5535" s="1">
        <v>59.93</v>
      </c>
      <c r="N5535" s="1">
        <v>49.12</v>
      </c>
      <c r="O5535" s="1">
        <v>50.94</v>
      </c>
      <c r="P5535" s="1">
        <v>41.75</v>
      </c>
      <c r="Q5535">
        <v>2.8999999999999998E-3</v>
      </c>
      <c r="R5535">
        <v>3.2399999999999999E-6</v>
      </c>
    </row>
    <row r="5536" spans="1:18" ht="33.75" customHeight="1" x14ac:dyDescent="0.35">
      <c r="A5536" s="9"/>
      <c r="B5536" s="10" t="s">
        <v>7836</v>
      </c>
      <c r="C5536" s="10"/>
      <c r="D5536" s="10"/>
      <c r="E5536" s="10"/>
      <c r="F5536" s="10"/>
      <c r="G5536" s="10"/>
      <c r="H5536" s="10"/>
      <c r="I5536" s="10"/>
      <c r="J5536" s="10"/>
      <c r="K5536" s="10"/>
      <c r="L5536" s="10"/>
      <c r="M5536" s="10"/>
      <c r="N5536" s="10"/>
      <c r="O5536" s="10"/>
      <c r="P5536" s="10"/>
      <c r="Q5536" s="10"/>
      <c r="R5536" s="11"/>
    </row>
    <row r="5537" spans="1:18" ht="13.8" outlineLevel="1" x14ac:dyDescent="0.25">
      <c r="A5537">
        <v>89509</v>
      </c>
      <c r="B5537" t="s">
        <v>7837</v>
      </c>
      <c r="C5537" t="s">
        <v>7838</v>
      </c>
      <c r="D5537" s="14" t="s">
        <v>7838</v>
      </c>
      <c r="E5537" s="12" t="s">
        <v>28</v>
      </c>
      <c r="F5537" s="13" t="s">
        <v>29</v>
      </c>
      <c r="G5537">
        <v>1</v>
      </c>
      <c r="H5537" t="s">
        <v>30</v>
      </c>
      <c r="I5537">
        <v>1</v>
      </c>
      <c r="J5537" s="15"/>
      <c r="K5537" s="16">
        <f>395.15 - (395.15 * $E$1)</f>
        <v>395.15</v>
      </c>
      <c r="L5537" s="16">
        <f>323.89 - (323.89 * $E$1)</f>
        <v>323.89</v>
      </c>
      <c r="M5537" s="1">
        <v>395.15</v>
      </c>
      <c r="N5537" s="1">
        <v>323.89</v>
      </c>
      <c r="O5537" s="1">
        <v>335.87</v>
      </c>
      <c r="P5537" s="1">
        <v>275.31</v>
      </c>
      <c r="Q5537">
        <v>0.09</v>
      </c>
      <c r="R5537">
        <v>8.8800000000000001E-4</v>
      </c>
    </row>
    <row r="5538" spans="1:18" ht="13.8" outlineLevel="1" x14ac:dyDescent="0.25">
      <c r="A5538">
        <v>89510</v>
      </c>
      <c r="B5538" t="s">
        <v>7837</v>
      </c>
      <c r="C5538" t="s">
        <v>7839</v>
      </c>
      <c r="D5538" s="14" t="s">
        <v>7839</v>
      </c>
      <c r="E5538" s="12" t="s">
        <v>28</v>
      </c>
      <c r="F5538" s="13" t="s">
        <v>29</v>
      </c>
      <c r="G5538">
        <v>1</v>
      </c>
      <c r="H5538" t="s">
        <v>30</v>
      </c>
      <c r="I5538">
        <v>1</v>
      </c>
      <c r="J5538" s="15"/>
      <c r="K5538" s="16">
        <f>431.49 - (431.49 * $E$1)</f>
        <v>431.49</v>
      </c>
      <c r="L5538" s="16">
        <f>353.68 - (353.68 * $E$1)</f>
        <v>353.68</v>
      </c>
      <c r="M5538" s="1">
        <v>431.49</v>
      </c>
      <c r="N5538" s="1">
        <v>353.68</v>
      </c>
      <c r="O5538" s="1">
        <v>366.77</v>
      </c>
      <c r="P5538" s="1">
        <v>300.63</v>
      </c>
      <c r="Q5538">
        <v>0.1</v>
      </c>
      <c r="R5538">
        <v>8.8800000000000001E-4</v>
      </c>
    </row>
    <row r="5539" spans="1:18" ht="13.8" outlineLevel="1" x14ac:dyDescent="0.25">
      <c r="A5539">
        <v>89511</v>
      </c>
      <c r="B5539" t="s">
        <v>7837</v>
      </c>
      <c r="C5539" t="s">
        <v>7840</v>
      </c>
      <c r="D5539" s="14" t="s">
        <v>7840</v>
      </c>
      <c r="E5539" s="12" t="s">
        <v>28</v>
      </c>
      <c r="F5539" s="13" t="s">
        <v>29</v>
      </c>
      <c r="G5539">
        <v>1</v>
      </c>
      <c r="H5539" t="s">
        <v>30</v>
      </c>
      <c r="I5539">
        <v>1</v>
      </c>
      <c r="J5539" s="15"/>
      <c r="K5539" s="16">
        <f>450.36 - (450.36 * $E$1)</f>
        <v>450.36</v>
      </c>
      <c r="L5539" s="16">
        <f>369.15 - (369.15 * $E$1)</f>
        <v>369.15</v>
      </c>
      <c r="M5539" s="1">
        <v>450.36</v>
      </c>
      <c r="N5539" s="1">
        <v>369.15</v>
      </c>
      <c r="O5539" s="1">
        <v>382.81</v>
      </c>
      <c r="P5539" s="1">
        <v>313.77999999999997</v>
      </c>
      <c r="Q5539">
        <v>0.1</v>
      </c>
      <c r="R5539">
        <v>8.8800000000000001E-4</v>
      </c>
    </row>
    <row r="5540" spans="1:18" ht="13.8" outlineLevel="1" x14ac:dyDescent="0.25">
      <c r="A5540">
        <v>101762</v>
      </c>
      <c r="B5540" t="s">
        <v>7837</v>
      </c>
      <c r="C5540" t="s">
        <v>7841</v>
      </c>
      <c r="D5540" s="14" t="s">
        <v>7841</v>
      </c>
      <c r="E5540" s="12" t="s">
        <v>28</v>
      </c>
      <c r="F5540" s="13" t="s">
        <v>29</v>
      </c>
      <c r="G5540">
        <v>1</v>
      </c>
      <c r="H5540" t="s">
        <v>30</v>
      </c>
      <c r="I5540">
        <v>1</v>
      </c>
      <c r="J5540" s="15"/>
      <c r="K5540" s="16">
        <f>448.37 - (448.37 * $E$1)</f>
        <v>448.37</v>
      </c>
      <c r="L5540" s="16">
        <f>367.52 - (367.52 * $E$1)</f>
        <v>367.52</v>
      </c>
      <c r="M5540" s="1">
        <v>448.37</v>
      </c>
      <c r="N5540" s="1">
        <v>367.52</v>
      </c>
      <c r="O5540" s="1">
        <v>381.12</v>
      </c>
      <c r="P5540" s="1">
        <v>312.39</v>
      </c>
      <c r="Q5540">
        <v>0.12</v>
      </c>
      <c r="R5540">
        <v>1.08E-3</v>
      </c>
    </row>
    <row r="5541" spans="1:18" ht="13.8" outlineLevel="1" x14ac:dyDescent="0.25">
      <c r="A5541">
        <v>89512</v>
      </c>
      <c r="B5541" t="s">
        <v>7837</v>
      </c>
      <c r="C5541" t="s">
        <v>7842</v>
      </c>
      <c r="D5541" s="14" t="s">
        <v>7842</v>
      </c>
      <c r="E5541" s="12" t="s">
        <v>28</v>
      </c>
      <c r="F5541" s="13" t="s">
        <v>29</v>
      </c>
      <c r="G5541">
        <v>1</v>
      </c>
      <c r="H5541" t="s">
        <v>30</v>
      </c>
      <c r="I5541">
        <v>1</v>
      </c>
      <c r="J5541" s="15"/>
      <c r="K5541" s="16">
        <f>563.1 - (563.1 * $E$1)</f>
        <v>563.1</v>
      </c>
      <c r="L5541" s="16">
        <f>461.56 - (461.56 * $E$1)</f>
        <v>461.56</v>
      </c>
      <c r="M5541" s="1">
        <v>563.1</v>
      </c>
      <c r="N5541" s="1">
        <v>461.56</v>
      </c>
      <c r="O5541" s="1">
        <v>478.64</v>
      </c>
      <c r="P5541" s="1">
        <v>392.33</v>
      </c>
      <c r="Q5541">
        <v>0.12</v>
      </c>
      <c r="R5541">
        <v>8.8800000000000001E-4</v>
      </c>
    </row>
    <row r="5542" spans="1:18" ht="13.8" outlineLevel="1" x14ac:dyDescent="0.25">
      <c r="A5542">
        <v>101763</v>
      </c>
      <c r="B5542" t="s">
        <v>7837</v>
      </c>
      <c r="C5542" t="s">
        <v>7843</v>
      </c>
      <c r="D5542" s="14" t="s">
        <v>7843</v>
      </c>
      <c r="E5542" s="12" t="s">
        <v>28</v>
      </c>
      <c r="F5542" s="13" t="s">
        <v>29</v>
      </c>
      <c r="G5542">
        <v>1</v>
      </c>
      <c r="H5542" t="s">
        <v>30</v>
      </c>
      <c r="I5542">
        <v>1</v>
      </c>
      <c r="J5542" s="15"/>
      <c r="K5542" s="16">
        <f>558.49 - (558.49 * $E$1)</f>
        <v>558.49</v>
      </c>
      <c r="L5542" s="16">
        <f>457.78 - (457.78 * $E$1)</f>
        <v>457.78</v>
      </c>
      <c r="M5542" s="1">
        <v>558.49</v>
      </c>
      <c r="N5542" s="1">
        <v>457.78</v>
      </c>
      <c r="O5542" s="1">
        <v>474.72</v>
      </c>
      <c r="P5542" s="1">
        <v>389.11</v>
      </c>
      <c r="Q5542">
        <v>0.14000000000000001</v>
      </c>
      <c r="R5542">
        <v>1.08E-3</v>
      </c>
    </row>
    <row r="5543" spans="1:18" ht="13.8" outlineLevel="1" x14ac:dyDescent="0.25">
      <c r="A5543">
        <v>101764</v>
      </c>
      <c r="B5543" t="s">
        <v>7837</v>
      </c>
      <c r="C5543" t="s">
        <v>7844</v>
      </c>
      <c r="D5543" s="14" t="s">
        <v>7844</v>
      </c>
      <c r="E5543" s="12" t="s">
        <v>28</v>
      </c>
      <c r="F5543" s="13" t="s">
        <v>29</v>
      </c>
      <c r="G5543">
        <v>1</v>
      </c>
      <c r="H5543" t="s">
        <v>30</v>
      </c>
      <c r="I5543">
        <v>1</v>
      </c>
      <c r="J5543" s="15"/>
      <c r="K5543" s="16">
        <f>1156.65 - (1156.65 * $E$1)</f>
        <v>1156.6500000000001</v>
      </c>
      <c r="L5543" s="16">
        <f>948.07 - (948.07 * $E$1)</f>
        <v>948.07</v>
      </c>
      <c r="M5543" s="1">
        <v>1156.6500000000001</v>
      </c>
      <c r="N5543" s="1">
        <v>948.07</v>
      </c>
      <c r="O5543" s="1">
        <v>983.15</v>
      </c>
      <c r="P5543" s="1">
        <v>805.86</v>
      </c>
      <c r="Q5543">
        <v>0.34</v>
      </c>
      <c r="R5543">
        <v>2.3400000000000001E-3</v>
      </c>
    </row>
    <row r="5544" spans="1:18" ht="13.8" outlineLevel="1" x14ac:dyDescent="0.25">
      <c r="A5544">
        <v>101765</v>
      </c>
      <c r="B5544" t="s">
        <v>7837</v>
      </c>
      <c r="C5544" t="s">
        <v>7845</v>
      </c>
      <c r="D5544" s="14" t="s">
        <v>7845</v>
      </c>
      <c r="E5544" s="12" t="s">
        <v>28</v>
      </c>
      <c r="F5544" s="13" t="s">
        <v>29</v>
      </c>
      <c r="G5544">
        <v>1</v>
      </c>
      <c r="H5544" t="s">
        <v>30</v>
      </c>
      <c r="I5544">
        <v>1</v>
      </c>
      <c r="J5544" s="15"/>
      <c r="K5544" s="16">
        <f>1292.71 - (1292.71 * $E$1)</f>
        <v>1292.71</v>
      </c>
      <c r="L5544" s="16">
        <f>1059.6 - (1059.6 * $E$1)</f>
        <v>1059.5999999999999</v>
      </c>
      <c r="M5544" s="1">
        <v>1292.71</v>
      </c>
      <c r="N5544" s="1">
        <v>1059.5999999999999</v>
      </c>
      <c r="O5544" s="1">
        <v>1098.81</v>
      </c>
      <c r="P5544" s="1">
        <v>900.66</v>
      </c>
      <c r="Q5544">
        <v>0.36</v>
      </c>
      <c r="R5544">
        <v>2.3400000000000001E-3</v>
      </c>
    </row>
    <row r="5545" spans="1:18" ht="13.8" outlineLevel="1" x14ac:dyDescent="0.25">
      <c r="A5545">
        <v>89664</v>
      </c>
      <c r="B5545" t="s">
        <v>7846</v>
      </c>
      <c r="C5545" t="s">
        <v>7847</v>
      </c>
      <c r="D5545" s="14" t="s">
        <v>7848</v>
      </c>
      <c r="E5545" s="12" t="s">
        <v>28</v>
      </c>
      <c r="F5545" s="13" t="s">
        <v>29</v>
      </c>
      <c r="G5545">
        <v>1</v>
      </c>
      <c r="H5545" t="s">
        <v>30</v>
      </c>
      <c r="I5545">
        <v>1</v>
      </c>
      <c r="J5545" s="15"/>
      <c r="K5545" s="16">
        <f>358.61 - (358.61 * $E$1)</f>
        <v>358.61</v>
      </c>
      <c r="L5545" s="16">
        <f>293.94 - (293.94 * $E$1)</f>
        <v>293.94</v>
      </c>
      <c r="M5545" s="1">
        <v>358.61</v>
      </c>
      <c r="N5545" s="1">
        <v>293.94</v>
      </c>
      <c r="O5545" s="1">
        <v>304.82</v>
      </c>
      <c r="P5545" s="1">
        <v>249.85</v>
      </c>
      <c r="Q5545">
        <v>4.2999999999999997E-2</v>
      </c>
      <c r="R5545">
        <v>5.3600000000000002E-4</v>
      </c>
    </row>
    <row r="5546" spans="1:18" ht="13.8" outlineLevel="1" x14ac:dyDescent="0.25">
      <c r="A5546">
        <v>89665</v>
      </c>
      <c r="B5546" t="s">
        <v>7846</v>
      </c>
      <c r="C5546" t="s">
        <v>7849</v>
      </c>
      <c r="D5546" s="14" t="s">
        <v>7850</v>
      </c>
      <c r="E5546" s="12" t="s">
        <v>28</v>
      </c>
      <c r="F5546" s="13" t="s">
        <v>29</v>
      </c>
      <c r="G5546">
        <v>1</v>
      </c>
      <c r="H5546" t="s">
        <v>30</v>
      </c>
      <c r="I5546">
        <v>1</v>
      </c>
      <c r="J5546" s="15"/>
      <c r="K5546" s="16">
        <f>323.4 - (323.4 * $E$1)</f>
        <v>323.39999999999998</v>
      </c>
      <c r="L5546" s="16">
        <f>265.08 - (265.08 * $E$1)</f>
        <v>265.08</v>
      </c>
      <c r="M5546" s="1">
        <v>323.39999999999998</v>
      </c>
      <c r="N5546" s="1">
        <v>265.08</v>
      </c>
      <c r="O5546" s="1">
        <v>274.89</v>
      </c>
      <c r="P5546" s="1">
        <v>225.32</v>
      </c>
      <c r="Q5546">
        <v>3.3000000000000002E-2</v>
      </c>
      <c r="R5546">
        <v>5.3600000000000002E-4</v>
      </c>
    </row>
    <row r="5547" spans="1:18" ht="13.8" outlineLevel="1" x14ac:dyDescent="0.25">
      <c r="A5547">
        <v>89666</v>
      </c>
      <c r="B5547" t="s">
        <v>7846</v>
      </c>
      <c r="C5547" t="s">
        <v>7851</v>
      </c>
      <c r="D5547" s="14" t="s">
        <v>7852</v>
      </c>
      <c r="E5547" s="12" t="s">
        <v>28</v>
      </c>
      <c r="F5547" s="13" t="s">
        <v>29</v>
      </c>
      <c r="G5547">
        <v>1</v>
      </c>
      <c r="H5547" t="s">
        <v>30</v>
      </c>
      <c r="I5547">
        <v>1</v>
      </c>
      <c r="J5547" s="15"/>
      <c r="K5547" s="16">
        <f>489.42 - (489.42 * $E$1)</f>
        <v>489.42</v>
      </c>
      <c r="L5547" s="16">
        <f>401.16 - (401.16 * $E$1)</f>
        <v>401.16</v>
      </c>
      <c r="M5547" s="1">
        <v>489.42</v>
      </c>
      <c r="N5547" s="1">
        <v>401.16</v>
      </c>
      <c r="O5547" s="1">
        <v>416</v>
      </c>
      <c r="P5547" s="1">
        <v>340.99</v>
      </c>
      <c r="Q5547">
        <v>6.3E-2</v>
      </c>
      <c r="R5547">
        <v>4.9899999999999999E-4</v>
      </c>
    </row>
    <row r="5548" spans="1:18" ht="13.8" outlineLevel="1" x14ac:dyDescent="0.25">
      <c r="A5548">
        <v>89667</v>
      </c>
      <c r="B5548" t="s">
        <v>7846</v>
      </c>
      <c r="C5548" t="s">
        <v>7853</v>
      </c>
      <c r="D5548" s="14" t="s">
        <v>7854</v>
      </c>
      <c r="E5548" s="12" t="s">
        <v>28</v>
      </c>
      <c r="F5548" s="13" t="s">
        <v>29</v>
      </c>
      <c r="G5548">
        <v>1</v>
      </c>
      <c r="H5548" t="s">
        <v>30</v>
      </c>
      <c r="I5548">
        <v>1</v>
      </c>
      <c r="J5548" s="15"/>
      <c r="K5548" s="16">
        <f>482.11 - (482.11 * $E$1)</f>
        <v>482.11</v>
      </c>
      <c r="L5548" s="16">
        <f>395.17 - (395.17 * $E$1)</f>
        <v>395.17</v>
      </c>
      <c r="M5548" s="1">
        <v>482.11</v>
      </c>
      <c r="N5548" s="1">
        <v>395.17</v>
      </c>
      <c r="O5548" s="1">
        <v>409.79</v>
      </c>
      <c r="P5548" s="1">
        <v>335.89</v>
      </c>
      <c r="Q5548">
        <v>6.5000000000000002E-2</v>
      </c>
      <c r="R5548">
        <v>6.6200000000000005E-4</v>
      </c>
    </row>
    <row r="5549" spans="1:18" ht="13.8" outlineLevel="1" x14ac:dyDescent="0.25">
      <c r="A5549">
        <v>101766</v>
      </c>
      <c r="B5549" t="s">
        <v>7855</v>
      </c>
      <c r="C5549" t="s">
        <v>7856</v>
      </c>
      <c r="D5549" s="14" t="s">
        <v>7856</v>
      </c>
      <c r="E5549" s="12" t="s">
        <v>28</v>
      </c>
      <c r="F5549" s="13" t="s">
        <v>29</v>
      </c>
      <c r="G5549">
        <v>1</v>
      </c>
      <c r="H5549" t="s">
        <v>30</v>
      </c>
      <c r="I5549">
        <v>1</v>
      </c>
      <c r="J5549" s="15"/>
      <c r="K5549" s="16">
        <f>689.78 - (689.78 * $E$1)</f>
        <v>689.78</v>
      </c>
      <c r="L5549" s="16">
        <f>565.39 - (565.39 * $E$1)</f>
        <v>565.39</v>
      </c>
      <c r="M5549" s="1">
        <v>689.78</v>
      </c>
      <c r="N5549" s="1">
        <v>565.39</v>
      </c>
      <c r="O5549" s="1">
        <v>586.30999999999995</v>
      </c>
      <c r="P5549" s="1">
        <v>480.58</v>
      </c>
      <c r="Q5549">
        <v>0.04</v>
      </c>
      <c r="R5549">
        <v>3.3799999999999998E-4</v>
      </c>
    </row>
    <row r="5550" spans="1:18" ht="13.8" outlineLevel="1" x14ac:dyDescent="0.25">
      <c r="A5550">
        <v>101767</v>
      </c>
      <c r="B5550" t="s">
        <v>7855</v>
      </c>
      <c r="C5550" t="s">
        <v>7857</v>
      </c>
      <c r="D5550" s="14" t="s">
        <v>7857</v>
      </c>
      <c r="E5550" s="12" t="s">
        <v>28</v>
      </c>
      <c r="F5550" s="13" t="s">
        <v>29</v>
      </c>
      <c r="G5550">
        <v>1</v>
      </c>
      <c r="H5550" t="s">
        <v>30</v>
      </c>
      <c r="I5550">
        <v>1</v>
      </c>
      <c r="J5550" s="15"/>
      <c r="K5550" s="16">
        <f>368.81 - (368.81 * $E$1)</f>
        <v>368.81</v>
      </c>
      <c r="L5550" s="16">
        <f>302.3 - (302.3 * $E$1)</f>
        <v>302.3</v>
      </c>
      <c r="M5550" s="1">
        <v>368.81</v>
      </c>
      <c r="N5550" s="1">
        <v>302.3</v>
      </c>
      <c r="O5550" s="1">
        <v>313.49</v>
      </c>
      <c r="P5550" s="1">
        <v>256.95999999999998</v>
      </c>
      <c r="Q5550">
        <v>0.04</v>
      </c>
      <c r="R5550">
        <v>3.3799999999999998E-4</v>
      </c>
    </row>
    <row r="5551" spans="1:18" ht="13.8" outlineLevel="1" x14ac:dyDescent="0.25">
      <c r="A5551">
        <v>89668</v>
      </c>
      <c r="B5551" t="s">
        <v>7846</v>
      </c>
      <c r="C5551" t="s">
        <v>7858</v>
      </c>
      <c r="D5551" s="14" t="s">
        <v>7859</v>
      </c>
      <c r="E5551" s="12" t="s">
        <v>28</v>
      </c>
      <c r="F5551" s="13" t="s">
        <v>29</v>
      </c>
      <c r="G5551">
        <v>1</v>
      </c>
      <c r="H5551" t="s">
        <v>30</v>
      </c>
      <c r="I5551">
        <v>1</v>
      </c>
      <c r="J5551" s="15"/>
      <c r="K5551" s="16">
        <f>632.83 - (632.83 * $E$1)</f>
        <v>632.83000000000004</v>
      </c>
      <c r="L5551" s="16">
        <f>518.71 - (518.71 * $E$1)</f>
        <v>518.71</v>
      </c>
      <c r="M5551" s="1">
        <v>632.83000000000004</v>
      </c>
      <c r="N5551" s="1">
        <v>518.71</v>
      </c>
      <c r="O5551" s="1">
        <v>537.9</v>
      </c>
      <c r="P5551" s="1">
        <v>440.9</v>
      </c>
      <c r="Q5551">
        <v>7.0000000000000007E-2</v>
      </c>
      <c r="R5551">
        <v>5.9900000000000003E-4</v>
      </c>
    </row>
    <row r="5552" spans="1:18" ht="13.8" outlineLevel="1" x14ac:dyDescent="0.25">
      <c r="A5552">
        <v>89669</v>
      </c>
      <c r="B5552" t="s">
        <v>7846</v>
      </c>
      <c r="C5552" t="s">
        <v>7860</v>
      </c>
      <c r="D5552" s="14" t="s">
        <v>7861</v>
      </c>
      <c r="E5552" s="12" t="s">
        <v>28</v>
      </c>
      <c r="F5552" s="13" t="s">
        <v>29</v>
      </c>
      <c r="G5552">
        <v>1</v>
      </c>
      <c r="H5552" t="s">
        <v>30</v>
      </c>
      <c r="I5552">
        <v>1</v>
      </c>
      <c r="J5552" s="15"/>
      <c r="K5552" s="16">
        <f>547.48 - (547.48 * $E$1)</f>
        <v>547.48</v>
      </c>
      <c r="L5552" s="16">
        <f>448.75 - (448.75 * $E$1)</f>
        <v>448.75</v>
      </c>
      <c r="M5552" s="1">
        <v>547.48</v>
      </c>
      <c r="N5552" s="1">
        <v>448.75</v>
      </c>
      <c r="O5552" s="1">
        <v>465.35</v>
      </c>
      <c r="P5552" s="1">
        <v>381.44</v>
      </c>
      <c r="Q5552">
        <v>0.09</v>
      </c>
      <c r="R5552">
        <v>8.0599999999999997E-4</v>
      </c>
    </row>
    <row r="5553" spans="1:18" ht="13.8" outlineLevel="1" x14ac:dyDescent="0.25">
      <c r="A5553">
        <v>89670</v>
      </c>
      <c r="B5553" t="s">
        <v>7846</v>
      </c>
      <c r="C5553" t="s">
        <v>7862</v>
      </c>
      <c r="D5553" s="14" t="s">
        <v>7863</v>
      </c>
      <c r="E5553" s="12" t="s">
        <v>28</v>
      </c>
      <c r="F5553" s="13" t="s">
        <v>29</v>
      </c>
      <c r="G5553">
        <v>1</v>
      </c>
      <c r="H5553" t="s">
        <v>30</v>
      </c>
      <c r="I5553">
        <v>1</v>
      </c>
      <c r="J5553" s="15"/>
      <c r="K5553" s="16">
        <f>548.26 - (548.26 * $E$1)</f>
        <v>548.26</v>
      </c>
      <c r="L5553" s="16">
        <f>449.39 - (449.39 * $E$1)</f>
        <v>449.39</v>
      </c>
      <c r="M5553" s="1">
        <v>548.26</v>
      </c>
      <c r="N5553" s="1">
        <v>449.39</v>
      </c>
      <c r="O5553" s="1">
        <v>466.02</v>
      </c>
      <c r="P5553" s="1">
        <v>381.98</v>
      </c>
      <c r="Q5553">
        <v>0.09</v>
      </c>
      <c r="R5553">
        <v>8.0599999999999997E-4</v>
      </c>
    </row>
    <row r="5554" spans="1:18" ht="13.8" outlineLevel="1" x14ac:dyDescent="0.25">
      <c r="A5554">
        <v>89685</v>
      </c>
      <c r="B5554" t="s">
        <v>7846</v>
      </c>
      <c r="C5554" t="s">
        <v>7864</v>
      </c>
      <c r="D5554" s="14" t="s">
        <v>7865</v>
      </c>
      <c r="E5554" s="12" t="s">
        <v>28</v>
      </c>
      <c r="F5554" s="13" t="s">
        <v>29</v>
      </c>
      <c r="G5554">
        <v>1</v>
      </c>
      <c r="H5554" t="s">
        <v>30</v>
      </c>
      <c r="I5554">
        <v>1</v>
      </c>
      <c r="J5554" s="15"/>
      <c r="K5554" s="16">
        <f>582.06 - (582.06 * $E$1)</f>
        <v>582.05999999999995</v>
      </c>
      <c r="L5554" s="16">
        <f>477.1 - (477.1 * $E$1)</f>
        <v>477.1</v>
      </c>
      <c r="M5554" s="1">
        <v>582.05999999999995</v>
      </c>
      <c r="N5554" s="1">
        <v>477.1</v>
      </c>
      <c r="O5554" s="1">
        <v>494.75</v>
      </c>
      <c r="P5554" s="1">
        <v>405.54</v>
      </c>
      <c r="Q5554">
        <v>0.09</v>
      </c>
      <c r="R5554">
        <v>9.68E-4</v>
      </c>
    </row>
    <row r="5555" spans="1:18" ht="13.8" outlineLevel="1" x14ac:dyDescent="0.25">
      <c r="A5555">
        <v>89686</v>
      </c>
      <c r="B5555" t="s">
        <v>7846</v>
      </c>
      <c r="C5555" t="s">
        <v>7866</v>
      </c>
      <c r="D5555" s="14" t="s">
        <v>7867</v>
      </c>
      <c r="E5555" s="12" t="s">
        <v>28</v>
      </c>
      <c r="F5555" s="13" t="s">
        <v>29</v>
      </c>
      <c r="G5555">
        <v>1</v>
      </c>
      <c r="H5555" t="s">
        <v>30</v>
      </c>
      <c r="I5555">
        <v>1</v>
      </c>
      <c r="J5555" s="15"/>
      <c r="K5555" s="16">
        <f>1091.31 - (1091.31 * $E$1)</f>
        <v>1091.31</v>
      </c>
      <c r="L5555" s="16">
        <f>894.52 - (894.52 * $E$1)</f>
        <v>894.52</v>
      </c>
      <c r="M5555" s="1">
        <v>1091.31</v>
      </c>
      <c r="N5555" s="1">
        <v>894.52</v>
      </c>
      <c r="O5555" s="1">
        <v>927.62</v>
      </c>
      <c r="P5555" s="1">
        <v>760.34</v>
      </c>
      <c r="Q5555">
        <v>9.5000000000000001E-2</v>
      </c>
      <c r="R5555">
        <v>9.68E-4</v>
      </c>
    </row>
    <row r="5556" spans="1:18" ht="33.75" customHeight="1" x14ac:dyDescent="0.35">
      <c r="A5556" s="9"/>
      <c r="B5556" s="10" t="s">
        <v>7868</v>
      </c>
      <c r="C5556" s="10"/>
      <c r="D5556" s="10"/>
      <c r="E5556" s="10"/>
      <c r="F5556" s="10"/>
      <c r="G5556" s="10"/>
      <c r="H5556" s="10"/>
      <c r="I5556" s="10"/>
      <c r="J5556" s="10"/>
      <c r="K5556" s="10"/>
      <c r="L5556" s="10"/>
      <c r="M5556" s="10"/>
      <c r="N5556" s="10"/>
      <c r="O5556" s="10"/>
      <c r="P5556" s="10"/>
      <c r="Q5556" s="10"/>
      <c r="R5556" s="11"/>
    </row>
    <row r="5557" spans="1:18" ht="16.5" customHeight="1" outlineLevel="1" x14ac:dyDescent="0.35">
      <c r="A5557" s="9"/>
      <c r="B5557" s="10" t="s">
        <v>7869</v>
      </c>
      <c r="C5557" s="10"/>
      <c r="D5557" s="10"/>
      <c r="E5557" s="10"/>
      <c r="F5557" s="10"/>
      <c r="G5557" s="10"/>
      <c r="H5557" s="10"/>
      <c r="I5557" s="10"/>
      <c r="J5557" s="10"/>
      <c r="K5557" s="10"/>
      <c r="L5557" s="10"/>
      <c r="M5557" s="10"/>
      <c r="N5557" s="10"/>
      <c r="O5557" s="10"/>
      <c r="P5557" s="10"/>
      <c r="Q5557" s="10"/>
      <c r="R5557" s="11"/>
    </row>
    <row r="5558" spans="1:18" ht="13.8" outlineLevel="2" x14ac:dyDescent="0.25">
      <c r="A5558">
        <v>67581</v>
      </c>
      <c r="B5558" t="s">
        <v>7869</v>
      </c>
      <c r="C5558" t="s">
        <v>7870</v>
      </c>
      <c r="D5558" s="14" t="s">
        <v>7871</v>
      </c>
      <c r="E5558" s="12" t="s">
        <v>28</v>
      </c>
      <c r="F5558" s="13" t="s">
        <v>29</v>
      </c>
      <c r="G5558">
        <v>200</v>
      </c>
      <c r="H5558" t="s">
        <v>2466</v>
      </c>
      <c r="I5558">
        <v>200</v>
      </c>
      <c r="J5558" s="15"/>
      <c r="K5558" s="16">
        <f>106.98 - (106.98 * $E$1)</f>
        <v>106.98</v>
      </c>
      <c r="L5558" s="16">
        <f>87.69 - (87.69 * $E$1)</f>
        <v>87.69</v>
      </c>
      <c r="M5558" s="1">
        <v>106.98</v>
      </c>
      <c r="N5558" s="1">
        <v>87.69</v>
      </c>
      <c r="O5558" s="1">
        <v>90.93</v>
      </c>
      <c r="P5558" s="1">
        <v>74.540000000000006</v>
      </c>
      <c r="Q5558">
        <v>7.8E-2</v>
      </c>
      <c r="R5558">
        <v>1.28625E-4</v>
      </c>
    </row>
    <row r="5559" spans="1:18" ht="13.8" outlineLevel="2" x14ac:dyDescent="0.25">
      <c r="A5559">
        <v>67584</v>
      </c>
      <c r="B5559" t="s">
        <v>7869</v>
      </c>
      <c r="C5559" t="s">
        <v>7872</v>
      </c>
      <c r="D5559" s="14" t="s">
        <v>7871</v>
      </c>
      <c r="E5559" s="12" t="s">
        <v>28</v>
      </c>
      <c r="F5559" s="13" t="s">
        <v>29</v>
      </c>
      <c r="G5559">
        <v>100</v>
      </c>
      <c r="H5559" t="s">
        <v>2466</v>
      </c>
      <c r="I5559">
        <v>100</v>
      </c>
      <c r="J5559" s="15"/>
      <c r="K5559" s="16">
        <f>102.99 - (102.99 * $E$1)</f>
        <v>102.99</v>
      </c>
      <c r="L5559" s="16">
        <f>84.42 - (84.42 * $E$1)</f>
        <v>84.42</v>
      </c>
      <c r="M5559" s="1">
        <v>102.99</v>
      </c>
      <c r="N5559" s="1">
        <v>84.42</v>
      </c>
      <c r="O5559" s="1">
        <v>87.54</v>
      </c>
      <c r="P5559" s="1">
        <v>71.760000000000005</v>
      </c>
      <c r="Q5559">
        <v>9.9000000000000005E-2</v>
      </c>
      <c r="R5559">
        <v>2.72E-4</v>
      </c>
    </row>
    <row r="5560" spans="1:18" ht="13.8" outlineLevel="2" x14ac:dyDescent="0.25">
      <c r="A5560">
        <v>67585</v>
      </c>
      <c r="B5560" t="s">
        <v>7869</v>
      </c>
      <c r="C5560" t="s">
        <v>7873</v>
      </c>
      <c r="D5560" s="14" t="s">
        <v>7871</v>
      </c>
      <c r="E5560" s="12" t="s">
        <v>28</v>
      </c>
      <c r="F5560" s="13" t="s">
        <v>29</v>
      </c>
      <c r="G5560">
        <v>100</v>
      </c>
      <c r="H5560" t="s">
        <v>2466</v>
      </c>
      <c r="I5560">
        <v>100</v>
      </c>
      <c r="J5560" s="15"/>
      <c r="K5560" s="16">
        <f>102.69 - (102.69 * $E$1)</f>
        <v>102.69</v>
      </c>
      <c r="L5560" s="16">
        <f>84.17 - (84.17 * $E$1)</f>
        <v>84.17</v>
      </c>
      <c r="M5560" s="1">
        <v>102.69</v>
      </c>
      <c r="N5560" s="1">
        <v>84.17</v>
      </c>
      <c r="O5560" s="1">
        <v>87.28</v>
      </c>
      <c r="P5560" s="1">
        <v>71.540000000000006</v>
      </c>
      <c r="Q5560">
        <v>0.11700000000000001</v>
      </c>
      <c r="R5560">
        <v>3.5199999999999999E-4</v>
      </c>
    </row>
    <row r="5561" spans="1:18" ht="13.8" outlineLevel="2" x14ac:dyDescent="0.25">
      <c r="A5561">
        <v>67586</v>
      </c>
      <c r="B5561" t="s">
        <v>7869</v>
      </c>
      <c r="C5561" t="s">
        <v>7874</v>
      </c>
      <c r="D5561" s="14" t="s">
        <v>7871</v>
      </c>
      <c r="E5561" s="12" t="s">
        <v>28</v>
      </c>
      <c r="F5561" s="13" t="s">
        <v>29</v>
      </c>
      <c r="G5561">
        <v>100</v>
      </c>
      <c r="H5561" t="s">
        <v>2466</v>
      </c>
      <c r="I5561">
        <v>100</v>
      </c>
      <c r="J5561" s="15"/>
      <c r="K5561" s="16">
        <f>106.26 - (106.26 * $E$1)</f>
        <v>106.26</v>
      </c>
      <c r="L5561" s="16">
        <f>87.1 - (87.1 * $E$1)</f>
        <v>87.1</v>
      </c>
      <c r="M5561" s="1">
        <v>106.26</v>
      </c>
      <c r="N5561" s="1">
        <v>87.1</v>
      </c>
      <c r="O5561" s="1">
        <v>90.32</v>
      </c>
      <c r="P5561" s="1">
        <v>74.040000000000006</v>
      </c>
      <c r="Q5561">
        <v>0.13200000000000001</v>
      </c>
      <c r="R5561">
        <v>3.3599999999999998E-4</v>
      </c>
    </row>
    <row r="5562" spans="1:18" ht="13.8" outlineLevel="2" x14ac:dyDescent="0.25">
      <c r="A5562">
        <v>67587</v>
      </c>
      <c r="B5562" t="s">
        <v>7869</v>
      </c>
      <c r="C5562" t="s">
        <v>7875</v>
      </c>
      <c r="D5562" s="14" t="s">
        <v>7871</v>
      </c>
      <c r="E5562" s="12" t="s">
        <v>28</v>
      </c>
      <c r="F5562" s="13" t="s">
        <v>29</v>
      </c>
      <c r="G5562">
        <v>50</v>
      </c>
      <c r="H5562" t="s">
        <v>2466</v>
      </c>
      <c r="I5562">
        <v>50</v>
      </c>
      <c r="J5562" s="15"/>
      <c r="K5562" s="16">
        <f>124.42 - (124.42 * $E$1)</f>
        <v>124.42</v>
      </c>
      <c r="L5562" s="16">
        <f>101.98 - (101.98 * $E$1)</f>
        <v>101.98</v>
      </c>
      <c r="M5562" s="1">
        <v>124.42</v>
      </c>
      <c r="N5562" s="1">
        <v>101.98</v>
      </c>
      <c r="O5562" s="1">
        <v>105.75</v>
      </c>
      <c r="P5562" s="1">
        <v>86.68</v>
      </c>
      <c r="Q5562">
        <v>0.152</v>
      </c>
      <c r="R5562">
        <v>8.1355999999999996E-4</v>
      </c>
    </row>
    <row r="5563" spans="1:18" ht="13.8" outlineLevel="2" x14ac:dyDescent="0.25">
      <c r="A5563">
        <v>87692</v>
      </c>
      <c r="B5563" t="s">
        <v>7869</v>
      </c>
      <c r="C5563" t="s">
        <v>7876</v>
      </c>
      <c r="D5563" s="14" t="s">
        <v>7871</v>
      </c>
      <c r="E5563" s="12" t="s">
        <v>28</v>
      </c>
      <c r="F5563" s="13" t="s">
        <v>29</v>
      </c>
      <c r="G5563">
        <v>50</v>
      </c>
      <c r="H5563" t="s">
        <v>2466</v>
      </c>
      <c r="I5563">
        <v>50</v>
      </c>
      <c r="J5563" s="15"/>
      <c r="K5563" s="16">
        <f>130.85 - (130.85 * $E$1)</f>
        <v>130.85</v>
      </c>
      <c r="L5563" s="16">
        <f>107.25 - (107.25 * $E$1)</f>
        <v>107.25</v>
      </c>
      <c r="M5563" s="1">
        <v>130.85</v>
      </c>
      <c r="N5563" s="1">
        <v>107.25</v>
      </c>
      <c r="O5563" s="1">
        <v>111.22</v>
      </c>
      <c r="P5563" s="1">
        <v>91.16</v>
      </c>
      <c r="Q5563">
        <v>0.152</v>
      </c>
      <c r="R5563">
        <v>8.1355999999999996E-4</v>
      </c>
    </row>
    <row r="5564" spans="1:18" ht="13.8" outlineLevel="2" x14ac:dyDescent="0.25">
      <c r="A5564">
        <v>82469</v>
      </c>
      <c r="B5564" t="s">
        <v>7869</v>
      </c>
      <c r="C5564" t="s">
        <v>7877</v>
      </c>
      <c r="D5564" s="14" t="s">
        <v>7871</v>
      </c>
      <c r="E5564" s="12" t="s">
        <v>28</v>
      </c>
      <c r="F5564" s="13" t="s">
        <v>29</v>
      </c>
      <c r="G5564">
        <v>50</v>
      </c>
      <c r="H5564" t="s">
        <v>2466</v>
      </c>
      <c r="I5564">
        <v>50</v>
      </c>
      <c r="J5564" s="15"/>
      <c r="K5564" s="16">
        <f>145.24 - (145.24 * $E$1)</f>
        <v>145.24</v>
      </c>
      <c r="L5564" s="16">
        <f>119.05 - (119.05 * $E$1)</f>
        <v>119.05</v>
      </c>
      <c r="M5564" s="1">
        <v>145.24</v>
      </c>
      <c r="N5564" s="1">
        <v>119.05</v>
      </c>
      <c r="O5564" s="1">
        <v>123.45</v>
      </c>
      <c r="P5564" s="1">
        <v>101.19</v>
      </c>
      <c r="Q5564">
        <v>0.17399999999999999</v>
      </c>
      <c r="R5564">
        <v>8.9055999999999998E-4</v>
      </c>
    </row>
    <row r="5565" spans="1:18" ht="13.8" outlineLevel="2" x14ac:dyDescent="0.25">
      <c r="A5565">
        <v>67588</v>
      </c>
      <c r="B5565" t="s">
        <v>7869</v>
      </c>
      <c r="C5565" t="s">
        <v>7878</v>
      </c>
      <c r="D5565" s="14" t="s">
        <v>7871</v>
      </c>
      <c r="E5565" s="12" t="s">
        <v>28</v>
      </c>
      <c r="F5565" s="13" t="s">
        <v>29</v>
      </c>
      <c r="G5565">
        <v>50</v>
      </c>
      <c r="H5565" t="s">
        <v>2466</v>
      </c>
      <c r="I5565">
        <v>50</v>
      </c>
      <c r="J5565" s="15"/>
      <c r="K5565" s="16">
        <f>154.71 - (154.71 * $E$1)</f>
        <v>154.71</v>
      </c>
      <c r="L5565" s="16">
        <f>126.81 - (126.81 * $E$1)</f>
        <v>126.81</v>
      </c>
      <c r="M5565" s="1">
        <v>154.71</v>
      </c>
      <c r="N5565" s="1">
        <v>126.81</v>
      </c>
      <c r="O5565" s="1">
        <v>131.5</v>
      </c>
      <c r="P5565" s="1">
        <v>107.79</v>
      </c>
      <c r="Q5565">
        <v>0.192</v>
      </c>
      <c r="R5565">
        <v>8.8199999999999997E-4</v>
      </c>
    </row>
    <row r="5566" spans="1:18" ht="13.8" outlineLevel="2" x14ac:dyDescent="0.25">
      <c r="A5566">
        <v>82470</v>
      </c>
      <c r="B5566" t="s">
        <v>7869</v>
      </c>
      <c r="C5566" t="s">
        <v>7879</v>
      </c>
      <c r="D5566" s="14" t="s">
        <v>7871</v>
      </c>
      <c r="E5566" s="12" t="s">
        <v>28</v>
      </c>
      <c r="F5566" s="13" t="s">
        <v>29</v>
      </c>
      <c r="G5566">
        <v>50</v>
      </c>
      <c r="H5566" t="s">
        <v>2466</v>
      </c>
      <c r="I5566">
        <v>50</v>
      </c>
      <c r="J5566" s="15"/>
      <c r="K5566" s="16">
        <f>176.41 - (176.41 * $E$1)</f>
        <v>176.41</v>
      </c>
      <c r="L5566" s="16">
        <f>144.6 - (144.6 * $E$1)</f>
        <v>144.6</v>
      </c>
      <c r="M5566" s="1">
        <v>176.41</v>
      </c>
      <c r="N5566" s="1">
        <v>144.6</v>
      </c>
      <c r="O5566" s="1">
        <v>149.94999999999999</v>
      </c>
      <c r="P5566" s="1">
        <v>122.91</v>
      </c>
      <c r="Q5566">
        <v>0.18</v>
      </c>
      <c r="R5566">
        <v>9.1799999999999998E-4</v>
      </c>
    </row>
    <row r="5567" spans="1:18" ht="13.8" outlineLevel="2" x14ac:dyDescent="0.25">
      <c r="A5567">
        <v>67589</v>
      </c>
      <c r="B5567" t="s">
        <v>7869</v>
      </c>
      <c r="C5567" t="s">
        <v>7880</v>
      </c>
      <c r="D5567" s="14" t="s">
        <v>7871</v>
      </c>
      <c r="E5567" s="12" t="s">
        <v>28</v>
      </c>
      <c r="F5567" s="13" t="s">
        <v>29</v>
      </c>
      <c r="G5567">
        <v>50</v>
      </c>
      <c r="H5567" t="s">
        <v>2466</v>
      </c>
      <c r="I5567">
        <v>50</v>
      </c>
      <c r="J5567" s="15"/>
      <c r="K5567" s="16">
        <f>193.96 - (193.96 * $E$1)</f>
        <v>193.96</v>
      </c>
      <c r="L5567" s="16">
        <f>158.98 - (158.98 * $E$1)</f>
        <v>158.97999999999999</v>
      </c>
      <c r="M5567" s="1">
        <v>193.96</v>
      </c>
      <c r="N5567" s="1">
        <v>158.97999999999999</v>
      </c>
      <c r="O5567" s="1">
        <v>164.86</v>
      </c>
      <c r="P5567" s="1">
        <v>135.13</v>
      </c>
      <c r="Q5567">
        <v>0.28199999999999997</v>
      </c>
      <c r="R5567">
        <v>1.4519999999999999E-3</v>
      </c>
    </row>
    <row r="5568" spans="1:18" ht="13.8" outlineLevel="2" x14ac:dyDescent="0.25">
      <c r="A5568">
        <v>67590</v>
      </c>
      <c r="B5568" t="s">
        <v>7869</v>
      </c>
      <c r="C5568" t="s">
        <v>7881</v>
      </c>
      <c r="D5568" s="14" t="s">
        <v>7871</v>
      </c>
      <c r="E5568" s="12" t="s">
        <v>28</v>
      </c>
      <c r="F5568" s="13" t="s">
        <v>29</v>
      </c>
      <c r="G5568">
        <v>25</v>
      </c>
      <c r="H5568" t="s">
        <v>2466</v>
      </c>
      <c r="I5568">
        <v>25</v>
      </c>
      <c r="J5568" s="15"/>
      <c r="K5568" s="16">
        <f>311.33 - (311.33 * $E$1)</f>
        <v>311.33</v>
      </c>
      <c r="L5568" s="16">
        <f>255.19 - (255.19 * $E$1)</f>
        <v>255.19</v>
      </c>
      <c r="M5568" s="1">
        <v>311.33</v>
      </c>
      <c r="N5568" s="1">
        <v>255.19</v>
      </c>
      <c r="O5568" s="1">
        <v>264.63</v>
      </c>
      <c r="P5568" s="1">
        <v>216.91</v>
      </c>
      <c r="Q5568">
        <v>0.432</v>
      </c>
      <c r="R5568">
        <v>2.2000000000000001E-3</v>
      </c>
    </row>
    <row r="5569" spans="1:18" ht="13.8" outlineLevel="2" x14ac:dyDescent="0.25">
      <c r="A5569">
        <v>67591</v>
      </c>
      <c r="B5569" t="s">
        <v>7869</v>
      </c>
      <c r="C5569" t="s">
        <v>7882</v>
      </c>
      <c r="D5569" s="14" t="s">
        <v>7871</v>
      </c>
      <c r="E5569" s="12" t="s">
        <v>28</v>
      </c>
      <c r="F5569" s="13" t="s">
        <v>29</v>
      </c>
      <c r="G5569">
        <v>25</v>
      </c>
      <c r="H5569" t="s">
        <v>2466</v>
      </c>
      <c r="I5569">
        <v>25</v>
      </c>
      <c r="J5569" s="15"/>
      <c r="K5569" s="16">
        <f>393.69 - (393.69 * $E$1)</f>
        <v>393.69</v>
      </c>
      <c r="L5569" s="16">
        <f>322.7 - (322.7 * $E$1)</f>
        <v>322.7</v>
      </c>
      <c r="M5569" s="1">
        <v>393.69</v>
      </c>
      <c r="N5569" s="1">
        <v>322.7</v>
      </c>
      <c r="O5569" s="1">
        <v>334.64</v>
      </c>
      <c r="P5569" s="1">
        <v>274.3</v>
      </c>
      <c r="Q5569">
        <v>0.51200000000000001</v>
      </c>
      <c r="R5569">
        <v>2.68272E-3</v>
      </c>
    </row>
    <row r="5570" spans="1:18" ht="13.8" outlineLevel="2" x14ac:dyDescent="0.25">
      <c r="A5570">
        <v>67592</v>
      </c>
      <c r="B5570" t="s">
        <v>7869</v>
      </c>
      <c r="C5570" t="s">
        <v>7883</v>
      </c>
      <c r="D5570" s="14" t="s">
        <v>7871</v>
      </c>
      <c r="E5570" s="12" t="s">
        <v>28</v>
      </c>
      <c r="F5570" s="13" t="s">
        <v>29</v>
      </c>
      <c r="G5570">
        <v>15</v>
      </c>
      <c r="H5570" t="s">
        <v>2466</v>
      </c>
      <c r="I5570">
        <v>15</v>
      </c>
      <c r="J5570" s="15"/>
      <c r="K5570" s="16">
        <f>506.43 - (506.43 * $E$1)</f>
        <v>506.43</v>
      </c>
      <c r="L5570" s="16">
        <f>415.11 - (415.11 * $E$1)</f>
        <v>415.11</v>
      </c>
      <c r="M5570" s="1">
        <v>506.43</v>
      </c>
      <c r="N5570" s="1">
        <v>415.11</v>
      </c>
      <c r="O5570" s="1">
        <v>430.47</v>
      </c>
      <c r="P5570" s="1">
        <v>352.84</v>
      </c>
      <c r="Q5570">
        <v>0.7</v>
      </c>
      <c r="R5570">
        <v>6.0000000000000001E-3</v>
      </c>
    </row>
    <row r="5571" spans="1:18" ht="13.8" outlineLevel="2" x14ac:dyDescent="0.25">
      <c r="A5571">
        <v>67593</v>
      </c>
      <c r="B5571" t="s">
        <v>7869</v>
      </c>
      <c r="C5571" t="s">
        <v>7884</v>
      </c>
      <c r="D5571" s="14" t="s">
        <v>7871</v>
      </c>
      <c r="E5571" s="12" t="s">
        <v>28</v>
      </c>
      <c r="F5571" s="13" t="s">
        <v>29</v>
      </c>
      <c r="G5571">
        <v>10</v>
      </c>
      <c r="H5571" t="s">
        <v>2466</v>
      </c>
      <c r="I5571">
        <v>10</v>
      </c>
      <c r="J5571" s="15"/>
      <c r="K5571" s="16">
        <f>694.42 - (694.42 * $E$1)</f>
        <v>694.42</v>
      </c>
      <c r="L5571" s="16">
        <f>569.2 - (569.2 * $E$1)</f>
        <v>569.20000000000005</v>
      </c>
      <c r="M5571" s="1">
        <v>694.42</v>
      </c>
      <c r="N5571" s="1">
        <v>569.20000000000005</v>
      </c>
      <c r="O5571" s="1">
        <v>590.26</v>
      </c>
      <c r="P5571" s="1">
        <v>483.82</v>
      </c>
      <c r="Q5571">
        <v>1.28</v>
      </c>
      <c r="R5571">
        <v>1.0985E-2</v>
      </c>
    </row>
    <row r="5572" spans="1:18" ht="13.8" outlineLevel="2" x14ac:dyDescent="0.25">
      <c r="A5572">
        <v>67594</v>
      </c>
      <c r="B5572" t="s">
        <v>7869</v>
      </c>
      <c r="C5572" t="s">
        <v>7885</v>
      </c>
      <c r="D5572" s="14" t="s">
        <v>7871</v>
      </c>
      <c r="E5572" s="12" t="s">
        <v>28</v>
      </c>
      <c r="F5572" s="13" t="s">
        <v>29</v>
      </c>
      <c r="G5572">
        <v>10</v>
      </c>
      <c r="H5572" t="s">
        <v>2466</v>
      </c>
      <c r="I5572">
        <v>10</v>
      </c>
      <c r="J5572" s="15"/>
      <c r="K5572" s="16">
        <f>1015.11 - (1015.11 * $E$1)</f>
        <v>1015.11</v>
      </c>
      <c r="L5572" s="16">
        <f>832.06 - (832.06 * $E$1)</f>
        <v>832.06</v>
      </c>
      <c r="M5572" s="1">
        <v>1015.11</v>
      </c>
      <c r="N5572" s="1">
        <v>832.06</v>
      </c>
      <c r="O5572" s="1">
        <v>862.85</v>
      </c>
      <c r="P5572" s="1">
        <v>707.25</v>
      </c>
      <c r="Q5572">
        <v>1.68</v>
      </c>
      <c r="R5572">
        <v>1.7919999999999998E-2</v>
      </c>
    </row>
    <row r="5573" spans="1:18" ht="13.8" outlineLevel="2" x14ac:dyDescent="0.25">
      <c r="A5573">
        <v>67595</v>
      </c>
      <c r="B5573" t="s">
        <v>7869</v>
      </c>
      <c r="C5573" t="s">
        <v>7886</v>
      </c>
      <c r="D5573" s="14" t="s">
        <v>7871</v>
      </c>
      <c r="E5573" s="12" t="s">
        <v>28</v>
      </c>
      <c r="F5573" s="13" t="s">
        <v>29</v>
      </c>
      <c r="G5573">
        <v>10</v>
      </c>
      <c r="H5573" t="s">
        <v>2466</v>
      </c>
      <c r="I5573">
        <v>10</v>
      </c>
      <c r="J5573" s="15"/>
      <c r="K5573" s="16">
        <f>2296.87 - (2296.87 * $E$1)</f>
        <v>2296.87</v>
      </c>
      <c r="L5573" s="16">
        <f>1882.68 - (1882.68 * $E$1)</f>
        <v>1882.68</v>
      </c>
      <c r="M5573" s="1">
        <v>2296.87</v>
      </c>
      <c r="N5573" s="1">
        <v>1882.68</v>
      </c>
      <c r="O5573" s="1">
        <v>1952.34</v>
      </c>
      <c r="P5573" s="1">
        <v>1600.28</v>
      </c>
      <c r="Q5573">
        <v>1.9</v>
      </c>
      <c r="R5573">
        <v>2.4299999999999999E-2</v>
      </c>
    </row>
    <row r="5574" spans="1:18" ht="13.8" outlineLevel="2" x14ac:dyDescent="0.25">
      <c r="A5574">
        <v>82471</v>
      </c>
      <c r="B5574" t="s">
        <v>7869</v>
      </c>
      <c r="C5574" t="s">
        <v>7887</v>
      </c>
      <c r="D5574" s="14" t="s">
        <v>7888</v>
      </c>
      <c r="E5574" s="12" t="s">
        <v>28</v>
      </c>
      <c r="F5574" s="13" t="s">
        <v>29</v>
      </c>
      <c r="G5574">
        <v>100</v>
      </c>
      <c r="H5574" t="s">
        <v>2466</v>
      </c>
      <c r="I5574">
        <v>100</v>
      </c>
      <c r="J5574" s="15"/>
      <c r="K5574" s="16">
        <f>114.45 - (114.45 * $E$1)</f>
        <v>114.45</v>
      </c>
      <c r="L5574" s="16">
        <f>93.81 - (93.81 * $E$1)</f>
        <v>93.81</v>
      </c>
      <c r="M5574" s="1">
        <v>114.45</v>
      </c>
      <c r="N5574" s="1">
        <v>93.81</v>
      </c>
      <c r="O5574" s="1">
        <v>97.28</v>
      </c>
      <c r="P5574" s="1">
        <v>79.739999999999995</v>
      </c>
      <c r="Q5574">
        <v>0.11700000000000001</v>
      </c>
      <c r="R5574">
        <v>3.5199999999999999E-4</v>
      </c>
    </row>
    <row r="5575" spans="1:18" ht="13.8" outlineLevel="2" x14ac:dyDescent="0.25">
      <c r="A5575">
        <v>82472</v>
      </c>
      <c r="B5575" t="s">
        <v>7869</v>
      </c>
      <c r="C5575" t="s">
        <v>7889</v>
      </c>
      <c r="D5575" s="14" t="s">
        <v>7888</v>
      </c>
      <c r="E5575" s="12" t="s">
        <v>28</v>
      </c>
      <c r="F5575" s="13" t="s">
        <v>29</v>
      </c>
      <c r="G5575">
        <v>100</v>
      </c>
      <c r="H5575" t="s">
        <v>2466</v>
      </c>
      <c r="I5575">
        <v>100</v>
      </c>
      <c r="J5575" s="15"/>
      <c r="K5575" s="16">
        <f>118.24 - (118.24 * $E$1)</f>
        <v>118.24</v>
      </c>
      <c r="L5575" s="16">
        <f>96.92 - (96.92 * $E$1)</f>
        <v>96.92</v>
      </c>
      <c r="M5575" s="1">
        <v>118.24</v>
      </c>
      <c r="N5575" s="1">
        <v>96.92</v>
      </c>
      <c r="O5575" s="1">
        <v>100.51</v>
      </c>
      <c r="P5575" s="1">
        <v>82.38</v>
      </c>
      <c r="Q5575">
        <v>0.13200000000000001</v>
      </c>
      <c r="R5575">
        <v>4.4099999999999999E-4</v>
      </c>
    </row>
    <row r="5576" spans="1:18" ht="13.8" outlineLevel="2" x14ac:dyDescent="0.25">
      <c r="A5576">
        <v>82473</v>
      </c>
      <c r="B5576" t="s">
        <v>7869</v>
      </c>
      <c r="C5576" t="s">
        <v>7890</v>
      </c>
      <c r="D5576" s="14" t="s">
        <v>7888</v>
      </c>
      <c r="E5576" s="12" t="s">
        <v>28</v>
      </c>
      <c r="F5576" s="13" t="s">
        <v>29</v>
      </c>
      <c r="G5576">
        <v>50</v>
      </c>
      <c r="H5576" t="s">
        <v>2466</v>
      </c>
      <c r="I5576">
        <v>50</v>
      </c>
      <c r="J5576" s="15"/>
      <c r="K5576" s="16">
        <f>138.23 - (138.23 * $E$1)</f>
        <v>138.22999999999999</v>
      </c>
      <c r="L5576" s="16">
        <f>113.3 - (113.3 * $E$1)</f>
        <v>113.3</v>
      </c>
      <c r="M5576" s="1">
        <v>138.22999999999999</v>
      </c>
      <c r="N5576" s="1">
        <v>113.3</v>
      </c>
      <c r="O5576" s="1">
        <v>117.49</v>
      </c>
      <c r="P5576" s="1">
        <v>96.31</v>
      </c>
      <c r="Q5576">
        <v>0.152</v>
      </c>
      <c r="R5576">
        <v>8.1355999999999996E-4</v>
      </c>
    </row>
    <row r="5577" spans="1:18" ht="13.8" outlineLevel="2" x14ac:dyDescent="0.25">
      <c r="A5577">
        <v>87693</v>
      </c>
      <c r="B5577" t="s">
        <v>7869</v>
      </c>
      <c r="C5577" t="s">
        <v>7891</v>
      </c>
      <c r="D5577" s="14" t="s">
        <v>7888</v>
      </c>
      <c r="E5577" s="12" t="s">
        <v>28</v>
      </c>
      <c r="F5577" s="13" t="s">
        <v>29</v>
      </c>
      <c r="G5577">
        <v>50</v>
      </c>
      <c r="H5577" t="s">
        <v>2466</v>
      </c>
      <c r="I5577">
        <v>50</v>
      </c>
      <c r="J5577" s="15"/>
      <c r="K5577" s="16">
        <f>143.5 - (143.5 * $E$1)</f>
        <v>143.5</v>
      </c>
      <c r="L5577" s="16">
        <f>117.62 - (117.62 * $E$1)</f>
        <v>117.62</v>
      </c>
      <c r="M5577" s="1">
        <v>143.5</v>
      </c>
      <c r="N5577" s="1">
        <v>117.62</v>
      </c>
      <c r="O5577" s="1">
        <v>121.97</v>
      </c>
      <c r="P5577" s="1">
        <v>99.98</v>
      </c>
      <c r="Q5577">
        <v>0.152</v>
      </c>
      <c r="R5577">
        <v>8.1355999999999996E-4</v>
      </c>
    </row>
    <row r="5578" spans="1:18" ht="13.8" outlineLevel="2" x14ac:dyDescent="0.25">
      <c r="A5578">
        <v>82474</v>
      </c>
      <c r="B5578" t="s">
        <v>7869</v>
      </c>
      <c r="C5578" t="s">
        <v>7892</v>
      </c>
      <c r="D5578" s="14" t="s">
        <v>7888</v>
      </c>
      <c r="E5578" s="12" t="s">
        <v>28</v>
      </c>
      <c r="F5578" s="13" t="s">
        <v>29</v>
      </c>
      <c r="G5578">
        <v>50</v>
      </c>
      <c r="H5578" t="s">
        <v>2466</v>
      </c>
      <c r="I5578">
        <v>50</v>
      </c>
      <c r="J5578" s="15"/>
      <c r="K5578" s="16">
        <f>160.52 - (160.52 * $E$1)</f>
        <v>160.52000000000001</v>
      </c>
      <c r="L5578" s="16">
        <f>131.57 - (131.57 * $E$1)</f>
        <v>131.57</v>
      </c>
      <c r="M5578" s="1">
        <v>160.52000000000001</v>
      </c>
      <c r="N5578" s="1">
        <v>131.57</v>
      </c>
      <c r="O5578" s="1">
        <v>136.44</v>
      </c>
      <c r="P5578" s="1">
        <v>111.83</v>
      </c>
      <c r="Q5578">
        <v>0.17399999999999999</v>
      </c>
      <c r="R5578">
        <v>8.9055999999999998E-4</v>
      </c>
    </row>
    <row r="5579" spans="1:18" ht="13.8" outlineLevel="2" x14ac:dyDescent="0.25">
      <c r="A5579">
        <v>82476</v>
      </c>
      <c r="B5579" t="s">
        <v>7869</v>
      </c>
      <c r="C5579" t="s">
        <v>7893</v>
      </c>
      <c r="D5579" s="14" t="s">
        <v>7888</v>
      </c>
      <c r="E5579" s="12" t="s">
        <v>28</v>
      </c>
      <c r="F5579" s="13" t="s">
        <v>29</v>
      </c>
      <c r="G5579">
        <v>50</v>
      </c>
      <c r="H5579" t="s">
        <v>2466</v>
      </c>
      <c r="I5579">
        <v>50</v>
      </c>
      <c r="J5579" s="15"/>
      <c r="K5579" s="16">
        <f>170.5 - (170.5 * $E$1)</f>
        <v>170.5</v>
      </c>
      <c r="L5579" s="16">
        <f>139.75 - (139.75 * $E$1)</f>
        <v>139.75</v>
      </c>
      <c r="M5579" s="1">
        <v>170.5</v>
      </c>
      <c r="N5579" s="1">
        <v>139.75</v>
      </c>
      <c r="O5579" s="1">
        <v>144.91999999999999</v>
      </c>
      <c r="P5579" s="1">
        <v>118.79</v>
      </c>
      <c r="Q5579">
        <v>0.20599999999999999</v>
      </c>
      <c r="R5579">
        <v>8.8199999999999997E-4</v>
      </c>
    </row>
    <row r="5580" spans="1:18" ht="13.8" outlineLevel="2" x14ac:dyDescent="0.25">
      <c r="A5580">
        <v>82475</v>
      </c>
      <c r="B5580" t="s">
        <v>7869</v>
      </c>
      <c r="C5580" t="s">
        <v>7894</v>
      </c>
      <c r="D5580" s="14" t="s">
        <v>7888</v>
      </c>
      <c r="E5580" s="12" t="s">
        <v>28</v>
      </c>
      <c r="F5580" s="13" t="s">
        <v>29</v>
      </c>
      <c r="G5580">
        <v>50</v>
      </c>
      <c r="H5580" t="s">
        <v>2466</v>
      </c>
      <c r="I5580">
        <v>50</v>
      </c>
      <c r="J5580" s="15"/>
      <c r="K5580" s="16">
        <f>194.21 - (194.21 * $E$1)</f>
        <v>194.21</v>
      </c>
      <c r="L5580" s="16">
        <f>159.19 - (159.19 * $E$1)</f>
        <v>159.19</v>
      </c>
      <c r="M5580" s="1">
        <v>194.21</v>
      </c>
      <c r="N5580" s="1">
        <v>159.19</v>
      </c>
      <c r="O5580" s="1">
        <v>165.08</v>
      </c>
      <c r="P5580" s="1">
        <v>135.31</v>
      </c>
      <c r="Q5580">
        <v>0.20799999999999999</v>
      </c>
      <c r="R5580">
        <v>9.2927999999999999E-4</v>
      </c>
    </row>
    <row r="5581" spans="1:18" ht="13.8" outlineLevel="2" x14ac:dyDescent="0.25">
      <c r="A5581">
        <v>79953</v>
      </c>
      <c r="B5581" t="s">
        <v>7869</v>
      </c>
      <c r="C5581" t="s">
        <v>7895</v>
      </c>
      <c r="D5581" s="14" t="s">
        <v>7888</v>
      </c>
      <c r="E5581" s="12" t="s">
        <v>28</v>
      </c>
      <c r="F5581" s="13" t="s">
        <v>29</v>
      </c>
      <c r="G5581">
        <v>50</v>
      </c>
      <c r="H5581" t="s">
        <v>2466</v>
      </c>
      <c r="I5581">
        <v>50</v>
      </c>
      <c r="J5581" s="15"/>
      <c r="K5581" s="16">
        <f>213.57 - (213.57 * $E$1)</f>
        <v>213.57</v>
      </c>
      <c r="L5581" s="16">
        <f>175.06 - (175.06 * $E$1)</f>
        <v>175.06</v>
      </c>
      <c r="M5581" s="1">
        <v>213.57</v>
      </c>
      <c r="N5581" s="1">
        <v>175.06</v>
      </c>
      <c r="O5581" s="1">
        <v>181.54</v>
      </c>
      <c r="P5581" s="1">
        <v>148.80000000000001</v>
      </c>
      <c r="Q5581">
        <v>0.28199999999999997</v>
      </c>
      <c r="R5581">
        <v>1.4519999999999999E-3</v>
      </c>
    </row>
    <row r="5582" spans="1:18" ht="13.8" outlineLevel="2" x14ac:dyDescent="0.25">
      <c r="A5582">
        <v>79954</v>
      </c>
      <c r="B5582" t="s">
        <v>7869</v>
      </c>
      <c r="C5582" t="s">
        <v>7896</v>
      </c>
      <c r="D5582" s="14" t="s">
        <v>7888</v>
      </c>
      <c r="E5582" s="12" t="s">
        <v>28</v>
      </c>
      <c r="F5582" s="13" t="s">
        <v>29</v>
      </c>
      <c r="G5582">
        <v>25</v>
      </c>
      <c r="H5582" t="s">
        <v>2466</v>
      </c>
      <c r="I5582">
        <v>25</v>
      </c>
      <c r="J5582" s="15"/>
      <c r="K5582" s="16">
        <f>343 - (343 * $E$1)</f>
        <v>343</v>
      </c>
      <c r="L5582" s="16">
        <f>281.15 - (281.15 * $E$1)</f>
        <v>281.14999999999998</v>
      </c>
      <c r="M5582" s="1">
        <v>343</v>
      </c>
      <c r="N5582" s="1">
        <v>281.14999999999998</v>
      </c>
      <c r="O5582" s="1">
        <v>291.55</v>
      </c>
      <c r="P5582" s="1">
        <v>238.98</v>
      </c>
      <c r="Q5582">
        <v>0.432</v>
      </c>
      <c r="R5582">
        <v>2.2000000000000001E-3</v>
      </c>
    </row>
    <row r="5583" spans="1:18" ht="13.8" outlineLevel="2" x14ac:dyDescent="0.25">
      <c r="A5583">
        <v>79955</v>
      </c>
      <c r="B5583" t="s">
        <v>7869</v>
      </c>
      <c r="C5583" t="s">
        <v>7897</v>
      </c>
      <c r="D5583" s="14" t="s">
        <v>7888</v>
      </c>
      <c r="E5583" s="12" t="s">
        <v>28</v>
      </c>
      <c r="F5583" s="13" t="s">
        <v>29</v>
      </c>
      <c r="G5583">
        <v>25</v>
      </c>
      <c r="H5583" t="s">
        <v>2466</v>
      </c>
      <c r="I5583">
        <v>25</v>
      </c>
      <c r="J5583" s="15"/>
      <c r="K5583" s="16">
        <f>429.34 - (429.34 * $E$1)</f>
        <v>429.34</v>
      </c>
      <c r="L5583" s="16">
        <f>351.92 - (351.92 * $E$1)</f>
        <v>351.92</v>
      </c>
      <c r="M5583" s="1">
        <v>429.34</v>
      </c>
      <c r="N5583" s="1">
        <v>351.92</v>
      </c>
      <c r="O5583" s="1">
        <v>364.94</v>
      </c>
      <c r="P5583" s="1">
        <v>299.13</v>
      </c>
      <c r="Q5583">
        <v>0.51200000000000001</v>
      </c>
      <c r="R5583">
        <v>2.68272E-3</v>
      </c>
    </row>
    <row r="5584" spans="1:18" ht="13.8" outlineLevel="2" x14ac:dyDescent="0.25">
      <c r="A5584">
        <v>79956</v>
      </c>
      <c r="B5584" t="s">
        <v>7869</v>
      </c>
      <c r="C5584" t="s">
        <v>7898</v>
      </c>
      <c r="D5584" s="14" t="s">
        <v>7888</v>
      </c>
      <c r="E5584" s="12" t="s">
        <v>28</v>
      </c>
      <c r="F5584" s="13" t="s">
        <v>29</v>
      </c>
      <c r="G5584">
        <v>15</v>
      </c>
      <c r="H5584" t="s">
        <v>2466</v>
      </c>
      <c r="I5584">
        <v>15</v>
      </c>
      <c r="J5584" s="15"/>
      <c r="K5584" s="16">
        <f>553.21 - (553.21 * $E$1)</f>
        <v>553.21</v>
      </c>
      <c r="L5584" s="16">
        <f>453.45 - (453.45 * $E$1)</f>
        <v>453.45</v>
      </c>
      <c r="M5584" s="1">
        <v>553.21</v>
      </c>
      <c r="N5584" s="1">
        <v>453.45</v>
      </c>
      <c r="O5584" s="1">
        <v>470.23</v>
      </c>
      <c r="P5584" s="1">
        <v>385.43</v>
      </c>
      <c r="Q5584">
        <v>0.70666666666667</v>
      </c>
      <c r="R5584">
        <v>6.0000000000000001E-3</v>
      </c>
    </row>
    <row r="5585" spans="1:18" ht="13.8" outlineLevel="2" x14ac:dyDescent="0.25">
      <c r="A5585">
        <v>76866</v>
      </c>
      <c r="B5585" t="s">
        <v>7869</v>
      </c>
      <c r="C5585" t="s">
        <v>7899</v>
      </c>
      <c r="D5585" s="14" t="s">
        <v>7900</v>
      </c>
      <c r="E5585" s="12" t="s">
        <v>28</v>
      </c>
      <c r="F5585" s="13" t="s">
        <v>29</v>
      </c>
      <c r="G5585">
        <v>100</v>
      </c>
      <c r="H5585" t="s">
        <v>2466</v>
      </c>
      <c r="I5585">
        <v>100</v>
      </c>
      <c r="J5585" s="15"/>
      <c r="K5585" s="16">
        <f>95.03 - (95.03 * $E$1)</f>
        <v>95.03</v>
      </c>
      <c r="L5585" s="16">
        <f>77.89 - (77.89 * $E$1)</f>
        <v>77.89</v>
      </c>
      <c r="M5585" s="1">
        <v>95.03</v>
      </c>
      <c r="N5585" s="1">
        <v>77.89</v>
      </c>
      <c r="O5585" s="1">
        <v>80.77</v>
      </c>
      <c r="P5585" s="1">
        <v>66.209999999999994</v>
      </c>
      <c r="Q5585">
        <v>0.10100000000000001</v>
      </c>
      <c r="R5585">
        <v>2.72E-4</v>
      </c>
    </row>
    <row r="5586" spans="1:18" ht="13.8" outlineLevel="2" x14ac:dyDescent="0.25">
      <c r="A5586">
        <v>73246</v>
      </c>
      <c r="B5586" t="s">
        <v>7869</v>
      </c>
      <c r="C5586" t="s">
        <v>7901</v>
      </c>
      <c r="D5586" s="14" t="s">
        <v>7900</v>
      </c>
      <c r="E5586" s="12" t="s">
        <v>28</v>
      </c>
      <c r="F5586" s="13" t="s">
        <v>29</v>
      </c>
      <c r="G5586">
        <v>100</v>
      </c>
      <c r="H5586" t="s">
        <v>2466</v>
      </c>
      <c r="I5586">
        <v>100</v>
      </c>
      <c r="J5586" s="15"/>
      <c r="K5586" s="16">
        <f>95.57 - (95.57 * $E$1)</f>
        <v>95.57</v>
      </c>
      <c r="L5586" s="16">
        <f>78.34 - (78.34 * $E$1)</f>
        <v>78.34</v>
      </c>
      <c r="M5586" s="1">
        <v>95.57</v>
      </c>
      <c r="N5586" s="1">
        <v>78.34</v>
      </c>
      <c r="O5586" s="1">
        <v>81.239999999999995</v>
      </c>
      <c r="P5586" s="1">
        <v>66.59</v>
      </c>
      <c r="Q5586">
        <v>0.12</v>
      </c>
      <c r="R5586">
        <v>3.5199999999999999E-4</v>
      </c>
    </row>
    <row r="5587" spans="1:18" ht="13.8" outlineLevel="2" x14ac:dyDescent="0.25">
      <c r="A5587">
        <v>73247</v>
      </c>
      <c r="B5587" t="s">
        <v>7869</v>
      </c>
      <c r="C5587" t="s">
        <v>7902</v>
      </c>
      <c r="D5587" s="14" t="s">
        <v>7900</v>
      </c>
      <c r="E5587" s="12" t="s">
        <v>28</v>
      </c>
      <c r="F5587" s="13" t="s">
        <v>29</v>
      </c>
      <c r="G5587">
        <v>100</v>
      </c>
      <c r="H5587" t="s">
        <v>2466</v>
      </c>
      <c r="I5587">
        <v>100</v>
      </c>
      <c r="J5587" s="15"/>
      <c r="K5587" s="16">
        <f>99.52 - (99.52 * $E$1)</f>
        <v>99.52</v>
      </c>
      <c r="L5587" s="16">
        <f>81.57 - (81.57 * $E$1)</f>
        <v>81.569999999999993</v>
      </c>
      <c r="M5587" s="1">
        <v>99.52</v>
      </c>
      <c r="N5587" s="1">
        <v>81.569999999999993</v>
      </c>
      <c r="O5587" s="1">
        <v>84.59</v>
      </c>
      <c r="P5587" s="1">
        <v>69.33</v>
      </c>
      <c r="Q5587">
        <v>0.13500000000000001</v>
      </c>
      <c r="R5587">
        <v>3.1767999999999998E-4</v>
      </c>
    </row>
    <row r="5588" spans="1:18" ht="13.8" outlineLevel="2" x14ac:dyDescent="0.25">
      <c r="A5588">
        <v>73248</v>
      </c>
      <c r="B5588" t="s">
        <v>7869</v>
      </c>
      <c r="C5588" t="s">
        <v>7903</v>
      </c>
      <c r="D5588" s="14" t="s">
        <v>7900</v>
      </c>
      <c r="E5588" s="12" t="s">
        <v>28</v>
      </c>
      <c r="F5588" s="13" t="s">
        <v>29</v>
      </c>
      <c r="G5588">
        <v>50</v>
      </c>
      <c r="H5588" t="s">
        <v>2466</v>
      </c>
      <c r="I5588">
        <v>50</v>
      </c>
      <c r="J5588" s="15"/>
      <c r="K5588" s="16">
        <f>112.72 - (112.72 * $E$1)</f>
        <v>112.72</v>
      </c>
      <c r="L5588" s="16">
        <f>92.39 - (92.39 * $E$1)</f>
        <v>92.39</v>
      </c>
      <c r="M5588" s="1">
        <v>112.72</v>
      </c>
      <c r="N5588" s="1">
        <v>92.39</v>
      </c>
      <c r="O5588" s="1">
        <v>95.81</v>
      </c>
      <c r="P5588" s="1">
        <v>78.53</v>
      </c>
      <c r="Q5588">
        <v>0.156</v>
      </c>
      <c r="R5588">
        <v>7.0560000000000002E-4</v>
      </c>
    </row>
    <row r="5589" spans="1:18" ht="13.8" outlineLevel="2" x14ac:dyDescent="0.25">
      <c r="A5589">
        <v>87690</v>
      </c>
      <c r="B5589" t="s">
        <v>7869</v>
      </c>
      <c r="C5589" t="s">
        <v>7904</v>
      </c>
      <c r="D5589" s="14" t="s">
        <v>7900</v>
      </c>
      <c r="E5589" s="12" t="s">
        <v>28</v>
      </c>
      <c r="F5589" s="13" t="s">
        <v>29</v>
      </c>
      <c r="G5589">
        <v>50</v>
      </c>
      <c r="H5589" t="s">
        <v>2466</v>
      </c>
      <c r="I5589">
        <v>50</v>
      </c>
      <c r="J5589" s="15"/>
      <c r="K5589" s="16">
        <f>118.14 - (118.14 * $E$1)</f>
        <v>118.14</v>
      </c>
      <c r="L5589" s="16">
        <f>96.84 - (96.84 * $E$1)</f>
        <v>96.84</v>
      </c>
      <c r="M5589" s="1">
        <v>118.14</v>
      </c>
      <c r="N5589" s="1">
        <v>96.84</v>
      </c>
      <c r="O5589" s="1">
        <v>100.42</v>
      </c>
      <c r="P5589" s="1">
        <v>82.31</v>
      </c>
      <c r="Q5589">
        <v>0.156</v>
      </c>
      <c r="R5589">
        <v>8.1355999999999996E-4</v>
      </c>
    </row>
    <row r="5590" spans="1:18" ht="13.8" outlineLevel="2" x14ac:dyDescent="0.25">
      <c r="A5590">
        <v>81205</v>
      </c>
      <c r="B5590" t="s">
        <v>7869</v>
      </c>
      <c r="C5590" t="s">
        <v>7905</v>
      </c>
      <c r="D5590" s="14" t="s">
        <v>7900</v>
      </c>
      <c r="E5590" s="12" t="s">
        <v>28</v>
      </c>
      <c r="F5590" s="13" t="s">
        <v>29</v>
      </c>
      <c r="G5590">
        <v>50</v>
      </c>
      <c r="H5590" t="s">
        <v>2466</v>
      </c>
      <c r="I5590">
        <v>50</v>
      </c>
      <c r="J5590" s="15"/>
      <c r="K5590" s="16">
        <f>130.02 - (130.02 * $E$1)</f>
        <v>130.02000000000001</v>
      </c>
      <c r="L5590" s="16">
        <f>106.57 - (106.57 * $E$1)</f>
        <v>106.57</v>
      </c>
      <c r="M5590" s="1">
        <v>130.02000000000001</v>
      </c>
      <c r="N5590" s="1">
        <v>106.57</v>
      </c>
      <c r="O5590" s="1">
        <v>110.51</v>
      </c>
      <c r="P5590" s="1">
        <v>90.58</v>
      </c>
      <c r="Q5590">
        <v>0.17599999999999999</v>
      </c>
      <c r="R5590">
        <v>8.9099999999999997E-4</v>
      </c>
    </row>
    <row r="5591" spans="1:18" ht="13.8" outlineLevel="2" x14ac:dyDescent="0.25">
      <c r="A5591">
        <v>73249</v>
      </c>
      <c r="B5591" t="s">
        <v>7869</v>
      </c>
      <c r="C5591" t="s">
        <v>7906</v>
      </c>
      <c r="D5591" s="14" t="s">
        <v>7900</v>
      </c>
      <c r="E5591" s="12" t="s">
        <v>28</v>
      </c>
      <c r="F5591" s="13" t="s">
        <v>29</v>
      </c>
      <c r="G5591">
        <v>50</v>
      </c>
      <c r="H5591" t="s">
        <v>2466</v>
      </c>
      <c r="I5591">
        <v>50</v>
      </c>
      <c r="J5591" s="15"/>
      <c r="K5591" s="16">
        <f>138.23 - (138.23 * $E$1)</f>
        <v>138.22999999999999</v>
      </c>
      <c r="L5591" s="16">
        <f>113.3 - (113.3 * $E$1)</f>
        <v>113.3</v>
      </c>
      <c r="M5591" s="1">
        <v>138.22999999999999</v>
      </c>
      <c r="N5591" s="1">
        <v>113.3</v>
      </c>
      <c r="O5591" s="1">
        <v>117.49</v>
      </c>
      <c r="P5591" s="1">
        <v>96.31</v>
      </c>
      <c r="Q5591">
        <v>0.15</v>
      </c>
      <c r="R5591">
        <v>8.8199999999999997E-4</v>
      </c>
    </row>
    <row r="5592" spans="1:18" ht="13.8" outlineLevel="2" x14ac:dyDescent="0.25">
      <c r="A5592">
        <v>81206</v>
      </c>
      <c r="B5592" t="s">
        <v>7869</v>
      </c>
      <c r="C5592" t="s">
        <v>7907</v>
      </c>
      <c r="D5592" s="14" t="s">
        <v>7900</v>
      </c>
      <c r="E5592" s="12" t="s">
        <v>28</v>
      </c>
      <c r="F5592" s="13" t="s">
        <v>29</v>
      </c>
      <c r="G5592">
        <v>50</v>
      </c>
      <c r="H5592" t="s">
        <v>2466</v>
      </c>
      <c r="I5592">
        <v>50</v>
      </c>
      <c r="J5592" s="15"/>
      <c r="K5592" s="16">
        <f>155.64 - (155.64 * $E$1)</f>
        <v>155.63999999999999</v>
      </c>
      <c r="L5592" s="16">
        <f>127.57 - (127.57 * $E$1)</f>
        <v>127.57</v>
      </c>
      <c r="M5592" s="1">
        <v>155.63999999999999</v>
      </c>
      <c r="N5592" s="1">
        <v>127.57</v>
      </c>
      <c r="O5592" s="1">
        <v>132.29</v>
      </c>
      <c r="P5592" s="1">
        <v>108.43</v>
      </c>
      <c r="Q5592">
        <v>0.21199999999999999</v>
      </c>
      <c r="R5592">
        <v>1.1003199999999999E-3</v>
      </c>
    </row>
    <row r="5593" spans="1:18" ht="13.8" outlineLevel="2" x14ac:dyDescent="0.25">
      <c r="A5593">
        <v>73250</v>
      </c>
      <c r="B5593" t="s">
        <v>7869</v>
      </c>
      <c r="C5593" t="s">
        <v>7908</v>
      </c>
      <c r="D5593" s="14" t="s">
        <v>7900</v>
      </c>
      <c r="E5593" s="12" t="s">
        <v>28</v>
      </c>
      <c r="F5593" s="13" t="s">
        <v>29</v>
      </c>
      <c r="G5593">
        <v>50</v>
      </c>
      <c r="H5593" t="s">
        <v>2466</v>
      </c>
      <c r="I5593">
        <v>50</v>
      </c>
      <c r="J5593" s="15"/>
      <c r="K5593" s="16">
        <f>174.77 - (174.77 * $E$1)</f>
        <v>174.77</v>
      </c>
      <c r="L5593" s="16">
        <f>143.25 - (143.25 * $E$1)</f>
        <v>143.25</v>
      </c>
      <c r="M5593" s="1">
        <v>174.77</v>
      </c>
      <c r="N5593" s="1">
        <v>143.25</v>
      </c>
      <c r="O5593" s="1">
        <v>148.55000000000001</v>
      </c>
      <c r="P5593" s="1">
        <v>121.76</v>
      </c>
      <c r="Q5593">
        <v>0.28999999999999998</v>
      </c>
      <c r="R5593">
        <v>1.4519999999999999E-3</v>
      </c>
    </row>
    <row r="5594" spans="1:18" ht="13.8" outlineLevel="2" x14ac:dyDescent="0.25">
      <c r="A5594">
        <v>73251</v>
      </c>
      <c r="B5594" t="s">
        <v>7869</v>
      </c>
      <c r="C5594" t="s">
        <v>7909</v>
      </c>
      <c r="D5594" s="14" t="s">
        <v>7900</v>
      </c>
      <c r="E5594" s="12" t="s">
        <v>28</v>
      </c>
      <c r="F5594" s="13" t="s">
        <v>29</v>
      </c>
      <c r="G5594">
        <v>25</v>
      </c>
      <c r="H5594" t="s">
        <v>2466</v>
      </c>
      <c r="I5594">
        <v>25</v>
      </c>
      <c r="J5594" s="15"/>
      <c r="K5594" s="16">
        <f>285.33 - (285.33 * $E$1)</f>
        <v>285.33</v>
      </c>
      <c r="L5594" s="16">
        <f>233.88 - (233.88 * $E$1)</f>
        <v>233.88</v>
      </c>
      <c r="M5594" s="1">
        <v>285.33</v>
      </c>
      <c r="N5594" s="1">
        <v>233.88</v>
      </c>
      <c r="O5594" s="1">
        <v>242.53</v>
      </c>
      <c r="P5594" s="1">
        <v>198.8</v>
      </c>
      <c r="Q5594">
        <v>0.44800000000000001</v>
      </c>
      <c r="R5594">
        <v>2.03228E-3</v>
      </c>
    </row>
    <row r="5595" spans="1:18" ht="13.8" outlineLevel="2" x14ac:dyDescent="0.25">
      <c r="A5595">
        <v>73252</v>
      </c>
      <c r="B5595" t="s">
        <v>7869</v>
      </c>
      <c r="C5595" t="s">
        <v>7910</v>
      </c>
      <c r="D5595" s="14" t="s">
        <v>7900</v>
      </c>
      <c r="E5595" s="12" t="s">
        <v>28</v>
      </c>
      <c r="F5595" s="13" t="s">
        <v>29</v>
      </c>
      <c r="G5595">
        <v>25</v>
      </c>
      <c r="H5595" t="s">
        <v>2466</v>
      </c>
      <c r="I5595">
        <v>25</v>
      </c>
      <c r="J5595" s="15"/>
      <c r="K5595" s="16">
        <f>356.61 - (356.61 * $E$1)</f>
        <v>356.61</v>
      </c>
      <c r="L5595" s="16">
        <f>292.3 - (292.3 * $E$1)</f>
        <v>292.3</v>
      </c>
      <c r="M5595" s="1">
        <v>356.61</v>
      </c>
      <c r="N5595" s="1">
        <v>292.3</v>
      </c>
      <c r="O5595" s="1">
        <v>303.12</v>
      </c>
      <c r="P5595" s="1">
        <v>248.46</v>
      </c>
      <c r="Q5595">
        <v>0.52800000000000002</v>
      </c>
      <c r="R5595">
        <v>3.5999999999999999E-3</v>
      </c>
    </row>
    <row r="5596" spans="1:18" ht="13.8" outlineLevel="2" x14ac:dyDescent="0.25">
      <c r="A5596">
        <v>73253</v>
      </c>
      <c r="B5596" t="s">
        <v>7869</v>
      </c>
      <c r="C5596" t="s">
        <v>7911</v>
      </c>
      <c r="D5596" s="14" t="s">
        <v>7900</v>
      </c>
      <c r="E5596" s="12" t="s">
        <v>28</v>
      </c>
      <c r="F5596" s="13" t="s">
        <v>29</v>
      </c>
      <c r="G5596">
        <v>15</v>
      </c>
      <c r="H5596" t="s">
        <v>2466</v>
      </c>
      <c r="I5596">
        <v>15</v>
      </c>
      <c r="J5596" s="15"/>
      <c r="K5596" s="16">
        <f>464.82 - (464.82 * $E$1)</f>
        <v>464.82</v>
      </c>
      <c r="L5596" s="16">
        <f>381 - (381 * $E$1)</f>
        <v>381</v>
      </c>
      <c r="M5596" s="1">
        <v>464.82</v>
      </c>
      <c r="N5596" s="1">
        <v>381</v>
      </c>
      <c r="O5596" s="1">
        <v>395.1</v>
      </c>
      <c r="P5596" s="1">
        <v>323.85000000000002</v>
      </c>
      <c r="Q5596">
        <v>0.72666666666667001</v>
      </c>
      <c r="R5596">
        <v>6.0000000000000001E-3</v>
      </c>
    </row>
    <row r="5597" spans="1:18" ht="13.8" outlineLevel="2" x14ac:dyDescent="0.25">
      <c r="A5597">
        <v>76709</v>
      </c>
      <c r="B5597" t="s">
        <v>7869</v>
      </c>
      <c r="C5597" t="s">
        <v>7912</v>
      </c>
      <c r="D5597" s="14" t="s">
        <v>7900</v>
      </c>
      <c r="E5597" s="12" t="s">
        <v>28</v>
      </c>
      <c r="F5597" s="13" t="s">
        <v>29</v>
      </c>
      <c r="G5597">
        <v>10</v>
      </c>
      <c r="H5597" t="s">
        <v>2466</v>
      </c>
      <c r="I5597">
        <v>10</v>
      </c>
      <c r="J5597" s="15"/>
      <c r="K5597" s="16">
        <f>660.41 - (660.41 * $E$1)</f>
        <v>660.41</v>
      </c>
      <c r="L5597" s="16">
        <f>541.32 - (541.32 * $E$1)</f>
        <v>541.32000000000005</v>
      </c>
      <c r="M5597" s="1">
        <v>660.41</v>
      </c>
      <c r="N5597" s="1">
        <v>541.32000000000005</v>
      </c>
      <c r="O5597" s="1">
        <v>561.35</v>
      </c>
      <c r="P5597" s="1">
        <v>460.12</v>
      </c>
      <c r="Q5597">
        <v>1.02</v>
      </c>
      <c r="R5597">
        <v>7.5106000000000001E-3</v>
      </c>
    </row>
    <row r="5598" spans="1:18" ht="13.8" outlineLevel="2" x14ac:dyDescent="0.25">
      <c r="A5598">
        <v>76726</v>
      </c>
      <c r="B5598" t="s">
        <v>7869</v>
      </c>
      <c r="C5598" t="s">
        <v>7913</v>
      </c>
      <c r="D5598" s="14" t="s">
        <v>7900</v>
      </c>
      <c r="E5598" s="12" t="s">
        <v>28</v>
      </c>
      <c r="F5598" s="13" t="s">
        <v>29</v>
      </c>
      <c r="G5598">
        <v>10</v>
      </c>
      <c r="H5598" t="s">
        <v>2466</v>
      </c>
      <c r="I5598">
        <v>10</v>
      </c>
      <c r="J5598" s="15"/>
      <c r="K5598" s="16">
        <f>935.98 - (935.98 * $E$1)</f>
        <v>935.98</v>
      </c>
      <c r="L5598" s="16">
        <f>767.2 - (767.2 * $E$1)</f>
        <v>767.2</v>
      </c>
      <c r="M5598" s="1">
        <v>935.98</v>
      </c>
      <c r="N5598" s="1">
        <v>767.2</v>
      </c>
      <c r="O5598" s="1">
        <v>795.59</v>
      </c>
      <c r="P5598" s="1">
        <v>652.12</v>
      </c>
      <c r="Q5598">
        <v>1.38</v>
      </c>
      <c r="R5598">
        <v>8.9231999999999992E-3</v>
      </c>
    </row>
    <row r="5599" spans="1:18" ht="13.8" outlineLevel="2" x14ac:dyDescent="0.25">
      <c r="A5599">
        <v>76727</v>
      </c>
      <c r="B5599" t="s">
        <v>7869</v>
      </c>
      <c r="C5599" t="s">
        <v>7914</v>
      </c>
      <c r="D5599" s="14" t="s">
        <v>7900</v>
      </c>
      <c r="E5599" s="12" t="s">
        <v>28</v>
      </c>
      <c r="F5599" s="13" t="s">
        <v>29</v>
      </c>
      <c r="G5599">
        <v>10</v>
      </c>
      <c r="H5599" t="s">
        <v>2466</v>
      </c>
      <c r="I5599">
        <v>10</v>
      </c>
      <c r="J5599" s="15"/>
      <c r="K5599" s="16">
        <f>1493.52 - (1493.52 * $E$1)</f>
        <v>1493.52</v>
      </c>
      <c r="L5599" s="16">
        <f>1224.2 - (1224.2 * $E$1)</f>
        <v>1224.2</v>
      </c>
      <c r="M5599" s="1">
        <v>1493.52</v>
      </c>
      <c r="N5599" s="1">
        <v>1224.2</v>
      </c>
      <c r="O5599" s="1">
        <v>1269.5</v>
      </c>
      <c r="P5599" s="1">
        <v>1040.57</v>
      </c>
      <c r="Q5599">
        <v>1.9</v>
      </c>
      <c r="R5599">
        <v>2.4299999999999999E-2</v>
      </c>
    </row>
    <row r="5600" spans="1:18" ht="13.8" outlineLevel="2" x14ac:dyDescent="0.25">
      <c r="A5600">
        <v>76644</v>
      </c>
      <c r="B5600" t="s">
        <v>7869</v>
      </c>
      <c r="C5600" t="s">
        <v>7915</v>
      </c>
      <c r="D5600" s="14" t="s">
        <v>7916</v>
      </c>
      <c r="E5600" s="12" t="s">
        <v>28</v>
      </c>
      <c r="F5600" s="13" t="s">
        <v>29</v>
      </c>
      <c r="G5600">
        <v>100</v>
      </c>
      <c r="H5600" t="s">
        <v>2466</v>
      </c>
      <c r="I5600">
        <v>100</v>
      </c>
      <c r="J5600" s="15"/>
      <c r="K5600" s="16">
        <f>101.02 - (101.02 * $E$1)</f>
        <v>101.02</v>
      </c>
      <c r="L5600" s="16">
        <f>82.8 - (82.8 * $E$1)</f>
        <v>82.8</v>
      </c>
      <c r="M5600" s="1">
        <v>101.02</v>
      </c>
      <c r="N5600" s="1">
        <v>82.8</v>
      </c>
      <c r="O5600" s="1">
        <v>85.86</v>
      </c>
      <c r="P5600" s="1">
        <v>70.38</v>
      </c>
      <c r="Q5600">
        <v>0.12</v>
      </c>
      <c r="R5600">
        <v>3.5199999999999999E-4</v>
      </c>
    </row>
    <row r="5601" spans="1:18" ht="13.8" outlineLevel="2" x14ac:dyDescent="0.25">
      <c r="A5601">
        <v>76645</v>
      </c>
      <c r="B5601" t="s">
        <v>7869</v>
      </c>
      <c r="C5601" t="s">
        <v>7917</v>
      </c>
      <c r="D5601" s="14" t="s">
        <v>7916</v>
      </c>
      <c r="E5601" s="12" t="s">
        <v>28</v>
      </c>
      <c r="F5601" s="13" t="s">
        <v>29</v>
      </c>
      <c r="G5601">
        <v>100</v>
      </c>
      <c r="H5601" t="s">
        <v>2466</v>
      </c>
      <c r="I5601">
        <v>100</v>
      </c>
      <c r="J5601" s="15"/>
      <c r="K5601" s="16">
        <f>104.98 - (104.98 * $E$1)</f>
        <v>104.98</v>
      </c>
      <c r="L5601" s="16">
        <f>86.05 - (86.05 * $E$1)</f>
        <v>86.05</v>
      </c>
      <c r="M5601" s="1">
        <v>104.98</v>
      </c>
      <c r="N5601" s="1">
        <v>86.05</v>
      </c>
      <c r="O5601" s="1">
        <v>89.23</v>
      </c>
      <c r="P5601" s="1">
        <v>73.14</v>
      </c>
      <c r="Q5601">
        <v>0.13500000000000001</v>
      </c>
      <c r="R5601">
        <v>4.4099999999999999E-4</v>
      </c>
    </row>
    <row r="5602" spans="1:18" ht="13.8" outlineLevel="2" x14ac:dyDescent="0.25">
      <c r="A5602">
        <v>76646</v>
      </c>
      <c r="B5602" t="s">
        <v>7869</v>
      </c>
      <c r="C5602" t="s">
        <v>7918</v>
      </c>
      <c r="D5602" s="14" t="s">
        <v>7916</v>
      </c>
      <c r="E5602" s="12" t="s">
        <v>28</v>
      </c>
      <c r="F5602" s="13" t="s">
        <v>29</v>
      </c>
      <c r="G5602">
        <v>50</v>
      </c>
      <c r="H5602" t="s">
        <v>2466</v>
      </c>
      <c r="I5602">
        <v>50</v>
      </c>
      <c r="J5602" s="15"/>
      <c r="K5602" s="16">
        <f>118.9 - (118.9 * $E$1)</f>
        <v>118.9</v>
      </c>
      <c r="L5602" s="16">
        <f>97.46 - (97.46 * $E$1)</f>
        <v>97.46</v>
      </c>
      <c r="M5602" s="1">
        <v>118.9</v>
      </c>
      <c r="N5602" s="1">
        <v>97.46</v>
      </c>
      <c r="O5602" s="1">
        <v>101.07</v>
      </c>
      <c r="P5602" s="1">
        <v>82.84</v>
      </c>
      <c r="Q5602">
        <v>0.156</v>
      </c>
      <c r="R5602">
        <v>8.1355999999999996E-4</v>
      </c>
    </row>
    <row r="5603" spans="1:18" ht="13.8" outlineLevel="2" x14ac:dyDescent="0.25">
      <c r="A5603">
        <v>87691</v>
      </c>
      <c r="B5603" t="s">
        <v>7869</v>
      </c>
      <c r="C5603" t="s">
        <v>7919</v>
      </c>
      <c r="D5603" s="14" t="s">
        <v>7916</v>
      </c>
      <c r="E5603" s="12" t="s">
        <v>28</v>
      </c>
      <c r="F5603" s="13" t="s">
        <v>29</v>
      </c>
      <c r="G5603">
        <v>50</v>
      </c>
      <c r="H5603" t="s">
        <v>2466</v>
      </c>
      <c r="I5603">
        <v>50</v>
      </c>
      <c r="J5603" s="15"/>
      <c r="K5603" s="16">
        <f>122.48 - (122.48 * $E$1)</f>
        <v>122.48</v>
      </c>
      <c r="L5603" s="16">
        <f>100.39 - (100.39 * $E$1)</f>
        <v>100.39</v>
      </c>
      <c r="M5603" s="1">
        <v>122.48</v>
      </c>
      <c r="N5603" s="1">
        <v>100.39</v>
      </c>
      <c r="O5603" s="1">
        <v>104.1</v>
      </c>
      <c r="P5603" s="1">
        <v>85.33</v>
      </c>
      <c r="Q5603">
        <v>0.156</v>
      </c>
      <c r="R5603">
        <v>8.1355999999999996E-4</v>
      </c>
    </row>
    <row r="5604" spans="1:18" ht="13.8" outlineLevel="2" x14ac:dyDescent="0.25">
      <c r="A5604">
        <v>82477</v>
      </c>
      <c r="B5604" t="s">
        <v>7869</v>
      </c>
      <c r="C5604" t="s">
        <v>7920</v>
      </c>
      <c r="D5604" s="14" t="s">
        <v>7916</v>
      </c>
      <c r="E5604" s="12" t="s">
        <v>28</v>
      </c>
      <c r="F5604" s="13" t="s">
        <v>29</v>
      </c>
      <c r="G5604">
        <v>50</v>
      </c>
      <c r="H5604" t="s">
        <v>2466</v>
      </c>
      <c r="I5604">
        <v>50</v>
      </c>
      <c r="J5604" s="15"/>
      <c r="K5604" s="16">
        <f>136.43 - (136.43 * $E$1)</f>
        <v>136.43</v>
      </c>
      <c r="L5604" s="16">
        <f>111.83 - (111.83 * $E$1)</f>
        <v>111.83</v>
      </c>
      <c r="M5604" s="1">
        <v>136.43</v>
      </c>
      <c r="N5604" s="1">
        <v>111.83</v>
      </c>
      <c r="O5604" s="1">
        <v>115.97</v>
      </c>
      <c r="P5604" s="1">
        <v>95.06</v>
      </c>
      <c r="Q5604">
        <v>0.17599999999999999</v>
      </c>
      <c r="R5604">
        <v>9.3150000000000004E-4</v>
      </c>
    </row>
    <row r="5605" spans="1:18" ht="13.8" outlineLevel="2" x14ac:dyDescent="0.25">
      <c r="A5605">
        <v>76648</v>
      </c>
      <c r="B5605" t="s">
        <v>7869</v>
      </c>
      <c r="C5605" t="s">
        <v>7921</v>
      </c>
      <c r="D5605" s="14" t="s">
        <v>7916</v>
      </c>
      <c r="E5605" s="12" t="s">
        <v>28</v>
      </c>
      <c r="F5605" s="13" t="s">
        <v>29</v>
      </c>
      <c r="G5605">
        <v>50</v>
      </c>
      <c r="H5605" t="s">
        <v>2466</v>
      </c>
      <c r="I5605">
        <v>50</v>
      </c>
      <c r="J5605" s="15"/>
      <c r="K5605" s="16">
        <f>144.64 - (144.64 * $E$1)</f>
        <v>144.63999999999999</v>
      </c>
      <c r="L5605" s="16">
        <f>118.56 - (118.56 * $E$1)</f>
        <v>118.56</v>
      </c>
      <c r="M5605" s="1">
        <v>144.63999999999999</v>
      </c>
      <c r="N5605" s="1">
        <v>118.56</v>
      </c>
      <c r="O5605" s="1">
        <v>122.95</v>
      </c>
      <c r="P5605" s="1">
        <v>100.78</v>
      </c>
      <c r="Q5605">
        <v>0.21</v>
      </c>
      <c r="R5605">
        <v>8.8199999999999997E-4</v>
      </c>
    </row>
    <row r="5606" spans="1:18" ht="13.8" outlineLevel="2" x14ac:dyDescent="0.25">
      <c r="A5606">
        <v>82478</v>
      </c>
      <c r="B5606" t="s">
        <v>7869</v>
      </c>
      <c r="C5606" t="s">
        <v>7922</v>
      </c>
      <c r="D5606" s="14" t="s">
        <v>7916</v>
      </c>
      <c r="E5606" s="12" t="s">
        <v>28</v>
      </c>
      <c r="F5606" s="13" t="s">
        <v>29</v>
      </c>
      <c r="G5606">
        <v>50</v>
      </c>
      <c r="H5606" t="s">
        <v>2466</v>
      </c>
      <c r="I5606">
        <v>50</v>
      </c>
      <c r="J5606" s="15"/>
      <c r="K5606" s="16">
        <f>162.6 - (162.6 * $E$1)</f>
        <v>162.6</v>
      </c>
      <c r="L5606" s="16">
        <f>133.28 - (133.28 * $E$1)</f>
        <v>133.28</v>
      </c>
      <c r="M5606" s="1">
        <v>162.6</v>
      </c>
      <c r="N5606" s="1">
        <v>133.28</v>
      </c>
      <c r="O5606" s="1">
        <v>138.21</v>
      </c>
      <c r="P5606" s="1">
        <v>113.29</v>
      </c>
      <c r="Q5606">
        <v>0.21199999999999999</v>
      </c>
      <c r="R5606">
        <v>1.1003199999999999E-3</v>
      </c>
    </row>
    <row r="5607" spans="1:18" ht="13.8" outlineLevel="2" x14ac:dyDescent="0.25">
      <c r="A5607">
        <v>76649</v>
      </c>
      <c r="B5607" t="s">
        <v>7869</v>
      </c>
      <c r="C5607" t="s">
        <v>7923</v>
      </c>
      <c r="D5607" s="14" t="s">
        <v>7916</v>
      </c>
      <c r="E5607" s="12" t="s">
        <v>28</v>
      </c>
      <c r="F5607" s="13" t="s">
        <v>29</v>
      </c>
      <c r="G5607">
        <v>50</v>
      </c>
      <c r="H5607" t="s">
        <v>2466</v>
      </c>
      <c r="I5607">
        <v>50</v>
      </c>
      <c r="J5607" s="15"/>
      <c r="K5607" s="16">
        <f>182.51 - (182.51 * $E$1)</f>
        <v>182.51</v>
      </c>
      <c r="L5607" s="16">
        <f>149.6 - (149.6 * $E$1)</f>
        <v>149.6</v>
      </c>
      <c r="M5607" s="1">
        <v>182.51</v>
      </c>
      <c r="N5607" s="1">
        <v>149.6</v>
      </c>
      <c r="O5607" s="1">
        <v>155.13999999999999</v>
      </c>
      <c r="P5607" s="1">
        <v>127.16</v>
      </c>
      <c r="Q5607">
        <v>0.28999999999999998</v>
      </c>
      <c r="R5607">
        <v>1.4519999999999999E-3</v>
      </c>
    </row>
    <row r="5608" spans="1:18" ht="13.8" outlineLevel="2" x14ac:dyDescent="0.25">
      <c r="A5608">
        <v>76650</v>
      </c>
      <c r="B5608" t="s">
        <v>7869</v>
      </c>
      <c r="C5608" t="s">
        <v>7924</v>
      </c>
      <c r="D5608" s="14" t="s">
        <v>7916</v>
      </c>
      <c r="E5608" s="12" t="s">
        <v>28</v>
      </c>
      <c r="F5608" s="13" t="s">
        <v>29</v>
      </c>
      <c r="G5608">
        <v>25</v>
      </c>
      <c r="H5608" t="s">
        <v>2466</v>
      </c>
      <c r="I5608">
        <v>25</v>
      </c>
      <c r="J5608" s="15"/>
      <c r="K5608" s="16">
        <f>295.31 - (295.31 * $E$1)</f>
        <v>295.31</v>
      </c>
      <c r="L5608" s="16">
        <f>242.06 - (242.06 * $E$1)</f>
        <v>242.06</v>
      </c>
      <c r="M5608" s="1">
        <v>295.31</v>
      </c>
      <c r="N5608" s="1">
        <v>242.06</v>
      </c>
      <c r="O5608" s="1">
        <v>251.02</v>
      </c>
      <c r="P5608" s="1">
        <v>205.75</v>
      </c>
      <c r="Q5608">
        <v>0.44800000000000001</v>
      </c>
      <c r="R5608">
        <v>2.2000000000000001E-3</v>
      </c>
    </row>
    <row r="5609" spans="1:18" ht="13.8" outlineLevel="2" x14ac:dyDescent="0.25">
      <c r="A5609">
        <v>76651</v>
      </c>
      <c r="B5609" t="s">
        <v>7869</v>
      </c>
      <c r="C5609" t="s">
        <v>7925</v>
      </c>
      <c r="D5609" s="14" t="s">
        <v>7916</v>
      </c>
      <c r="E5609" s="12" t="s">
        <v>28</v>
      </c>
      <c r="F5609" s="13" t="s">
        <v>29</v>
      </c>
      <c r="G5609">
        <v>25</v>
      </c>
      <c r="H5609" t="s">
        <v>2466</v>
      </c>
      <c r="I5609">
        <v>25</v>
      </c>
      <c r="J5609" s="15"/>
      <c r="K5609" s="16">
        <f>368.7 - (368.7 * $E$1)</f>
        <v>368.7</v>
      </c>
      <c r="L5609" s="16">
        <f>302.21 - (302.21 * $E$1)</f>
        <v>302.20999999999998</v>
      </c>
      <c r="M5609" s="1">
        <v>368.7</v>
      </c>
      <c r="N5609" s="1">
        <v>302.20999999999998</v>
      </c>
      <c r="O5609" s="1">
        <v>313.39</v>
      </c>
      <c r="P5609" s="1">
        <v>256.88</v>
      </c>
      <c r="Q5609">
        <v>0.52800000000000002</v>
      </c>
      <c r="R5609">
        <v>3.5999999999999999E-3</v>
      </c>
    </row>
    <row r="5610" spans="1:18" ht="13.8" outlineLevel="2" x14ac:dyDescent="0.25">
      <c r="A5610">
        <v>76652</v>
      </c>
      <c r="B5610" t="s">
        <v>7869</v>
      </c>
      <c r="C5610" t="s">
        <v>7926</v>
      </c>
      <c r="D5610" s="14" t="s">
        <v>7916</v>
      </c>
      <c r="E5610" s="12" t="s">
        <v>28</v>
      </c>
      <c r="F5610" s="13" t="s">
        <v>29</v>
      </c>
      <c r="G5610">
        <v>15</v>
      </c>
      <c r="H5610" t="s">
        <v>2466</v>
      </c>
      <c r="I5610">
        <v>15</v>
      </c>
      <c r="J5610" s="15"/>
      <c r="K5610" s="16">
        <f>481.38 - (481.38 * $E$1)</f>
        <v>481.38</v>
      </c>
      <c r="L5610" s="16">
        <f>394.57 - (394.57 * $E$1)</f>
        <v>394.57</v>
      </c>
      <c r="M5610" s="1">
        <v>481.38</v>
      </c>
      <c r="N5610" s="1">
        <v>394.57</v>
      </c>
      <c r="O5610" s="1">
        <v>409.17</v>
      </c>
      <c r="P5610" s="1">
        <v>335.38</v>
      </c>
      <c r="Q5610">
        <v>0.72666666666667001</v>
      </c>
      <c r="R5610">
        <v>6.0000000000000001E-3</v>
      </c>
    </row>
    <row r="5611" spans="1:18" ht="13.8" outlineLevel="2" x14ac:dyDescent="0.25">
      <c r="A5611">
        <v>64847</v>
      </c>
      <c r="B5611" t="s">
        <v>7869</v>
      </c>
      <c r="C5611" t="s">
        <v>7927</v>
      </c>
      <c r="D5611" s="14" t="s">
        <v>7928</v>
      </c>
      <c r="E5611" s="12" t="s">
        <v>28</v>
      </c>
      <c r="F5611" s="13" t="s">
        <v>29</v>
      </c>
      <c r="G5611">
        <v>100</v>
      </c>
      <c r="H5611" t="s">
        <v>2466</v>
      </c>
      <c r="I5611">
        <v>100</v>
      </c>
      <c r="J5611" s="15"/>
      <c r="K5611" s="16">
        <f>93.09 - (93.09 * $E$1)</f>
        <v>93.09</v>
      </c>
      <c r="L5611" s="16">
        <f>76.3 - (76.3 * $E$1)</f>
        <v>76.3</v>
      </c>
      <c r="M5611" s="1">
        <v>93.09</v>
      </c>
      <c r="N5611" s="1">
        <v>76.3</v>
      </c>
      <c r="O5611" s="1">
        <v>79.12</v>
      </c>
      <c r="P5611" s="1">
        <v>64.86</v>
      </c>
      <c r="Q5611">
        <v>0.10100000000000001</v>
      </c>
      <c r="R5611">
        <v>2.72E-4</v>
      </c>
    </row>
    <row r="5612" spans="1:18" ht="13.8" outlineLevel="2" x14ac:dyDescent="0.25">
      <c r="A5612">
        <v>64848</v>
      </c>
      <c r="B5612" t="s">
        <v>7869</v>
      </c>
      <c r="C5612" t="s">
        <v>7929</v>
      </c>
      <c r="D5612" s="14" t="s">
        <v>7928</v>
      </c>
      <c r="E5612" s="12" t="s">
        <v>28</v>
      </c>
      <c r="F5612" s="13" t="s">
        <v>29</v>
      </c>
      <c r="G5612">
        <v>100</v>
      </c>
      <c r="H5612" t="s">
        <v>2466</v>
      </c>
      <c r="I5612">
        <v>100</v>
      </c>
      <c r="J5612" s="15"/>
      <c r="K5612" s="16">
        <f>93.59 - (93.59 * $E$1)</f>
        <v>93.59</v>
      </c>
      <c r="L5612" s="16">
        <f>76.71 - (76.71 * $E$1)</f>
        <v>76.709999999999994</v>
      </c>
      <c r="M5612" s="1">
        <v>93.59</v>
      </c>
      <c r="N5612" s="1">
        <v>76.709999999999994</v>
      </c>
      <c r="O5612" s="1">
        <v>79.55</v>
      </c>
      <c r="P5612" s="1">
        <v>65.2</v>
      </c>
      <c r="Q5612">
        <v>0.12</v>
      </c>
      <c r="R5612">
        <v>3.5199999999999999E-4</v>
      </c>
    </row>
    <row r="5613" spans="1:18" ht="13.8" outlineLevel="2" x14ac:dyDescent="0.25">
      <c r="A5613">
        <v>64849</v>
      </c>
      <c r="B5613" t="s">
        <v>7869</v>
      </c>
      <c r="C5613" t="s">
        <v>7930</v>
      </c>
      <c r="D5613" s="14" t="s">
        <v>7928</v>
      </c>
      <c r="E5613" s="12" t="s">
        <v>28</v>
      </c>
      <c r="F5613" s="13" t="s">
        <v>29</v>
      </c>
      <c r="G5613">
        <v>100</v>
      </c>
      <c r="H5613" t="s">
        <v>2466</v>
      </c>
      <c r="I5613">
        <v>100</v>
      </c>
      <c r="J5613" s="15"/>
      <c r="K5613" s="16">
        <f>97.5 - (97.5 * $E$1)</f>
        <v>97.5</v>
      </c>
      <c r="L5613" s="16">
        <f>79.92 - (79.92 * $E$1)</f>
        <v>79.92</v>
      </c>
      <c r="M5613" s="1">
        <v>97.5</v>
      </c>
      <c r="N5613" s="1">
        <v>79.92</v>
      </c>
      <c r="O5613" s="1">
        <v>82.88</v>
      </c>
      <c r="P5613" s="1">
        <v>67.930000000000007</v>
      </c>
      <c r="Q5613">
        <v>0.13500000000000001</v>
      </c>
      <c r="R5613">
        <v>4.4099999999999999E-4</v>
      </c>
    </row>
    <row r="5614" spans="1:18" ht="13.8" outlineLevel="2" x14ac:dyDescent="0.25">
      <c r="A5614">
        <v>64850</v>
      </c>
      <c r="B5614" t="s">
        <v>7869</v>
      </c>
      <c r="C5614" t="s">
        <v>7931</v>
      </c>
      <c r="D5614" s="14" t="s">
        <v>7928</v>
      </c>
      <c r="E5614" s="12" t="s">
        <v>28</v>
      </c>
      <c r="F5614" s="13" t="s">
        <v>29</v>
      </c>
      <c r="G5614">
        <v>50</v>
      </c>
      <c r="H5614" t="s">
        <v>2466</v>
      </c>
      <c r="I5614">
        <v>50</v>
      </c>
      <c r="J5614" s="15"/>
      <c r="K5614" s="16">
        <f>110.5 - (110.5 * $E$1)</f>
        <v>110.5</v>
      </c>
      <c r="L5614" s="16">
        <f>90.57 - (90.57 * $E$1)</f>
        <v>90.57</v>
      </c>
      <c r="M5614" s="1">
        <v>110.5</v>
      </c>
      <c r="N5614" s="1">
        <v>90.57</v>
      </c>
      <c r="O5614" s="1">
        <v>93.92</v>
      </c>
      <c r="P5614" s="1">
        <v>76.98</v>
      </c>
      <c r="Q5614">
        <v>0.156</v>
      </c>
      <c r="R5614">
        <v>8.1355999999999996E-4</v>
      </c>
    </row>
    <row r="5615" spans="1:18" ht="13.8" outlineLevel="2" x14ac:dyDescent="0.25">
      <c r="A5615">
        <v>87673</v>
      </c>
      <c r="B5615" t="s">
        <v>7869</v>
      </c>
      <c r="C5615" t="s">
        <v>7932</v>
      </c>
      <c r="D5615" s="14" t="s">
        <v>7928</v>
      </c>
      <c r="E5615" s="12" t="s">
        <v>28</v>
      </c>
      <c r="F5615" s="13" t="s">
        <v>29</v>
      </c>
      <c r="G5615">
        <v>50</v>
      </c>
      <c r="H5615" t="s">
        <v>2466</v>
      </c>
      <c r="I5615">
        <v>50</v>
      </c>
      <c r="J5615" s="15"/>
      <c r="K5615" s="16">
        <f>115.7 - (115.7 * $E$1)</f>
        <v>115.7</v>
      </c>
      <c r="L5615" s="16">
        <f>94.84 - (94.84 * $E$1)</f>
        <v>94.84</v>
      </c>
      <c r="M5615" s="1">
        <v>115.7</v>
      </c>
      <c r="N5615" s="1">
        <v>94.84</v>
      </c>
      <c r="O5615" s="1">
        <v>98.35</v>
      </c>
      <c r="P5615" s="1">
        <v>80.61</v>
      </c>
      <c r="Q5615">
        <v>0.156</v>
      </c>
      <c r="R5615">
        <v>8.1355999999999996E-4</v>
      </c>
    </row>
    <row r="5616" spans="1:18" ht="13.8" outlineLevel="2" x14ac:dyDescent="0.25">
      <c r="A5616">
        <v>87674</v>
      </c>
      <c r="B5616" t="s">
        <v>7869</v>
      </c>
      <c r="C5616" t="s">
        <v>7933</v>
      </c>
      <c r="D5616" s="14" t="s">
        <v>7928</v>
      </c>
      <c r="E5616" s="12" t="s">
        <v>28</v>
      </c>
      <c r="F5616" s="13" t="s">
        <v>29</v>
      </c>
      <c r="G5616">
        <v>50</v>
      </c>
      <c r="H5616" t="s">
        <v>2466</v>
      </c>
      <c r="I5616">
        <v>50</v>
      </c>
      <c r="J5616" s="15"/>
      <c r="K5616" s="16">
        <f>127.42 - (127.42 * $E$1)</f>
        <v>127.42</v>
      </c>
      <c r="L5616" s="16">
        <f>104.44 - (104.44 * $E$1)</f>
        <v>104.44</v>
      </c>
      <c r="M5616" s="1">
        <v>127.42</v>
      </c>
      <c r="N5616" s="1">
        <v>104.44</v>
      </c>
      <c r="O5616" s="1">
        <v>108.3</v>
      </c>
      <c r="P5616" s="1">
        <v>88.77</v>
      </c>
      <c r="Q5616">
        <v>0.17599999999999999</v>
      </c>
      <c r="R5616">
        <v>9.3103999999999995E-4</v>
      </c>
    </row>
    <row r="5617" spans="1:18" ht="13.8" outlineLevel="2" x14ac:dyDescent="0.25">
      <c r="A5617">
        <v>64851</v>
      </c>
      <c r="B5617" t="s">
        <v>7869</v>
      </c>
      <c r="C5617" t="s">
        <v>7934</v>
      </c>
      <c r="D5617" s="14" t="s">
        <v>7928</v>
      </c>
      <c r="E5617" s="12" t="s">
        <v>28</v>
      </c>
      <c r="F5617" s="13" t="s">
        <v>29</v>
      </c>
      <c r="G5617">
        <v>50</v>
      </c>
      <c r="H5617" t="s">
        <v>2466</v>
      </c>
      <c r="I5617">
        <v>50</v>
      </c>
      <c r="J5617" s="15"/>
      <c r="K5617" s="16">
        <f>135.52 - (135.52 * $E$1)</f>
        <v>135.52000000000001</v>
      </c>
      <c r="L5617" s="16">
        <f>111.08 - (111.08 * $E$1)</f>
        <v>111.08</v>
      </c>
      <c r="M5617" s="1">
        <v>135.52000000000001</v>
      </c>
      <c r="N5617" s="1">
        <v>111.08</v>
      </c>
      <c r="O5617" s="1">
        <v>115.19</v>
      </c>
      <c r="P5617" s="1">
        <v>94.42</v>
      </c>
      <c r="Q5617">
        <v>0.21</v>
      </c>
      <c r="R5617">
        <v>8.8199999999999997E-4</v>
      </c>
    </row>
    <row r="5618" spans="1:18" ht="13.8" outlineLevel="2" x14ac:dyDescent="0.25">
      <c r="A5618">
        <v>87675</v>
      </c>
      <c r="B5618" t="s">
        <v>7869</v>
      </c>
      <c r="C5618" t="s">
        <v>7935</v>
      </c>
      <c r="D5618" s="14" t="s">
        <v>7928</v>
      </c>
      <c r="E5618" s="12" t="s">
        <v>28</v>
      </c>
      <c r="F5618" s="13" t="s">
        <v>29</v>
      </c>
      <c r="G5618">
        <v>50</v>
      </c>
      <c r="H5618" t="s">
        <v>2466</v>
      </c>
      <c r="I5618">
        <v>50</v>
      </c>
      <c r="J5618" s="15"/>
      <c r="K5618" s="16">
        <f>152.45 - (152.45 * $E$1)</f>
        <v>152.44999999999999</v>
      </c>
      <c r="L5618" s="16">
        <f>124.96 - (124.96 * $E$1)</f>
        <v>124.96</v>
      </c>
      <c r="M5618" s="1">
        <v>152.44999999999999</v>
      </c>
      <c r="N5618" s="1">
        <v>124.96</v>
      </c>
      <c r="O5618" s="1">
        <v>129.58000000000001</v>
      </c>
      <c r="P5618" s="1">
        <v>106.22</v>
      </c>
      <c r="Q5618">
        <v>0.21199999999999999</v>
      </c>
      <c r="R5618">
        <v>1.00672E-3</v>
      </c>
    </row>
    <row r="5619" spans="1:18" ht="13.8" outlineLevel="2" x14ac:dyDescent="0.25">
      <c r="A5619">
        <v>64852</v>
      </c>
      <c r="B5619" t="s">
        <v>7869</v>
      </c>
      <c r="C5619" t="s">
        <v>7936</v>
      </c>
      <c r="D5619" s="14" t="s">
        <v>7928</v>
      </c>
      <c r="E5619" s="12" t="s">
        <v>28</v>
      </c>
      <c r="F5619" s="13" t="s">
        <v>29</v>
      </c>
      <c r="G5619">
        <v>50</v>
      </c>
      <c r="H5619" t="s">
        <v>2466</v>
      </c>
      <c r="I5619">
        <v>50</v>
      </c>
      <c r="J5619" s="15"/>
      <c r="K5619" s="16">
        <f>171.15 - (171.15 * $E$1)</f>
        <v>171.15</v>
      </c>
      <c r="L5619" s="16">
        <f>140.29 - (140.29 * $E$1)</f>
        <v>140.29</v>
      </c>
      <c r="M5619" s="1">
        <v>171.15</v>
      </c>
      <c r="N5619" s="1">
        <v>140.29</v>
      </c>
      <c r="O5619" s="1">
        <v>145.47999999999999</v>
      </c>
      <c r="P5619" s="1">
        <v>119.25</v>
      </c>
      <c r="Q5619">
        <v>0.28999999999999998</v>
      </c>
      <c r="R5619">
        <v>1.2359599999999999E-3</v>
      </c>
    </row>
    <row r="5620" spans="1:18" ht="13.8" outlineLevel="2" x14ac:dyDescent="0.25">
      <c r="A5620">
        <v>64853</v>
      </c>
      <c r="B5620" t="s">
        <v>7869</v>
      </c>
      <c r="C5620" t="s">
        <v>7937</v>
      </c>
      <c r="D5620" s="14" t="s">
        <v>7928</v>
      </c>
      <c r="E5620" s="12" t="s">
        <v>28</v>
      </c>
      <c r="F5620" s="13" t="s">
        <v>29</v>
      </c>
      <c r="G5620">
        <v>25</v>
      </c>
      <c r="H5620" t="s">
        <v>2466</v>
      </c>
      <c r="I5620">
        <v>25</v>
      </c>
      <c r="J5620" s="15"/>
      <c r="K5620" s="16">
        <f>279.47 - (279.47 * $E$1)</f>
        <v>279.47000000000003</v>
      </c>
      <c r="L5620" s="16">
        <f>229.07 - (229.07 * $E$1)</f>
        <v>229.07</v>
      </c>
      <c r="M5620" s="1">
        <v>279.47000000000003</v>
      </c>
      <c r="N5620" s="1">
        <v>229.07</v>
      </c>
      <c r="O5620" s="1">
        <v>237.55</v>
      </c>
      <c r="P5620" s="1">
        <v>194.71</v>
      </c>
      <c r="Q5620">
        <v>0.44800000000000001</v>
      </c>
      <c r="R5620">
        <v>2.2000000000000001E-3</v>
      </c>
    </row>
    <row r="5621" spans="1:18" ht="13.8" outlineLevel="2" x14ac:dyDescent="0.25">
      <c r="A5621">
        <v>64854</v>
      </c>
      <c r="B5621" t="s">
        <v>7869</v>
      </c>
      <c r="C5621" t="s">
        <v>7938</v>
      </c>
      <c r="D5621" s="14" t="s">
        <v>7928</v>
      </c>
      <c r="E5621" s="12" t="s">
        <v>28</v>
      </c>
      <c r="F5621" s="13" t="s">
        <v>29</v>
      </c>
      <c r="G5621">
        <v>25</v>
      </c>
      <c r="H5621" t="s">
        <v>2466</v>
      </c>
      <c r="I5621">
        <v>25</v>
      </c>
      <c r="J5621" s="15"/>
      <c r="K5621" s="16">
        <f>351.41 - (351.41 * $E$1)</f>
        <v>351.41</v>
      </c>
      <c r="L5621" s="16">
        <f>288.04 - (288.04 * $E$1)</f>
        <v>288.04000000000002</v>
      </c>
      <c r="M5621" s="1">
        <v>351.41</v>
      </c>
      <c r="N5621" s="1">
        <v>288.04000000000002</v>
      </c>
      <c r="O5621" s="1">
        <v>298.7</v>
      </c>
      <c r="P5621" s="1">
        <v>244.83</v>
      </c>
      <c r="Q5621">
        <v>0.52800000000000002</v>
      </c>
      <c r="R5621">
        <v>3.5999999999999999E-3</v>
      </c>
    </row>
    <row r="5622" spans="1:18" ht="13.8" outlineLevel="2" x14ac:dyDescent="0.25">
      <c r="A5622">
        <v>64855</v>
      </c>
      <c r="B5622" t="s">
        <v>7869</v>
      </c>
      <c r="C5622" t="s">
        <v>7939</v>
      </c>
      <c r="D5622" s="14" t="s">
        <v>7928</v>
      </c>
      <c r="E5622" s="12" t="s">
        <v>28</v>
      </c>
      <c r="F5622" s="13" t="s">
        <v>29</v>
      </c>
      <c r="G5622">
        <v>15</v>
      </c>
      <c r="H5622" t="s">
        <v>2466</v>
      </c>
      <c r="I5622">
        <v>15</v>
      </c>
      <c r="J5622" s="15"/>
      <c r="K5622" s="16">
        <f>455.26 - (455.26 * $E$1)</f>
        <v>455.26</v>
      </c>
      <c r="L5622" s="16">
        <f>373.16 - (373.16 * $E$1)</f>
        <v>373.16</v>
      </c>
      <c r="M5622" s="1">
        <v>455.26</v>
      </c>
      <c r="N5622" s="1">
        <v>373.16</v>
      </c>
      <c r="O5622" s="1">
        <v>386.97</v>
      </c>
      <c r="P5622" s="1">
        <v>317.19</v>
      </c>
      <c r="Q5622">
        <v>0.72666666666667001</v>
      </c>
      <c r="R5622">
        <v>6.0000000000000001E-3</v>
      </c>
    </row>
    <row r="5623" spans="1:18" ht="13.8" outlineLevel="2" x14ac:dyDescent="0.25">
      <c r="A5623">
        <v>64856</v>
      </c>
      <c r="B5623" t="s">
        <v>7869</v>
      </c>
      <c r="C5623" t="s">
        <v>7940</v>
      </c>
      <c r="D5623" s="14" t="s">
        <v>7928</v>
      </c>
      <c r="E5623" s="12" t="s">
        <v>28</v>
      </c>
      <c r="F5623" s="13" t="s">
        <v>29</v>
      </c>
      <c r="G5623">
        <v>10</v>
      </c>
      <c r="H5623" t="s">
        <v>2466</v>
      </c>
      <c r="I5623">
        <v>10</v>
      </c>
      <c r="J5623" s="15"/>
      <c r="K5623" s="16">
        <f>646.84 - (646.84 * $E$1)</f>
        <v>646.84</v>
      </c>
      <c r="L5623" s="16">
        <f>530.2 - (530.2 * $E$1)</f>
        <v>530.20000000000005</v>
      </c>
      <c r="M5623" s="1">
        <v>646.84</v>
      </c>
      <c r="N5623" s="1">
        <v>530.20000000000005</v>
      </c>
      <c r="O5623" s="1">
        <v>549.82000000000005</v>
      </c>
      <c r="P5623" s="1">
        <v>450.67</v>
      </c>
      <c r="Q5623">
        <v>1.02</v>
      </c>
      <c r="R5623">
        <v>7.5106000000000001E-3</v>
      </c>
    </row>
    <row r="5624" spans="1:18" ht="13.8" outlineLevel="2" x14ac:dyDescent="0.25">
      <c r="A5624">
        <v>64857</v>
      </c>
      <c r="B5624" t="s">
        <v>7869</v>
      </c>
      <c r="C5624" t="s">
        <v>7941</v>
      </c>
      <c r="D5624" s="14" t="s">
        <v>7928</v>
      </c>
      <c r="E5624" s="12" t="s">
        <v>28</v>
      </c>
      <c r="F5624" s="13" t="s">
        <v>29</v>
      </c>
      <c r="G5624">
        <v>10</v>
      </c>
      <c r="H5624" t="s">
        <v>2466</v>
      </c>
      <c r="I5624">
        <v>10</v>
      </c>
      <c r="J5624" s="15"/>
      <c r="K5624" s="16">
        <f>916.77 - (916.77 * $E$1)</f>
        <v>916.77</v>
      </c>
      <c r="L5624" s="16">
        <f>751.45 - (751.45 * $E$1)</f>
        <v>751.45</v>
      </c>
      <c r="M5624" s="1">
        <v>916.77</v>
      </c>
      <c r="N5624" s="1">
        <v>751.45</v>
      </c>
      <c r="O5624" s="1">
        <v>779.25</v>
      </c>
      <c r="P5624" s="1">
        <v>638.73</v>
      </c>
      <c r="Q5624">
        <v>1.38</v>
      </c>
      <c r="R5624">
        <v>8.9231999999999992E-3</v>
      </c>
    </row>
    <row r="5625" spans="1:18" ht="13.8" outlineLevel="2" x14ac:dyDescent="0.25">
      <c r="A5625">
        <v>64858</v>
      </c>
      <c r="B5625" t="s">
        <v>7869</v>
      </c>
      <c r="C5625" t="s">
        <v>7942</v>
      </c>
      <c r="D5625" s="14" t="s">
        <v>7928</v>
      </c>
      <c r="E5625" s="12" t="s">
        <v>28</v>
      </c>
      <c r="F5625" s="13" t="s">
        <v>29</v>
      </c>
      <c r="G5625">
        <v>10</v>
      </c>
      <c r="H5625" t="s">
        <v>2466</v>
      </c>
      <c r="I5625">
        <v>10</v>
      </c>
      <c r="J5625" s="15"/>
      <c r="K5625" s="16">
        <f>1477.81 - (1477.81 * $E$1)</f>
        <v>1477.81</v>
      </c>
      <c r="L5625" s="16">
        <f>1211.32 - (1211.32 * $E$1)</f>
        <v>1211.32</v>
      </c>
      <c r="M5625" s="1">
        <v>1477.81</v>
      </c>
      <c r="N5625" s="1">
        <v>1211.32</v>
      </c>
      <c r="O5625" s="1">
        <v>1256.1400000000001</v>
      </c>
      <c r="P5625" s="1">
        <v>1029.6199999999999</v>
      </c>
      <c r="Q5625">
        <v>1.9</v>
      </c>
      <c r="R5625">
        <v>2.4299999999999999E-2</v>
      </c>
    </row>
    <row r="5626" spans="1:18" ht="13.8" outlineLevel="2" x14ac:dyDescent="0.25">
      <c r="A5626">
        <v>65018</v>
      </c>
      <c r="B5626" t="s">
        <v>7869</v>
      </c>
      <c r="C5626" t="s">
        <v>7943</v>
      </c>
      <c r="D5626" s="14" t="s">
        <v>7944</v>
      </c>
      <c r="E5626" s="12" t="s">
        <v>28</v>
      </c>
      <c r="F5626" s="13" t="s">
        <v>29</v>
      </c>
      <c r="G5626">
        <v>100</v>
      </c>
      <c r="H5626" t="s">
        <v>2466</v>
      </c>
      <c r="I5626">
        <v>100</v>
      </c>
      <c r="J5626" s="15"/>
      <c r="K5626" s="16">
        <f>98.31 - (98.31 * $E$1)</f>
        <v>98.31</v>
      </c>
      <c r="L5626" s="16">
        <f>80.58 - (80.58 * $E$1)</f>
        <v>80.58</v>
      </c>
      <c r="M5626" s="1">
        <v>98.31</v>
      </c>
      <c r="N5626" s="1">
        <v>80.58</v>
      </c>
      <c r="O5626" s="1">
        <v>83.56</v>
      </c>
      <c r="P5626" s="1">
        <v>68.489999999999995</v>
      </c>
      <c r="Q5626">
        <v>0.12</v>
      </c>
      <c r="R5626">
        <v>3.5199999999999999E-4</v>
      </c>
    </row>
    <row r="5627" spans="1:18" ht="13.8" outlineLevel="2" x14ac:dyDescent="0.25">
      <c r="A5627">
        <v>65019</v>
      </c>
      <c r="B5627" t="s">
        <v>7869</v>
      </c>
      <c r="C5627" t="s">
        <v>7945</v>
      </c>
      <c r="D5627" s="14" t="s">
        <v>7944</v>
      </c>
      <c r="E5627" s="12" t="s">
        <v>28</v>
      </c>
      <c r="F5627" s="13" t="s">
        <v>29</v>
      </c>
      <c r="G5627">
        <v>100</v>
      </c>
      <c r="H5627" t="s">
        <v>2466</v>
      </c>
      <c r="I5627">
        <v>100</v>
      </c>
      <c r="J5627" s="15"/>
      <c r="K5627" s="16">
        <f>102.22 - (102.22 * $E$1)</f>
        <v>102.22</v>
      </c>
      <c r="L5627" s="16">
        <f>83.79 - (83.79 * $E$1)</f>
        <v>83.79</v>
      </c>
      <c r="M5627" s="1">
        <v>102.22</v>
      </c>
      <c r="N5627" s="1">
        <v>83.79</v>
      </c>
      <c r="O5627" s="1">
        <v>86.89</v>
      </c>
      <c r="P5627" s="1">
        <v>71.22</v>
      </c>
      <c r="Q5627">
        <v>0.13500000000000001</v>
      </c>
      <c r="R5627">
        <v>4.4099999999999999E-4</v>
      </c>
    </row>
    <row r="5628" spans="1:18" ht="13.8" outlineLevel="2" x14ac:dyDescent="0.25">
      <c r="A5628">
        <v>65020</v>
      </c>
      <c r="B5628" t="s">
        <v>7869</v>
      </c>
      <c r="C5628" t="s">
        <v>7946</v>
      </c>
      <c r="D5628" s="14" t="s">
        <v>7944</v>
      </c>
      <c r="E5628" s="12" t="s">
        <v>28</v>
      </c>
      <c r="F5628" s="13" t="s">
        <v>29</v>
      </c>
      <c r="G5628">
        <v>50</v>
      </c>
      <c r="H5628" t="s">
        <v>2466</v>
      </c>
      <c r="I5628">
        <v>50</v>
      </c>
      <c r="J5628" s="15"/>
      <c r="K5628" s="16">
        <f>115.74 - (115.74 * $E$1)</f>
        <v>115.74</v>
      </c>
      <c r="L5628" s="16">
        <f>94.87 - (94.87 * $E$1)</f>
        <v>94.87</v>
      </c>
      <c r="M5628" s="1">
        <v>115.74</v>
      </c>
      <c r="N5628" s="1">
        <v>94.87</v>
      </c>
      <c r="O5628" s="1">
        <v>98.38</v>
      </c>
      <c r="P5628" s="1">
        <v>80.64</v>
      </c>
      <c r="Q5628">
        <v>0.156</v>
      </c>
      <c r="R5628">
        <v>8.1355999999999996E-4</v>
      </c>
    </row>
    <row r="5629" spans="1:18" ht="13.8" outlineLevel="2" x14ac:dyDescent="0.25">
      <c r="A5629">
        <v>87676</v>
      </c>
      <c r="B5629" t="s">
        <v>7869</v>
      </c>
      <c r="C5629" t="s">
        <v>7947</v>
      </c>
      <c r="D5629" s="14" t="s">
        <v>7944</v>
      </c>
      <c r="E5629" s="12" t="s">
        <v>28</v>
      </c>
      <c r="F5629" s="13" t="s">
        <v>29</v>
      </c>
      <c r="G5629">
        <v>50</v>
      </c>
      <c r="H5629" t="s">
        <v>2466</v>
      </c>
      <c r="I5629">
        <v>50</v>
      </c>
      <c r="J5629" s="15"/>
      <c r="K5629" s="16">
        <f>119.97 - (119.97 * $E$1)</f>
        <v>119.97</v>
      </c>
      <c r="L5629" s="16">
        <f>98.34 - (98.34 * $E$1)</f>
        <v>98.34</v>
      </c>
      <c r="M5629" s="1">
        <v>119.97</v>
      </c>
      <c r="N5629" s="1">
        <v>98.34</v>
      </c>
      <c r="O5629" s="1">
        <v>101.98</v>
      </c>
      <c r="P5629" s="1">
        <v>83.59</v>
      </c>
      <c r="Q5629">
        <v>0.156</v>
      </c>
      <c r="R5629">
        <v>6.4000000000000005E-4</v>
      </c>
    </row>
    <row r="5630" spans="1:18" ht="13.8" outlineLevel="2" x14ac:dyDescent="0.25">
      <c r="A5630">
        <v>87677</v>
      </c>
      <c r="B5630" t="s">
        <v>7869</v>
      </c>
      <c r="C5630" t="s">
        <v>7948</v>
      </c>
      <c r="D5630" s="14" t="s">
        <v>7944</v>
      </c>
      <c r="E5630" s="12" t="s">
        <v>28</v>
      </c>
      <c r="F5630" s="13" t="s">
        <v>29</v>
      </c>
      <c r="G5630">
        <v>50</v>
      </c>
      <c r="H5630" t="s">
        <v>2466</v>
      </c>
      <c r="I5630">
        <v>50</v>
      </c>
      <c r="J5630" s="15"/>
      <c r="K5630" s="16">
        <f>132.81 - (132.81 * $E$1)</f>
        <v>132.81</v>
      </c>
      <c r="L5630" s="16">
        <f>108.86 - (108.86 * $E$1)</f>
        <v>108.86</v>
      </c>
      <c r="M5630" s="1">
        <v>132.81</v>
      </c>
      <c r="N5630" s="1">
        <v>108.86</v>
      </c>
      <c r="O5630" s="1">
        <v>112.89</v>
      </c>
      <c r="P5630" s="1">
        <v>92.53</v>
      </c>
      <c r="Q5630">
        <v>0.17599999999999999</v>
      </c>
      <c r="R5630">
        <v>8.9055999999999998E-4</v>
      </c>
    </row>
    <row r="5631" spans="1:18" ht="13.8" outlineLevel="2" x14ac:dyDescent="0.25">
      <c r="A5631">
        <v>65021</v>
      </c>
      <c r="B5631" t="s">
        <v>7869</v>
      </c>
      <c r="C5631" t="s">
        <v>7949</v>
      </c>
      <c r="D5631" s="14" t="s">
        <v>7944</v>
      </c>
      <c r="E5631" s="12" t="s">
        <v>28</v>
      </c>
      <c r="F5631" s="13" t="s">
        <v>29</v>
      </c>
      <c r="G5631">
        <v>50</v>
      </c>
      <c r="H5631" t="s">
        <v>2466</v>
      </c>
      <c r="I5631">
        <v>50</v>
      </c>
      <c r="J5631" s="15"/>
      <c r="K5631" s="16">
        <f>140.8 - (140.8 * $E$1)</f>
        <v>140.80000000000001</v>
      </c>
      <c r="L5631" s="16">
        <f>115.41 - (115.41 * $E$1)</f>
        <v>115.41</v>
      </c>
      <c r="M5631" s="1">
        <v>140.80000000000001</v>
      </c>
      <c r="N5631" s="1">
        <v>115.41</v>
      </c>
      <c r="O5631" s="1">
        <v>119.68</v>
      </c>
      <c r="P5631" s="1">
        <v>98.1</v>
      </c>
      <c r="Q5631">
        <v>0.21</v>
      </c>
      <c r="R5631">
        <v>8.8199999999999997E-4</v>
      </c>
    </row>
    <row r="5632" spans="1:18" ht="13.8" outlineLevel="2" x14ac:dyDescent="0.25">
      <c r="A5632">
        <v>87679</v>
      </c>
      <c r="B5632" t="s">
        <v>7869</v>
      </c>
      <c r="C5632" t="s">
        <v>7950</v>
      </c>
      <c r="D5632" s="14" t="s">
        <v>7944</v>
      </c>
      <c r="E5632" s="12" t="s">
        <v>28</v>
      </c>
      <c r="F5632" s="13" t="s">
        <v>29</v>
      </c>
      <c r="G5632">
        <v>50</v>
      </c>
      <c r="H5632" t="s">
        <v>2466</v>
      </c>
      <c r="I5632">
        <v>50</v>
      </c>
      <c r="J5632" s="15"/>
      <c r="K5632" s="16">
        <f>158.23 - (158.23 * $E$1)</f>
        <v>158.22999999999999</v>
      </c>
      <c r="L5632" s="16">
        <f>129.7 - (129.7 * $E$1)</f>
        <v>129.69999999999999</v>
      </c>
      <c r="M5632" s="1">
        <v>158.22999999999999</v>
      </c>
      <c r="N5632" s="1">
        <v>129.69999999999999</v>
      </c>
      <c r="O5632" s="1">
        <v>134.5</v>
      </c>
      <c r="P5632" s="1">
        <v>110.25</v>
      </c>
      <c r="Q5632">
        <v>0.21199999999999999</v>
      </c>
      <c r="R5632">
        <v>1.2965400000000001E-3</v>
      </c>
    </row>
    <row r="5633" spans="1:18" ht="13.8" outlineLevel="2" x14ac:dyDescent="0.25">
      <c r="A5633">
        <v>65022</v>
      </c>
      <c r="B5633" t="s">
        <v>7869</v>
      </c>
      <c r="C5633" t="s">
        <v>7951</v>
      </c>
      <c r="D5633" s="14" t="s">
        <v>7944</v>
      </c>
      <c r="E5633" s="12" t="s">
        <v>28</v>
      </c>
      <c r="F5633" s="13" t="s">
        <v>29</v>
      </c>
      <c r="G5633">
        <v>50</v>
      </c>
      <c r="H5633" t="s">
        <v>2466</v>
      </c>
      <c r="I5633">
        <v>50</v>
      </c>
      <c r="J5633" s="15"/>
      <c r="K5633" s="16">
        <f>177.66 - (177.66 * $E$1)</f>
        <v>177.66</v>
      </c>
      <c r="L5633" s="16">
        <f>145.62 - (145.62 * $E$1)</f>
        <v>145.62</v>
      </c>
      <c r="M5633" s="1">
        <v>177.66</v>
      </c>
      <c r="N5633" s="1">
        <v>145.62</v>
      </c>
      <c r="O5633" s="1">
        <v>151.01</v>
      </c>
      <c r="P5633" s="1">
        <v>123.78</v>
      </c>
      <c r="Q5633">
        <v>0.28999999999999998</v>
      </c>
      <c r="R5633">
        <v>1.2359599999999999E-3</v>
      </c>
    </row>
    <row r="5634" spans="1:18" ht="13.8" outlineLevel="2" x14ac:dyDescent="0.25">
      <c r="A5634">
        <v>65023</v>
      </c>
      <c r="B5634" t="s">
        <v>7869</v>
      </c>
      <c r="C5634" t="s">
        <v>7952</v>
      </c>
      <c r="D5634" s="14" t="s">
        <v>7944</v>
      </c>
      <c r="E5634" s="12" t="s">
        <v>28</v>
      </c>
      <c r="F5634" s="13" t="s">
        <v>29</v>
      </c>
      <c r="G5634">
        <v>25</v>
      </c>
      <c r="H5634" t="s">
        <v>2466</v>
      </c>
      <c r="I5634">
        <v>25</v>
      </c>
      <c r="J5634" s="15"/>
      <c r="K5634" s="16">
        <f>287.42 - (287.42 * $E$1)</f>
        <v>287.42</v>
      </c>
      <c r="L5634" s="16">
        <f>235.59 - (235.59 * $E$1)</f>
        <v>235.59</v>
      </c>
      <c r="M5634" s="1">
        <v>287.42</v>
      </c>
      <c r="N5634" s="1">
        <v>235.59</v>
      </c>
      <c r="O5634" s="1">
        <v>244.31</v>
      </c>
      <c r="P5634" s="1">
        <v>200.25</v>
      </c>
      <c r="Q5634">
        <v>0.44800000000000001</v>
      </c>
      <c r="R5634">
        <v>2.2000000000000001E-3</v>
      </c>
    </row>
    <row r="5635" spans="1:18" ht="13.8" outlineLevel="2" x14ac:dyDescent="0.25">
      <c r="A5635">
        <v>65024</v>
      </c>
      <c r="B5635" t="s">
        <v>7869</v>
      </c>
      <c r="C5635" t="s">
        <v>7953</v>
      </c>
      <c r="D5635" s="14" t="s">
        <v>7944</v>
      </c>
      <c r="E5635" s="12" t="s">
        <v>28</v>
      </c>
      <c r="F5635" s="13" t="s">
        <v>29</v>
      </c>
      <c r="G5635">
        <v>25</v>
      </c>
      <c r="H5635" t="s">
        <v>2466</v>
      </c>
      <c r="I5635">
        <v>25</v>
      </c>
      <c r="J5635" s="15"/>
      <c r="K5635" s="16">
        <f>361.08 - (361.08 * $E$1)</f>
        <v>361.08</v>
      </c>
      <c r="L5635" s="16">
        <f>295.97 - (295.97 * $E$1)</f>
        <v>295.97000000000003</v>
      </c>
      <c r="M5635" s="1">
        <v>361.08</v>
      </c>
      <c r="N5635" s="1">
        <v>295.97000000000003</v>
      </c>
      <c r="O5635" s="1">
        <v>306.92</v>
      </c>
      <c r="P5635" s="1">
        <v>251.57</v>
      </c>
      <c r="Q5635">
        <v>0.52800000000000002</v>
      </c>
      <c r="R5635">
        <v>3.0326400000000001E-3</v>
      </c>
    </row>
    <row r="5636" spans="1:18" ht="13.8" outlineLevel="2" x14ac:dyDescent="0.25">
      <c r="A5636">
        <v>65025</v>
      </c>
      <c r="B5636" t="s">
        <v>7869</v>
      </c>
      <c r="C5636" t="s">
        <v>7954</v>
      </c>
      <c r="D5636" s="14" t="s">
        <v>7944</v>
      </c>
      <c r="E5636" s="12" t="s">
        <v>28</v>
      </c>
      <c r="F5636" s="13" t="s">
        <v>29</v>
      </c>
      <c r="G5636">
        <v>15</v>
      </c>
      <c r="H5636" t="s">
        <v>2466</v>
      </c>
      <c r="I5636">
        <v>15</v>
      </c>
      <c r="J5636" s="15"/>
      <c r="K5636" s="16">
        <f>468.53 - (468.53 * $E$1)</f>
        <v>468.53</v>
      </c>
      <c r="L5636" s="16">
        <f>384.04 - (384.04 * $E$1)</f>
        <v>384.04</v>
      </c>
      <c r="M5636" s="1">
        <v>468.53</v>
      </c>
      <c r="N5636" s="1">
        <v>384.04</v>
      </c>
      <c r="O5636" s="1">
        <v>398.25</v>
      </c>
      <c r="P5636" s="1">
        <v>326.43</v>
      </c>
      <c r="Q5636">
        <v>0.72666666666667001</v>
      </c>
      <c r="R5636">
        <v>6.0000000000000001E-3</v>
      </c>
    </row>
    <row r="5637" spans="1:18" ht="13.8" outlineLevel="2" x14ac:dyDescent="0.25">
      <c r="A5637">
        <v>88286</v>
      </c>
      <c r="B5637" t="s">
        <v>7869</v>
      </c>
      <c r="C5637" t="s">
        <v>7955</v>
      </c>
      <c r="D5637" s="14" t="s">
        <v>7928</v>
      </c>
      <c r="E5637" s="12" t="s">
        <v>28</v>
      </c>
      <c r="F5637" s="13" t="s">
        <v>29</v>
      </c>
      <c r="G5637">
        <v>100</v>
      </c>
      <c r="H5637" t="s">
        <v>2466</v>
      </c>
      <c r="I5637">
        <v>100</v>
      </c>
      <c r="J5637" s="15"/>
      <c r="K5637" s="16">
        <f>81.5 - (81.5 * $E$1)</f>
        <v>81.5</v>
      </c>
      <c r="L5637" s="16">
        <f>66.8 - (66.8 * $E$1)</f>
        <v>66.8</v>
      </c>
      <c r="M5637" s="1">
        <v>81.5</v>
      </c>
      <c r="N5637" s="1">
        <v>66.8</v>
      </c>
      <c r="O5637" s="1">
        <v>69.27</v>
      </c>
      <c r="P5637" s="1">
        <v>56.78</v>
      </c>
      <c r="Q5637">
        <v>0.12</v>
      </c>
      <c r="R5637">
        <v>3.5199999999999999E-4</v>
      </c>
    </row>
    <row r="5638" spans="1:18" ht="13.8" outlineLevel="2" x14ac:dyDescent="0.25">
      <c r="A5638">
        <v>88289</v>
      </c>
      <c r="B5638" t="s">
        <v>7869</v>
      </c>
      <c r="C5638" t="s">
        <v>7956</v>
      </c>
      <c r="D5638" s="14" t="s">
        <v>7928</v>
      </c>
      <c r="E5638" s="12" t="s">
        <v>28</v>
      </c>
      <c r="F5638" s="13" t="s">
        <v>29</v>
      </c>
      <c r="G5638">
        <v>100</v>
      </c>
      <c r="H5638" t="s">
        <v>2466</v>
      </c>
      <c r="I5638">
        <v>100</v>
      </c>
      <c r="J5638" s="15"/>
      <c r="K5638" s="16">
        <f>84.91 - (84.91 * $E$1)</f>
        <v>84.91</v>
      </c>
      <c r="L5638" s="16">
        <f>69.6 - (69.6 * $E$1)</f>
        <v>69.599999999999994</v>
      </c>
      <c r="M5638" s="1">
        <v>84.91</v>
      </c>
      <c r="N5638" s="1">
        <v>69.599999999999994</v>
      </c>
      <c r="O5638" s="1">
        <v>72.180000000000007</v>
      </c>
      <c r="P5638" s="1">
        <v>59.16</v>
      </c>
      <c r="Q5638">
        <v>0.13500000000000001</v>
      </c>
      <c r="R5638">
        <v>4.4099999999999999E-4</v>
      </c>
    </row>
    <row r="5639" spans="1:18" ht="13.8" outlineLevel="2" x14ac:dyDescent="0.25">
      <c r="A5639">
        <v>88294</v>
      </c>
      <c r="B5639" t="s">
        <v>7869</v>
      </c>
      <c r="C5639" t="s">
        <v>7957</v>
      </c>
      <c r="D5639" s="14" t="s">
        <v>7928</v>
      </c>
      <c r="E5639" s="12" t="s">
        <v>28</v>
      </c>
      <c r="F5639" s="13" t="s">
        <v>29</v>
      </c>
      <c r="G5639">
        <v>50</v>
      </c>
      <c r="H5639" t="s">
        <v>2466</v>
      </c>
      <c r="I5639">
        <v>50</v>
      </c>
      <c r="J5639" s="15"/>
      <c r="K5639" s="16">
        <f>111.15 - (111.15 * $E$1)</f>
        <v>111.15</v>
      </c>
      <c r="L5639" s="16">
        <f>91.11 - (91.11 * $E$1)</f>
        <v>91.11</v>
      </c>
      <c r="M5639" s="1">
        <v>111.15</v>
      </c>
      <c r="N5639" s="1">
        <v>91.11</v>
      </c>
      <c r="O5639" s="1">
        <v>94.48</v>
      </c>
      <c r="P5639" s="1">
        <v>77.44</v>
      </c>
      <c r="Q5639">
        <v>0.17599999999999999</v>
      </c>
      <c r="R5639">
        <v>9.3103999999999995E-4</v>
      </c>
    </row>
    <row r="5640" spans="1:18" ht="13.8" outlineLevel="2" x14ac:dyDescent="0.25">
      <c r="A5640">
        <v>88295</v>
      </c>
      <c r="B5640" t="s">
        <v>7869</v>
      </c>
      <c r="C5640" t="s">
        <v>7958</v>
      </c>
      <c r="D5640" s="14" t="s">
        <v>7928</v>
      </c>
      <c r="E5640" s="12" t="s">
        <v>28</v>
      </c>
      <c r="F5640" s="17" t="s">
        <v>549</v>
      </c>
      <c r="G5640">
        <v>50</v>
      </c>
      <c r="H5640" t="s">
        <v>2466</v>
      </c>
      <c r="I5640">
        <v>50</v>
      </c>
      <c r="J5640" s="15"/>
      <c r="K5640" s="16">
        <f>118.13 - (118.13 * $E$1)</f>
        <v>118.13</v>
      </c>
      <c r="L5640" s="16">
        <f>96.83 - (96.83 * $E$1)</f>
        <v>96.83</v>
      </c>
      <c r="M5640" s="1">
        <v>118.13</v>
      </c>
      <c r="N5640" s="1">
        <v>96.83</v>
      </c>
      <c r="O5640" s="1">
        <v>100.41</v>
      </c>
      <c r="P5640" s="1">
        <v>82.31</v>
      </c>
      <c r="Q5640">
        <v>0.21</v>
      </c>
      <c r="R5640">
        <v>8.8199999999999997E-4</v>
      </c>
    </row>
    <row r="5641" spans="1:18" ht="13.8" outlineLevel="2" x14ac:dyDescent="0.25">
      <c r="A5641">
        <v>88296</v>
      </c>
      <c r="B5641" t="s">
        <v>7869</v>
      </c>
      <c r="C5641" t="s">
        <v>7959</v>
      </c>
      <c r="D5641" s="14" t="s">
        <v>7928</v>
      </c>
      <c r="E5641" s="12" t="s">
        <v>28</v>
      </c>
      <c r="F5641" s="13" t="s">
        <v>29</v>
      </c>
      <c r="G5641">
        <v>50</v>
      </c>
      <c r="H5641" t="s">
        <v>2466</v>
      </c>
      <c r="I5641">
        <v>50</v>
      </c>
      <c r="J5641" s="15"/>
      <c r="K5641" s="16">
        <f>132.82 - (132.82 * $E$1)</f>
        <v>132.82</v>
      </c>
      <c r="L5641" s="16">
        <f>108.87 - (108.87 * $E$1)</f>
        <v>108.87</v>
      </c>
      <c r="M5641" s="1">
        <v>132.82</v>
      </c>
      <c r="N5641" s="1">
        <v>108.87</v>
      </c>
      <c r="O5641" s="1">
        <v>112.9</v>
      </c>
      <c r="P5641" s="1">
        <v>92.54</v>
      </c>
      <c r="Q5641">
        <v>0.21199999999999999</v>
      </c>
      <c r="R5641">
        <v>1.1000000000000001E-3</v>
      </c>
    </row>
    <row r="5642" spans="1:18" ht="13.8" outlineLevel="2" x14ac:dyDescent="0.25">
      <c r="A5642">
        <v>88298</v>
      </c>
      <c r="B5642" t="s">
        <v>7869</v>
      </c>
      <c r="C5642" t="s">
        <v>7960</v>
      </c>
      <c r="D5642" s="14" t="s">
        <v>7928</v>
      </c>
      <c r="E5642" s="12" t="s">
        <v>28</v>
      </c>
      <c r="F5642" s="17" t="s">
        <v>549</v>
      </c>
      <c r="G5642">
        <v>25</v>
      </c>
      <c r="H5642" t="s">
        <v>2466</v>
      </c>
      <c r="I5642">
        <v>25</v>
      </c>
      <c r="J5642" s="15"/>
      <c r="K5642" s="16">
        <f>243.37 - (243.37 * $E$1)</f>
        <v>243.37</v>
      </c>
      <c r="L5642" s="16">
        <f>199.48 - (199.48 * $E$1)</f>
        <v>199.48</v>
      </c>
      <c r="M5642" s="1">
        <v>243.37</v>
      </c>
      <c r="N5642" s="1">
        <v>199.48</v>
      </c>
      <c r="O5642" s="1">
        <v>206.86</v>
      </c>
      <c r="P5642" s="1">
        <v>169.56</v>
      </c>
      <c r="Q5642">
        <v>0.44800000000000001</v>
      </c>
      <c r="R5642">
        <v>2.2000000000000001E-3</v>
      </c>
    </row>
    <row r="5643" spans="1:18" ht="13.8" outlineLevel="2" x14ac:dyDescent="0.25">
      <c r="A5643">
        <v>88299</v>
      </c>
      <c r="B5643" t="s">
        <v>7869</v>
      </c>
      <c r="C5643" t="s">
        <v>7961</v>
      </c>
      <c r="D5643" s="14" t="s">
        <v>7928</v>
      </c>
      <c r="E5643" s="12" t="s">
        <v>28</v>
      </c>
      <c r="F5643" s="13" t="s">
        <v>29</v>
      </c>
      <c r="G5643">
        <v>25</v>
      </c>
      <c r="H5643" t="s">
        <v>2466</v>
      </c>
      <c r="I5643">
        <v>25</v>
      </c>
      <c r="J5643" s="15"/>
      <c r="K5643" s="16">
        <f>306.01 - (306.01 * $E$1)</f>
        <v>306.01</v>
      </c>
      <c r="L5643" s="16">
        <f>250.83 - (250.83 * $E$1)</f>
        <v>250.83</v>
      </c>
      <c r="M5643" s="1">
        <v>306.01</v>
      </c>
      <c r="N5643" s="1">
        <v>250.83</v>
      </c>
      <c r="O5643" s="1">
        <v>260.11</v>
      </c>
      <c r="P5643" s="1">
        <v>213.21</v>
      </c>
      <c r="Q5643">
        <v>0.52800000000000002</v>
      </c>
      <c r="R5643">
        <v>3.5999999999999999E-3</v>
      </c>
    </row>
    <row r="5644" spans="1:18" ht="13.8" outlineLevel="2" x14ac:dyDescent="0.25">
      <c r="A5644">
        <v>88301</v>
      </c>
      <c r="B5644" t="s">
        <v>7869</v>
      </c>
      <c r="C5644" t="s">
        <v>7962</v>
      </c>
      <c r="D5644" s="14" t="s">
        <v>7928</v>
      </c>
      <c r="E5644" s="12" t="s">
        <v>28</v>
      </c>
      <c r="F5644" s="13" t="s">
        <v>29</v>
      </c>
      <c r="G5644">
        <v>10</v>
      </c>
      <c r="H5644" t="s">
        <v>2466</v>
      </c>
      <c r="I5644">
        <v>10</v>
      </c>
      <c r="J5644" s="15"/>
      <c r="K5644" s="16">
        <f>755.59 - (755.59 * $E$1)</f>
        <v>755.59</v>
      </c>
      <c r="L5644" s="16">
        <f>619.34 - (619.34 * $E$1)</f>
        <v>619.34</v>
      </c>
      <c r="M5644" s="1">
        <v>755.59</v>
      </c>
      <c r="N5644" s="1">
        <v>619.34</v>
      </c>
      <c r="O5644" s="1">
        <v>642.26</v>
      </c>
      <c r="P5644" s="1">
        <v>526.44000000000005</v>
      </c>
      <c r="Q5644">
        <v>1.02</v>
      </c>
      <c r="R5644">
        <v>7.5106000000000001E-3</v>
      </c>
    </row>
    <row r="5645" spans="1:18" ht="13.8" outlineLevel="2" x14ac:dyDescent="0.25">
      <c r="A5645">
        <v>88302</v>
      </c>
      <c r="B5645" t="s">
        <v>7869</v>
      </c>
      <c r="C5645" t="s">
        <v>7963</v>
      </c>
      <c r="D5645" s="14" t="s">
        <v>7928</v>
      </c>
      <c r="E5645" s="12" t="s">
        <v>28</v>
      </c>
      <c r="F5645" s="13" t="s">
        <v>29</v>
      </c>
      <c r="G5645">
        <v>10</v>
      </c>
      <c r="H5645" t="s">
        <v>2466</v>
      </c>
      <c r="I5645">
        <v>10</v>
      </c>
      <c r="J5645" s="15"/>
      <c r="K5645" s="16">
        <f>1069.53 - (1069.53 * $E$1)</f>
        <v>1069.53</v>
      </c>
      <c r="L5645" s="16">
        <f>876.66 - (876.66 * $E$1)</f>
        <v>876.66</v>
      </c>
      <c r="M5645" s="1">
        <v>1069.53</v>
      </c>
      <c r="N5645" s="1">
        <v>876.66</v>
      </c>
      <c r="O5645" s="1">
        <v>909.1</v>
      </c>
      <c r="P5645" s="1">
        <v>745.16</v>
      </c>
      <c r="Q5645">
        <v>1.38</v>
      </c>
      <c r="R5645">
        <v>8.9231999999999992E-3</v>
      </c>
    </row>
    <row r="5646" spans="1:18" ht="13.8" outlineLevel="2" x14ac:dyDescent="0.25">
      <c r="A5646">
        <v>88303</v>
      </c>
      <c r="B5646" t="s">
        <v>7869</v>
      </c>
      <c r="C5646" t="s">
        <v>7964</v>
      </c>
      <c r="D5646" s="14" t="s">
        <v>7928</v>
      </c>
      <c r="E5646" s="12" t="s">
        <v>28</v>
      </c>
      <c r="F5646" s="13" t="s">
        <v>29</v>
      </c>
      <c r="G5646">
        <v>10</v>
      </c>
      <c r="H5646" t="s">
        <v>2466</v>
      </c>
      <c r="I5646">
        <v>10</v>
      </c>
      <c r="J5646" s="15"/>
      <c r="K5646" s="16">
        <f>2097.16 - (2097.16 * $E$1)</f>
        <v>2097.16</v>
      </c>
      <c r="L5646" s="16">
        <f>1718.98 - (1718.98 * $E$1)</f>
        <v>1718.98</v>
      </c>
      <c r="M5646" s="1">
        <v>2097.16</v>
      </c>
      <c r="N5646" s="1">
        <v>1718.98</v>
      </c>
      <c r="O5646" s="1">
        <v>1782.58</v>
      </c>
      <c r="P5646" s="1">
        <v>1461.13</v>
      </c>
      <c r="Q5646">
        <v>1.9</v>
      </c>
      <c r="R5646">
        <v>2.4299999999999999E-2</v>
      </c>
    </row>
    <row r="5647" spans="1:18" ht="13.8" outlineLevel="2" x14ac:dyDescent="0.25">
      <c r="A5647">
        <v>88304</v>
      </c>
      <c r="B5647" t="s">
        <v>7869</v>
      </c>
      <c r="C5647" t="s">
        <v>7965</v>
      </c>
      <c r="D5647" s="14" t="s">
        <v>7944</v>
      </c>
      <c r="E5647" s="12" t="s">
        <v>28</v>
      </c>
      <c r="F5647" s="13" t="s">
        <v>29</v>
      </c>
      <c r="G5647">
        <v>100</v>
      </c>
      <c r="H5647" t="s">
        <v>2466</v>
      </c>
      <c r="I5647">
        <v>100</v>
      </c>
      <c r="J5647" s="15"/>
      <c r="K5647" s="16">
        <f>115.51 - (115.51 * $E$1)</f>
        <v>115.51</v>
      </c>
      <c r="L5647" s="16">
        <f>94.68 - (94.68 * $E$1)</f>
        <v>94.68</v>
      </c>
      <c r="M5647" s="1">
        <v>115.51</v>
      </c>
      <c r="N5647" s="1">
        <v>94.68</v>
      </c>
      <c r="O5647" s="1">
        <v>98.18</v>
      </c>
      <c r="P5647" s="1">
        <v>80.48</v>
      </c>
      <c r="Q5647">
        <v>0.12</v>
      </c>
      <c r="R5647">
        <v>3.5199999999999999E-4</v>
      </c>
    </row>
    <row r="5648" spans="1:18" ht="13.8" outlineLevel="2" x14ac:dyDescent="0.25">
      <c r="A5648">
        <v>88305</v>
      </c>
      <c r="B5648" t="s">
        <v>7869</v>
      </c>
      <c r="C5648" t="s">
        <v>7966</v>
      </c>
      <c r="D5648" s="14" t="s">
        <v>7944</v>
      </c>
      <c r="E5648" s="12" t="s">
        <v>28</v>
      </c>
      <c r="F5648" s="13" t="s">
        <v>29</v>
      </c>
      <c r="G5648">
        <v>100</v>
      </c>
      <c r="H5648" t="s">
        <v>2466</v>
      </c>
      <c r="I5648">
        <v>100</v>
      </c>
      <c r="J5648" s="15"/>
      <c r="K5648" s="16">
        <f>120.12 - (120.12 * $E$1)</f>
        <v>120.12</v>
      </c>
      <c r="L5648" s="16">
        <f>98.46 - (98.46 * $E$1)</f>
        <v>98.46</v>
      </c>
      <c r="M5648" s="1">
        <v>120.12</v>
      </c>
      <c r="N5648" s="1">
        <v>98.46</v>
      </c>
      <c r="O5648" s="1">
        <v>102.1</v>
      </c>
      <c r="P5648" s="1">
        <v>83.69</v>
      </c>
      <c r="Q5648">
        <v>0.13500000000000001</v>
      </c>
      <c r="R5648">
        <v>4.4099999999999999E-4</v>
      </c>
    </row>
    <row r="5649" spans="1:18" ht="13.8" outlineLevel="2" x14ac:dyDescent="0.25">
      <c r="A5649">
        <v>88306</v>
      </c>
      <c r="B5649" t="s">
        <v>7869</v>
      </c>
      <c r="C5649" t="s">
        <v>7967</v>
      </c>
      <c r="D5649" s="14" t="s">
        <v>7944</v>
      </c>
      <c r="E5649" s="12" t="s">
        <v>28</v>
      </c>
      <c r="F5649" s="13" t="s">
        <v>29</v>
      </c>
      <c r="G5649">
        <v>50</v>
      </c>
      <c r="H5649" t="s">
        <v>2466</v>
      </c>
      <c r="I5649">
        <v>50</v>
      </c>
      <c r="J5649" s="15"/>
      <c r="K5649" s="16">
        <f>136.32 - (136.32 * $E$1)</f>
        <v>136.32</v>
      </c>
      <c r="L5649" s="16">
        <f>111.74 - (111.74 * $E$1)</f>
        <v>111.74</v>
      </c>
      <c r="M5649" s="1">
        <v>136.32</v>
      </c>
      <c r="N5649" s="1">
        <v>111.74</v>
      </c>
      <c r="O5649" s="1">
        <v>115.87</v>
      </c>
      <c r="P5649" s="1">
        <v>94.98</v>
      </c>
      <c r="Q5649">
        <v>0.156</v>
      </c>
      <c r="R5649">
        <v>6.6923999999999998E-4</v>
      </c>
    </row>
    <row r="5650" spans="1:18" ht="13.8" outlineLevel="2" x14ac:dyDescent="0.25">
      <c r="A5650">
        <v>88307</v>
      </c>
      <c r="B5650" t="s">
        <v>7869</v>
      </c>
      <c r="C5650" t="s">
        <v>7968</v>
      </c>
      <c r="D5650" s="14" t="s">
        <v>7944</v>
      </c>
      <c r="E5650" s="12" t="s">
        <v>28</v>
      </c>
      <c r="F5650" s="13" t="s">
        <v>29</v>
      </c>
      <c r="G5650">
        <v>50</v>
      </c>
      <c r="H5650" t="s">
        <v>2466</v>
      </c>
      <c r="I5650">
        <v>50</v>
      </c>
      <c r="J5650" s="15"/>
      <c r="K5650" s="16">
        <f>141.39 - (141.39 * $E$1)</f>
        <v>141.38999999999999</v>
      </c>
      <c r="L5650" s="16">
        <f>115.89 - (115.89 * $E$1)</f>
        <v>115.89</v>
      </c>
      <c r="M5650" s="1">
        <v>141.38999999999999</v>
      </c>
      <c r="N5650" s="1">
        <v>115.89</v>
      </c>
      <c r="O5650" s="1">
        <v>120.18</v>
      </c>
      <c r="P5650" s="1">
        <v>98.51</v>
      </c>
      <c r="Q5650">
        <v>0.156</v>
      </c>
      <c r="R5650">
        <v>8.1355999999999996E-4</v>
      </c>
    </row>
    <row r="5651" spans="1:18" ht="13.8" outlineLevel="2" x14ac:dyDescent="0.25">
      <c r="A5651">
        <v>88308</v>
      </c>
      <c r="B5651" t="s">
        <v>7869</v>
      </c>
      <c r="C5651" t="s">
        <v>7969</v>
      </c>
      <c r="D5651" s="14" t="s">
        <v>7944</v>
      </c>
      <c r="E5651" s="12" t="s">
        <v>28</v>
      </c>
      <c r="F5651" s="13" t="s">
        <v>29</v>
      </c>
      <c r="G5651">
        <v>50</v>
      </c>
      <c r="H5651" t="s">
        <v>2466</v>
      </c>
      <c r="I5651">
        <v>50</v>
      </c>
      <c r="J5651" s="15"/>
      <c r="K5651" s="16">
        <f>156.25 - (156.25 * $E$1)</f>
        <v>156.25</v>
      </c>
      <c r="L5651" s="16">
        <f>128.07 - (128.07 * $E$1)</f>
        <v>128.07</v>
      </c>
      <c r="M5651" s="1">
        <v>156.25</v>
      </c>
      <c r="N5651" s="1">
        <v>128.07</v>
      </c>
      <c r="O5651" s="1">
        <v>132.81</v>
      </c>
      <c r="P5651" s="1">
        <v>108.86</v>
      </c>
      <c r="Q5651">
        <v>0.17599999999999999</v>
      </c>
      <c r="R5651">
        <v>1.1000000000000001E-3</v>
      </c>
    </row>
    <row r="5652" spans="1:18" ht="13.8" outlineLevel="2" x14ac:dyDescent="0.25">
      <c r="A5652">
        <v>88309</v>
      </c>
      <c r="B5652" t="s">
        <v>7869</v>
      </c>
      <c r="C5652" t="s">
        <v>7970</v>
      </c>
      <c r="D5652" s="14" t="s">
        <v>7944</v>
      </c>
      <c r="E5652" s="12" t="s">
        <v>28</v>
      </c>
      <c r="F5652" s="13" t="s">
        <v>29</v>
      </c>
      <c r="G5652">
        <v>50</v>
      </c>
      <c r="H5652" t="s">
        <v>2466</v>
      </c>
      <c r="I5652">
        <v>50</v>
      </c>
      <c r="J5652" s="15"/>
      <c r="K5652" s="16">
        <f>165.62 - (165.62 * $E$1)</f>
        <v>165.62</v>
      </c>
      <c r="L5652" s="16">
        <f>135.75 - (135.75 * $E$1)</f>
        <v>135.75</v>
      </c>
      <c r="M5652" s="1">
        <v>165.62</v>
      </c>
      <c r="N5652" s="1">
        <v>135.75</v>
      </c>
      <c r="O5652" s="1">
        <v>140.77000000000001</v>
      </c>
      <c r="P5652" s="1">
        <v>115.39</v>
      </c>
      <c r="Q5652">
        <v>0.21</v>
      </c>
      <c r="R5652">
        <v>8.8199999999999997E-4</v>
      </c>
    </row>
    <row r="5653" spans="1:18" ht="13.8" outlineLevel="2" x14ac:dyDescent="0.25">
      <c r="A5653">
        <v>88310</v>
      </c>
      <c r="B5653" t="s">
        <v>7869</v>
      </c>
      <c r="C5653" t="s">
        <v>7971</v>
      </c>
      <c r="D5653" s="14" t="s">
        <v>7944</v>
      </c>
      <c r="E5653" s="12" t="s">
        <v>28</v>
      </c>
      <c r="F5653" s="13" t="s">
        <v>29</v>
      </c>
      <c r="G5653">
        <v>50</v>
      </c>
      <c r="H5653" t="s">
        <v>2466</v>
      </c>
      <c r="I5653">
        <v>50</v>
      </c>
      <c r="J5653" s="15"/>
      <c r="K5653" s="16">
        <f>186.04 - (186.04 * $E$1)</f>
        <v>186.04</v>
      </c>
      <c r="L5653" s="16">
        <f>152.49 - (152.49 * $E$1)</f>
        <v>152.49</v>
      </c>
      <c r="M5653" s="1">
        <v>186.04</v>
      </c>
      <c r="N5653" s="1">
        <v>152.49</v>
      </c>
      <c r="O5653" s="1">
        <v>158.13</v>
      </c>
      <c r="P5653" s="1">
        <v>129.62</v>
      </c>
      <c r="Q5653">
        <v>0.21199999999999999</v>
      </c>
      <c r="R5653">
        <v>1.1000000000000001E-3</v>
      </c>
    </row>
    <row r="5654" spans="1:18" ht="13.8" outlineLevel="2" x14ac:dyDescent="0.25">
      <c r="A5654">
        <v>88311</v>
      </c>
      <c r="B5654" t="s">
        <v>7869</v>
      </c>
      <c r="C5654" t="s">
        <v>7972</v>
      </c>
      <c r="D5654" s="14" t="s">
        <v>7944</v>
      </c>
      <c r="E5654" s="12" t="s">
        <v>28</v>
      </c>
      <c r="F5654" s="13" t="s">
        <v>29</v>
      </c>
      <c r="G5654">
        <v>50</v>
      </c>
      <c r="H5654" t="s">
        <v>2466</v>
      </c>
      <c r="I5654">
        <v>50</v>
      </c>
      <c r="J5654" s="15"/>
      <c r="K5654" s="16">
        <f>208.74 - (208.74 * $E$1)</f>
        <v>208.74</v>
      </c>
      <c r="L5654" s="16">
        <f>171.1 - (171.1 * $E$1)</f>
        <v>171.1</v>
      </c>
      <c r="M5654" s="1">
        <v>208.74</v>
      </c>
      <c r="N5654" s="1">
        <v>171.1</v>
      </c>
      <c r="O5654" s="1">
        <v>177.43</v>
      </c>
      <c r="P5654" s="1">
        <v>145.44</v>
      </c>
      <c r="Q5654">
        <v>0.28999999999999998</v>
      </c>
      <c r="R5654">
        <v>1.4519999999999999E-3</v>
      </c>
    </row>
    <row r="5655" spans="1:18" ht="13.8" outlineLevel="2" x14ac:dyDescent="0.25">
      <c r="A5655">
        <v>88312</v>
      </c>
      <c r="B5655" t="s">
        <v>7869</v>
      </c>
      <c r="C5655" t="s">
        <v>7973</v>
      </c>
      <c r="D5655" s="14" t="s">
        <v>7944</v>
      </c>
      <c r="E5655" s="12" t="s">
        <v>28</v>
      </c>
      <c r="F5655" s="13" t="s">
        <v>29</v>
      </c>
      <c r="G5655">
        <v>25</v>
      </c>
      <c r="H5655" t="s">
        <v>2466</v>
      </c>
      <c r="I5655">
        <v>25</v>
      </c>
      <c r="J5655" s="15"/>
      <c r="K5655" s="16">
        <f>337.7 - (337.7 * $E$1)</f>
        <v>337.7</v>
      </c>
      <c r="L5655" s="16">
        <f>276.8 - (276.8 * $E$1)</f>
        <v>276.8</v>
      </c>
      <c r="M5655" s="1">
        <v>337.7</v>
      </c>
      <c r="N5655" s="1">
        <v>276.8</v>
      </c>
      <c r="O5655" s="1">
        <v>287.04000000000002</v>
      </c>
      <c r="P5655" s="1">
        <v>235.28</v>
      </c>
      <c r="Q5655">
        <v>0.44800000000000001</v>
      </c>
      <c r="R5655">
        <v>2.2000000000000001E-3</v>
      </c>
    </row>
    <row r="5656" spans="1:18" ht="13.8" outlineLevel="2" x14ac:dyDescent="0.25">
      <c r="A5656">
        <v>88313</v>
      </c>
      <c r="B5656" t="s">
        <v>7869</v>
      </c>
      <c r="C5656" t="s">
        <v>7974</v>
      </c>
      <c r="D5656" s="14" t="s">
        <v>7944</v>
      </c>
      <c r="E5656" s="12" t="s">
        <v>28</v>
      </c>
      <c r="F5656" s="13" t="s">
        <v>29</v>
      </c>
      <c r="G5656">
        <v>25</v>
      </c>
      <c r="H5656" t="s">
        <v>2466</v>
      </c>
      <c r="I5656">
        <v>25</v>
      </c>
      <c r="J5656" s="15"/>
      <c r="K5656" s="16">
        <f>424.23 - (424.23 * $E$1)</f>
        <v>424.23</v>
      </c>
      <c r="L5656" s="16">
        <f>347.73 - (347.73 * $E$1)</f>
        <v>347.73</v>
      </c>
      <c r="M5656" s="1">
        <v>424.23</v>
      </c>
      <c r="N5656" s="1">
        <v>347.73</v>
      </c>
      <c r="O5656" s="1">
        <v>360.6</v>
      </c>
      <c r="P5656" s="1">
        <v>295.57</v>
      </c>
      <c r="Q5656">
        <v>0.52800000000000002</v>
      </c>
      <c r="R5656">
        <v>3.5999999999999999E-3</v>
      </c>
    </row>
    <row r="5657" spans="1:18" ht="13.8" outlineLevel="2" x14ac:dyDescent="0.25">
      <c r="A5657">
        <v>88314</v>
      </c>
      <c r="B5657" t="s">
        <v>7869</v>
      </c>
      <c r="C5657" t="s">
        <v>7975</v>
      </c>
      <c r="D5657" s="14" t="s">
        <v>7944</v>
      </c>
      <c r="E5657" s="12" t="s">
        <v>28</v>
      </c>
      <c r="F5657" s="13" t="s">
        <v>29</v>
      </c>
      <c r="G5657">
        <v>15</v>
      </c>
      <c r="H5657" t="s">
        <v>2466</v>
      </c>
      <c r="I5657">
        <v>15</v>
      </c>
      <c r="J5657" s="15"/>
      <c r="K5657" s="16">
        <f>551.21 - (551.21 * $E$1)</f>
        <v>551.21</v>
      </c>
      <c r="L5657" s="16">
        <f>451.81 - (451.81 * $E$1)</f>
        <v>451.81</v>
      </c>
      <c r="M5657" s="1">
        <v>551.21</v>
      </c>
      <c r="N5657" s="1">
        <v>451.81</v>
      </c>
      <c r="O5657" s="1">
        <v>468.53</v>
      </c>
      <c r="P5657" s="1">
        <v>384.04</v>
      </c>
      <c r="Q5657">
        <v>0.72666666666667001</v>
      </c>
      <c r="R5657">
        <v>6.0000000000000001E-3</v>
      </c>
    </row>
    <row r="5658" spans="1:18" ht="13.8" outlineLevel="2" x14ac:dyDescent="0.25">
      <c r="A5658">
        <v>88459</v>
      </c>
      <c r="B5658" t="s">
        <v>7869</v>
      </c>
      <c r="C5658" t="s">
        <v>7976</v>
      </c>
      <c r="D5658" s="14" t="s">
        <v>7977</v>
      </c>
      <c r="E5658" s="12" t="s">
        <v>28</v>
      </c>
      <c r="F5658" s="13" t="s">
        <v>29</v>
      </c>
      <c r="G5658">
        <v>100</v>
      </c>
      <c r="H5658" t="s">
        <v>2466</v>
      </c>
      <c r="I5658">
        <v>100</v>
      </c>
      <c r="J5658" s="15"/>
      <c r="K5658" s="16">
        <f>127.17 - (127.17 * $E$1)</f>
        <v>127.17</v>
      </c>
      <c r="L5658" s="16">
        <f>104.24 - (104.24 * $E$1)</f>
        <v>104.24</v>
      </c>
      <c r="M5658" s="1">
        <v>127.17</v>
      </c>
      <c r="N5658" s="1">
        <v>104.24</v>
      </c>
      <c r="O5658" s="1">
        <v>108.1</v>
      </c>
      <c r="P5658" s="1">
        <v>88.6</v>
      </c>
      <c r="Q5658">
        <v>0.11</v>
      </c>
      <c r="R5658">
        <v>3.5199999999999999E-4</v>
      </c>
    </row>
    <row r="5659" spans="1:18" ht="13.8" outlineLevel="2" x14ac:dyDescent="0.25">
      <c r="A5659">
        <v>88460</v>
      </c>
      <c r="B5659" t="s">
        <v>7869</v>
      </c>
      <c r="C5659" t="s">
        <v>7978</v>
      </c>
      <c r="D5659" s="14" t="s">
        <v>7977</v>
      </c>
      <c r="E5659" s="12" t="s">
        <v>28</v>
      </c>
      <c r="F5659" s="13" t="s">
        <v>29</v>
      </c>
      <c r="G5659">
        <v>100</v>
      </c>
      <c r="H5659" t="s">
        <v>2466</v>
      </c>
      <c r="I5659">
        <v>100</v>
      </c>
      <c r="J5659" s="15"/>
      <c r="K5659" s="16">
        <f>132.59 - (132.59 * $E$1)</f>
        <v>132.59</v>
      </c>
      <c r="L5659" s="16">
        <f>108.68 - (108.68 * $E$1)</f>
        <v>108.68</v>
      </c>
      <c r="M5659" s="1">
        <v>132.59</v>
      </c>
      <c r="N5659" s="1">
        <v>108.68</v>
      </c>
      <c r="O5659" s="1">
        <v>112.7</v>
      </c>
      <c r="P5659" s="1">
        <v>92.38</v>
      </c>
      <c r="Q5659">
        <v>0.125</v>
      </c>
      <c r="R5659">
        <v>4.4099999999999999E-4</v>
      </c>
    </row>
    <row r="5660" spans="1:18" ht="13.8" outlineLevel="2" x14ac:dyDescent="0.25">
      <c r="A5660">
        <v>88461</v>
      </c>
      <c r="B5660" t="s">
        <v>7869</v>
      </c>
      <c r="C5660" t="s">
        <v>7979</v>
      </c>
      <c r="D5660" s="14" t="s">
        <v>7977</v>
      </c>
      <c r="E5660" s="12" t="s">
        <v>28</v>
      </c>
      <c r="F5660" s="13" t="s">
        <v>29</v>
      </c>
      <c r="G5660">
        <v>50</v>
      </c>
      <c r="H5660" t="s">
        <v>2466</v>
      </c>
      <c r="I5660">
        <v>50</v>
      </c>
      <c r="J5660" s="15"/>
      <c r="K5660" s="16">
        <f>153.33 - (153.33 * $E$1)</f>
        <v>153.33000000000001</v>
      </c>
      <c r="L5660" s="16">
        <f>125.68 - (125.68 * $E$1)</f>
        <v>125.68</v>
      </c>
      <c r="M5660" s="1">
        <v>153.33000000000001</v>
      </c>
      <c r="N5660" s="1">
        <v>125.68</v>
      </c>
      <c r="O5660" s="1">
        <v>130.33000000000001</v>
      </c>
      <c r="P5660" s="1">
        <v>106.83</v>
      </c>
      <c r="Q5660">
        <v>0.14399999999999999</v>
      </c>
      <c r="R5660">
        <v>8.1355999999999996E-4</v>
      </c>
    </row>
    <row r="5661" spans="1:18" ht="13.8" outlineLevel="2" x14ac:dyDescent="0.25">
      <c r="A5661">
        <v>88462</v>
      </c>
      <c r="B5661" t="s">
        <v>7869</v>
      </c>
      <c r="C5661" t="s">
        <v>7980</v>
      </c>
      <c r="D5661" s="14" t="s">
        <v>7977</v>
      </c>
      <c r="E5661" s="12" t="s">
        <v>28</v>
      </c>
      <c r="F5661" s="13" t="s">
        <v>29</v>
      </c>
      <c r="G5661">
        <v>50</v>
      </c>
      <c r="H5661" t="s">
        <v>2466</v>
      </c>
      <c r="I5661">
        <v>50</v>
      </c>
      <c r="J5661" s="15"/>
      <c r="K5661" s="16">
        <f>157.18 - (157.18 * $E$1)</f>
        <v>157.18</v>
      </c>
      <c r="L5661" s="16">
        <f>128.84 - (128.84 * $E$1)</f>
        <v>128.84</v>
      </c>
      <c r="M5661" s="1">
        <v>157.18</v>
      </c>
      <c r="N5661" s="1">
        <v>128.84</v>
      </c>
      <c r="O5661" s="1">
        <v>133.61000000000001</v>
      </c>
      <c r="P5661" s="1">
        <v>109.51</v>
      </c>
      <c r="Q5661">
        <v>0.14399999999999999</v>
      </c>
      <c r="R5661">
        <v>8.1355999999999996E-4</v>
      </c>
    </row>
    <row r="5662" spans="1:18" ht="13.8" outlineLevel="2" x14ac:dyDescent="0.25">
      <c r="A5662">
        <v>88463</v>
      </c>
      <c r="B5662" t="s">
        <v>7869</v>
      </c>
      <c r="C5662" t="s">
        <v>7981</v>
      </c>
      <c r="D5662" s="14" t="s">
        <v>7977</v>
      </c>
      <c r="E5662" s="12" t="s">
        <v>28</v>
      </c>
      <c r="F5662" s="13" t="s">
        <v>29</v>
      </c>
      <c r="G5662">
        <v>50</v>
      </c>
      <c r="H5662" t="s">
        <v>2466</v>
      </c>
      <c r="I5662">
        <v>50</v>
      </c>
      <c r="J5662" s="15"/>
      <c r="K5662" s="16">
        <f>174.16 - (174.16 * $E$1)</f>
        <v>174.16</v>
      </c>
      <c r="L5662" s="16">
        <f>142.75 - (142.75 * $E$1)</f>
        <v>142.75</v>
      </c>
      <c r="M5662" s="1">
        <v>174.16</v>
      </c>
      <c r="N5662" s="1">
        <v>142.75</v>
      </c>
      <c r="O5662" s="1">
        <v>148.03</v>
      </c>
      <c r="P5662" s="1">
        <v>121.34</v>
      </c>
      <c r="Q5662">
        <v>0.17</v>
      </c>
      <c r="R5662">
        <v>1.1000000000000001E-3</v>
      </c>
    </row>
    <row r="5663" spans="1:18" ht="13.8" outlineLevel="2" x14ac:dyDescent="0.25">
      <c r="A5663">
        <v>88464</v>
      </c>
      <c r="B5663" t="s">
        <v>7869</v>
      </c>
      <c r="C5663" t="s">
        <v>7982</v>
      </c>
      <c r="D5663" s="14" t="s">
        <v>7977</v>
      </c>
      <c r="E5663" s="12" t="s">
        <v>28</v>
      </c>
      <c r="F5663" s="13" t="s">
        <v>29</v>
      </c>
      <c r="G5663">
        <v>50</v>
      </c>
      <c r="H5663" t="s">
        <v>2466</v>
      </c>
      <c r="I5663">
        <v>50</v>
      </c>
      <c r="J5663" s="15"/>
      <c r="K5663" s="16">
        <f>183.48 - (183.48 * $E$1)</f>
        <v>183.48</v>
      </c>
      <c r="L5663" s="16">
        <f>150.39 - (150.39 * $E$1)</f>
        <v>150.38999999999999</v>
      </c>
      <c r="M5663" s="1">
        <v>183.48</v>
      </c>
      <c r="N5663" s="1">
        <v>150.38999999999999</v>
      </c>
      <c r="O5663" s="1">
        <v>155.94999999999999</v>
      </c>
      <c r="P5663" s="1">
        <v>127.83</v>
      </c>
      <c r="Q5663">
        <v>0.19400000000000001</v>
      </c>
      <c r="R5663">
        <v>8.8199999999999997E-4</v>
      </c>
    </row>
    <row r="5664" spans="1:18" ht="13.8" outlineLevel="2" x14ac:dyDescent="0.25">
      <c r="A5664">
        <v>88465</v>
      </c>
      <c r="B5664" t="s">
        <v>7869</v>
      </c>
      <c r="C5664" t="s">
        <v>7983</v>
      </c>
      <c r="D5664" s="14" t="s">
        <v>7977</v>
      </c>
      <c r="E5664" s="12" t="s">
        <v>28</v>
      </c>
      <c r="F5664" s="13" t="s">
        <v>29</v>
      </c>
      <c r="G5664">
        <v>50</v>
      </c>
      <c r="H5664" t="s">
        <v>2466</v>
      </c>
      <c r="I5664">
        <v>50</v>
      </c>
      <c r="J5664" s="15"/>
      <c r="K5664" s="16">
        <f>205.7 - (205.7 * $E$1)</f>
        <v>205.7</v>
      </c>
      <c r="L5664" s="16">
        <f>168.61 - (168.61 * $E$1)</f>
        <v>168.61</v>
      </c>
      <c r="M5664" s="1">
        <v>205.7</v>
      </c>
      <c r="N5664" s="1">
        <v>168.61</v>
      </c>
      <c r="O5664" s="1">
        <v>174.85</v>
      </c>
      <c r="P5664" s="1">
        <v>143.32</v>
      </c>
      <c r="Q5664">
        <v>0.20399999999999999</v>
      </c>
      <c r="R5664">
        <v>1.1000000000000001E-3</v>
      </c>
    </row>
    <row r="5665" spans="1:18" ht="13.8" outlineLevel="2" x14ac:dyDescent="0.25">
      <c r="A5665">
        <v>88466</v>
      </c>
      <c r="B5665" t="s">
        <v>7869</v>
      </c>
      <c r="C5665" t="s">
        <v>7984</v>
      </c>
      <c r="D5665" s="14" t="s">
        <v>7977</v>
      </c>
      <c r="E5665" s="12" t="s">
        <v>28</v>
      </c>
      <c r="F5665" s="13" t="s">
        <v>29</v>
      </c>
      <c r="G5665">
        <v>50</v>
      </c>
      <c r="H5665" t="s">
        <v>2466</v>
      </c>
      <c r="I5665">
        <v>50</v>
      </c>
      <c r="J5665" s="15"/>
      <c r="K5665" s="16">
        <f>230.23 - (230.23 * $E$1)</f>
        <v>230.23</v>
      </c>
      <c r="L5665" s="16">
        <f>188.71 - (188.71 * $E$1)</f>
        <v>188.71</v>
      </c>
      <c r="M5665" s="1">
        <v>230.23</v>
      </c>
      <c r="N5665" s="1">
        <v>188.71</v>
      </c>
      <c r="O5665" s="1">
        <v>195.69</v>
      </c>
      <c r="P5665" s="1">
        <v>160.4</v>
      </c>
      <c r="Q5665">
        <v>0.25600000000000001</v>
      </c>
      <c r="R5665">
        <v>1.4519999999999999E-3</v>
      </c>
    </row>
    <row r="5666" spans="1:18" ht="13.8" outlineLevel="2" x14ac:dyDescent="0.25">
      <c r="A5666">
        <v>88467</v>
      </c>
      <c r="B5666" t="s">
        <v>7869</v>
      </c>
      <c r="C5666" t="s">
        <v>7985</v>
      </c>
      <c r="D5666" s="14" t="s">
        <v>7977</v>
      </c>
      <c r="E5666" s="12" t="s">
        <v>28</v>
      </c>
      <c r="F5666" s="13" t="s">
        <v>29</v>
      </c>
      <c r="G5666">
        <v>25</v>
      </c>
      <c r="H5666" t="s">
        <v>2466</v>
      </c>
      <c r="I5666">
        <v>25</v>
      </c>
      <c r="J5666" s="15"/>
      <c r="K5666" s="16">
        <f>371.48 - (371.48 * $E$1)</f>
        <v>371.48</v>
      </c>
      <c r="L5666" s="16">
        <f>304.49 - (304.49 * $E$1)</f>
        <v>304.49</v>
      </c>
      <c r="M5666" s="1">
        <v>371.48</v>
      </c>
      <c r="N5666" s="1">
        <v>304.49</v>
      </c>
      <c r="O5666" s="1">
        <v>315.76</v>
      </c>
      <c r="P5666" s="1">
        <v>258.82</v>
      </c>
      <c r="Q5666">
        <v>0.41599999999999998</v>
      </c>
      <c r="R5666">
        <v>2.2000000000000001E-3</v>
      </c>
    </row>
    <row r="5667" spans="1:18" ht="13.8" outlineLevel="2" x14ac:dyDescent="0.25">
      <c r="A5667">
        <v>88468</v>
      </c>
      <c r="B5667" t="s">
        <v>7869</v>
      </c>
      <c r="C5667" t="s">
        <v>7986</v>
      </c>
      <c r="D5667" s="14" t="s">
        <v>7977</v>
      </c>
      <c r="E5667" s="12" t="s">
        <v>28</v>
      </c>
      <c r="F5667" s="13" t="s">
        <v>29</v>
      </c>
      <c r="G5667">
        <v>25</v>
      </c>
      <c r="H5667" t="s">
        <v>2466</v>
      </c>
      <c r="I5667">
        <v>25</v>
      </c>
      <c r="J5667" s="15"/>
      <c r="K5667" s="16">
        <f>467.27 - (467.27 * $E$1)</f>
        <v>467.27</v>
      </c>
      <c r="L5667" s="16">
        <f>383.01 - (383.01 * $E$1)</f>
        <v>383.01</v>
      </c>
      <c r="M5667" s="1">
        <v>467.27</v>
      </c>
      <c r="N5667" s="1">
        <v>383.01</v>
      </c>
      <c r="O5667" s="1">
        <v>397.18</v>
      </c>
      <c r="P5667" s="1">
        <v>325.56</v>
      </c>
      <c r="Q5667">
        <v>0.5</v>
      </c>
      <c r="R5667">
        <v>3.4810000000000002E-3</v>
      </c>
    </row>
    <row r="5668" spans="1:18" ht="13.8" outlineLevel="2" x14ac:dyDescent="0.25">
      <c r="A5668">
        <v>88469</v>
      </c>
      <c r="B5668" t="s">
        <v>7869</v>
      </c>
      <c r="C5668" t="s">
        <v>7987</v>
      </c>
      <c r="D5668" s="14" t="s">
        <v>7977</v>
      </c>
      <c r="E5668" s="12" t="s">
        <v>28</v>
      </c>
      <c r="F5668" s="13" t="s">
        <v>29</v>
      </c>
      <c r="G5668">
        <v>15</v>
      </c>
      <c r="H5668" t="s">
        <v>2466</v>
      </c>
      <c r="I5668">
        <v>15</v>
      </c>
      <c r="J5668" s="15"/>
      <c r="K5668" s="16">
        <f>618.34 - (618.34 * $E$1)</f>
        <v>618.34</v>
      </c>
      <c r="L5668" s="16">
        <f>506.84 - (506.84 * $E$1)</f>
        <v>506.84</v>
      </c>
      <c r="M5668" s="1">
        <v>618.34</v>
      </c>
      <c r="N5668" s="1">
        <v>506.84</v>
      </c>
      <c r="O5668" s="1">
        <v>525.59</v>
      </c>
      <c r="P5668" s="1">
        <v>430.81</v>
      </c>
      <c r="Q5668">
        <v>0.68</v>
      </c>
      <c r="R5668">
        <v>6.0000000000000001E-3</v>
      </c>
    </row>
    <row r="5669" spans="1:18" ht="13.8" outlineLevel="2" x14ac:dyDescent="0.25">
      <c r="A5669">
        <v>88456</v>
      </c>
      <c r="B5669" t="s">
        <v>7869</v>
      </c>
      <c r="C5669" t="s">
        <v>7988</v>
      </c>
      <c r="D5669" s="14" t="s">
        <v>7977</v>
      </c>
      <c r="E5669" s="12" t="s">
        <v>28</v>
      </c>
      <c r="F5669" s="13" t="s">
        <v>29</v>
      </c>
      <c r="G5669">
        <v>10</v>
      </c>
      <c r="H5669" t="s">
        <v>2466</v>
      </c>
      <c r="I5669">
        <v>10</v>
      </c>
      <c r="J5669" s="15"/>
      <c r="K5669" s="16">
        <f>859.29 - (859.29 * $E$1)</f>
        <v>859.29</v>
      </c>
      <c r="L5669" s="16">
        <f>704.34 - (704.34 * $E$1)</f>
        <v>704.34</v>
      </c>
      <c r="M5669" s="1">
        <v>859.29</v>
      </c>
      <c r="N5669" s="1">
        <v>704.34</v>
      </c>
      <c r="O5669" s="1">
        <v>730.4</v>
      </c>
      <c r="P5669" s="1">
        <v>598.69000000000005</v>
      </c>
      <c r="Q5669">
        <v>0.95</v>
      </c>
      <c r="R5669">
        <v>1.0985E-2</v>
      </c>
    </row>
    <row r="5670" spans="1:18" ht="13.8" outlineLevel="2" x14ac:dyDescent="0.25">
      <c r="A5670">
        <v>88457</v>
      </c>
      <c r="B5670" t="s">
        <v>7869</v>
      </c>
      <c r="C5670" t="s">
        <v>7989</v>
      </c>
      <c r="D5670" s="14" t="s">
        <v>7977</v>
      </c>
      <c r="E5670" s="12" t="s">
        <v>28</v>
      </c>
      <c r="F5670" s="13" t="s">
        <v>29</v>
      </c>
      <c r="G5670">
        <v>10</v>
      </c>
      <c r="H5670" t="s">
        <v>2466</v>
      </c>
      <c r="I5670">
        <v>10</v>
      </c>
      <c r="J5670" s="15"/>
      <c r="K5670" s="16">
        <f>1199.57 - (1199.57 * $E$1)</f>
        <v>1199.57</v>
      </c>
      <c r="L5670" s="16">
        <f>983.25 - (983.25 * $E$1)</f>
        <v>983.25</v>
      </c>
      <c r="M5670" s="1">
        <v>1199.57</v>
      </c>
      <c r="N5670" s="1">
        <v>983.25</v>
      </c>
      <c r="O5670" s="1">
        <v>1019.63</v>
      </c>
      <c r="P5670" s="1">
        <v>835.76</v>
      </c>
      <c r="Q5670">
        <v>1.24</v>
      </c>
      <c r="R5670">
        <v>2.2562499999999999E-2</v>
      </c>
    </row>
    <row r="5671" spans="1:18" ht="13.8" outlineLevel="2" x14ac:dyDescent="0.25">
      <c r="A5671">
        <v>88458</v>
      </c>
      <c r="B5671" t="s">
        <v>7869</v>
      </c>
      <c r="C5671" t="s">
        <v>7990</v>
      </c>
      <c r="D5671" s="14" t="s">
        <v>7977</v>
      </c>
      <c r="E5671" s="12" t="s">
        <v>28</v>
      </c>
      <c r="F5671" s="13" t="s">
        <v>29</v>
      </c>
      <c r="G5671">
        <v>10</v>
      </c>
      <c r="H5671" t="s">
        <v>2466</v>
      </c>
      <c r="I5671">
        <v>10</v>
      </c>
      <c r="J5671" s="15"/>
      <c r="K5671" s="16">
        <f>2537.08 - (2537.08 * $E$1)</f>
        <v>2537.08</v>
      </c>
      <c r="L5671" s="16">
        <f>2079.57 - (2079.57 * $E$1)</f>
        <v>2079.5700000000002</v>
      </c>
      <c r="M5671" s="1">
        <v>2537.08</v>
      </c>
      <c r="N5671" s="1">
        <v>2079.5700000000002</v>
      </c>
      <c r="O5671" s="1">
        <v>2156.5100000000002</v>
      </c>
      <c r="P5671" s="1">
        <v>1767.63</v>
      </c>
      <c r="Q5671">
        <v>1.9</v>
      </c>
      <c r="R5671">
        <v>2.4299999999999999E-2</v>
      </c>
    </row>
    <row r="5672" spans="1:18" ht="13.8" outlineLevel="2" x14ac:dyDescent="0.25">
      <c r="A5672">
        <v>88485</v>
      </c>
      <c r="B5672" t="s">
        <v>7869</v>
      </c>
      <c r="C5672" t="s">
        <v>7991</v>
      </c>
      <c r="D5672" s="14" t="s">
        <v>7992</v>
      </c>
      <c r="E5672" s="12" t="s">
        <v>28</v>
      </c>
      <c r="F5672" s="13" t="s">
        <v>29</v>
      </c>
      <c r="G5672">
        <v>100</v>
      </c>
      <c r="H5672" t="s">
        <v>2466</v>
      </c>
      <c r="I5672">
        <v>100</v>
      </c>
      <c r="J5672" s="15"/>
      <c r="K5672" s="16">
        <f>126.88 - (126.88 * $E$1)</f>
        <v>126.88</v>
      </c>
      <c r="L5672" s="16">
        <f>104 - (104 * $E$1)</f>
        <v>104</v>
      </c>
      <c r="M5672" s="1">
        <v>126.88</v>
      </c>
      <c r="N5672" s="1">
        <v>104</v>
      </c>
      <c r="O5672" s="1">
        <v>107.85</v>
      </c>
      <c r="P5672" s="1">
        <v>88.4</v>
      </c>
      <c r="Q5672">
        <v>0.11</v>
      </c>
      <c r="R5672">
        <v>3.5199999999999999E-4</v>
      </c>
    </row>
    <row r="5673" spans="1:18" ht="13.8" outlineLevel="2" x14ac:dyDescent="0.25">
      <c r="A5673">
        <v>88486</v>
      </c>
      <c r="B5673" t="s">
        <v>7869</v>
      </c>
      <c r="C5673" t="s">
        <v>7993</v>
      </c>
      <c r="D5673" s="14" t="s">
        <v>7992</v>
      </c>
      <c r="E5673" s="12" t="s">
        <v>28</v>
      </c>
      <c r="F5673" s="13" t="s">
        <v>29</v>
      </c>
      <c r="G5673">
        <v>100</v>
      </c>
      <c r="H5673" t="s">
        <v>2466</v>
      </c>
      <c r="I5673">
        <v>100</v>
      </c>
      <c r="J5673" s="15"/>
      <c r="K5673" s="16">
        <f>132.42 - (132.42 * $E$1)</f>
        <v>132.41999999999999</v>
      </c>
      <c r="L5673" s="16">
        <f>108.54 - (108.54 * $E$1)</f>
        <v>108.54</v>
      </c>
      <c r="M5673" s="1">
        <v>132.41999999999999</v>
      </c>
      <c r="N5673" s="1">
        <v>108.54</v>
      </c>
      <c r="O5673" s="1">
        <v>112.56</v>
      </c>
      <c r="P5673" s="1">
        <v>92.26</v>
      </c>
      <c r="Q5673">
        <v>0.125</v>
      </c>
      <c r="R5673">
        <v>4.4099999999999999E-4</v>
      </c>
    </row>
    <row r="5674" spans="1:18" ht="13.8" outlineLevel="2" x14ac:dyDescent="0.25">
      <c r="A5674">
        <v>88487</v>
      </c>
      <c r="B5674" t="s">
        <v>7869</v>
      </c>
      <c r="C5674" t="s">
        <v>7994</v>
      </c>
      <c r="D5674" s="14" t="s">
        <v>7992</v>
      </c>
      <c r="E5674" s="12" t="s">
        <v>28</v>
      </c>
      <c r="F5674" s="13" t="s">
        <v>29</v>
      </c>
      <c r="G5674">
        <v>50</v>
      </c>
      <c r="H5674" t="s">
        <v>2466</v>
      </c>
      <c r="I5674">
        <v>50</v>
      </c>
      <c r="J5674" s="15"/>
      <c r="K5674" s="16">
        <f>153.67 - (153.67 * $E$1)</f>
        <v>153.66999999999999</v>
      </c>
      <c r="L5674" s="16">
        <f>125.96 - (125.96 * $E$1)</f>
        <v>125.96</v>
      </c>
      <c r="M5674" s="1">
        <v>153.66999999999999</v>
      </c>
      <c r="N5674" s="1">
        <v>125.96</v>
      </c>
      <c r="O5674" s="1">
        <v>130.62</v>
      </c>
      <c r="P5674" s="1">
        <v>107.07</v>
      </c>
      <c r="Q5674">
        <v>0.14399999999999999</v>
      </c>
      <c r="R5674">
        <v>8.1355999999999996E-4</v>
      </c>
    </row>
    <row r="5675" spans="1:18" ht="13.8" outlineLevel="2" x14ac:dyDescent="0.25">
      <c r="A5675">
        <v>88488</v>
      </c>
      <c r="B5675" t="s">
        <v>7869</v>
      </c>
      <c r="C5675" t="s">
        <v>7995</v>
      </c>
      <c r="D5675" s="14" t="s">
        <v>7992</v>
      </c>
      <c r="E5675" s="12" t="s">
        <v>28</v>
      </c>
      <c r="F5675" s="13" t="s">
        <v>29</v>
      </c>
      <c r="G5675">
        <v>50</v>
      </c>
      <c r="H5675" t="s">
        <v>2466</v>
      </c>
      <c r="I5675">
        <v>50</v>
      </c>
      <c r="J5675" s="15"/>
      <c r="K5675" s="16">
        <f>158.86 - (158.86 * $E$1)</f>
        <v>158.86000000000001</v>
      </c>
      <c r="L5675" s="16">
        <f>130.21 - (130.21 * $E$1)</f>
        <v>130.21</v>
      </c>
      <c r="M5675" s="1">
        <v>158.86000000000001</v>
      </c>
      <c r="N5675" s="1">
        <v>130.21</v>
      </c>
      <c r="O5675" s="1">
        <v>135.03</v>
      </c>
      <c r="P5675" s="1">
        <v>110.68</v>
      </c>
      <c r="Q5675">
        <v>0.14399999999999999</v>
      </c>
      <c r="R5675">
        <v>7.3959999999999998E-4</v>
      </c>
    </row>
    <row r="5676" spans="1:18" ht="13.8" outlineLevel="2" x14ac:dyDescent="0.25">
      <c r="A5676">
        <v>88489</v>
      </c>
      <c r="B5676" t="s">
        <v>7869</v>
      </c>
      <c r="C5676" t="s">
        <v>7996</v>
      </c>
      <c r="D5676" s="14" t="s">
        <v>7992</v>
      </c>
      <c r="E5676" s="12" t="s">
        <v>28</v>
      </c>
      <c r="F5676" s="13" t="s">
        <v>29</v>
      </c>
      <c r="G5676">
        <v>50</v>
      </c>
      <c r="H5676" t="s">
        <v>2466</v>
      </c>
      <c r="I5676">
        <v>50</v>
      </c>
      <c r="J5676" s="15"/>
      <c r="K5676" s="16">
        <f>174.68 - (174.68 * $E$1)</f>
        <v>174.68</v>
      </c>
      <c r="L5676" s="16">
        <f>143.18 - (143.18 * $E$1)</f>
        <v>143.18</v>
      </c>
      <c r="M5676" s="1">
        <v>174.68</v>
      </c>
      <c r="N5676" s="1">
        <v>143.18</v>
      </c>
      <c r="O5676" s="1">
        <v>148.47999999999999</v>
      </c>
      <c r="P5676" s="1">
        <v>121.7</v>
      </c>
      <c r="Q5676">
        <v>0.17</v>
      </c>
      <c r="R5676">
        <v>8.4672000000000002E-4</v>
      </c>
    </row>
    <row r="5677" spans="1:18" ht="13.8" outlineLevel="2" x14ac:dyDescent="0.25">
      <c r="A5677">
        <v>88490</v>
      </c>
      <c r="B5677" t="s">
        <v>7869</v>
      </c>
      <c r="C5677" t="s">
        <v>7997</v>
      </c>
      <c r="D5677" s="14" t="s">
        <v>7992</v>
      </c>
      <c r="E5677" s="12" t="s">
        <v>28</v>
      </c>
      <c r="F5677" s="13" t="s">
        <v>29</v>
      </c>
      <c r="G5677">
        <v>50</v>
      </c>
      <c r="H5677" t="s">
        <v>2466</v>
      </c>
      <c r="I5677">
        <v>50</v>
      </c>
      <c r="J5677" s="15"/>
      <c r="K5677" s="16">
        <f>184.81 - (184.81 * $E$1)</f>
        <v>184.81</v>
      </c>
      <c r="L5677" s="16">
        <f>151.48 - (151.48 * $E$1)</f>
        <v>151.47999999999999</v>
      </c>
      <c r="M5677" s="1">
        <v>184.81</v>
      </c>
      <c r="N5677" s="1">
        <v>151.47999999999999</v>
      </c>
      <c r="O5677" s="1">
        <v>157.08000000000001</v>
      </c>
      <c r="P5677" s="1">
        <v>128.76</v>
      </c>
      <c r="Q5677">
        <v>0.19400000000000001</v>
      </c>
      <c r="R5677">
        <v>8.8199999999999997E-4</v>
      </c>
    </row>
    <row r="5678" spans="1:18" ht="13.8" outlineLevel="2" x14ac:dyDescent="0.25">
      <c r="A5678">
        <v>88491</v>
      </c>
      <c r="B5678" t="s">
        <v>7869</v>
      </c>
      <c r="C5678" t="s">
        <v>7998</v>
      </c>
      <c r="D5678" s="14" t="s">
        <v>7992</v>
      </c>
      <c r="E5678" s="12" t="s">
        <v>28</v>
      </c>
      <c r="F5678" s="13" t="s">
        <v>29</v>
      </c>
      <c r="G5678">
        <v>50</v>
      </c>
      <c r="H5678" t="s">
        <v>2466</v>
      </c>
      <c r="I5678">
        <v>50</v>
      </c>
      <c r="J5678" s="15"/>
      <c r="K5678" s="16">
        <f>206.66 - (206.66 * $E$1)</f>
        <v>206.66</v>
      </c>
      <c r="L5678" s="16">
        <f>169.39 - (169.39 * $E$1)</f>
        <v>169.39</v>
      </c>
      <c r="M5678" s="1">
        <v>206.66</v>
      </c>
      <c r="N5678" s="1">
        <v>169.39</v>
      </c>
      <c r="O5678" s="1">
        <v>175.66</v>
      </c>
      <c r="P5678" s="1">
        <v>143.97999999999999</v>
      </c>
      <c r="Q5678">
        <v>0.20399999999999999</v>
      </c>
      <c r="R5678">
        <v>1.1000000000000001E-3</v>
      </c>
    </row>
    <row r="5679" spans="1:18" ht="13.8" outlineLevel="2" x14ac:dyDescent="0.25">
      <c r="A5679">
        <v>88492</v>
      </c>
      <c r="B5679" t="s">
        <v>7869</v>
      </c>
      <c r="C5679" t="s">
        <v>7999</v>
      </c>
      <c r="D5679" s="14" t="s">
        <v>7992</v>
      </c>
      <c r="E5679" s="12" t="s">
        <v>28</v>
      </c>
      <c r="F5679" s="13" t="s">
        <v>29</v>
      </c>
      <c r="G5679">
        <v>50</v>
      </c>
      <c r="H5679" t="s">
        <v>2466</v>
      </c>
      <c r="I5679">
        <v>50</v>
      </c>
      <c r="J5679" s="15"/>
      <c r="K5679" s="16">
        <f>234.58 - (234.58 * $E$1)</f>
        <v>234.58</v>
      </c>
      <c r="L5679" s="16">
        <f>192.28 - (192.28 * $E$1)</f>
        <v>192.28</v>
      </c>
      <c r="M5679" s="1">
        <v>234.58</v>
      </c>
      <c r="N5679" s="1">
        <v>192.28</v>
      </c>
      <c r="O5679" s="1">
        <v>199.39</v>
      </c>
      <c r="P5679" s="1">
        <v>163.44</v>
      </c>
      <c r="Q5679">
        <v>0.25600000000000001</v>
      </c>
      <c r="R5679">
        <v>1.4519999999999999E-3</v>
      </c>
    </row>
    <row r="5680" spans="1:18" ht="13.8" outlineLevel="2" x14ac:dyDescent="0.25">
      <c r="A5680">
        <v>88493</v>
      </c>
      <c r="B5680" t="s">
        <v>7869</v>
      </c>
      <c r="C5680" t="s">
        <v>8000</v>
      </c>
      <c r="D5680" s="14" t="s">
        <v>7992</v>
      </c>
      <c r="E5680" s="12" t="s">
        <v>28</v>
      </c>
      <c r="F5680" s="13" t="s">
        <v>29</v>
      </c>
      <c r="G5680">
        <v>25</v>
      </c>
      <c r="H5680" t="s">
        <v>2466</v>
      </c>
      <c r="I5680">
        <v>25</v>
      </c>
      <c r="J5680" s="15"/>
      <c r="K5680" s="16">
        <f>375.05 - (375.05 * $E$1)</f>
        <v>375.05</v>
      </c>
      <c r="L5680" s="16">
        <f>307.42 - (307.42 * $E$1)</f>
        <v>307.42</v>
      </c>
      <c r="M5680" s="1">
        <v>375.05</v>
      </c>
      <c r="N5680" s="1">
        <v>307.42</v>
      </c>
      <c r="O5680" s="1">
        <v>318.79000000000002</v>
      </c>
      <c r="P5680" s="1">
        <v>261.31</v>
      </c>
      <c r="Q5680">
        <v>0.41599999999999998</v>
      </c>
      <c r="R5680">
        <v>2.2000000000000001E-3</v>
      </c>
    </row>
    <row r="5681" spans="1:18" ht="13.8" outlineLevel="2" x14ac:dyDescent="0.25">
      <c r="A5681">
        <v>88494</v>
      </c>
      <c r="B5681" t="s">
        <v>7869</v>
      </c>
      <c r="C5681" t="s">
        <v>8001</v>
      </c>
      <c r="D5681" s="14" t="s">
        <v>7992</v>
      </c>
      <c r="E5681" s="12" t="s">
        <v>28</v>
      </c>
      <c r="F5681" s="13" t="s">
        <v>29</v>
      </c>
      <c r="G5681">
        <v>25</v>
      </c>
      <c r="H5681" t="s">
        <v>2466</v>
      </c>
      <c r="I5681">
        <v>25</v>
      </c>
      <c r="J5681" s="15"/>
      <c r="K5681" s="16">
        <f>479.46 - (479.46 * $E$1)</f>
        <v>479.46</v>
      </c>
      <c r="L5681" s="16">
        <f>393 - (393 * $E$1)</f>
        <v>393</v>
      </c>
      <c r="M5681" s="1">
        <v>479.46</v>
      </c>
      <c r="N5681" s="1">
        <v>393</v>
      </c>
      <c r="O5681" s="1">
        <v>407.54</v>
      </c>
      <c r="P5681" s="1">
        <v>334.05</v>
      </c>
      <c r="Q5681">
        <v>0.5</v>
      </c>
      <c r="R5681">
        <v>3.4810000000000002E-3</v>
      </c>
    </row>
    <row r="5682" spans="1:18" ht="13.8" outlineLevel="2" x14ac:dyDescent="0.25">
      <c r="A5682">
        <v>88495</v>
      </c>
      <c r="B5682" t="s">
        <v>7869</v>
      </c>
      <c r="C5682" t="s">
        <v>8002</v>
      </c>
      <c r="D5682" s="14" t="s">
        <v>7992</v>
      </c>
      <c r="E5682" s="12" t="s">
        <v>28</v>
      </c>
      <c r="F5682" s="13" t="s">
        <v>29</v>
      </c>
      <c r="G5682">
        <v>15</v>
      </c>
      <c r="H5682" t="s">
        <v>2466</v>
      </c>
      <c r="I5682">
        <v>15</v>
      </c>
      <c r="J5682" s="15"/>
      <c r="K5682" s="16">
        <f>627.21 - (627.21 * $E$1)</f>
        <v>627.21</v>
      </c>
      <c r="L5682" s="16">
        <f>514.11 - (514.11 * $E$1)</f>
        <v>514.11</v>
      </c>
      <c r="M5682" s="1">
        <v>627.21</v>
      </c>
      <c r="N5682" s="1">
        <v>514.11</v>
      </c>
      <c r="O5682" s="1">
        <v>533.13</v>
      </c>
      <c r="P5682" s="1">
        <v>436.99</v>
      </c>
      <c r="Q5682">
        <v>0.68</v>
      </c>
      <c r="R5682">
        <v>6.0000000000000001E-3</v>
      </c>
    </row>
    <row r="5683" spans="1:18" ht="13.8" outlineLevel="2" x14ac:dyDescent="0.25">
      <c r="A5683">
        <v>88482</v>
      </c>
      <c r="B5683" t="s">
        <v>7869</v>
      </c>
      <c r="C5683" t="s">
        <v>8003</v>
      </c>
      <c r="D5683" s="14" t="s">
        <v>7992</v>
      </c>
      <c r="E5683" s="12" t="s">
        <v>28</v>
      </c>
      <c r="F5683" s="13" t="s">
        <v>29</v>
      </c>
      <c r="G5683">
        <v>10</v>
      </c>
      <c r="H5683" t="s">
        <v>2466</v>
      </c>
      <c r="I5683">
        <v>10</v>
      </c>
      <c r="J5683" s="15"/>
      <c r="K5683" s="16">
        <f>882.88 - (882.88 * $E$1)</f>
        <v>882.88</v>
      </c>
      <c r="L5683" s="16">
        <f>723.67 - (723.67 * $E$1)</f>
        <v>723.67</v>
      </c>
      <c r="M5683" s="1">
        <v>882.88</v>
      </c>
      <c r="N5683" s="1">
        <v>723.67</v>
      </c>
      <c r="O5683" s="1">
        <v>750.45</v>
      </c>
      <c r="P5683" s="1">
        <v>615.12</v>
      </c>
      <c r="Q5683">
        <v>0.95</v>
      </c>
      <c r="R5683">
        <v>1.0985E-2</v>
      </c>
    </row>
    <row r="5684" spans="1:18" ht="13.8" outlineLevel="2" x14ac:dyDescent="0.25">
      <c r="A5684">
        <v>88483</v>
      </c>
      <c r="B5684" t="s">
        <v>7869</v>
      </c>
      <c r="C5684" t="s">
        <v>8004</v>
      </c>
      <c r="D5684" s="14" t="s">
        <v>7992</v>
      </c>
      <c r="E5684" s="12" t="s">
        <v>28</v>
      </c>
      <c r="F5684" s="13" t="s">
        <v>29</v>
      </c>
      <c r="G5684">
        <v>10</v>
      </c>
      <c r="H5684" t="s">
        <v>2466</v>
      </c>
      <c r="I5684">
        <v>10</v>
      </c>
      <c r="J5684" s="15"/>
      <c r="K5684" s="16">
        <f>1222.49 - (1222.49 * $E$1)</f>
        <v>1222.49</v>
      </c>
      <c r="L5684" s="16">
        <f>1002.04 - (1002.04 * $E$1)</f>
        <v>1002.04</v>
      </c>
      <c r="M5684" s="1">
        <v>1222.49</v>
      </c>
      <c r="N5684" s="1">
        <v>1002.04</v>
      </c>
      <c r="O5684" s="1">
        <v>1039.1199999999999</v>
      </c>
      <c r="P5684" s="1">
        <v>851.73</v>
      </c>
      <c r="Q5684">
        <v>1.24</v>
      </c>
      <c r="R5684">
        <v>2.2562499999999999E-2</v>
      </c>
    </row>
    <row r="5685" spans="1:18" ht="13.8" outlineLevel="2" x14ac:dyDescent="0.25">
      <c r="A5685">
        <v>88484</v>
      </c>
      <c r="B5685" t="s">
        <v>7869</v>
      </c>
      <c r="C5685" t="s">
        <v>8005</v>
      </c>
      <c r="D5685" s="14" t="s">
        <v>7992</v>
      </c>
      <c r="E5685" s="12" t="s">
        <v>28</v>
      </c>
      <c r="F5685" s="13" t="s">
        <v>29</v>
      </c>
      <c r="G5685">
        <v>10</v>
      </c>
      <c r="H5685" t="s">
        <v>2466</v>
      </c>
      <c r="I5685">
        <v>10</v>
      </c>
      <c r="J5685" s="15"/>
      <c r="K5685" s="16">
        <f>2528.77 - (2528.77 * $E$1)</f>
        <v>2528.77</v>
      </c>
      <c r="L5685" s="16">
        <f>2072.76 - (2072.76 * $E$1)</f>
        <v>2072.7600000000002</v>
      </c>
      <c r="M5685" s="1">
        <v>2528.77</v>
      </c>
      <c r="N5685" s="1">
        <v>2072.7600000000002</v>
      </c>
      <c r="O5685" s="1">
        <v>2149.4499999999998</v>
      </c>
      <c r="P5685" s="1">
        <v>1761.85</v>
      </c>
      <c r="Q5685">
        <v>1.9</v>
      </c>
      <c r="R5685">
        <v>2.4299999999999999E-2</v>
      </c>
    </row>
    <row r="5686" spans="1:18" ht="13.8" outlineLevel="2" x14ac:dyDescent="0.25">
      <c r="A5686">
        <v>83588</v>
      </c>
      <c r="B5686" t="s">
        <v>7869</v>
      </c>
      <c r="C5686" t="s">
        <v>8006</v>
      </c>
      <c r="D5686" s="14" t="s">
        <v>8007</v>
      </c>
      <c r="E5686" s="12" t="s">
        <v>28</v>
      </c>
      <c r="F5686" s="13" t="s">
        <v>29</v>
      </c>
      <c r="G5686">
        <v>50</v>
      </c>
      <c r="H5686" t="s">
        <v>2466</v>
      </c>
      <c r="I5686">
        <v>50</v>
      </c>
      <c r="J5686" s="15"/>
      <c r="K5686" s="16">
        <f>551.49 - (551.49 * $E$1)</f>
        <v>551.49</v>
      </c>
      <c r="L5686" s="16">
        <f>452.04 - (452.04 * $E$1)</f>
        <v>452.04</v>
      </c>
      <c r="M5686" s="1">
        <v>551.49</v>
      </c>
      <c r="N5686" s="1">
        <v>452.04</v>
      </c>
      <c r="O5686" s="1">
        <v>468.77</v>
      </c>
      <c r="P5686" s="1">
        <v>384.23</v>
      </c>
      <c r="Q5686">
        <v>0.32</v>
      </c>
      <c r="R5686">
        <v>8.0407999999999999E-4</v>
      </c>
    </row>
    <row r="5687" spans="1:18" ht="13.8" outlineLevel="2" x14ac:dyDescent="0.25">
      <c r="A5687">
        <v>83589</v>
      </c>
      <c r="B5687" t="s">
        <v>7869</v>
      </c>
      <c r="C5687" t="s">
        <v>8008</v>
      </c>
      <c r="D5687" s="14" t="s">
        <v>8007</v>
      </c>
      <c r="E5687" s="12" t="s">
        <v>28</v>
      </c>
      <c r="F5687" s="13" t="s">
        <v>29</v>
      </c>
      <c r="G5687">
        <v>50</v>
      </c>
      <c r="H5687" t="s">
        <v>2466</v>
      </c>
      <c r="I5687">
        <v>50</v>
      </c>
      <c r="J5687" s="15"/>
      <c r="K5687" s="16">
        <f>817.78 - (817.78 * $E$1)</f>
        <v>817.78</v>
      </c>
      <c r="L5687" s="16">
        <f>670.31 - (670.31 * $E$1)</f>
        <v>670.31</v>
      </c>
      <c r="M5687" s="1">
        <v>817.78</v>
      </c>
      <c r="N5687" s="1">
        <v>670.31</v>
      </c>
      <c r="O5687" s="1">
        <v>695.11</v>
      </c>
      <c r="P5687" s="1">
        <v>569.76</v>
      </c>
      <c r="Q5687">
        <v>0.41399999999999998</v>
      </c>
      <c r="R5687">
        <v>1.2359599999999999E-3</v>
      </c>
    </row>
    <row r="5688" spans="1:18" ht="13.8" outlineLevel="2" x14ac:dyDescent="0.25">
      <c r="A5688">
        <v>83590</v>
      </c>
      <c r="B5688" t="s">
        <v>7869</v>
      </c>
      <c r="C5688" t="s">
        <v>8009</v>
      </c>
      <c r="D5688" s="14" t="s">
        <v>8007</v>
      </c>
      <c r="E5688" s="12" t="s">
        <v>28</v>
      </c>
      <c r="F5688" s="13" t="s">
        <v>29</v>
      </c>
      <c r="G5688">
        <v>50</v>
      </c>
      <c r="H5688" t="s">
        <v>2466</v>
      </c>
      <c r="I5688">
        <v>50</v>
      </c>
      <c r="J5688" s="15"/>
      <c r="K5688" s="16">
        <f>1115.84 - (1115.84 * $E$1)</f>
        <v>1115.8399999999999</v>
      </c>
      <c r="L5688" s="16">
        <f>914.62 - (914.62 * $E$1)</f>
        <v>914.62</v>
      </c>
      <c r="M5688" s="1">
        <v>1115.8399999999999</v>
      </c>
      <c r="N5688" s="1">
        <v>914.62</v>
      </c>
      <c r="O5688" s="1">
        <v>948.46</v>
      </c>
      <c r="P5688" s="1">
        <v>777.43</v>
      </c>
      <c r="Q5688">
        <v>0.53600000000000003</v>
      </c>
      <c r="R5688">
        <v>1.872E-3</v>
      </c>
    </row>
    <row r="5689" spans="1:18" ht="13.8" outlineLevel="2" x14ac:dyDescent="0.25">
      <c r="A5689">
        <v>83591</v>
      </c>
      <c r="B5689" t="s">
        <v>7869</v>
      </c>
      <c r="C5689" t="s">
        <v>8010</v>
      </c>
      <c r="D5689" s="14" t="s">
        <v>8007</v>
      </c>
      <c r="E5689" s="12" t="s">
        <v>28</v>
      </c>
      <c r="F5689" s="13" t="s">
        <v>29</v>
      </c>
      <c r="G5689">
        <v>25</v>
      </c>
      <c r="H5689" t="s">
        <v>2466</v>
      </c>
      <c r="I5689">
        <v>25</v>
      </c>
      <c r="J5689" s="15"/>
      <c r="K5689" s="16">
        <f>2334.57 - (2334.57 * $E$1)</f>
        <v>2334.5700000000002</v>
      </c>
      <c r="L5689" s="16">
        <f>1913.58 - (1913.58 * $E$1)</f>
        <v>1913.58</v>
      </c>
      <c r="M5689" s="1">
        <v>2334.5700000000002</v>
      </c>
      <c r="N5689" s="1">
        <v>1913.58</v>
      </c>
      <c r="O5689" s="1">
        <v>1984.38</v>
      </c>
      <c r="P5689" s="1">
        <v>1626.54</v>
      </c>
      <c r="Q5689">
        <v>0.82799999999999996</v>
      </c>
      <c r="R5689">
        <v>7.6111199999999999E-3</v>
      </c>
    </row>
    <row r="5690" spans="1:18" ht="13.8" outlineLevel="2" x14ac:dyDescent="0.25">
      <c r="A5690">
        <v>83593</v>
      </c>
      <c r="B5690" t="s">
        <v>7869</v>
      </c>
      <c r="C5690" t="s">
        <v>8011</v>
      </c>
      <c r="D5690" s="14" t="s">
        <v>8007</v>
      </c>
      <c r="E5690" s="12" t="s">
        <v>28</v>
      </c>
      <c r="F5690" s="13" t="s">
        <v>29</v>
      </c>
      <c r="G5690">
        <v>15</v>
      </c>
      <c r="H5690" t="s">
        <v>2466</v>
      </c>
      <c r="I5690">
        <v>15</v>
      </c>
      <c r="J5690" s="15"/>
      <c r="K5690" s="16">
        <f>4694.65 - (4694.65 * $E$1)</f>
        <v>4694.6499999999996</v>
      </c>
      <c r="L5690" s="16">
        <f>3848.07 - (3848.07 * $E$1)</f>
        <v>3848.07</v>
      </c>
      <c r="M5690" s="1">
        <v>4694.6499999999996</v>
      </c>
      <c r="N5690" s="1">
        <v>3848.07</v>
      </c>
      <c r="O5690" s="1">
        <v>3990.45</v>
      </c>
      <c r="P5690" s="1">
        <v>3270.86</v>
      </c>
      <c r="Q5690">
        <v>1.56666666666667</v>
      </c>
      <c r="R5690">
        <v>1.5920133333333E-2</v>
      </c>
    </row>
    <row r="5691" spans="1:18" ht="13.8" outlineLevel="2" x14ac:dyDescent="0.25">
      <c r="A5691">
        <v>88399</v>
      </c>
      <c r="C5691" t="s">
        <v>8012</v>
      </c>
      <c r="D5691" s="14" t="s">
        <v>8013</v>
      </c>
      <c r="E5691" s="12" t="s">
        <v>28</v>
      </c>
      <c r="F5691" s="13" t="s">
        <v>29</v>
      </c>
      <c r="G5691">
        <v>100</v>
      </c>
      <c r="H5691" t="s">
        <v>2466</v>
      </c>
      <c r="I5691">
        <v>100</v>
      </c>
      <c r="J5691" s="15"/>
      <c r="K5691" s="16">
        <f>228.82 - (228.82 * $E$1)</f>
        <v>228.82</v>
      </c>
      <c r="L5691" s="16">
        <f>187.56 - (187.56 * $E$1)</f>
        <v>187.56</v>
      </c>
      <c r="M5691" s="1">
        <v>228.82</v>
      </c>
      <c r="N5691" s="1">
        <v>187.56</v>
      </c>
      <c r="O5691" s="1">
        <v>194.5</v>
      </c>
      <c r="P5691" s="1">
        <v>159.43</v>
      </c>
      <c r="Q5691">
        <v>0.215</v>
      </c>
      <c r="R5691">
        <v>6.0024999999999998E-4</v>
      </c>
    </row>
    <row r="5692" spans="1:18" ht="13.8" outlineLevel="2" x14ac:dyDescent="0.25">
      <c r="A5692">
        <v>88400</v>
      </c>
      <c r="B5692" t="s">
        <v>8014</v>
      </c>
      <c r="C5692" t="s">
        <v>8015</v>
      </c>
      <c r="D5692" s="14" t="s">
        <v>8013</v>
      </c>
      <c r="E5692" s="12" t="s">
        <v>28</v>
      </c>
      <c r="F5692" s="13" t="s">
        <v>29</v>
      </c>
      <c r="G5692">
        <v>100</v>
      </c>
      <c r="H5692" t="s">
        <v>2466</v>
      </c>
      <c r="I5692">
        <v>100</v>
      </c>
      <c r="J5692" s="15"/>
      <c r="K5692" s="16">
        <f>205.9 - (205.9 * $E$1)</f>
        <v>205.9</v>
      </c>
      <c r="L5692" s="16">
        <f>168.77 - (168.77 * $E$1)</f>
        <v>168.77</v>
      </c>
      <c r="M5692" s="1">
        <v>205.9</v>
      </c>
      <c r="N5692" s="1">
        <v>168.77</v>
      </c>
      <c r="O5692" s="1">
        <v>175.01</v>
      </c>
      <c r="P5692" s="1">
        <v>143.44999999999999</v>
      </c>
      <c r="Q5692">
        <v>0.24299999999999999</v>
      </c>
      <c r="R5692">
        <v>6.0024999999999998E-4</v>
      </c>
    </row>
    <row r="5693" spans="1:18" ht="13.8" outlineLevel="2" x14ac:dyDescent="0.25">
      <c r="A5693">
        <v>87880</v>
      </c>
      <c r="B5693" t="s">
        <v>8014</v>
      </c>
      <c r="C5693" t="s">
        <v>8016</v>
      </c>
      <c r="D5693" s="14" t="s">
        <v>8013</v>
      </c>
      <c r="E5693" s="12" t="s">
        <v>28</v>
      </c>
      <c r="F5693" s="13" t="s">
        <v>29</v>
      </c>
      <c r="G5693">
        <v>50</v>
      </c>
      <c r="H5693" t="s">
        <v>2466</v>
      </c>
      <c r="I5693">
        <v>50</v>
      </c>
      <c r="J5693" s="15"/>
      <c r="K5693" s="16">
        <f>268.5 - (268.5 * $E$1)</f>
        <v>268.5</v>
      </c>
      <c r="L5693" s="16">
        <f>220.08 - (220.08 * $E$1)</f>
        <v>220.08</v>
      </c>
      <c r="M5693" s="1">
        <v>268.5</v>
      </c>
      <c r="N5693" s="1">
        <v>220.08</v>
      </c>
      <c r="O5693" s="1">
        <v>228.22</v>
      </c>
      <c r="P5693" s="1">
        <v>187.07</v>
      </c>
      <c r="Q5693">
        <v>0.312</v>
      </c>
      <c r="R5693">
        <v>1.0529999999999999E-3</v>
      </c>
    </row>
    <row r="5694" spans="1:18" ht="13.8" outlineLevel="2" x14ac:dyDescent="0.25">
      <c r="A5694">
        <v>87882</v>
      </c>
      <c r="B5694" t="s">
        <v>8014</v>
      </c>
      <c r="C5694" t="s">
        <v>8017</v>
      </c>
      <c r="D5694" s="14" t="s">
        <v>8013</v>
      </c>
      <c r="E5694" s="12" t="s">
        <v>28</v>
      </c>
      <c r="F5694" s="13" t="s">
        <v>29</v>
      </c>
      <c r="G5694">
        <v>50</v>
      </c>
      <c r="H5694" t="s">
        <v>2466</v>
      </c>
      <c r="I5694">
        <v>50</v>
      </c>
      <c r="J5694" s="15"/>
      <c r="K5694" s="16">
        <f>345.24 - (345.24 * $E$1)</f>
        <v>345.24</v>
      </c>
      <c r="L5694" s="16">
        <f>282.98 - (282.98 * $E$1)</f>
        <v>282.98</v>
      </c>
      <c r="M5694" s="1">
        <v>345.24</v>
      </c>
      <c r="N5694" s="1">
        <v>282.98</v>
      </c>
      <c r="O5694" s="1">
        <v>293.45</v>
      </c>
      <c r="P5694" s="1">
        <v>240.53</v>
      </c>
      <c r="Q5694">
        <v>0.36799999999999999</v>
      </c>
      <c r="R5694">
        <v>1.25E-3</v>
      </c>
    </row>
    <row r="5695" spans="1:18" ht="13.8" outlineLevel="2" x14ac:dyDescent="0.25">
      <c r="A5695">
        <v>87883</v>
      </c>
      <c r="B5695" t="s">
        <v>8014</v>
      </c>
      <c r="C5695" t="s">
        <v>8018</v>
      </c>
      <c r="D5695" s="14" t="s">
        <v>8013</v>
      </c>
      <c r="E5695" s="12" t="s">
        <v>28</v>
      </c>
      <c r="F5695" s="13" t="s">
        <v>29</v>
      </c>
      <c r="G5695">
        <v>50</v>
      </c>
      <c r="H5695" t="s">
        <v>2466</v>
      </c>
      <c r="I5695">
        <v>50</v>
      </c>
      <c r="J5695" s="15"/>
      <c r="K5695" s="16">
        <f>344.82 - (344.82 * $E$1)</f>
        <v>344.82</v>
      </c>
      <c r="L5695" s="16">
        <f>282.64 - (282.64 * $E$1)</f>
        <v>282.64</v>
      </c>
      <c r="M5695" s="1">
        <v>344.82</v>
      </c>
      <c r="N5695" s="1">
        <v>282.64</v>
      </c>
      <c r="O5695" s="1">
        <v>293.10000000000002</v>
      </c>
      <c r="P5695" s="1">
        <v>240.24</v>
      </c>
      <c r="Q5695">
        <v>0.40799999999999997</v>
      </c>
      <c r="R5695">
        <v>1.5052799999999999E-3</v>
      </c>
    </row>
    <row r="5696" spans="1:18" ht="13.8" outlineLevel="2" x14ac:dyDescent="0.25">
      <c r="A5696">
        <v>87884</v>
      </c>
      <c r="B5696" t="s">
        <v>8014</v>
      </c>
      <c r="C5696" t="s">
        <v>8019</v>
      </c>
      <c r="D5696" s="14" t="s">
        <v>8013</v>
      </c>
      <c r="E5696" s="12" t="s">
        <v>28</v>
      </c>
      <c r="F5696" s="13" t="s">
        <v>29</v>
      </c>
      <c r="G5696">
        <v>50</v>
      </c>
      <c r="H5696" t="s">
        <v>2466</v>
      </c>
      <c r="I5696">
        <v>50</v>
      </c>
      <c r="J5696" s="15"/>
      <c r="K5696" s="16">
        <f>428.24 - (428.24 * $E$1)</f>
        <v>428.24</v>
      </c>
      <c r="L5696" s="16">
        <f>351.02 - (351.02 * $E$1)</f>
        <v>351.02</v>
      </c>
      <c r="M5696" s="1">
        <v>428.24</v>
      </c>
      <c r="N5696" s="1">
        <v>351.02</v>
      </c>
      <c r="O5696" s="1">
        <v>364.01</v>
      </c>
      <c r="P5696" s="1">
        <v>298.37</v>
      </c>
      <c r="Q5696">
        <v>0.46600000000000003</v>
      </c>
      <c r="R5696">
        <v>1.5052799999999999E-3</v>
      </c>
    </row>
    <row r="5697" spans="1:18" ht="13.8" outlineLevel="2" x14ac:dyDescent="0.25">
      <c r="A5697">
        <v>87885</v>
      </c>
      <c r="B5697" t="s">
        <v>8014</v>
      </c>
      <c r="C5697" t="s">
        <v>8020</v>
      </c>
      <c r="D5697" s="14" t="s">
        <v>8013</v>
      </c>
      <c r="E5697" s="12" t="s">
        <v>28</v>
      </c>
      <c r="F5697" s="13" t="s">
        <v>29</v>
      </c>
      <c r="G5697">
        <v>50</v>
      </c>
      <c r="H5697" t="s">
        <v>2466</v>
      </c>
      <c r="I5697">
        <v>50</v>
      </c>
      <c r="J5697" s="15"/>
      <c r="K5697" s="16">
        <f>428.35 - (428.35 * $E$1)</f>
        <v>428.35</v>
      </c>
      <c r="L5697" s="16">
        <f>351.11 - (351.11 * $E$1)</f>
        <v>351.11</v>
      </c>
      <c r="M5697" s="1">
        <v>428.35</v>
      </c>
      <c r="N5697" s="1">
        <v>351.11</v>
      </c>
      <c r="O5697" s="1">
        <v>364.1</v>
      </c>
      <c r="P5697" s="1">
        <v>298.44</v>
      </c>
      <c r="Q5697">
        <v>0.47</v>
      </c>
      <c r="R5697">
        <v>2.0885999999999999E-3</v>
      </c>
    </row>
    <row r="5698" spans="1:18" ht="13.8" outlineLevel="2" x14ac:dyDescent="0.25">
      <c r="A5698">
        <v>87887</v>
      </c>
      <c r="C5698" t="s">
        <v>8021</v>
      </c>
      <c r="D5698" s="14" t="s">
        <v>8013</v>
      </c>
      <c r="E5698" s="12" t="s">
        <v>28</v>
      </c>
      <c r="F5698" s="13" t="s">
        <v>29</v>
      </c>
      <c r="G5698">
        <v>25</v>
      </c>
      <c r="H5698" t="s">
        <v>2466</v>
      </c>
      <c r="I5698">
        <v>25</v>
      </c>
      <c r="J5698" s="15"/>
      <c r="K5698" s="16">
        <f>909.79 - (909.79 * $E$1)</f>
        <v>909.79</v>
      </c>
      <c r="L5698" s="16">
        <f>745.73 - (745.73 * $E$1)</f>
        <v>745.73</v>
      </c>
      <c r="M5698" s="1">
        <v>909.79</v>
      </c>
      <c r="N5698" s="1">
        <v>745.73</v>
      </c>
      <c r="O5698" s="1">
        <v>773.32</v>
      </c>
      <c r="P5698" s="1">
        <v>633.87</v>
      </c>
      <c r="Q5698">
        <v>1.0720000000000001</v>
      </c>
      <c r="R5698">
        <v>5.6249999999999998E-3</v>
      </c>
    </row>
    <row r="5699" spans="1:18" ht="13.8" outlineLevel="2" x14ac:dyDescent="0.25">
      <c r="A5699">
        <v>88401</v>
      </c>
      <c r="C5699" t="s">
        <v>8022</v>
      </c>
      <c r="D5699" s="14" t="s">
        <v>8023</v>
      </c>
      <c r="E5699" s="12" t="s">
        <v>28</v>
      </c>
      <c r="F5699" s="13" t="s">
        <v>29</v>
      </c>
      <c r="G5699">
        <v>100</v>
      </c>
      <c r="H5699" t="s">
        <v>2466</v>
      </c>
      <c r="I5699">
        <v>100</v>
      </c>
      <c r="J5699" s="15"/>
      <c r="K5699" s="16">
        <f>324.11 - (324.11 * $E$1)</f>
        <v>324.11</v>
      </c>
      <c r="L5699" s="16">
        <f>265.66 - (265.66 * $E$1)</f>
        <v>265.66000000000003</v>
      </c>
      <c r="M5699" s="1">
        <v>324.11</v>
      </c>
      <c r="N5699" s="1">
        <v>265.66000000000003</v>
      </c>
      <c r="O5699" s="1">
        <v>275.49</v>
      </c>
      <c r="P5699" s="1">
        <v>225.81</v>
      </c>
      <c r="Q5699">
        <v>0.2</v>
      </c>
      <c r="R5699">
        <v>4.86E-4</v>
      </c>
    </row>
    <row r="5700" spans="1:18" ht="13.8" outlineLevel="2" x14ac:dyDescent="0.25">
      <c r="A5700">
        <v>88402</v>
      </c>
      <c r="B5700" t="s">
        <v>8014</v>
      </c>
      <c r="C5700" t="s">
        <v>8024</v>
      </c>
      <c r="D5700" s="14" t="s">
        <v>8023</v>
      </c>
      <c r="E5700" s="12" t="s">
        <v>28</v>
      </c>
      <c r="F5700" s="13" t="s">
        <v>29</v>
      </c>
      <c r="G5700">
        <v>100</v>
      </c>
      <c r="H5700" t="s">
        <v>2466</v>
      </c>
      <c r="I5700">
        <v>100</v>
      </c>
      <c r="J5700" s="15"/>
      <c r="K5700" s="16">
        <f>285.75 - (285.75 * $E$1)</f>
        <v>285.75</v>
      </c>
      <c r="L5700" s="16">
        <f>234.22 - (234.22 * $E$1)</f>
        <v>234.22</v>
      </c>
      <c r="M5700" s="1">
        <v>285.75</v>
      </c>
      <c r="N5700" s="1">
        <v>234.22</v>
      </c>
      <c r="O5700" s="1">
        <v>242.89</v>
      </c>
      <c r="P5700" s="1">
        <v>199.09</v>
      </c>
      <c r="Q5700">
        <v>0.24299999999999999</v>
      </c>
      <c r="R5700">
        <v>6.0024999999999998E-4</v>
      </c>
    </row>
    <row r="5701" spans="1:18" ht="13.8" outlineLevel="2" x14ac:dyDescent="0.25">
      <c r="A5701">
        <v>88403</v>
      </c>
      <c r="B5701" t="s">
        <v>8014</v>
      </c>
      <c r="C5701" t="s">
        <v>8025</v>
      </c>
      <c r="D5701" s="14" t="s">
        <v>8023</v>
      </c>
      <c r="E5701" s="12" t="s">
        <v>28</v>
      </c>
      <c r="F5701" s="13" t="s">
        <v>29</v>
      </c>
      <c r="G5701">
        <v>50</v>
      </c>
      <c r="H5701" t="s">
        <v>2466</v>
      </c>
      <c r="I5701">
        <v>50</v>
      </c>
      <c r="J5701" s="15"/>
      <c r="K5701" s="16">
        <f>371.92 - (371.92 * $E$1)</f>
        <v>371.92</v>
      </c>
      <c r="L5701" s="16">
        <f>304.85 - (304.85 * $E$1)</f>
        <v>304.85000000000002</v>
      </c>
      <c r="M5701" s="1">
        <v>371.92</v>
      </c>
      <c r="N5701" s="1">
        <v>304.85000000000002</v>
      </c>
      <c r="O5701" s="1">
        <v>316.13</v>
      </c>
      <c r="P5701" s="1">
        <v>259.12</v>
      </c>
      <c r="Q5701">
        <v>0.312</v>
      </c>
      <c r="R5701">
        <v>1.0529999999999999E-3</v>
      </c>
    </row>
    <row r="5702" spans="1:18" ht="13.8" outlineLevel="2" x14ac:dyDescent="0.25">
      <c r="A5702">
        <v>88435</v>
      </c>
      <c r="B5702" t="s">
        <v>8014</v>
      </c>
      <c r="C5702" t="s">
        <v>8026</v>
      </c>
      <c r="D5702" s="14" t="s">
        <v>8023</v>
      </c>
      <c r="E5702" s="12" t="s">
        <v>28</v>
      </c>
      <c r="F5702" s="13" t="s">
        <v>29</v>
      </c>
      <c r="G5702">
        <v>50</v>
      </c>
      <c r="H5702" t="s">
        <v>2466</v>
      </c>
      <c r="I5702">
        <v>50</v>
      </c>
      <c r="J5702" s="15"/>
      <c r="K5702" s="16">
        <f>381.46 - (381.46 * $E$1)</f>
        <v>381.46</v>
      </c>
      <c r="L5702" s="16">
        <f>312.67 - (312.67 * $E$1)</f>
        <v>312.67</v>
      </c>
      <c r="M5702" s="1">
        <v>381.46</v>
      </c>
      <c r="N5702" s="1">
        <v>312.67</v>
      </c>
      <c r="O5702" s="1">
        <v>324.24</v>
      </c>
      <c r="P5702" s="1">
        <v>265.77</v>
      </c>
      <c r="Q5702">
        <v>0.312</v>
      </c>
      <c r="R5702">
        <v>1.0529999999999999E-3</v>
      </c>
    </row>
    <row r="5703" spans="1:18" ht="13.8" outlineLevel="2" x14ac:dyDescent="0.25">
      <c r="A5703">
        <v>88436</v>
      </c>
      <c r="B5703" t="s">
        <v>8014</v>
      </c>
      <c r="C5703" t="s">
        <v>8027</v>
      </c>
      <c r="D5703" s="14" t="s">
        <v>8023</v>
      </c>
      <c r="E5703" s="12" t="s">
        <v>28</v>
      </c>
      <c r="F5703" s="13" t="s">
        <v>29</v>
      </c>
      <c r="G5703">
        <v>50</v>
      </c>
      <c r="H5703" t="s">
        <v>2466</v>
      </c>
      <c r="I5703">
        <v>50</v>
      </c>
      <c r="J5703" s="15"/>
      <c r="K5703" s="16">
        <f>476.69 - (476.69 * $E$1)</f>
        <v>476.69</v>
      </c>
      <c r="L5703" s="16">
        <f>390.73 - (390.73 * $E$1)</f>
        <v>390.73</v>
      </c>
      <c r="M5703" s="1">
        <v>476.69</v>
      </c>
      <c r="N5703" s="1">
        <v>390.73</v>
      </c>
      <c r="O5703" s="1">
        <v>405.19</v>
      </c>
      <c r="P5703" s="1">
        <v>332.12</v>
      </c>
      <c r="Q5703">
        <v>0.36799999999999999</v>
      </c>
      <c r="R5703">
        <v>1.25E-3</v>
      </c>
    </row>
    <row r="5704" spans="1:18" ht="13.8" outlineLevel="2" x14ac:dyDescent="0.25">
      <c r="A5704">
        <v>88404</v>
      </c>
      <c r="B5704" t="s">
        <v>8014</v>
      </c>
      <c r="C5704" t="s">
        <v>8028</v>
      </c>
      <c r="D5704" s="14" t="s">
        <v>8023</v>
      </c>
      <c r="E5704" s="12" t="s">
        <v>28</v>
      </c>
      <c r="F5704" s="13" t="s">
        <v>29</v>
      </c>
      <c r="G5704">
        <v>50</v>
      </c>
      <c r="H5704" t="s">
        <v>2466</v>
      </c>
      <c r="I5704">
        <v>50</v>
      </c>
      <c r="J5704" s="15"/>
      <c r="K5704" s="16">
        <f>476.03 - (476.03 * $E$1)</f>
        <v>476.03</v>
      </c>
      <c r="L5704" s="16">
        <f>390.19 - (390.19 * $E$1)</f>
        <v>390.19</v>
      </c>
      <c r="M5704" s="1">
        <v>476.03</v>
      </c>
      <c r="N5704" s="1">
        <v>390.19</v>
      </c>
      <c r="O5704" s="1">
        <v>404.63</v>
      </c>
      <c r="P5704" s="1">
        <v>331.66</v>
      </c>
      <c r="Q5704">
        <v>0.40799999999999997</v>
      </c>
      <c r="R5704">
        <v>1.5052799999999999E-3</v>
      </c>
    </row>
    <row r="5705" spans="1:18" ht="13.8" outlineLevel="2" x14ac:dyDescent="0.25">
      <c r="A5705">
        <v>88437</v>
      </c>
      <c r="B5705" t="s">
        <v>8014</v>
      </c>
      <c r="C5705" t="s">
        <v>8029</v>
      </c>
      <c r="D5705" s="14" t="s">
        <v>8023</v>
      </c>
      <c r="E5705" s="12" t="s">
        <v>28</v>
      </c>
      <c r="F5705" s="13" t="s">
        <v>29</v>
      </c>
      <c r="G5705">
        <v>50</v>
      </c>
      <c r="H5705" t="s">
        <v>2466</v>
      </c>
      <c r="I5705">
        <v>50</v>
      </c>
      <c r="J5705" s="15"/>
      <c r="K5705" s="16">
        <f>590.48 - (590.48 * $E$1)</f>
        <v>590.48</v>
      </c>
      <c r="L5705" s="16">
        <f>484 - (484 * $E$1)</f>
        <v>484</v>
      </c>
      <c r="M5705" s="1">
        <v>590.48</v>
      </c>
      <c r="N5705" s="1">
        <v>484</v>
      </c>
      <c r="O5705" s="1">
        <v>501.91</v>
      </c>
      <c r="P5705" s="1">
        <v>411.4</v>
      </c>
      <c r="Q5705">
        <v>0.46600000000000003</v>
      </c>
      <c r="R5705">
        <v>1.5052799999999999E-3</v>
      </c>
    </row>
    <row r="5706" spans="1:18" ht="13.8" outlineLevel="2" x14ac:dyDescent="0.25">
      <c r="A5706">
        <v>88405</v>
      </c>
      <c r="B5706" t="s">
        <v>8014</v>
      </c>
      <c r="C5706" t="s">
        <v>8030</v>
      </c>
      <c r="D5706" s="14" t="s">
        <v>8023</v>
      </c>
      <c r="E5706" s="12" t="s">
        <v>28</v>
      </c>
      <c r="F5706" s="13" t="s">
        <v>29</v>
      </c>
      <c r="G5706">
        <v>50</v>
      </c>
      <c r="H5706" t="s">
        <v>2466</v>
      </c>
      <c r="I5706">
        <v>50</v>
      </c>
      <c r="J5706" s="15"/>
      <c r="K5706" s="16">
        <f>590.91 - (590.91 * $E$1)</f>
        <v>590.91</v>
      </c>
      <c r="L5706" s="16">
        <f>484.35 - (484.35 * $E$1)</f>
        <v>484.35</v>
      </c>
      <c r="M5706" s="1">
        <v>590.91</v>
      </c>
      <c r="N5706" s="1">
        <v>484.35</v>
      </c>
      <c r="O5706" s="1">
        <v>502.27</v>
      </c>
      <c r="P5706" s="1">
        <v>411.7</v>
      </c>
      <c r="Q5706">
        <v>0.47</v>
      </c>
      <c r="R5706">
        <v>2.0885999999999999E-3</v>
      </c>
    </row>
    <row r="5707" spans="1:18" ht="13.8" outlineLevel="2" x14ac:dyDescent="0.25">
      <c r="A5707">
        <v>88406</v>
      </c>
      <c r="C5707" t="s">
        <v>8031</v>
      </c>
      <c r="D5707" s="14" t="s">
        <v>8023</v>
      </c>
      <c r="E5707" s="12" t="s">
        <v>28</v>
      </c>
      <c r="F5707" s="13" t="s">
        <v>29</v>
      </c>
      <c r="G5707">
        <v>25</v>
      </c>
      <c r="H5707" t="s">
        <v>2466</v>
      </c>
      <c r="I5707">
        <v>25</v>
      </c>
      <c r="J5707" s="15"/>
      <c r="K5707" s="16">
        <f>933.13 - (933.13 * $E$1)</f>
        <v>933.13</v>
      </c>
      <c r="L5707" s="16">
        <f>764.86 - (764.86 * $E$1)</f>
        <v>764.86</v>
      </c>
      <c r="M5707" s="1">
        <v>933.13</v>
      </c>
      <c r="N5707" s="1">
        <v>764.86</v>
      </c>
      <c r="O5707" s="1">
        <v>793.16</v>
      </c>
      <c r="P5707" s="1">
        <v>650.13</v>
      </c>
      <c r="Q5707">
        <v>0.92800000000000005</v>
      </c>
      <c r="R5707">
        <v>5.1840000000000002E-3</v>
      </c>
    </row>
    <row r="5708" spans="1:18" ht="13.8" outlineLevel="2" x14ac:dyDescent="0.25">
      <c r="A5708">
        <v>88407</v>
      </c>
      <c r="C5708" t="s">
        <v>8032</v>
      </c>
      <c r="D5708" s="14" t="s">
        <v>8023</v>
      </c>
      <c r="E5708" s="12" t="s">
        <v>28</v>
      </c>
      <c r="F5708" s="13" t="s">
        <v>29</v>
      </c>
      <c r="G5708">
        <v>25</v>
      </c>
      <c r="H5708" t="s">
        <v>2466</v>
      </c>
      <c r="I5708">
        <v>25</v>
      </c>
      <c r="J5708" s="15"/>
      <c r="K5708" s="16">
        <f>1254.23 - (1254.23 * $E$1)</f>
        <v>1254.23</v>
      </c>
      <c r="L5708" s="16">
        <f>1028.06 - (1028.06 * $E$1)</f>
        <v>1028.06</v>
      </c>
      <c r="M5708" s="1">
        <v>1254.23</v>
      </c>
      <c r="N5708" s="1">
        <v>1028.06</v>
      </c>
      <c r="O5708" s="1">
        <v>1066.0999999999999</v>
      </c>
      <c r="P5708" s="1">
        <v>873.85</v>
      </c>
      <c r="Q5708">
        <v>1.0720000000000001</v>
      </c>
      <c r="R5708">
        <v>5.6249999999999998E-3</v>
      </c>
    </row>
    <row r="5709" spans="1:18" ht="13.8" outlineLevel="2" x14ac:dyDescent="0.25">
      <c r="A5709">
        <v>83044</v>
      </c>
      <c r="B5709" t="s">
        <v>7869</v>
      </c>
      <c r="C5709" t="s">
        <v>8033</v>
      </c>
      <c r="D5709" s="14" t="s">
        <v>8034</v>
      </c>
      <c r="E5709" s="12" t="s">
        <v>28</v>
      </c>
      <c r="F5709" s="13" t="s">
        <v>29</v>
      </c>
      <c r="G5709">
        <v>100</v>
      </c>
      <c r="H5709" t="s">
        <v>2466</v>
      </c>
      <c r="I5709">
        <v>100</v>
      </c>
      <c r="J5709" s="15"/>
      <c r="K5709" s="16">
        <f>245.84 - (245.84 * $E$1)</f>
        <v>245.84</v>
      </c>
      <c r="L5709" s="16">
        <f>201.51 - (201.51 * $E$1)</f>
        <v>201.51</v>
      </c>
      <c r="M5709" s="1">
        <v>245.84</v>
      </c>
      <c r="N5709" s="1">
        <v>201.51</v>
      </c>
      <c r="O5709" s="1">
        <v>208.97</v>
      </c>
      <c r="P5709" s="1">
        <v>171.28</v>
      </c>
      <c r="Q5709">
        <v>8.2799999999999999E-2</v>
      </c>
      <c r="R5709">
        <v>1.907E-4</v>
      </c>
    </row>
    <row r="5710" spans="1:18" ht="13.8" outlineLevel="2" x14ac:dyDescent="0.25">
      <c r="A5710">
        <v>83045</v>
      </c>
      <c r="B5710" t="s">
        <v>7869</v>
      </c>
      <c r="C5710" t="s">
        <v>8035</v>
      </c>
      <c r="D5710" s="14" t="s">
        <v>8034</v>
      </c>
      <c r="E5710" s="12" t="s">
        <v>28</v>
      </c>
      <c r="F5710" s="13" t="s">
        <v>29</v>
      </c>
      <c r="G5710">
        <v>100</v>
      </c>
      <c r="H5710" t="s">
        <v>2466</v>
      </c>
      <c r="I5710">
        <v>100</v>
      </c>
      <c r="J5710" s="15"/>
      <c r="K5710" s="16">
        <f>264.83 - (264.83 * $E$1)</f>
        <v>264.83</v>
      </c>
      <c r="L5710" s="16">
        <f>217.07 - (217.07 * $E$1)</f>
        <v>217.07</v>
      </c>
      <c r="M5710" s="1">
        <v>264.83</v>
      </c>
      <c r="N5710" s="1">
        <v>217.07</v>
      </c>
      <c r="O5710" s="1">
        <v>225.1</v>
      </c>
      <c r="P5710" s="1">
        <v>184.51</v>
      </c>
      <c r="Q5710">
        <v>9.1999999999999998E-2</v>
      </c>
      <c r="R5710">
        <v>3.1941000000000001E-4</v>
      </c>
    </row>
    <row r="5711" spans="1:18" ht="13.8" outlineLevel="2" x14ac:dyDescent="0.25">
      <c r="A5711">
        <v>83046</v>
      </c>
      <c r="B5711" t="s">
        <v>7869</v>
      </c>
      <c r="C5711" t="s">
        <v>8036</v>
      </c>
      <c r="D5711" s="14" t="s">
        <v>8034</v>
      </c>
      <c r="E5711" s="12" t="s">
        <v>28</v>
      </c>
      <c r="F5711" s="13" t="s">
        <v>29</v>
      </c>
      <c r="G5711">
        <v>100</v>
      </c>
      <c r="H5711" t="s">
        <v>2466</v>
      </c>
      <c r="I5711">
        <v>100</v>
      </c>
      <c r="J5711" s="15"/>
      <c r="K5711" s="16">
        <f>293.43 - (293.43 * $E$1)</f>
        <v>293.43</v>
      </c>
      <c r="L5711" s="16">
        <f>240.52 - (240.52 * $E$1)</f>
        <v>240.52</v>
      </c>
      <c r="M5711" s="1">
        <v>293.43</v>
      </c>
      <c r="N5711" s="1">
        <v>240.52</v>
      </c>
      <c r="O5711" s="1">
        <v>249.42</v>
      </c>
      <c r="P5711" s="1">
        <v>204.44</v>
      </c>
      <c r="Q5711">
        <v>0.13600000000000001</v>
      </c>
      <c r="R5711">
        <v>2.7734999999999999E-4</v>
      </c>
    </row>
    <row r="5712" spans="1:18" ht="13.8" outlineLevel="2" x14ac:dyDescent="0.25">
      <c r="A5712">
        <v>83713</v>
      </c>
      <c r="B5712" t="s">
        <v>7869</v>
      </c>
      <c r="C5712" t="s">
        <v>8037</v>
      </c>
      <c r="D5712" s="14" t="s">
        <v>8034</v>
      </c>
      <c r="E5712" s="12" t="s">
        <v>28</v>
      </c>
      <c r="F5712" s="13" t="s">
        <v>29</v>
      </c>
      <c r="G5712">
        <v>100</v>
      </c>
      <c r="H5712" t="s">
        <v>2466</v>
      </c>
      <c r="I5712">
        <v>100</v>
      </c>
      <c r="J5712" s="15"/>
      <c r="K5712" s="16">
        <f>326.45 - (326.45 * $E$1)</f>
        <v>326.45</v>
      </c>
      <c r="L5712" s="16">
        <f>267.58 - (267.58 * $E$1)</f>
        <v>267.58</v>
      </c>
      <c r="M5712" s="1">
        <v>326.45</v>
      </c>
      <c r="N5712" s="1">
        <v>267.58</v>
      </c>
      <c r="O5712" s="1">
        <v>277.48</v>
      </c>
      <c r="P5712" s="1">
        <v>227.44</v>
      </c>
      <c r="Q5712">
        <v>0.125</v>
      </c>
      <c r="R5712">
        <v>4.0499999999999998E-4</v>
      </c>
    </row>
    <row r="5713" spans="1:18" ht="13.8" outlineLevel="2" x14ac:dyDescent="0.25">
      <c r="A5713">
        <v>83047</v>
      </c>
      <c r="B5713" t="s">
        <v>7869</v>
      </c>
      <c r="C5713" t="s">
        <v>8038</v>
      </c>
      <c r="D5713" s="14" t="s">
        <v>8034</v>
      </c>
      <c r="E5713" s="12" t="s">
        <v>28</v>
      </c>
      <c r="F5713" s="13" t="s">
        <v>29</v>
      </c>
      <c r="G5713">
        <v>50</v>
      </c>
      <c r="H5713" t="s">
        <v>2466</v>
      </c>
      <c r="I5713">
        <v>50</v>
      </c>
      <c r="J5713" s="15"/>
      <c r="K5713" s="16">
        <f>327.74 - (327.74 * $E$1)</f>
        <v>327.74</v>
      </c>
      <c r="L5713" s="16">
        <f>268.64 - (268.64 * $E$1)</f>
        <v>268.64</v>
      </c>
      <c r="M5713" s="1">
        <v>327.74</v>
      </c>
      <c r="N5713" s="1">
        <v>268.64</v>
      </c>
      <c r="O5713" s="1">
        <v>278.58</v>
      </c>
      <c r="P5713" s="1">
        <v>228.34</v>
      </c>
      <c r="Q5713">
        <v>0.16</v>
      </c>
      <c r="R5713">
        <v>8.1355999999999996E-4</v>
      </c>
    </row>
    <row r="5714" spans="1:18" ht="13.8" outlineLevel="2" x14ac:dyDescent="0.25">
      <c r="A5714">
        <v>87701</v>
      </c>
      <c r="B5714" t="s">
        <v>7869</v>
      </c>
      <c r="C5714" t="s">
        <v>8039</v>
      </c>
      <c r="D5714" s="14" t="s">
        <v>8034</v>
      </c>
      <c r="E5714" s="12" t="s">
        <v>28</v>
      </c>
      <c r="F5714" s="13" t="s">
        <v>29</v>
      </c>
      <c r="G5714">
        <v>50</v>
      </c>
      <c r="H5714" t="s">
        <v>2466</v>
      </c>
      <c r="I5714">
        <v>50</v>
      </c>
      <c r="J5714" s="15"/>
      <c r="K5714" s="16">
        <f>340.25 - (340.25 * $E$1)</f>
        <v>340.25</v>
      </c>
      <c r="L5714" s="16">
        <f>278.89 - (278.89 * $E$1)</f>
        <v>278.89</v>
      </c>
      <c r="M5714" s="1">
        <v>340.25</v>
      </c>
      <c r="N5714" s="1">
        <v>278.89</v>
      </c>
      <c r="O5714" s="1">
        <v>289.20999999999998</v>
      </c>
      <c r="P5714" s="1">
        <v>237.06</v>
      </c>
      <c r="Q5714">
        <v>0.16</v>
      </c>
      <c r="R5714">
        <v>8.1355999999999996E-4</v>
      </c>
    </row>
    <row r="5715" spans="1:18" ht="13.8" outlineLevel="2" x14ac:dyDescent="0.25">
      <c r="A5715">
        <v>83048</v>
      </c>
      <c r="B5715" t="s">
        <v>7869</v>
      </c>
      <c r="C5715" t="s">
        <v>8040</v>
      </c>
      <c r="D5715" s="14" t="s">
        <v>8034</v>
      </c>
      <c r="E5715" s="12" t="s">
        <v>28</v>
      </c>
      <c r="F5715" s="13" t="s">
        <v>29</v>
      </c>
      <c r="G5715">
        <v>50</v>
      </c>
      <c r="H5715" t="s">
        <v>2466</v>
      </c>
      <c r="I5715">
        <v>50</v>
      </c>
      <c r="J5715" s="15"/>
      <c r="K5715" s="16">
        <f>383.78 - (383.78 * $E$1)</f>
        <v>383.78</v>
      </c>
      <c r="L5715" s="16">
        <f>314.57 - (314.57 * $E$1)</f>
        <v>314.57</v>
      </c>
      <c r="M5715" s="1">
        <v>383.78</v>
      </c>
      <c r="N5715" s="1">
        <v>314.57</v>
      </c>
      <c r="O5715" s="1">
        <v>326.20999999999998</v>
      </c>
      <c r="P5715" s="1">
        <v>267.38</v>
      </c>
      <c r="Q5715">
        <v>0.14000000000000001</v>
      </c>
      <c r="R5715">
        <v>8.8752000000000004E-4</v>
      </c>
    </row>
    <row r="5716" spans="1:18" ht="13.8" outlineLevel="2" x14ac:dyDescent="0.25">
      <c r="A5716">
        <v>83049</v>
      </c>
      <c r="B5716" t="s">
        <v>7869</v>
      </c>
      <c r="C5716" t="s">
        <v>8041</v>
      </c>
      <c r="D5716" s="14" t="s">
        <v>8034</v>
      </c>
      <c r="E5716" s="12" t="s">
        <v>28</v>
      </c>
      <c r="F5716" s="13" t="s">
        <v>29</v>
      </c>
      <c r="G5716">
        <v>50</v>
      </c>
      <c r="H5716" t="s">
        <v>2466</v>
      </c>
      <c r="I5716">
        <v>50</v>
      </c>
      <c r="J5716" s="15"/>
      <c r="K5716" s="16">
        <f>416.26 - (416.26 * $E$1)</f>
        <v>416.26</v>
      </c>
      <c r="L5716" s="16">
        <f>341.2 - (341.2 * $E$1)</f>
        <v>341.2</v>
      </c>
      <c r="M5716" s="1">
        <v>416.26</v>
      </c>
      <c r="N5716" s="1">
        <v>341.2</v>
      </c>
      <c r="O5716" s="1">
        <v>353.82</v>
      </c>
      <c r="P5716" s="1">
        <v>290.02</v>
      </c>
      <c r="Q5716">
        <v>0.20399999999999999</v>
      </c>
      <c r="R5716">
        <v>8.8199999999999997E-4</v>
      </c>
    </row>
    <row r="5717" spans="1:18" ht="13.8" outlineLevel="2" x14ac:dyDescent="0.25">
      <c r="A5717">
        <v>83050</v>
      </c>
      <c r="B5717" t="s">
        <v>7869</v>
      </c>
      <c r="C5717" t="s">
        <v>8042</v>
      </c>
      <c r="D5717" s="14" t="s">
        <v>8034</v>
      </c>
      <c r="E5717" s="12" t="s">
        <v>28</v>
      </c>
      <c r="F5717" s="13" t="s">
        <v>29</v>
      </c>
      <c r="G5717">
        <v>50</v>
      </c>
      <c r="H5717" t="s">
        <v>2466</v>
      </c>
      <c r="I5717">
        <v>50</v>
      </c>
      <c r="J5717" s="15"/>
      <c r="K5717" s="16">
        <f>465.21 - (465.21 * $E$1)</f>
        <v>465.21</v>
      </c>
      <c r="L5717" s="16">
        <f>381.32 - (381.32 * $E$1)</f>
        <v>381.32</v>
      </c>
      <c r="M5717" s="1">
        <v>465.21</v>
      </c>
      <c r="N5717" s="1">
        <v>381.32</v>
      </c>
      <c r="O5717" s="1">
        <v>395.43</v>
      </c>
      <c r="P5717" s="1">
        <v>324.12</v>
      </c>
      <c r="Q5717">
        <v>0.18</v>
      </c>
      <c r="R5717">
        <v>9.2927999999999999E-4</v>
      </c>
    </row>
    <row r="5718" spans="1:18" ht="13.8" outlineLevel="2" x14ac:dyDescent="0.25">
      <c r="A5718">
        <v>83051</v>
      </c>
      <c r="B5718" t="s">
        <v>7869</v>
      </c>
      <c r="C5718" t="s">
        <v>8043</v>
      </c>
      <c r="D5718" s="14" t="s">
        <v>8034</v>
      </c>
      <c r="E5718" s="12" t="s">
        <v>28</v>
      </c>
      <c r="F5718" s="13" t="s">
        <v>29</v>
      </c>
      <c r="G5718">
        <v>50</v>
      </c>
      <c r="H5718" t="s">
        <v>2466</v>
      </c>
      <c r="I5718">
        <v>50</v>
      </c>
      <c r="J5718" s="15"/>
      <c r="K5718" s="16">
        <f>485.36 - (485.36 * $E$1)</f>
        <v>485.36</v>
      </c>
      <c r="L5718" s="16">
        <f>397.84 - (397.84 * $E$1)</f>
        <v>397.84</v>
      </c>
      <c r="M5718" s="1">
        <v>485.36</v>
      </c>
      <c r="N5718" s="1">
        <v>397.84</v>
      </c>
      <c r="O5718" s="1">
        <v>412.56</v>
      </c>
      <c r="P5718" s="1">
        <v>338.16</v>
      </c>
      <c r="Q5718">
        <v>0.28399999999999997</v>
      </c>
      <c r="R5718">
        <v>1.4519999999999999E-3</v>
      </c>
    </row>
    <row r="5719" spans="1:18" ht="13.8" outlineLevel="2" x14ac:dyDescent="0.25">
      <c r="A5719">
        <v>83052</v>
      </c>
      <c r="B5719" t="s">
        <v>7869</v>
      </c>
      <c r="C5719" t="s">
        <v>8044</v>
      </c>
      <c r="D5719" s="14" t="s">
        <v>8034</v>
      </c>
      <c r="E5719" s="12" t="s">
        <v>28</v>
      </c>
      <c r="F5719" s="13" t="s">
        <v>29</v>
      </c>
      <c r="G5719">
        <v>25</v>
      </c>
      <c r="H5719" t="s">
        <v>2466</v>
      </c>
      <c r="I5719">
        <v>25</v>
      </c>
      <c r="J5719" s="15"/>
      <c r="K5719" s="16">
        <f>794.93 - (794.93 * $E$1)</f>
        <v>794.93</v>
      </c>
      <c r="L5719" s="16">
        <f>651.58 - (651.58 * $E$1)</f>
        <v>651.58000000000004</v>
      </c>
      <c r="M5719" s="1">
        <v>794.93</v>
      </c>
      <c r="N5719" s="1">
        <v>651.58000000000004</v>
      </c>
      <c r="O5719" s="1">
        <v>675.69</v>
      </c>
      <c r="P5719" s="1">
        <v>553.84</v>
      </c>
      <c r="Q5719">
        <v>0.4</v>
      </c>
      <c r="R5719">
        <v>2.2000000000000001E-3</v>
      </c>
    </row>
    <row r="5720" spans="1:18" ht="13.8" outlineLevel="2" x14ac:dyDescent="0.25">
      <c r="A5720">
        <v>83053</v>
      </c>
      <c r="B5720" t="s">
        <v>7869</v>
      </c>
      <c r="C5720" t="s">
        <v>8045</v>
      </c>
      <c r="D5720" s="14" t="s">
        <v>8034</v>
      </c>
      <c r="E5720" s="12" t="s">
        <v>28</v>
      </c>
      <c r="F5720" s="13" t="s">
        <v>29</v>
      </c>
      <c r="G5720">
        <v>25</v>
      </c>
      <c r="H5720" t="s">
        <v>2466</v>
      </c>
      <c r="I5720">
        <v>25</v>
      </c>
      <c r="J5720" s="15"/>
      <c r="K5720" s="16">
        <f>1164.51 - (1164.51 * $E$1)</f>
        <v>1164.51</v>
      </c>
      <c r="L5720" s="16">
        <f>954.52 - (954.52 * $E$1)</f>
        <v>954.52</v>
      </c>
      <c r="M5720" s="1">
        <v>1164.51</v>
      </c>
      <c r="N5720" s="1">
        <v>954.52</v>
      </c>
      <c r="O5720" s="1">
        <v>989.84</v>
      </c>
      <c r="P5720" s="1">
        <v>811.34</v>
      </c>
      <c r="Q5720">
        <v>0.45600000000000002</v>
      </c>
      <c r="R5720">
        <v>3.4810000000000002E-3</v>
      </c>
    </row>
    <row r="5721" spans="1:18" ht="13.8" outlineLevel="2" x14ac:dyDescent="0.25">
      <c r="A5721">
        <v>83054</v>
      </c>
      <c r="B5721" t="s">
        <v>7869</v>
      </c>
      <c r="C5721" t="s">
        <v>8046</v>
      </c>
      <c r="D5721" s="14" t="s">
        <v>8034</v>
      </c>
      <c r="E5721" s="12" t="s">
        <v>28</v>
      </c>
      <c r="F5721" s="13" t="s">
        <v>29</v>
      </c>
      <c r="G5721">
        <v>15</v>
      </c>
      <c r="H5721" t="s">
        <v>2466</v>
      </c>
      <c r="I5721">
        <v>15</v>
      </c>
      <c r="J5721" s="15"/>
      <c r="K5721" s="16">
        <f>1484.89 - (1484.89 * $E$1)</f>
        <v>1484.89</v>
      </c>
      <c r="L5721" s="16">
        <f>1217.12 - (1217.12 * $E$1)</f>
        <v>1217.1199999999999</v>
      </c>
      <c r="M5721" s="1">
        <v>1484.89</v>
      </c>
      <c r="N5721" s="1">
        <v>1217.1199999999999</v>
      </c>
      <c r="O5721" s="1">
        <v>1262.1500000000001</v>
      </c>
      <c r="P5721" s="1">
        <v>1034.55</v>
      </c>
      <c r="Q5721">
        <v>0.68</v>
      </c>
      <c r="R5721">
        <v>6.2399999999999999E-3</v>
      </c>
    </row>
    <row r="5722" spans="1:18" ht="13.8" outlineLevel="2" x14ac:dyDescent="0.25">
      <c r="A5722">
        <v>83055</v>
      </c>
      <c r="B5722" t="s">
        <v>7869</v>
      </c>
      <c r="C5722" t="s">
        <v>8047</v>
      </c>
      <c r="D5722" s="14" t="s">
        <v>8034</v>
      </c>
      <c r="E5722" s="12" t="s">
        <v>28</v>
      </c>
      <c r="F5722" s="13" t="s">
        <v>29</v>
      </c>
      <c r="G5722">
        <v>10</v>
      </c>
      <c r="H5722" t="s">
        <v>2466</v>
      </c>
      <c r="I5722">
        <v>10</v>
      </c>
      <c r="J5722" s="15"/>
      <c r="K5722" s="16">
        <f>7344.83 - (7344.83 * $E$1)</f>
        <v>7344.83</v>
      </c>
      <c r="L5722" s="16">
        <f>6020.35 - (6020.35 * $E$1)</f>
        <v>6020.35</v>
      </c>
      <c r="M5722" s="1">
        <v>7344.83</v>
      </c>
      <c r="N5722" s="1">
        <v>6020.35</v>
      </c>
      <c r="O5722" s="1">
        <v>6243.1</v>
      </c>
      <c r="P5722" s="1">
        <v>5117.3</v>
      </c>
      <c r="Q5722">
        <v>1.26</v>
      </c>
      <c r="R5722">
        <v>1.0985E-2</v>
      </c>
    </row>
    <row r="5723" spans="1:18" ht="13.8" outlineLevel="2" x14ac:dyDescent="0.25">
      <c r="A5723">
        <v>83056</v>
      </c>
      <c r="B5723" t="s">
        <v>7869</v>
      </c>
      <c r="C5723" t="s">
        <v>8048</v>
      </c>
      <c r="D5723" s="14" t="s">
        <v>8034</v>
      </c>
      <c r="E5723" s="12" t="s">
        <v>28</v>
      </c>
      <c r="F5723" s="13" t="s">
        <v>29</v>
      </c>
      <c r="G5723">
        <v>10</v>
      </c>
      <c r="H5723" t="s">
        <v>2466</v>
      </c>
      <c r="I5723">
        <v>10</v>
      </c>
      <c r="J5723" s="15"/>
      <c r="K5723" s="16">
        <f>9937.1 - (9937.1 * $E$1)</f>
        <v>9937.1</v>
      </c>
      <c r="L5723" s="16">
        <f>8145.16 - (8145.16 * $E$1)</f>
        <v>8145.16</v>
      </c>
      <c r="M5723" s="1">
        <v>9937.1</v>
      </c>
      <c r="N5723" s="1">
        <v>8145.16</v>
      </c>
      <c r="O5723" s="1">
        <v>8446.5300000000007</v>
      </c>
      <c r="P5723" s="1">
        <v>6923.39</v>
      </c>
      <c r="Q5723">
        <v>1.49</v>
      </c>
      <c r="R5723">
        <v>2.2562499999999999E-2</v>
      </c>
    </row>
    <row r="5724" spans="1:18" ht="13.8" outlineLevel="2" x14ac:dyDescent="0.25">
      <c r="A5724">
        <v>82613</v>
      </c>
      <c r="B5724" t="s">
        <v>7869</v>
      </c>
      <c r="C5724" t="s">
        <v>8049</v>
      </c>
      <c r="D5724" s="14" t="s">
        <v>8050</v>
      </c>
      <c r="E5724" s="12" t="s">
        <v>28</v>
      </c>
      <c r="F5724" s="13" t="s">
        <v>29</v>
      </c>
      <c r="G5724">
        <v>50</v>
      </c>
      <c r="H5724" t="s">
        <v>2466</v>
      </c>
      <c r="I5724">
        <v>50</v>
      </c>
      <c r="J5724" s="15"/>
      <c r="K5724" s="16">
        <f>349.53 - (349.53 * $E$1)</f>
        <v>349.53</v>
      </c>
      <c r="L5724" s="16">
        <f>286.5 - (286.5 * $E$1)</f>
        <v>286.5</v>
      </c>
      <c r="M5724" s="1">
        <v>349.53</v>
      </c>
      <c r="N5724" s="1">
        <v>286.5</v>
      </c>
      <c r="O5724" s="1">
        <v>297.10000000000002</v>
      </c>
      <c r="P5724" s="1">
        <v>243.53</v>
      </c>
      <c r="Q5724">
        <v>0.16</v>
      </c>
      <c r="R5724">
        <v>8.1355999999999996E-4</v>
      </c>
    </row>
    <row r="5725" spans="1:18" ht="13.8" outlineLevel="2" x14ac:dyDescent="0.25">
      <c r="A5725">
        <v>87702</v>
      </c>
      <c r="B5725" t="s">
        <v>7869</v>
      </c>
      <c r="C5725" t="s">
        <v>8051</v>
      </c>
      <c r="D5725" s="14" t="s">
        <v>8050</v>
      </c>
      <c r="E5725" s="12" t="s">
        <v>28</v>
      </c>
      <c r="F5725" s="13" t="s">
        <v>29</v>
      </c>
      <c r="G5725">
        <v>50</v>
      </c>
      <c r="H5725" t="s">
        <v>2466</v>
      </c>
      <c r="I5725">
        <v>50</v>
      </c>
      <c r="J5725" s="15"/>
      <c r="K5725" s="16">
        <f>358.44 - (358.44 * $E$1)</f>
        <v>358.44</v>
      </c>
      <c r="L5725" s="16">
        <f>293.8 - (293.8 * $E$1)</f>
        <v>293.8</v>
      </c>
      <c r="M5725" s="1">
        <v>358.44</v>
      </c>
      <c r="N5725" s="1">
        <v>293.8</v>
      </c>
      <c r="O5725" s="1">
        <v>304.67</v>
      </c>
      <c r="P5725" s="1">
        <v>249.73</v>
      </c>
      <c r="Q5725">
        <v>0.16</v>
      </c>
      <c r="R5725">
        <v>8.1355999999999996E-4</v>
      </c>
    </row>
    <row r="5726" spans="1:18" ht="13.8" outlineLevel="2" x14ac:dyDescent="0.25">
      <c r="A5726">
        <v>83660</v>
      </c>
      <c r="B5726" t="s">
        <v>7869</v>
      </c>
      <c r="C5726" t="s">
        <v>8052</v>
      </c>
      <c r="D5726" s="14" t="s">
        <v>8050</v>
      </c>
      <c r="E5726" s="12" t="s">
        <v>28</v>
      </c>
      <c r="F5726" s="13" t="s">
        <v>29</v>
      </c>
      <c r="G5726">
        <v>50</v>
      </c>
      <c r="H5726" t="s">
        <v>2466</v>
      </c>
      <c r="I5726">
        <v>50</v>
      </c>
      <c r="J5726" s="15"/>
      <c r="K5726" s="16">
        <f>402.27 - (402.27 * $E$1)</f>
        <v>402.27</v>
      </c>
      <c r="L5726" s="16">
        <f>329.73 - (329.73 * $E$1)</f>
        <v>329.73</v>
      </c>
      <c r="M5726" s="1">
        <v>402.27</v>
      </c>
      <c r="N5726" s="1">
        <v>329.73</v>
      </c>
      <c r="O5726" s="1">
        <v>341.93</v>
      </c>
      <c r="P5726" s="1">
        <v>280.27</v>
      </c>
      <c r="Q5726">
        <v>0.17</v>
      </c>
      <c r="R5726">
        <v>8.8752000000000004E-4</v>
      </c>
    </row>
    <row r="5727" spans="1:18" ht="13.8" outlineLevel="2" x14ac:dyDescent="0.25">
      <c r="A5727">
        <v>82614</v>
      </c>
      <c r="B5727" t="s">
        <v>7869</v>
      </c>
      <c r="C5727" t="s">
        <v>8053</v>
      </c>
      <c r="D5727" s="14" t="s">
        <v>8050</v>
      </c>
      <c r="E5727" s="12" t="s">
        <v>28</v>
      </c>
      <c r="F5727" s="13" t="s">
        <v>29</v>
      </c>
      <c r="G5727">
        <v>50</v>
      </c>
      <c r="H5727" t="s">
        <v>2466</v>
      </c>
      <c r="I5727">
        <v>50</v>
      </c>
      <c r="J5727" s="15"/>
      <c r="K5727" s="16">
        <f>441.31 - (441.31 * $E$1)</f>
        <v>441.31</v>
      </c>
      <c r="L5727" s="16">
        <f>361.73 - (361.73 * $E$1)</f>
        <v>361.73</v>
      </c>
      <c r="M5727" s="1">
        <v>441.31</v>
      </c>
      <c r="N5727" s="1">
        <v>361.73</v>
      </c>
      <c r="O5727" s="1">
        <v>375.11</v>
      </c>
      <c r="P5727" s="1">
        <v>307.47000000000003</v>
      </c>
      <c r="Q5727">
        <v>0.20399999999999999</v>
      </c>
      <c r="R5727">
        <v>8.8199999999999997E-4</v>
      </c>
    </row>
    <row r="5728" spans="1:18" ht="13.8" outlineLevel="2" x14ac:dyDescent="0.25">
      <c r="A5728">
        <v>83661</v>
      </c>
      <c r="B5728" t="s">
        <v>7869</v>
      </c>
      <c r="C5728" t="s">
        <v>8054</v>
      </c>
      <c r="D5728" s="14" t="s">
        <v>8050</v>
      </c>
      <c r="E5728" s="12" t="s">
        <v>28</v>
      </c>
      <c r="F5728" s="13" t="s">
        <v>29</v>
      </c>
      <c r="G5728">
        <v>50</v>
      </c>
      <c r="H5728" t="s">
        <v>2466</v>
      </c>
      <c r="I5728">
        <v>50</v>
      </c>
      <c r="J5728" s="15"/>
      <c r="K5728" s="16">
        <f>492.47 - (492.47 * $E$1)</f>
        <v>492.47</v>
      </c>
      <c r="L5728" s="16">
        <f>403.66 - (403.66 * $E$1)</f>
        <v>403.66</v>
      </c>
      <c r="M5728" s="1">
        <v>492.47</v>
      </c>
      <c r="N5728" s="1">
        <v>403.66</v>
      </c>
      <c r="O5728" s="1">
        <v>418.6</v>
      </c>
      <c r="P5728" s="1">
        <v>343.11</v>
      </c>
      <c r="Q5728">
        <v>0.182</v>
      </c>
      <c r="R5728">
        <v>1.10446E-3</v>
      </c>
    </row>
    <row r="5729" spans="1:18" ht="13.8" outlineLevel="2" x14ac:dyDescent="0.25">
      <c r="A5729">
        <v>82615</v>
      </c>
      <c r="B5729" t="s">
        <v>7869</v>
      </c>
      <c r="C5729" t="s">
        <v>8055</v>
      </c>
      <c r="D5729" s="14" t="s">
        <v>8050</v>
      </c>
      <c r="E5729" s="12" t="s">
        <v>28</v>
      </c>
      <c r="F5729" s="13" t="s">
        <v>29</v>
      </c>
      <c r="G5729">
        <v>50</v>
      </c>
      <c r="H5729" t="s">
        <v>2466</v>
      </c>
      <c r="I5729">
        <v>50</v>
      </c>
      <c r="J5729" s="15"/>
      <c r="K5729" s="16">
        <f>514.79 - (514.79 * $E$1)</f>
        <v>514.79</v>
      </c>
      <c r="L5729" s="16">
        <f>421.96 - (421.96 * $E$1)</f>
        <v>421.96</v>
      </c>
      <c r="M5729" s="1">
        <v>514.79</v>
      </c>
      <c r="N5729" s="1">
        <v>421.96</v>
      </c>
      <c r="O5729" s="1">
        <v>437.57</v>
      </c>
      <c r="P5729" s="1">
        <v>358.67</v>
      </c>
      <c r="Q5729">
        <v>0.28399999999999997</v>
      </c>
      <c r="R5729">
        <v>1.4519999999999999E-3</v>
      </c>
    </row>
    <row r="5730" spans="1:18" ht="13.8" outlineLevel="2" x14ac:dyDescent="0.25">
      <c r="A5730">
        <v>104463</v>
      </c>
      <c r="B5730" t="s">
        <v>7869</v>
      </c>
      <c r="C5730" t="s">
        <v>8056</v>
      </c>
      <c r="D5730" s="14" t="s">
        <v>8050</v>
      </c>
      <c r="E5730" s="12" t="s">
        <v>28</v>
      </c>
      <c r="F5730" s="13" t="s">
        <v>29</v>
      </c>
      <c r="G5730">
        <v>25</v>
      </c>
      <c r="H5730" t="s">
        <v>2466</v>
      </c>
      <c r="I5730">
        <v>25</v>
      </c>
      <c r="J5730" s="15"/>
      <c r="K5730" s="16">
        <f>834.68 - (834.68 * $E$1)</f>
        <v>834.68</v>
      </c>
      <c r="L5730" s="16">
        <f>684.16 - (684.16 * $E$1)</f>
        <v>684.16</v>
      </c>
      <c r="M5730" s="1">
        <v>834.68</v>
      </c>
      <c r="N5730" s="1">
        <v>684.16</v>
      </c>
      <c r="O5730" s="1">
        <v>709.47</v>
      </c>
      <c r="P5730" s="1">
        <v>581.54</v>
      </c>
      <c r="Q5730">
        <v>0.42</v>
      </c>
      <c r="R5730">
        <v>2.2000000000000001E-3</v>
      </c>
    </row>
    <row r="5731" spans="1:18" ht="13.8" outlineLevel="2" x14ac:dyDescent="0.25">
      <c r="A5731">
        <v>104464</v>
      </c>
      <c r="B5731" t="s">
        <v>7869</v>
      </c>
      <c r="C5731" t="s">
        <v>8057</v>
      </c>
      <c r="D5731" s="14" t="s">
        <v>8050</v>
      </c>
      <c r="E5731" s="12" t="s">
        <v>28</v>
      </c>
      <c r="F5731" s="13" t="s">
        <v>29</v>
      </c>
      <c r="G5731">
        <v>25</v>
      </c>
      <c r="H5731" t="s">
        <v>2466</v>
      </c>
      <c r="I5731">
        <v>25</v>
      </c>
      <c r="J5731" s="15"/>
      <c r="K5731" s="16">
        <f>1222.76 - (1222.76 * $E$1)</f>
        <v>1222.76</v>
      </c>
      <c r="L5731" s="16">
        <f>1002.26 - (1002.26 * $E$1)</f>
        <v>1002.26</v>
      </c>
      <c r="M5731" s="1">
        <v>1222.76</v>
      </c>
      <c r="N5731" s="1">
        <v>1002.26</v>
      </c>
      <c r="O5731" s="1">
        <v>1039.3399999999999</v>
      </c>
      <c r="P5731" s="1">
        <v>851.92</v>
      </c>
      <c r="Q5731">
        <v>0.496</v>
      </c>
      <c r="R5731">
        <v>3.4810000000000002E-3</v>
      </c>
    </row>
    <row r="5732" spans="1:18" ht="13.8" outlineLevel="2" x14ac:dyDescent="0.25">
      <c r="A5732">
        <v>104465</v>
      </c>
      <c r="B5732" t="s">
        <v>7869</v>
      </c>
      <c r="C5732" t="s">
        <v>8058</v>
      </c>
      <c r="D5732" s="14" t="s">
        <v>8050</v>
      </c>
      <c r="E5732" s="12" t="s">
        <v>28</v>
      </c>
      <c r="F5732" s="13" t="s">
        <v>29</v>
      </c>
      <c r="G5732">
        <v>15</v>
      </c>
      <c r="H5732" t="s">
        <v>2466</v>
      </c>
      <c r="I5732">
        <v>15</v>
      </c>
      <c r="J5732" s="15"/>
      <c r="K5732" s="16">
        <f>1559.14 - (1559.14 * $E$1)</f>
        <v>1559.14</v>
      </c>
      <c r="L5732" s="16">
        <f>1277.98 - (1277.98 * $E$1)</f>
        <v>1277.98</v>
      </c>
      <c r="M5732" s="1">
        <v>1559.14</v>
      </c>
      <c r="N5732" s="1">
        <v>1277.98</v>
      </c>
      <c r="O5732" s="1">
        <v>1325.27</v>
      </c>
      <c r="P5732" s="1">
        <v>1086.28</v>
      </c>
      <c r="Q5732">
        <v>0.68666666666666998</v>
      </c>
      <c r="R5732">
        <v>6.2399999999999999E-3</v>
      </c>
    </row>
    <row r="5733" spans="1:18" ht="13.8" outlineLevel="2" x14ac:dyDescent="0.25">
      <c r="A5733">
        <v>83029</v>
      </c>
      <c r="B5733" t="s">
        <v>7869</v>
      </c>
      <c r="C5733" t="s">
        <v>8059</v>
      </c>
      <c r="D5733" s="14" t="s">
        <v>8060</v>
      </c>
      <c r="E5733" s="12" t="s">
        <v>28</v>
      </c>
      <c r="F5733" s="13" t="s">
        <v>29</v>
      </c>
      <c r="G5733">
        <v>100</v>
      </c>
      <c r="H5733" t="s">
        <v>2466</v>
      </c>
      <c r="I5733">
        <v>100</v>
      </c>
      <c r="J5733" s="15"/>
      <c r="K5733" s="16">
        <f>246.72 - (246.72 * $E$1)</f>
        <v>246.72</v>
      </c>
      <c r="L5733" s="16">
        <f>202.23 - (202.23 * $E$1)</f>
        <v>202.23</v>
      </c>
      <c r="M5733" s="1">
        <v>246.72</v>
      </c>
      <c r="N5733" s="1">
        <v>202.23</v>
      </c>
      <c r="O5733" s="1">
        <v>209.71</v>
      </c>
      <c r="P5733" s="1">
        <v>171.9</v>
      </c>
      <c r="Q5733">
        <v>5.2999999999999999E-2</v>
      </c>
      <c r="R5733">
        <v>1.3475E-4</v>
      </c>
    </row>
    <row r="5734" spans="1:18" ht="13.8" outlineLevel="2" x14ac:dyDescent="0.25">
      <c r="A5734">
        <v>83030</v>
      </c>
      <c r="B5734" t="s">
        <v>7869</v>
      </c>
      <c r="C5734" t="s">
        <v>8061</v>
      </c>
      <c r="D5734" s="14" t="s">
        <v>8060</v>
      </c>
      <c r="E5734" s="12" t="s">
        <v>28</v>
      </c>
      <c r="F5734" s="13" t="s">
        <v>29</v>
      </c>
      <c r="G5734">
        <v>100</v>
      </c>
      <c r="H5734" t="s">
        <v>2466</v>
      </c>
      <c r="I5734">
        <v>100</v>
      </c>
      <c r="J5734" s="15"/>
      <c r="K5734" s="16">
        <f>268.95 - (268.95 * $E$1)</f>
        <v>268.95</v>
      </c>
      <c r="L5734" s="16">
        <f>220.45 - (220.45 * $E$1)</f>
        <v>220.45</v>
      </c>
      <c r="M5734" s="1">
        <v>268.95</v>
      </c>
      <c r="N5734" s="1">
        <v>220.45</v>
      </c>
      <c r="O5734" s="1">
        <v>228.61</v>
      </c>
      <c r="P5734" s="1">
        <v>187.38</v>
      </c>
      <c r="Q5734">
        <v>6.3700000000000007E-2</v>
      </c>
      <c r="R5734">
        <v>2.0535E-4</v>
      </c>
    </row>
    <row r="5735" spans="1:18" ht="13.8" outlineLevel="2" x14ac:dyDescent="0.25">
      <c r="A5735">
        <v>83031</v>
      </c>
      <c r="B5735" t="s">
        <v>7869</v>
      </c>
      <c r="C5735" t="s">
        <v>8062</v>
      </c>
      <c r="D5735" s="14" t="s">
        <v>8060</v>
      </c>
      <c r="E5735" s="12" t="s">
        <v>28</v>
      </c>
      <c r="F5735" s="13" t="s">
        <v>29</v>
      </c>
      <c r="G5735">
        <v>100</v>
      </c>
      <c r="H5735" t="s">
        <v>2466</v>
      </c>
      <c r="I5735">
        <v>100</v>
      </c>
      <c r="J5735" s="15"/>
      <c r="K5735" s="16">
        <f>255.39 - (255.39 * $E$1)</f>
        <v>255.39</v>
      </c>
      <c r="L5735" s="16">
        <f>209.34 - (209.34 * $E$1)</f>
        <v>209.34</v>
      </c>
      <c r="M5735" s="1">
        <v>255.39</v>
      </c>
      <c r="N5735" s="1">
        <v>209.34</v>
      </c>
      <c r="O5735" s="1">
        <v>217.09</v>
      </c>
      <c r="P5735" s="1">
        <v>177.94</v>
      </c>
      <c r="Q5735">
        <v>9.9400000000000002E-2</v>
      </c>
      <c r="R5735">
        <v>2.72E-4</v>
      </c>
    </row>
    <row r="5736" spans="1:18" ht="13.8" outlineLevel="2" x14ac:dyDescent="0.25">
      <c r="A5736">
        <v>83711</v>
      </c>
      <c r="B5736" t="s">
        <v>7869</v>
      </c>
      <c r="C5736" t="s">
        <v>8063</v>
      </c>
      <c r="D5736" s="14" t="s">
        <v>8060</v>
      </c>
      <c r="E5736" s="12" t="s">
        <v>28</v>
      </c>
      <c r="F5736" s="13" t="s">
        <v>29</v>
      </c>
      <c r="G5736">
        <v>100</v>
      </c>
      <c r="H5736" t="s">
        <v>2466</v>
      </c>
      <c r="I5736">
        <v>100</v>
      </c>
      <c r="J5736" s="15"/>
      <c r="K5736" s="16">
        <f>286.98 - (286.98 * $E$1)</f>
        <v>286.98</v>
      </c>
      <c r="L5736" s="16">
        <f>235.23 - (235.23 * $E$1)</f>
        <v>235.23</v>
      </c>
      <c r="M5736" s="1">
        <v>286.98</v>
      </c>
      <c r="N5736" s="1">
        <v>235.23</v>
      </c>
      <c r="O5736" s="1">
        <v>243.93</v>
      </c>
      <c r="P5736" s="1">
        <v>199.95</v>
      </c>
      <c r="Q5736">
        <v>9.5000000000000001E-2</v>
      </c>
      <c r="R5736">
        <v>3.1767999999999998E-4</v>
      </c>
    </row>
    <row r="5737" spans="1:18" ht="13.8" outlineLevel="2" x14ac:dyDescent="0.25">
      <c r="A5737">
        <v>83032</v>
      </c>
      <c r="B5737" t="s">
        <v>7869</v>
      </c>
      <c r="C5737" t="s">
        <v>8064</v>
      </c>
      <c r="D5737" s="14" t="s">
        <v>8060</v>
      </c>
      <c r="E5737" s="12" t="s">
        <v>28</v>
      </c>
      <c r="F5737" s="13" t="s">
        <v>29</v>
      </c>
      <c r="G5737">
        <v>50</v>
      </c>
      <c r="H5737" t="s">
        <v>2466</v>
      </c>
      <c r="I5737">
        <v>50</v>
      </c>
      <c r="J5737" s="15"/>
      <c r="K5737" s="16">
        <f>281.58 - (281.58 * $E$1)</f>
        <v>281.58</v>
      </c>
      <c r="L5737" s="16">
        <f>230.8 - (230.8 * $E$1)</f>
        <v>230.8</v>
      </c>
      <c r="M5737" s="1">
        <v>281.58</v>
      </c>
      <c r="N5737" s="1">
        <v>230.8</v>
      </c>
      <c r="O5737" s="1">
        <v>239.34</v>
      </c>
      <c r="P5737" s="1">
        <v>196.18</v>
      </c>
      <c r="Q5737">
        <v>0.12</v>
      </c>
      <c r="R5737">
        <v>8.1355999999999996E-4</v>
      </c>
    </row>
    <row r="5738" spans="1:18" ht="13.8" outlineLevel="2" x14ac:dyDescent="0.25">
      <c r="A5738">
        <v>87705</v>
      </c>
      <c r="B5738" t="s">
        <v>7869</v>
      </c>
      <c r="C5738" t="s">
        <v>8065</v>
      </c>
      <c r="D5738" s="14" t="s">
        <v>8060</v>
      </c>
      <c r="E5738" s="12" t="s">
        <v>28</v>
      </c>
      <c r="F5738" s="13" t="s">
        <v>29</v>
      </c>
      <c r="G5738">
        <v>50</v>
      </c>
      <c r="H5738" t="s">
        <v>2466</v>
      </c>
      <c r="I5738">
        <v>50</v>
      </c>
      <c r="J5738" s="15"/>
      <c r="K5738" s="16">
        <f>297.59 - (297.59 * $E$1)</f>
        <v>297.58999999999997</v>
      </c>
      <c r="L5738" s="16">
        <f>243.93 - (243.93 * $E$1)</f>
        <v>243.93</v>
      </c>
      <c r="M5738" s="1">
        <v>297.58999999999997</v>
      </c>
      <c r="N5738" s="1">
        <v>243.93</v>
      </c>
      <c r="O5738" s="1">
        <v>252.96</v>
      </c>
      <c r="P5738" s="1">
        <v>207.34</v>
      </c>
      <c r="Q5738">
        <v>0.16</v>
      </c>
      <c r="R5738">
        <v>8.1355999999999996E-4</v>
      </c>
    </row>
    <row r="5739" spans="1:18" ht="13.8" outlineLevel="2" x14ac:dyDescent="0.25">
      <c r="A5739">
        <v>83033</v>
      </c>
      <c r="B5739" t="s">
        <v>7869</v>
      </c>
      <c r="C5739" t="s">
        <v>8066</v>
      </c>
      <c r="D5739" s="14" t="s">
        <v>8060</v>
      </c>
      <c r="E5739" s="12" t="s">
        <v>28</v>
      </c>
      <c r="F5739" s="13" t="s">
        <v>29</v>
      </c>
      <c r="G5739">
        <v>50</v>
      </c>
      <c r="H5739" t="s">
        <v>2466</v>
      </c>
      <c r="I5739">
        <v>50</v>
      </c>
      <c r="J5739" s="15"/>
      <c r="K5739" s="16">
        <f>334.72 - (334.72 * $E$1)</f>
        <v>334.72</v>
      </c>
      <c r="L5739" s="16">
        <f>274.36 - (274.36 * $E$1)</f>
        <v>274.36</v>
      </c>
      <c r="M5739" s="1">
        <v>334.72</v>
      </c>
      <c r="N5739" s="1">
        <v>274.36</v>
      </c>
      <c r="O5739" s="1">
        <v>284.51</v>
      </c>
      <c r="P5739" s="1">
        <v>233.21</v>
      </c>
      <c r="Q5739">
        <v>0.13800000000000001</v>
      </c>
      <c r="R5739">
        <v>8.8752000000000004E-4</v>
      </c>
    </row>
    <row r="5740" spans="1:18" ht="13.8" outlineLevel="2" x14ac:dyDescent="0.25">
      <c r="A5740">
        <v>83034</v>
      </c>
      <c r="B5740" t="s">
        <v>7869</v>
      </c>
      <c r="C5740" t="s">
        <v>8067</v>
      </c>
      <c r="D5740" s="14" t="s">
        <v>8060</v>
      </c>
      <c r="E5740" s="12" t="s">
        <v>28</v>
      </c>
      <c r="F5740" s="13" t="s">
        <v>29</v>
      </c>
      <c r="G5740">
        <v>50</v>
      </c>
      <c r="H5740" t="s">
        <v>2466</v>
      </c>
      <c r="I5740">
        <v>50</v>
      </c>
      <c r="J5740" s="15"/>
      <c r="K5740" s="16">
        <f>364.6 - (364.6 * $E$1)</f>
        <v>364.6</v>
      </c>
      <c r="L5740" s="16">
        <f>298.85 - (298.85 * $E$1)</f>
        <v>298.85000000000002</v>
      </c>
      <c r="M5740" s="1">
        <v>364.6</v>
      </c>
      <c r="N5740" s="1">
        <v>298.85000000000002</v>
      </c>
      <c r="O5740" s="1">
        <v>309.91000000000003</v>
      </c>
      <c r="P5740" s="1">
        <v>254.02</v>
      </c>
      <c r="Q5740">
        <v>0.152</v>
      </c>
      <c r="R5740">
        <v>8.8199999999999997E-4</v>
      </c>
    </row>
    <row r="5741" spans="1:18" ht="13.8" outlineLevel="2" x14ac:dyDescent="0.25">
      <c r="A5741">
        <v>83035</v>
      </c>
      <c r="B5741" t="s">
        <v>7869</v>
      </c>
      <c r="C5741" t="s">
        <v>8068</v>
      </c>
      <c r="D5741" s="14" t="s">
        <v>8060</v>
      </c>
      <c r="E5741" s="12" t="s">
        <v>28</v>
      </c>
      <c r="F5741" s="13" t="s">
        <v>29</v>
      </c>
      <c r="G5741">
        <v>50</v>
      </c>
      <c r="H5741" t="s">
        <v>2466</v>
      </c>
      <c r="I5741">
        <v>50</v>
      </c>
      <c r="J5741" s="15"/>
      <c r="K5741" s="16">
        <f>408.91 - (408.91 * $E$1)</f>
        <v>408.91</v>
      </c>
      <c r="L5741" s="16">
        <f>335.17 - (335.17 * $E$1)</f>
        <v>335.17</v>
      </c>
      <c r="M5741" s="1">
        <v>408.91</v>
      </c>
      <c r="N5741" s="1">
        <v>335.17</v>
      </c>
      <c r="O5741" s="1">
        <v>347.57</v>
      </c>
      <c r="P5741" s="1">
        <v>284.89</v>
      </c>
      <c r="Q5741">
        <v>0.14199999999999999</v>
      </c>
      <c r="R5741">
        <v>9.2927999999999999E-4</v>
      </c>
    </row>
    <row r="5742" spans="1:18" ht="13.8" outlineLevel="2" x14ac:dyDescent="0.25">
      <c r="A5742">
        <v>83036</v>
      </c>
      <c r="B5742" t="s">
        <v>7869</v>
      </c>
      <c r="C5742" t="s">
        <v>8069</v>
      </c>
      <c r="D5742" s="14" t="s">
        <v>8060</v>
      </c>
      <c r="E5742" s="12" t="s">
        <v>28</v>
      </c>
      <c r="F5742" s="13" t="s">
        <v>29</v>
      </c>
      <c r="G5742">
        <v>50</v>
      </c>
      <c r="H5742" t="s">
        <v>2466</v>
      </c>
      <c r="I5742">
        <v>50</v>
      </c>
      <c r="J5742" s="15"/>
      <c r="K5742" s="16">
        <f>425.98 - (425.98 * $E$1)</f>
        <v>425.98</v>
      </c>
      <c r="L5742" s="16">
        <f>349.16 - (349.16 * $E$1)</f>
        <v>349.16</v>
      </c>
      <c r="M5742" s="1">
        <v>425.98</v>
      </c>
      <c r="N5742" s="1">
        <v>349.16</v>
      </c>
      <c r="O5742" s="1">
        <v>362.08</v>
      </c>
      <c r="P5742" s="1">
        <v>296.79000000000002</v>
      </c>
      <c r="Q5742">
        <v>0.19800000000000001</v>
      </c>
      <c r="R5742">
        <v>1.4519999999999999E-3</v>
      </c>
    </row>
    <row r="5743" spans="1:18" ht="13.8" outlineLevel="2" x14ac:dyDescent="0.25">
      <c r="A5743">
        <v>83037</v>
      </c>
      <c r="B5743" t="s">
        <v>7869</v>
      </c>
      <c r="C5743" t="s">
        <v>8070</v>
      </c>
      <c r="D5743" s="14" t="s">
        <v>8060</v>
      </c>
      <c r="E5743" s="12" t="s">
        <v>28</v>
      </c>
      <c r="F5743" s="13" t="s">
        <v>29</v>
      </c>
      <c r="G5743">
        <v>25</v>
      </c>
      <c r="H5743" t="s">
        <v>2466</v>
      </c>
      <c r="I5743">
        <v>25</v>
      </c>
      <c r="J5743" s="15"/>
      <c r="K5743" s="16">
        <f>615.87 - (615.87 * $E$1)</f>
        <v>615.87</v>
      </c>
      <c r="L5743" s="16">
        <f>504.81 - (504.81 * $E$1)</f>
        <v>504.81</v>
      </c>
      <c r="M5743" s="1">
        <v>615.87</v>
      </c>
      <c r="N5743" s="1">
        <v>504.81</v>
      </c>
      <c r="O5743" s="1">
        <v>523.49</v>
      </c>
      <c r="P5743" s="1">
        <v>429.09</v>
      </c>
      <c r="Q5743">
        <v>0.312</v>
      </c>
      <c r="R5743">
        <v>2.4969599999999999E-3</v>
      </c>
    </row>
    <row r="5744" spans="1:18" ht="13.8" outlineLevel="2" x14ac:dyDescent="0.25">
      <c r="A5744">
        <v>83038</v>
      </c>
      <c r="B5744" t="s">
        <v>7869</v>
      </c>
      <c r="C5744" t="s">
        <v>8071</v>
      </c>
      <c r="D5744" s="14" t="s">
        <v>8060</v>
      </c>
      <c r="E5744" s="12" t="s">
        <v>28</v>
      </c>
      <c r="F5744" s="13" t="s">
        <v>29</v>
      </c>
      <c r="G5744">
        <v>25</v>
      </c>
      <c r="H5744" t="s">
        <v>2466</v>
      </c>
      <c r="I5744">
        <v>25</v>
      </c>
      <c r="J5744" s="15"/>
      <c r="K5744" s="16">
        <f>820.43 - (820.43 * $E$1)</f>
        <v>820.43</v>
      </c>
      <c r="L5744" s="16">
        <f>672.48 - (672.48 * $E$1)</f>
        <v>672.48</v>
      </c>
      <c r="M5744" s="1">
        <v>820.43</v>
      </c>
      <c r="N5744" s="1">
        <v>672.48</v>
      </c>
      <c r="O5744" s="1">
        <v>697.36</v>
      </c>
      <c r="P5744" s="1">
        <v>571.61</v>
      </c>
      <c r="Q5744">
        <v>0.35599999999999998</v>
      </c>
      <c r="R5744">
        <v>3.49856E-3</v>
      </c>
    </row>
    <row r="5745" spans="1:18" ht="13.8" outlineLevel="2" x14ac:dyDescent="0.25">
      <c r="A5745">
        <v>83039</v>
      </c>
      <c r="B5745" t="s">
        <v>7869</v>
      </c>
      <c r="C5745" t="s">
        <v>8072</v>
      </c>
      <c r="D5745" s="14" t="s">
        <v>8060</v>
      </c>
      <c r="E5745" s="12" t="s">
        <v>28</v>
      </c>
      <c r="F5745" s="13" t="s">
        <v>29</v>
      </c>
      <c r="G5745">
        <v>15</v>
      </c>
      <c r="H5745" t="s">
        <v>2466</v>
      </c>
      <c r="I5745">
        <v>15</v>
      </c>
      <c r="J5745" s="15"/>
      <c r="K5745" s="16">
        <f>1062.73 - (1062.73 * $E$1)</f>
        <v>1062.73</v>
      </c>
      <c r="L5745" s="16">
        <f>871.09 - (871.09 * $E$1)</f>
        <v>871.09</v>
      </c>
      <c r="M5745" s="1">
        <v>1062.73</v>
      </c>
      <c r="N5745" s="1">
        <v>871.09</v>
      </c>
      <c r="O5745" s="1">
        <v>903.32</v>
      </c>
      <c r="P5745" s="1">
        <v>740.43</v>
      </c>
      <c r="Q5745">
        <v>1</v>
      </c>
      <c r="R5745">
        <v>6.2399999999999999E-3</v>
      </c>
    </row>
    <row r="5746" spans="1:18" ht="13.8" outlineLevel="2" x14ac:dyDescent="0.25">
      <c r="A5746">
        <v>82605</v>
      </c>
      <c r="B5746" t="s">
        <v>7869</v>
      </c>
      <c r="C5746" t="s">
        <v>8073</v>
      </c>
      <c r="D5746" s="14" t="s">
        <v>8074</v>
      </c>
      <c r="E5746" s="12" t="s">
        <v>28</v>
      </c>
      <c r="F5746" s="13" t="s">
        <v>29</v>
      </c>
      <c r="G5746">
        <v>50</v>
      </c>
      <c r="H5746" t="s">
        <v>2466</v>
      </c>
      <c r="I5746">
        <v>50</v>
      </c>
      <c r="J5746" s="15"/>
      <c r="K5746" s="16">
        <f>301.32 - (301.32 * $E$1)</f>
        <v>301.32</v>
      </c>
      <c r="L5746" s="16">
        <f>246.98 - (246.98 * $E$1)</f>
        <v>246.98</v>
      </c>
      <c r="M5746" s="1">
        <v>301.32</v>
      </c>
      <c r="N5746" s="1">
        <v>246.98</v>
      </c>
      <c r="O5746" s="1">
        <v>256.12</v>
      </c>
      <c r="P5746" s="1">
        <v>209.93</v>
      </c>
      <c r="Q5746">
        <v>0.12</v>
      </c>
      <c r="R5746">
        <v>8.1355999999999996E-4</v>
      </c>
    </row>
    <row r="5747" spans="1:18" ht="13.8" outlineLevel="2" x14ac:dyDescent="0.25">
      <c r="A5747">
        <v>87706</v>
      </c>
      <c r="B5747" t="s">
        <v>8075</v>
      </c>
      <c r="C5747" t="s">
        <v>8076</v>
      </c>
      <c r="D5747" s="14" t="s">
        <v>8074</v>
      </c>
      <c r="E5747" s="12" t="s">
        <v>28</v>
      </c>
      <c r="F5747" s="13" t="s">
        <v>29</v>
      </c>
      <c r="G5747">
        <v>50</v>
      </c>
      <c r="H5747" t="s">
        <v>2466</v>
      </c>
      <c r="I5747">
        <v>50</v>
      </c>
      <c r="J5747" s="15"/>
      <c r="K5747" s="16">
        <f>313.26 - (313.26 * $E$1)</f>
        <v>313.26</v>
      </c>
      <c r="L5747" s="16">
        <f>256.77 - (256.77 * $E$1)</f>
        <v>256.77</v>
      </c>
      <c r="M5747" s="1">
        <v>313.26</v>
      </c>
      <c r="N5747" s="1">
        <v>256.77</v>
      </c>
      <c r="O5747" s="1">
        <v>266.27</v>
      </c>
      <c r="P5747" s="1">
        <v>218.25</v>
      </c>
      <c r="Q5747">
        <v>0.16</v>
      </c>
      <c r="R5747">
        <v>8.1355999999999996E-4</v>
      </c>
    </row>
    <row r="5748" spans="1:18" ht="13.8" outlineLevel="2" x14ac:dyDescent="0.25">
      <c r="A5748">
        <v>83662</v>
      </c>
      <c r="B5748" t="s">
        <v>7869</v>
      </c>
      <c r="C5748" t="s">
        <v>8077</v>
      </c>
      <c r="D5748" s="14" t="s">
        <v>8074</v>
      </c>
      <c r="E5748" s="12" t="s">
        <v>28</v>
      </c>
      <c r="F5748" s="13" t="s">
        <v>29</v>
      </c>
      <c r="G5748">
        <v>50</v>
      </c>
      <c r="H5748" t="s">
        <v>2466</v>
      </c>
      <c r="I5748">
        <v>50</v>
      </c>
      <c r="J5748" s="15"/>
      <c r="K5748" s="16">
        <f>351.47 - (351.47 * $E$1)</f>
        <v>351.47</v>
      </c>
      <c r="L5748" s="16">
        <f>288.09 - (288.09 * $E$1)</f>
        <v>288.08999999999997</v>
      </c>
      <c r="M5748" s="1">
        <v>351.47</v>
      </c>
      <c r="N5748" s="1">
        <v>288.08999999999997</v>
      </c>
      <c r="O5748" s="1">
        <v>298.75</v>
      </c>
      <c r="P5748" s="1">
        <v>244.88</v>
      </c>
      <c r="Q5748">
        <v>0.12</v>
      </c>
      <c r="R5748">
        <v>8.8752000000000004E-4</v>
      </c>
    </row>
    <row r="5749" spans="1:18" ht="13.8" outlineLevel="2" x14ac:dyDescent="0.25">
      <c r="A5749">
        <v>82606</v>
      </c>
      <c r="B5749" t="s">
        <v>7869</v>
      </c>
      <c r="C5749" t="s">
        <v>8078</v>
      </c>
      <c r="D5749" s="14" t="s">
        <v>8074</v>
      </c>
      <c r="E5749" s="12" t="s">
        <v>28</v>
      </c>
      <c r="F5749" s="13" t="s">
        <v>29</v>
      </c>
      <c r="G5749">
        <v>50</v>
      </c>
      <c r="H5749" t="s">
        <v>2466</v>
      </c>
      <c r="I5749">
        <v>50</v>
      </c>
      <c r="J5749" s="15"/>
      <c r="K5749" s="16">
        <f>387.56 - (387.56 * $E$1)</f>
        <v>387.56</v>
      </c>
      <c r="L5749" s="16">
        <f>317.67 - (317.67 * $E$1)</f>
        <v>317.67</v>
      </c>
      <c r="M5749" s="1">
        <v>387.56</v>
      </c>
      <c r="N5749" s="1">
        <v>317.67</v>
      </c>
      <c r="O5749" s="1">
        <v>329.42</v>
      </c>
      <c r="P5749" s="1">
        <v>270.02</v>
      </c>
      <c r="Q5749">
        <v>0.152</v>
      </c>
      <c r="R5749">
        <v>8.8199999999999997E-4</v>
      </c>
    </row>
    <row r="5750" spans="1:18" ht="13.8" outlineLevel="2" x14ac:dyDescent="0.25">
      <c r="A5750">
        <v>83663</v>
      </c>
      <c r="B5750" t="s">
        <v>7869</v>
      </c>
      <c r="C5750" t="s">
        <v>8079</v>
      </c>
      <c r="D5750" s="14" t="s">
        <v>8074</v>
      </c>
      <c r="E5750" s="12" t="s">
        <v>28</v>
      </c>
      <c r="F5750" s="13" t="s">
        <v>29</v>
      </c>
      <c r="G5750">
        <v>50</v>
      </c>
      <c r="H5750" t="s">
        <v>2466</v>
      </c>
      <c r="I5750">
        <v>50</v>
      </c>
      <c r="J5750" s="15"/>
      <c r="K5750" s="16">
        <f>434.02 - (434.02 * $E$1)</f>
        <v>434.02</v>
      </c>
      <c r="L5750" s="16">
        <f>355.75 - (355.75 * $E$1)</f>
        <v>355.75</v>
      </c>
      <c r="M5750" s="1">
        <v>434.02</v>
      </c>
      <c r="N5750" s="1">
        <v>355.75</v>
      </c>
      <c r="O5750" s="1">
        <v>368.91</v>
      </c>
      <c r="P5750" s="1">
        <v>302.39</v>
      </c>
      <c r="Q5750">
        <v>0.13800000000000001</v>
      </c>
      <c r="R5750">
        <v>9.2927999999999999E-4</v>
      </c>
    </row>
    <row r="5751" spans="1:18" ht="13.8" outlineLevel="2" x14ac:dyDescent="0.25">
      <c r="A5751">
        <v>82607</v>
      </c>
      <c r="B5751" t="s">
        <v>7869</v>
      </c>
      <c r="C5751" t="s">
        <v>8080</v>
      </c>
      <c r="D5751" s="14" t="s">
        <v>8074</v>
      </c>
      <c r="E5751" s="12" t="s">
        <v>28</v>
      </c>
      <c r="F5751" s="13" t="s">
        <v>29</v>
      </c>
      <c r="G5751">
        <v>50</v>
      </c>
      <c r="H5751" t="s">
        <v>2466</v>
      </c>
      <c r="I5751">
        <v>50</v>
      </c>
      <c r="J5751" s="15"/>
      <c r="K5751" s="16">
        <f>452.82 - (452.82 * $E$1)</f>
        <v>452.82</v>
      </c>
      <c r="L5751" s="16">
        <f>371.16 - (371.16 * $E$1)</f>
        <v>371.16</v>
      </c>
      <c r="M5751" s="1">
        <v>452.82</v>
      </c>
      <c r="N5751" s="1">
        <v>371.16</v>
      </c>
      <c r="O5751" s="1">
        <v>384.89</v>
      </c>
      <c r="P5751" s="1">
        <v>315.49</v>
      </c>
      <c r="Q5751">
        <v>0.19800000000000001</v>
      </c>
      <c r="R5751">
        <v>1.4519999999999999E-3</v>
      </c>
    </row>
    <row r="5752" spans="1:18" ht="13.8" outlineLevel="2" x14ac:dyDescent="0.25">
      <c r="A5752">
        <v>104466</v>
      </c>
      <c r="B5752" t="s">
        <v>7869</v>
      </c>
      <c r="C5752" t="s">
        <v>8081</v>
      </c>
      <c r="D5752" s="14" t="s">
        <v>8074</v>
      </c>
      <c r="E5752" s="12" t="s">
        <v>28</v>
      </c>
      <c r="F5752" s="13" t="s">
        <v>29</v>
      </c>
      <c r="G5752">
        <v>25</v>
      </c>
      <c r="H5752" t="s">
        <v>2466</v>
      </c>
      <c r="I5752">
        <v>25</v>
      </c>
      <c r="J5752" s="15"/>
      <c r="K5752" s="16">
        <f>646.67 - (646.67 * $E$1)</f>
        <v>646.66999999999996</v>
      </c>
      <c r="L5752" s="16">
        <f>530.06 - (530.06 * $E$1)</f>
        <v>530.05999999999995</v>
      </c>
      <c r="M5752" s="1">
        <v>646.66999999999996</v>
      </c>
      <c r="N5752" s="1">
        <v>530.05999999999995</v>
      </c>
      <c r="O5752" s="1">
        <v>549.66999999999996</v>
      </c>
      <c r="P5752" s="1">
        <v>450.55</v>
      </c>
      <c r="Q5752">
        <v>0.308</v>
      </c>
      <c r="R5752">
        <v>2.4969599999999999E-3</v>
      </c>
    </row>
    <row r="5753" spans="1:18" ht="13.8" outlineLevel="2" x14ac:dyDescent="0.25">
      <c r="A5753">
        <v>104467</v>
      </c>
      <c r="B5753" t="s">
        <v>7869</v>
      </c>
      <c r="C5753" t="s">
        <v>8082</v>
      </c>
      <c r="D5753" s="14" t="s">
        <v>8074</v>
      </c>
      <c r="E5753" s="12" t="s">
        <v>28</v>
      </c>
      <c r="F5753" s="13" t="s">
        <v>29</v>
      </c>
      <c r="G5753">
        <v>25</v>
      </c>
      <c r="H5753" t="s">
        <v>2466</v>
      </c>
      <c r="I5753">
        <v>25</v>
      </c>
      <c r="J5753" s="15"/>
      <c r="K5753" s="16">
        <f>861.44 - (861.44 * $E$1)</f>
        <v>861.44</v>
      </c>
      <c r="L5753" s="16">
        <f>706.1 - (706.1 * $E$1)</f>
        <v>706.1</v>
      </c>
      <c r="M5753" s="1">
        <v>861.44</v>
      </c>
      <c r="N5753" s="1">
        <v>706.1</v>
      </c>
      <c r="O5753" s="1">
        <v>732.23</v>
      </c>
      <c r="P5753" s="1">
        <v>600.19000000000005</v>
      </c>
      <c r="Q5753">
        <v>0.36399999999999999</v>
      </c>
      <c r="R5753">
        <v>3.49856E-3</v>
      </c>
    </row>
    <row r="5754" spans="1:18" ht="13.8" outlineLevel="2" x14ac:dyDescent="0.25">
      <c r="A5754">
        <v>104468</v>
      </c>
      <c r="B5754" t="s">
        <v>7869</v>
      </c>
      <c r="C5754" t="s">
        <v>8083</v>
      </c>
      <c r="D5754" s="14" t="s">
        <v>8074</v>
      </c>
      <c r="E5754" s="12" t="s">
        <v>28</v>
      </c>
      <c r="F5754" s="13" t="s">
        <v>29</v>
      </c>
      <c r="G5754">
        <v>15</v>
      </c>
      <c r="H5754" t="s">
        <v>2466</v>
      </c>
      <c r="I5754">
        <v>15</v>
      </c>
      <c r="J5754" s="15"/>
      <c r="K5754" s="16">
        <f>1115.86 - (1115.86 * $E$1)</f>
        <v>1115.8599999999999</v>
      </c>
      <c r="L5754" s="16">
        <f>914.64 - (914.64 * $E$1)</f>
        <v>914.64</v>
      </c>
      <c r="M5754" s="1">
        <v>1115.8599999999999</v>
      </c>
      <c r="N5754" s="1">
        <v>914.64</v>
      </c>
      <c r="O5754" s="1">
        <v>948.48</v>
      </c>
      <c r="P5754" s="1">
        <v>777.44</v>
      </c>
      <c r="Q5754">
        <v>0.48666666666667002</v>
      </c>
      <c r="R5754">
        <v>6.2399999999999999E-3</v>
      </c>
    </row>
    <row r="5755" spans="1:18" ht="13.8" outlineLevel="2" x14ac:dyDescent="0.25">
      <c r="A5755">
        <v>40801</v>
      </c>
      <c r="B5755" t="s">
        <v>7869</v>
      </c>
      <c r="C5755" t="s">
        <v>8084</v>
      </c>
      <c r="D5755" s="14" t="s">
        <v>8085</v>
      </c>
      <c r="E5755" s="12" t="s">
        <v>28</v>
      </c>
      <c r="F5755" s="13" t="s">
        <v>29</v>
      </c>
      <c r="G5755">
        <v>100</v>
      </c>
      <c r="H5755" t="s">
        <v>2466</v>
      </c>
      <c r="I5755">
        <v>100</v>
      </c>
      <c r="J5755" s="15"/>
      <c r="K5755" s="16">
        <f>92.7 - (92.7 * $E$1)</f>
        <v>92.7</v>
      </c>
      <c r="L5755" s="16">
        <f>75.98 - (75.98 * $E$1)</f>
        <v>75.98</v>
      </c>
      <c r="M5755" s="1">
        <v>92.7</v>
      </c>
      <c r="N5755" s="1">
        <v>75.98</v>
      </c>
      <c r="O5755" s="1">
        <v>78.790000000000006</v>
      </c>
      <c r="P5755" s="1">
        <v>64.58</v>
      </c>
      <c r="Q5755">
        <v>0.08</v>
      </c>
      <c r="R5755">
        <v>3.8400000000000001E-4</v>
      </c>
    </row>
    <row r="5756" spans="1:18" ht="13.8" outlineLevel="2" x14ac:dyDescent="0.25">
      <c r="A5756">
        <v>40802</v>
      </c>
      <c r="B5756" t="s">
        <v>7869</v>
      </c>
      <c r="C5756" t="s">
        <v>8086</v>
      </c>
      <c r="D5756" s="14" t="s">
        <v>8085</v>
      </c>
      <c r="E5756" s="12" t="s">
        <v>28</v>
      </c>
      <c r="F5756" s="13" t="s">
        <v>29</v>
      </c>
      <c r="G5756">
        <v>100</v>
      </c>
      <c r="H5756" t="s">
        <v>2466</v>
      </c>
      <c r="I5756">
        <v>100</v>
      </c>
      <c r="J5756" s="15"/>
      <c r="K5756" s="16">
        <f>97.21 - (97.21 * $E$1)</f>
        <v>97.21</v>
      </c>
      <c r="L5756" s="16">
        <f>79.68 - (79.68 * $E$1)</f>
        <v>79.680000000000007</v>
      </c>
      <c r="M5756" s="1">
        <v>97.21</v>
      </c>
      <c r="N5756" s="1">
        <v>79.680000000000007</v>
      </c>
      <c r="O5756" s="1">
        <v>82.63</v>
      </c>
      <c r="P5756" s="1">
        <v>67.73</v>
      </c>
      <c r="Q5756">
        <v>8.7999999999999995E-2</v>
      </c>
      <c r="R5756">
        <v>4.2336000000000001E-4</v>
      </c>
    </row>
    <row r="5757" spans="1:18" ht="13.8" outlineLevel="2" x14ac:dyDescent="0.25">
      <c r="A5757">
        <v>88340</v>
      </c>
      <c r="B5757" t="s">
        <v>7869</v>
      </c>
      <c r="C5757" t="s">
        <v>8087</v>
      </c>
      <c r="D5757" s="14" t="s">
        <v>8085</v>
      </c>
      <c r="E5757" s="12" t="s">
        <v>28</v>
      </c>
      <c r="F5757" s="13" t="s">
        <v>29</v>
      </c>
      <c r="G5757">
        <v>50</v>
      </c>
      <c r="H5757" t="s">
        <v>2466</v>
      </c>
      <c r="I5757">
        <v>50</v>
      </c>
      <c r="J5757" s="15"/>
      <c r="K5757" s="16">
        <f>106.91 - (106.91 * $E$1)</f>
        <v>106.91</v>
      </c>
      <c r="L5757" s="16">
        <f>87.63 - (87.63 * $E$1)</f>
        <v>87.63</v>
      </c>
      <c r="M5757" s="1">
        <v>106.91</v>
      </c>
      <c r="N5757" s="1">
        <v>87.63</v>
      </c>
      <c r="O5757" s="1">
        <v>90.87</v>
      </c>
      <c r="P5757" s="1">
        <v>74.489999999999995</v>
      </c>
      <c r="Q5757">
        <v>0.112</v>
      </c>
      <c r="R5757">
        <v>7.6800000000000002E-4</v>
      </c>
    </row>
    <row r="5758" spans="1:18" ht="13.8" outlineLevel="2" x14ac:dyDescent="0.25">
      <c r="A5758">
        <v>87707</v>
      </c>
      <c r="B5758" t="s">
        <v>7869</v>
      </c>
      <c r="C5758" t="s">
        <v>8088</v>
      </c>
      <c r="D5758" s="14" t="s">
        <v>8085</v>
      </c>
      <c r="E5758" s="12" t="s">
        <v>28</v>
      </c>
      <c r="F5758" s="13" t="s">
        <v>29</v>
      </c>
      <c r="G5758">
        <v>50</v>
      </c>
      <c r="H5758" t="s">
        <v>2466</v>
      </c>
      <c r="I5758">
        <v>50</v>
      </c>
      <c r="J5758" s="15"/>
      <c r="K5758" s="16">
        <f>116.51 - (116.51 * $E$1)</f>
        <v>116.51</v>
      </c>
      <c r="L5758" s="16">
        <f>95.5 - (95.5 * $E$1)</f>
        <v>95.5</v>
      </c>
      <c r="M5758" s="1">
        <v>116.51</v>
      </c>
      <c r="N5758" s="1">
        <v>95.5</v>
      </c>
      <c r="O5758" s="1">
        <v>99.03</v>
      </c>
      <c r="P5758" s="1">
        <v>81.180000000000007</v>
      </c>
      <c r="Q5758">
        <v>0.112</v>
      </c>
      <c r="R5758">
        <v>7.6800000000000002E-4</v>
      </c>
    </row>
    <row r="5759" spans="1:18" ht="13.8" outlineLevel="2" x14ac:dyDescent="0.25">
      <c r="A5759">
        <v>40804</v>
      </c>
      <c r="B5759" t="s">
        <v>7869</v>
      </c>
      <c r="C5759" t="s">
        <v>8089</v>
      </c>
      <c r="D5759" s="14" t="s">
        <v>8085</v>
      </c>
      <c r="E5759" s="12" t="s">
        <v>28</v>
      </c>
      <c r="F5759" s="13" t="s">
        <v>29</v>
      </c>
      <c r="G5759">
        <v>50</v>
      </c>
      <c r="H5759" t="s">
        <v>2466</v>
      </c>
      <c r="I5759">
        <v>50</v>
      </c>
      <c r="J5759" s="15"/>
      <c r="K5759" s="16">
        <f>125.65 - (125.65 * $E$1)</f>
        <v>125.65</v>
      </c>
      <c r="L5759" s="16">
        <f>102.99 - (102.99 * $E$1)</f>
        <v>102.99</v>
      </c>
      <c r="M5759" s="1">
        <v>125.65</v>
      </c>
      <c r="N5759" s="1">
        <v>102.99</v>
      </c>
      <c r="O5759" s="1">
        <v>106.8</v>
      </c>
      <c r="P5759" s="1">
        <v>87.54</v>
      </c>
      <c r="Q5759">
        <v>0.13400000000000001</v>
      </c>
      <c r="R5759">
        <v>6.2974000000000005E-4</v>
      </c>
    </row>
    <row r="5760" spans="1:18" ht="13.8" outlineLevel="2" x14ac:dyDescent="0.25">
      <c r="A5760">
        <v>42429</v>
      </c>
      <c r="B5760" t="s">
        <v>7869</v>
      </c>
      <c r="C5760" t="s">
        <v>8090</v>
      </c>
      <c r="D5760" s="14" t="s">
        <v>8085</v>
      </c>
      <c r="E5760" s="12" t="s">
        <v>28</v>
      </c>
      <c r="F5760" s="13" t="s">
        <v>29</v>
      </c>
      <c r="G5760">
        <v>50</v>
      </c>
      <c r="H5760" t="s">
        <v>2466</v>
      </c>
      <c r="I5760">
        <v>50</v>
      </c>
      <c r="J5760" s="15"/>
      <c r="K5760" s="16">
        <f>134.85 - (134.85 * $E$1)</f>
        <v>134.85</v>
      </c>
      <c r="L5760" s="16">
        <f>110.53 - (110.53 * $E$1)</f>
        <v>110.53</v>
      </c>
      <c r="M5760" s="1">
        <v>134.85</v>
      </c>
      <c r="N5760" s="1">
        <v>110.53</v>
      </c>
      <c r="O5760" s="1">
        <v>114.62</v>
      </c>
      <c r="P5760" s="1">
        <v>93.95</v>
      </c>
      <c r="Q5760">
        <v>0.14799999999999999</v>
      </c>
      <c r="R5760">
        <v>1.10592E-3</v>
      </c>
    </row>
    <row r="5761" spans="1:18" ht="13.8" outlineLevel="2" x14ac:dyDescent="0.25">
      <c r="A5761">
        <v>40812</v>
      </c>
      <c r="B5761" t="s">
        <v>7869</v>
      </c>
      <c r="C5761" t="s">
        <v>8091</v>
      </c>
      <c r="D5761" s="14" t="s">
        <v>8085</v>
      </c>
      <c r="E5761" s="12" t="s">
        <v>28</v>
      </c>
      <c r="F5761" s="13" t="s">
        <v>29</v>
      </c>
      <c r="G5761">
        <v>50</v>
      </c>
      <c r="H5761" t="s">
        <v>2466</v>
      </c>
      <c r="I5761">
        <v>50</v>
      </c>
      <c r="J5761" s="15"/>
      <c r="K5761" s="16">
        <f>151.69 - (151.69 * $E$1)</f>
        <v>151.69</v>
      </c>
      <c r="L5761" s="16">
        <f>124.34 - (124.34 * $E$1)</f>
        <v>124.34</v>
      </c>
      <c r="M5761" s="1">
        <v>151.69</v>
      </c>
      <c r="N5761" s="1">
        <v>124.34</v>
      </c>
      <c r="O5761" s="1">
        <v>128.94</v>
      </c>
      <c r="P5761" s="1">
        <v>105.69</v>
      </c>
      <c r="Q5761">
        <v>0.16</v>
      </c>
      <c r="R5761">
        <v>1.15248E-3</v>
      </c>
    </row>
    <row r="5762" spans="1:18" ht="13.8" outlineLevel="2" x14ac:dyDescent="0.25">
      <c r="A5762">
        <v>40813</v>
      </c>
      <c r="B5762" t="s">
        <v>7869</v>
      </c>
      <c r="C5762" t="s">
        <v>8092</v>
      </c>
      <c r="D5762" s="14" t="s">
        <v>8085</v>
      </c>
      <c r="E5762" s="12" t="s">
        <v>28</v>
      </c>
      <c r="F5762" s="13" t="s">
        <v>29</v>
      </c>
      <c r="G5762">
        <v>50</v>
      </c>
      <c r="H5762" t="s">
        <v>2466</v>
      </c>
      <c r="I5762">
        <v>50</v>
      </c>
      <c r="J5762" s="15"/>
      <c r="K5762" s="16">
        <f>171.54 - (171.54 * $E$1)</f>
        <v>171.54</v>
      </c>
      <c r="L5762" s="16">
        <f>140.61 - (140.61 * $E$1)</f>
        <v>140.61000000000001</v>
      </c>
      <c r="M5762" s="1">
        <v>171.54</v>
      </c>
      <c r="N5762" s="1">
        <v>140.61000000000001</v>
      </c>
      <c r="O5762" s="1">
        <v>145.81</v>
      </c>
      <c r="P5762" s="1">
        <v>119.52</v>
      </c>
      <c r="Q5762">
        <v>0.184</v>
      </c>
      <c r="R5762">
        <v>1.3483200000000001E-3</v>
      </c>
    </row>
    <row r="5763" spans="1:18" ht="13.8" outlineLevel="2" x14ac:dyDescent="0.25">
      <c r="A5763">
        <v>40814</v>
      </c>
      <c r="B5763" t="s">
        <v>7869</v>
      </c>
      <c r="C5763" t="s">
        <v>8093</v>
      </c>
      <c r="D5763" s="14" t="s">
        <v>8085</v>
      </c>
      <c r="E5763" s="12" t="s">
        <v>28</v>
      </c>
      <c r="F5763" s="13" t="s">
        <v>29</v>
      </c>
      <c r="G5763">
        <v>25</v>
      </c>
      <c r="H5763" t="s">
        <v>2466</v>
      </c>
      <c r="I5763">
        <v>25</v>
      </c>
      <c r="J5763" s="15"/>
      <c r="K5763" s="16">
        <f>239.97 - (239.97 * $E$1)</f>
        <v>239.97</v>
      </c>
      <c r="L5763" s="16">
        <f>196.7 - (196.7 * $E$1)</f>
        <v>196.7</v>
      </c>
      <c r="M5763" s="1">
        <v>239.97</v>
      </c>
      <c r="N5763" s="1">
        <v>196.7</v>
      </c>
      <c r="O5763" s="1">
        <v>203.98</v>
      </c>
      <c r="P5763" s="1">
        <v>167.2</v>
      </c>
      <c r="Q5763">
        <v>0.308</v>
      </c>
      <c r="R5763">
        <v>2.4969599999999999E-3</v>
      </c>
    </row>
    <row r="5764" spans="1:18" ht="13.8" outlineLevel="2" x14ac:dyDescent="0.25">
      <c r="A5764">
        <v>40815</v>
      </c>
      <c r="B5764" t="s">
        <v>7869</v>
      </c>
      <c r="C5764" t="s">
        <v>8094</v>
      </c>
      <c r="D5764" s="14" t="s">
        <v>8085</v>
      </c>
      <c r="E5764" s="12" t="s">
        <v>28</v>
      </c>
      <c r="F5764" s="13" t="s">
        <v>29</v>
      </c>
      <c r="G5764">
        <v>25</v>
      </c>
      <c r="H5764" t="s">
        <v>2466</v>
      </c>
      <c r="I5764">
        <v>25</v>
      </c>
      <c r="J5764" s="15"/>
      <c r="K5764" s="16">
        <f>299.89 - (299.89 * $E$1)</f>
        <v>299.89</v>
      </c>
      <c r="L5764" s="16">
        <f>245.81 - (245.81 * $E$1)</f>
        <v>245.81</v>
      </c>
      <c r="M5764" s="1">
        <v>299.89</v>
      </c>
      <c r="N5764" s="1">
        <v>245.81</v>
      </c>
      <c r="O5764" s="1">
        <v>254.9</v>
      </c>
      <c r="P5764" s="1">
        <v>208.94</v>
      </c>
      <c r="Q5764">
        <v>0.41199999999999998</v>
      </c>
      <c r="R5764">
        <v>3.5000000000000001E-3</v>
      </c>
    </row>
    <row r="5765" spans="1:18" ht="13.8" outlineLevel="2" x14ac:dyDescent="0.25">
      <c r="A5765">
        <v>40816</v>
      </c>
      <c r="B5765" t="s">
        <v>7869</v>
      </c>
      <c r="C5765" t="s">
        <v>8095</v>
      </c>
      <c r="D5765" s="14" t="s">
        <v>8085</v>
      </c>
      <c r="E5765" s="12" t="s">
        <v>28</v>
      </c>
      <c r="F5765" s="13" t="s">
        <v>29</v>
      </c>
      <c r="G5765">
        <v>15</v>
      </c>
      <c r="H5765" t="s">
        <v>2466</v>
      </c>
      <c r="I5765">
        <v>15</v>
      </c>
      <c r="J5765" s="15"/>
      <c r="K5765" s="16">
        <f>374.05 - (374.05 * $E$1)</f>
        <v>374.05</v>
      </c>
      <c r="L5765" s="16">
        <f>306.6 - (306.6 * $E$1)</f>
        <v>306.60000000000002</v>
      </c>
      <c r="M5765" s="1">
        <v>374.05</v>
      </c>
      <c r="N5765" s="1">
        <v>306.60000000000002</v>
      </c>
      <c r="O5765" s="1">
        <v>317.94</v>
      </c>
      <c r="P5765" s="1">
        <v>260.61</v>
      </c>
      <c r="Q5765">
        <v>0.50666666666667004</v>
      </c>
      <c r="R5765">
        <v>5.4488666666667003E-3</v>
      </c>
    </row>
    <row r="5766" spans="1:18" ht="13.8" outlineLevel="2" x14ac:dyDescent="0.25">
      <c r="A5766">
        <v>46694</v>
      </c>
      <c r="B5766" t="s">
        <v>7869</v>
      </c>
      <c r="C5766" t="s">
        <v>8096</v>
      </c>
      <c r="D5766" s="14" t="s">
        <v>8085</v>
      </c>
      <c r="E5766" s="12" t="s">
        <v>28</v>
      </c>
      <c r="F5766" s="13" t="s">
        <v>29</v>
      </c>
      <c r="G5766">
        <v>10</v>
      </c>
      <c r="H5766" t="s">
        <v>2466</v>
      </c>
      <c r="I5766">
        <v>10</v>
      </c>
      <c r="J5766" s="15"/>
      <c r="K5766" s="16">
        <f>790.93 - (790.93 * $E$1)</f>
        <v>790.93</v>
      </c>
      <c r="L5766" s="16">
        <f>648.3 - (648.3 * $E$1)</f>
        <v>648.29999999999995</v>
      </c>
      <c r="M5766" s="1">
        <v>790.93</v>
      </c>
      <c r="N5766" s="1">
        <v>648.29999999999995</v>
      </c>
      <c r="O5766" s="1">
        <v>672.29</v>
      </c>
      <c r="P5766" s="1">
        <v>551.05999999999995</v>
      </c>
      <c r="Q5766">
        <v>1</v>
      </c>
      <c r="R5766">
        <v>1.372E-2</v>
      </c>
    </row>
    <row r="5767" spans="1:18" ht="13.8" outlineLevel="2" x14ac:dyDescent="0.25">
      <c r="A5767">
        <v>46692</v>
      </c>
      <c r="B5767" t="s">
        <v>7869</v>
      </c>
      <c r="C5767" t="s">
        <v>8097</v>
      </c>
      <c r="D5767" s="14" t="s">
        <v>8085</v>
      </c>
      <c r="E5767" s="12" t="s">
        <v>28</v>
      </c>
      <c r="F5767" s="13" t="s">
        <v>29</v>
      </c>
      <c r="G5767">
        <v>10</v>
      </c>
      <c r="H5767" t="s">
        <v>2466</v>
      </c>
      <c r="I5767">
        <v>10</v>
      </c>
      <c r="J5767" s="15"/>
      <c r="K5767" s="16">
        <f>603.08 - (603.08 * $E$1)</f>
        <v>603.08000000000004</v>
      </c>
      <c r="L5767" s="16">
        <f>494.33 - (494.33 * $E$1)</f>
        <v>494.33</v>
      </c>
      <c r="M5767" s="1">
        <v>603.08000000000004</v>
      </c>
      <c r="N5767" s="1">
        <v>494.33</v>
      </c>
      <c r="O5767" s="1">
        <v>512.62</v>
      </c>
      <c r="P5767" s="1">
        <v>420.18</v>
      </c>
      <c r="Q5767">
        <v>0.75</v>
      </c>
      <c r="R5767">
        <v>7.1999999999999998E-3</v>
      </c>
    </row>
    <row r="5768" spans="1:18" ht="13.8" outlineLevel="2" x14ac:dyDescent="0.25">
      <c r="A5768">
        <v>46695</v>
      </c>
      <c r="B5768" t="s">
        <v>7869</v>
      </c>
      <c r="C5768" t="s">
        <v>8098</v>
      </c>
      <c r="D5768" s="14" t="s">
        <v>8085</v>
      </c>
      <c r="E5768" s="12" t="s">
        <v>28</v>
      </c>
      <c r="F5768" s="13" t="s">
        <v>29</v>
      </c>
      <c r="G5768">
        <v>10</v>
      </c>
      <c r="H5768" t="s">
        <v>2466</v>
      </c>
      <c r="I5768">
        <v>10</v>
      </c>
      <c r="J5768" s="15"/>
      <c r="K5768" s="16">
        <f>1484.37 - (1484.37 * $E$1)</f>
        <v>1484.37</v>
      </c>
      <c r="L5768" s="16">
        <f>1216.7 - (1216.7 * $E$1)</f>
        <v>1216.7</v>
      </c>
      <c r="M5768" s="1">
        <v>1484.37</v>
      </c>
      <c r="N5768" s="1">
        <v>1216.7</v>
      </c>
      <c r="O5768" s="1">
        <v>1261.72</v>
      </c>
      <c r="P5768" s="1">
        <v>1034.2</v>
      </c>
      <c r="Q5768">
        <v>1.59</v>
      </c>
      <c r="R5768">
        <v>2.20448E-2</v>
      </c>
    </row>
    <row r="5769" spans="1:18" ht="13.8" outlineLevel="2" x14ac:dyDescent="0.25">
      <c r="A5769">
        <v>77871</v>
      </c>
      <c r="B5769" t="s">
        <v>7869</v>
      </c>
      <c r="C5769" t="s">
        <v>8099</v>
      </c>
      <c r="D5769" s="14" t="s">
        <v>8100</v>
      </c>
      <c r="E5769" s="12" t="s">
        <v>28</v>
      </c>
      <c r="F5769" s="13" t="s">
        <v>29</v>
      </c>
      <c r="G5769">
        <v>100</v>
      </c>
      <c r="H5769" t="s">
        <v>2466</v>
      </c>
      <c r="I5769">
        <v>100</v>
      </c>
      <c r="J5769" s="15"/>
      <c r="K5769" s="16">
        <f>99.39 - (99.39 * $E$1)</f>
        <v>99.39</v>
      </c>
      <c r="L5769" s="16">
        <f>81.47 - (81.47 * $E$1)</f>
        <v>81.47</v>
      </c>
      <c r="M5769" s="1">
        <v>99.39</v>
      </c>
      <c r="N5769" s="1">
        <v>81.47</v>
      </c>
      <c r="O5769" s="1">
        <v>84.48</v>
      </c>
      <c r="P5769" s="1">
        <v>69.25</v>
      </c>
      <c r="Q5769">
        <v>0.08</v>
      </c>
      <c r="R5769">
        <v>3.8400000000000001E-4</v>
      </c>
    </row>
    <row r="5770" spans="1:18" ht="13.8" outlineLevel="2" x14ac:dyDescent="0.25">
      <c r="A5770">
        <v>77872</v>
      </c>
      <c r="B5770" t="s">
        <v>7869</v>
      </c>
      <c r="C5770" t="s">
        <v>8101</v>
      </c>
      <c r="D5770" s="14" t="s">
        <v>8100</v>
      </c>
      <c r="E5770" s="12" t="s">
        <v>28</v>
      </c>
      <c r="F5770" s="13" t="s">
        <v>29</v>
      </c>
      <c r="G5770">
        <v>100</v>
      </c>
      <c r="H5770" t="s">
        <v>2466</v>
      </c>
      <c r="I5770">
        <v>100</v>
      </c>
      <c r="J5770" s="15"/>
      <c r="K5770" s="16">
        <f>104.04 - (104.04 * $E$1)</f>
        <v>104.04</v>
      </c>
      <c r="L5770" s="16">
        <f>85.28 - (85.28 * $E$1)</f>
        <v>85.28</v>
      </c>
      <c r="M5770" s="1">
        <v>104.04</v>
      </c>
      <c r="N5770" s="1">
        <v>85.28</v>
      </c>
      <c r="O5770" s="1">
        <v>88.44</v>
      </c>
      <c r="P5770" s="1">
        <v>72.489999999999995</v>
      </c>
      <c r="Q5770">
        <v>8.7999999999999995E-2</v>
      </c>
      <c r="R5770">
        <v>4.2336000000000001E-4</v>
      </c>
    </row>
    <row r="5771" spans="1:18" ht="13.8" outlineLevel="2" x14ac:dyDescent="0.25">
      <c r="A5771">
        <v>88339</v>
      </c>
      <c r="B5771" t="s">
        <v>7869</v>
      </c>
      <c r="C5771" t="s">
        <v>8102</v>
      </c>
      <c r="D5771" s="14" t="s">
        <v>8100</v>
      </c>
      <c r="E5771" s="12" t="s">
        <v>28</v>
      </c>
      <c r="F5771" s="13" t="s">
        <v>29</v>
      </c>
      <c r="G5771">
        <v>50</v>
      </c>
      <c r="H5771" t="s">
        <v>2466</v>
      </c>
      <c r="I5771">
        <v>50</v>
      </c>
      <c r="J5771" s="15"/>
      <c r="K5771" s="16">
        <f>114.51 - (114.51 * $E$1)</f>
        <v>114.51</v>
      </c>
      <c r="L5771" s="16">
        <f>93.86 - (93.86 * $E$1)</f>
        <v>93.86</v>
      </c>
      <c r="M5771" s="1">
        <v>114.51</v>
      </c>
      <c r="N5771" s="1">
        <v>93.86</v>
      </c>
      <c r="O5771" s="1">
        <v>97.33</v>
      </c>
      <c r="P5771" s="1">
        <v>79.78</v>
      </c>
      <c r="Q5771">
        <v>0.112</v>
      </c>
      <c r="R5771">
        <v>7.6800000000000002E-4</v>
      </c>
    </row>
    <row r="5772" spans="1:18" ht="13.8" outlineLevel="2" x14ac:dyDescent="0.25">
      <c r="A5772">
        <v>87708</v>
      </c>
      <c r="B5772" t="s">
        <v>7869</v>
      </c>
      <c r="C5772" t="s">
        <v>8103</v>
      </c>
      <c r="D5772" s="14" t="s">
        <v>8100</v>
      </c>
      <c r="E5772" s="12" t="s">
        <v>28</v>
      </c>
      <c r="F5772" s="13" t="s">
        <v>29</v>
      </c>
      <c r="G5772">
        <v>50</v>
      </c>
      <c r="H5772" t="s">
        <v>2466</v>
      </c>
      <c r="I5772">
        <v>50</v>
      </c>
      <c r="J5772" s="15"/>
      <c r="K5772" s="16">
        <f>120.71 - (120.71 * $E$1)</f>
        <v>120.71</v>
      </c>
      <c r="L5772" s="16">
        <f>98.94 - (98.94 * $E$1)</f>
        <v>98.94</v>
      </c>
      <c r="M5772" s="1">
        <v>120.71</v>
      </c>
      <c r="N5772" s="1">
        <v>98.94</v>
      </c>
      <c r="O5772" s="1">
        <v>102.6</v>
      </c>
      <c r="P5772" s="1">
        <v>84.1</v>
      </c>
      <c r="Q5772">
        <v>0.112</v>
      </c>
      <c r="R5772">
        <v>7.6800000000000002E-4</v>
      </c>
    </row>
    <row r="5773" spans="1:18" ht="13.8" outlineLevel="2" x14ac:dyDescent="0.25">
      <c r="A5773">
        <v>77874</v>
      </c>
      <c r="B5773" t="s">
        <v>7869</v>
      </c>
      <c r="C5773" t="s">
        <v>8104</v>
      </c>
      <c r="D5773" s="14" t="s">
        <v>8100</v>
      </c>
      <c r="E5773" s="12" t="s">
        <v>28</v>
      </c>
      <c r="F5773" s="13" t="s">
        <v>29</v>
      </c>
      <c r="G5773">
        <v>50</v>
      </c>
      <c r="H5773" t="s">
        <v>2466</v>
      </c>
      <c r="I5773">
        <v>50</v>
      </c>
      <c r="J5773" s="15"/>
      <c r="K5773" s="16">
        <f>133.79 - (133.79 * $E$1)</f>
        <v>133.79</v>
      </c>
      <c r="L5773" s="16">
        <f>109.66 - (109.66 * $E$1)</f>
        <v>109.66</v>
      </c>
      <c r="M5773" s="1">
        <v>133.79</v>
      </c>
      <c r="N5773" s="1">
        <v>109.66</v>
      </c>
      <c r="O5773" s="1">
        <v>113.72</v>
      </c>
      <c r="P5773" s="1">
        <v>93.21</v>
      </c>
      <c r="Q5773">
        <v>0.13400000000000001</v>
      </c>
      <c r="R5773">
        <v>7.6800000000000002E-4</v>
      </c>
    </row>
    <row r="5774" spans="1:18" ht="13.8" outlineLevel="2" x14ac:dyDescent="0.25">
      <c r="A5774">
        <v>77875</v>
      </c>
      <c r="B5774" t="s">
        <v>7869</v>
      </c>
      <c r="C5774" t="s">
        <v>8105</v>
      </c>
      <c r="D5774" s="14" t="s">
        <v>8100</v>
      </c>
      <c r="E5774" s="12" t="s">
        <v>28</v>
      </c>
      <c r="F5774" s="13" t="s">
        <v>29</v>
      </c>
      <c r="G5774">
        <v>50</v>
      </c>
      <c r="H5774" t="s">
        <v>2466</v>
      </c>
      <c r="I5774">
        <v>50</v>
      </c>
      <c r="J5774" s="15"/>
      <c r="K5774" s="16">
        <f>143.15 - (143.15 * $E$1)</f>
        <v>143.15</v>
      </c>
      <c r="L5774" s="16">
        <f>117.34 - (117.34 * $E$1)</f>
        <v>117.34</v>
      </c>
      <c r="M5774" s="1">
        <v>143.15</v>
      </c>
      <c r="N5774" s="1">
        <v>117.34</v>
      </c>
      <c r="O5774" s="1">
        <v>121.68</v>
      </c>
      <c r="P5774" s="1">
        <v>99.74</v>
      </c>
      <c r="Q5774">
        <v>0.14799999999999999</v>
      </c>
      <c r="R5774">
        <v>1.10592E-3</v>
      </c>
    </row>
    <row r="5775" spans="1:18" ht="13.8" outlineLevel="2" x14ac:dyDescent="0.25">
      <c r="A5775">
        <v>77876</v>
      </c>
      <c r="B5775" t="s">
        <v>7869</v>
      </c>
      <c r="C5775" t="s">
        <v>8106</v>
      </c>
      <c r="D5775" s="14" t="s">
        <v>8100</v>
      </c>
      <c r="E5775" s="12" t="s">
        <v>28</v>
      </c>
      <c r="F5775" s="13" t="s">
        <v>29</v>
      </c>
      <c r="G5775">
        <v>50</v>
      </c>
      <c r="H5775" t="s">
        <v>2466</v>
      </c>
      <c r="I5775">
        <v>50</v>
      </c>
      <c r="J5775" s="15"/>
      <c r="K5775" s="16">
        <f>160.78 - (160.78 * $E$1)</f>
        <v>160.78</v>
      </c>
      <c r="L5775" s="16">
        <f>131.79 - (131.79 * $E$1)</f>
        <v>131.79</v>
      </c>
      <c r="M5775" s="1">
        <v>160.78</v>
      </c>
      <c r="N5775" s="1">
        <v>131.79</v>
      </c>
      <c r="O5775" s="1">
        <v>136.66999999999999</v>
      </c>
      <c r="P5775" s="1">
        <v>112.02</v>
      </c>
      <c r="Q5775">
        <v>0.16</v>
      </c>
      <c r="R5775">
        <v>1.15248E-3</v>
      </c>
    </row>
    <row r="5776" spans="1:18" ht="13.8" outlineLevel="2" x14ac:dyDescent="0.25">
      <c r="A5776">
        <v>77877</v>
      </c>
      <c r="B5776" t="s">
        <v>7869</v>
      </c>
      <c r="C5776" t="s">
        <v>8107</v>
      </c>
      <c r="D5776" s="14" t="s">
        <v>8100</v>
      </c>
      <c r="E5776" s="12" t="s">
        <v>28</v>
      </c>
      <c r="F5776" s="13" t="s">
        <v>29</v>
      </c>
      <c r="G5776">
        <v>50</v>
      </c>
      <c r="H5776" t="s">
        <v>2466</v>
      </c>
      <c r="I5776">
        <v>50</v>
      </c>
      <c r="J5776" s="15"/>
      <c r="K5776" s="16">
        <f>181.61 - (181.61 * $E$1)</f>
        <v>181.61</v>
      </c>
      <c r="L5776" s="16">
        <f>148.86 - (148.86 * $E$1)</f>
        <v>148.86000000000001</v>
      </c>
      <c r="M5776" s="1">
        <v>181.61</v>
      </c>
      <c r="N5776" s="1">
        <v>148.86000000000001</v>
      </c>
      <c r="O5776" s="1">
        <v>154.37</v>
      </c>
      <c r="P5776" s="1">
        <v>126.53</v>
      </c>
      <c r="Q5776">
        <v>0.184</v>
      </c>
      <c r="R5776">
        <v>1.3483200000000001E-3</v>
      </c>
    </row>
    <row r="5777" spans="1:18" ht="13.8" outlineLevel="2" x14ac:dyDescent="0.25">
      <c r="A5777">
        <v>77878</v>
      </c>
      <c r="B5777" t="s">
        <v>7869</v>
      </c>
      <c r="C5777" t="s">
        <v>8108</v>
      </c>
      <c r="D5777" s="14" t="s">
        <v>8100</v>
      </c>
      <c r="E5777" s="12" t="s">
        <v>28</v>
      </c>
      <c r="F5777" s="13" t="s">
        <v>29</v>
      </c>
      <c r="G5777">
        <v>25</v>
      </c>
      <c r="H5777" t="s">
        <v>2466</v>
      </c>
      <c r="I5777">
        <v>25</v>
      </c>
      <c r="J5777" s="15"/>
      <c r="K5777" s="16">
        <f>252.11 - (252.11 * $E$1)</f>
        <v>252.11</v>
      </c>
      <c r="L5777" s="16">
        <f>206.65 - (206.65 * $E$1)</f>
        <v>206.65</v>
      </c>
      <c r="M5777" s="1">
        <v>252.11</v>
      </c>
      <c r="N5777" s="1">
        <v>206.65</v>
      </c>
      <c r="O5777" s="1">
        <v>214.3</v>
      </c>
      <c r="P5777" s="1">
        <v>175.65</v>
      </c>
      <c r="Q5777">
        <v>0.308</v>
      </c>
      <c r="R5777">
        <v>2.4969599999999999E-3</v>
      </c>
    </row>
    <row r="5778" spans="1:18" ht="13.8" outlineLevel="2" x14ac:dyDescent="0.25">
      <c r="A5778">
        <v>77879</v>
      </c>
      <c r="B5778" t="s">
        <v>7869</v>
      </c>
      <c r="C5778" t="s">
        <v>8109</v>
      </c>
      <c r="D5778" s="14" t="s">
        <v>8100</v>
      </c>
      <c r="E5778" s="12" t="s">
        <v>28</v>
      </c>
      <c r="F5778" s="13" t="s">
        <v>29</v>
      </c>
      <c r="G5778">
        <v>25</v>
      </c>
      <c r="H5778" t="s">
        <v>2466</v>
      </c>
      <c r="I5778">
        <v>25</v>
      </c>
      <c r="J5778" s="15"/>
      <c r="K5778" s="16">
        <f>315.04 - (315.04 * $E$1)</f>
        <v>315.04000000000002</v>
      </c>
      <c r="L5778" s="16">
        <f>258.23 - (258.23 * $E$1)</f>
        <v>258.23</v>
      </c>
      <c r="M5778" s="1">
        <v>315.04000000000002</v>
      </c>
      <c r="N5778" s="1">
        <v>258.23</v>
      </c>
      <c r="O5778" s="1">
        <v>267.77999999999997</v>
      </c>
      <c r="P5778" s="1">
        <v>219.5</v>
      </c>
      <c r="Q5778">
        <v>0.34399999999999997</v>
      </c>
      <c r="R5778">
        <v>2.68272E-3</v>
      </c>
    </row>
    <row r="5779" spans="1:18" ht="13.8" outlineLevel="2" x14ac:dyDescent="0.25">
      <c r="A5779">
        <v>77880</v>
      </c>
      <c r="B5779" t="s">
        <v>7869</v>
      </c>
      <c r="C5779" t="s">
        <v>8110</v>
      </c>
      <c r="D5779" s="14" t="s">
        <v>8100</v>
      </c>
      <c r="E5779" s="12" t="s">
        <v>28</v>
      </c>
      <c r="F5779" s="13" t="s">
        <v>29</v>
      </c>
      <c r="G5779">
        <v>15</v>
      </c>
      <c r="H5779" t="s">
        <v>2466</v>
      </c>
      <c r="I5779">
        <v>15</v>
      </c>
      <c r="J5779" s="15"/>
      <c r="K5779" s="16">
        <f>392.41 - (392.41 * $E$1)</f>
        <v>392.41</v>
      </c>
      <c r="L5779" s="16">
        <f>321.65 - (321.65 * $E$1)</f>
        <v>321.64999999999998</v>
      </c>
      <c r="M5779" s="1">
        <v>392.41</v>
      </c>
      <c r="N5779" s="1">
        <v>321.64999999999998</v>
      </c>
      <c r="O5779" s="1">
        <v>333.55</v>
      </c>
      <c r="P5779" s="1">
        <v>273.39999999999998</v>
      </c>
      <c r="Q5779">
        <v>0.46666666666667</v>
      </c>
      <c r="R5779">
        <v>5.0400000000000002E-3</v>
      </c>
    </row>
    <row r="5780" spans="1:18" ht="16.5" customHeight="1" outlineLevel="1" x14ac:dyDescent="0.35">
      <c r="A5780" s="9"/>
      <c r="B5780" s="10" t="s">
        <v>8111</v>
      </c>
      <c r="C5780" s="10"/>
      <c r="D5780" s="10"/>
      <c r="E5780" s="10"/>
      <c r="F5780" s="10"/>
      <c r="G5780" s="10"/>
      <c r="H5780" s="10"/>
      <c r="I5780" s="10"/>
      <c r="J5780" s="10"/>
      <c r="K5780" s="10"/>
      <c r="L5780" s="10"/>
      <c r="M5780" s="10"/>
      <c r="N5780" s="10"/>
      <c r="O5780" s="10"/>
      <c r="P5780" s="10"/>
      <c r="Q5780" s="10"/>
      <c r="R5780" s="11"/>
    </row>
    <row r="5781" spans="1:18" ht="13.8" outlineLevel="2" x14ac:dyDescent="0.25">
      <c r="A5781">
        <v>61367</v>
      </c>
      <c r="B5781" t="s">
        <v>8112</v>
      </c>
      <c r="C5781" t="s">
        <v>8113</v>
      </c>
      <c r="D5781" s="14" t="s">
        <v>8114</v>
      </c>
      <c r="E5781" s="12" t="s">
        <v>28</v>
      </c>
      <c r="F5781" s="13" t="s">
        <v>29</v>
      </c>
      <c r="G5781">
        <v>10</v>
      </c>
      <c r="H5781" t="s">
        <v>30</v>
      </c>
      <c r="I5781">
        <v>10</v>
      </c>
      <c r="J5781" s="15"/>
      <c r="K5781" s="16">
        <f>81.76 - (81.76 * $E$1)</f>
        <v>81.760000000000005</v>
      </c>
      <c r="L5781" s="16">
        <f>67.02 - (67.02 * $E$1)</f>
        <v>67.02</v>
      </c>
      <c r="M5781" s="1">
        <v>81.760000000000005</v>
      </c>
      <c r="N5781" s="1">
        <v>67.02</v>
      </c>
      <c r="O5781" s="1">
        <v>69.5</v>
      </c>
      <c r="P5781" s="1">
        <v>56.97</v>
      </c>
      <c r="Q5781">
        <v>0.03</v>
      </c>
      <c r="R5781">
        <v>3.3599999999999997E-5</v>
      </c>
    </row>
    <row r="5782" spans="1:18" ht="13.8" outlineLevel="2" x14ac:dyDescent="0.25">
      <c r="A5782">
        <v>61368</v>
      </c>
      <c r="B5782" t="s">
        <v>8112</v>
      </c>
      <c r="C5782" t="s">
        <v>8115</v>
      </c>
      <c r="D5782" s="14" t="s">
        <v>8114</v>
      </c>
      <c r="E5782" s="12" t="s">
        <v>28</v>
      </c>
      <c r="F5782" s="13" t="s">
        <v>29</v>
      </c>
      <c r="G5782">
        <v>10</v>
      </c>
      <c r="H5782" t="s">
        <v>30</v>
      </c>
      <c r="I5782">
        <v>10</v>
      </c>
      <c r="J5782" s="15"/>
      <c r="K5782" s="16">
        <f>105.55 - (105.55 * $E$1)</f>
        <v>105.55</v>
      </c>
      <c r="L5782" s="16">
        <f>86.52 - (86.52 * $E$1)</f>
        <v>86.52</v>
      </c>
      <c r="M5782" s="1">
        <v>105.55</v>
      </c>
      <c r="N5782" s="1">
        <v>86.52</v>
      </c>
      <c r="O5782" s="1">
        <v>89.72</v>
      </c>
      <c r="P5782" s="1">
        <v>73.540000000000006</v>
      </c>
      <c r="Q5782">
        <v>0.03</v>
      </c>
      <c r="R5782">
        <v>3.6000000000000001E-5</v>
      </c>
    </row>
    <row r="5783" spans="1:18" ht="13.8" outlineLevel="2" x14ac:dyDescent="0.25">
      <c r="A5783">
        <v>61369</v>
      </c>
      <c r="B5783" t="s">
        <v>8112</v>
      </c>
      <c r="C5783" t="s">
        <v>8116</v>
      </c>
      <c r="D5783" s="14" t="s">
        <v>8114</v>
      </c>
      <c r="E5783" s="12" t="s">
        <v>28</v>
      </c>
      <c r="F5783" s="13" t="s">
        <v>29</v>
      </c>
      <c r="G5783">
        <v>10</v>
      </c>
      <c r="H5783" t="s">
        <v>30</v>
      </c>
      <c r="I5783">
        <v>10</v>
      </c>
      <c r="J5783" s="15"/>
      <c r="K5783" s="16">
        <f>147.16 - (147.16 * $E$1)</f>
        <v>147.16</v>
      </c>
      <c r="L5783" s="16">
        <f>120.62 - (120.62 * $E$1)</f>
        <v>120.62</v>
      </c>
      <c r="M5783" s="1">
        <v>147.16</v>
      </c>
      <c r="N5783" s="1">
        <v>120.62</v>
      </c>
      <c r="O5783" s="1">
        <v>125.08</v>
      </c>
      <c r="P5783" s="1">
        <v>102.53</v>
      </c>
      <c r="Q5783">
        <v>0.04</v>
      </c>
      <c r="R5783">
        <v>4.5000000000000003E-5</v>
      </c>
    </row>
    <row r="5784" spans="1:18" ht="13.8" outlineLevel="2" x14ac:dyDescent="0.25">
      <c r="A5784">
        <v>61370</v>
      </c>
      <c r="B5784" t="s">
        <v>8112</v>
      </c>
      <c r="C5784" t="s">
        <v>8117</v>
      </c>
      <c r="D5784" s="14" t="s">
        <v>8114</v>
      </c>
      <c r="E5784" s="12" t="s">
        <v>28</v>
      </c>
      <c r="F5784" s="13" t="s">
        <v>29</v>
      </c>
      <c r="G5784">
        <v>10</v>
      </c>
      <c r="H5784" t="s">
        <v>30</v>
      </c>
      <c r="I5784">
        <v>10</v>
      </c>
      <c r="J5784" s="15"/>
      <c r="K5784" s="16">
        <f>203.53 - (203.53 * $E$1)</f>
        <v>203.53</v>
      </c>
      <c r="L5784" s="16">
        <f>166.83 - (166.83 * $E$1)</f>
        <v>166.83</v>
      </c>
      <c r="M5784" s="1">
        <v>203.53</v>
      </c>
      <c r="N5784" s="1">
        <v>166.83</v>
      </c>
      <c r="O5784" s="1">
        <v>173</v>
      </c>
      <c r="P5784" s="1">
        <v>141.81</v>
      </c>
      <c r="Q5784">
        <v>7.3999999999999996E-2</v>
      </c>
      <c r="R5784">
        <v>8.6399999999999999E-5</v>
      </c>
    </row>
    <row r="5785" spans="1:18" ht="13.8" outlineLevel="2" x14ac:dyDescent="0.25">
      <c r="A5785">
        <v>61371</v>
      </c>
      <c r="B5785" t="s">
        <v>8112</v>
      </c>
      <c r="C5785" t="s">
        <v>8118</v>
      </c>
      <c r="D5785" s="14" t="s">
        <v>8114</v>
      </c>
      <c r="E5785" s="12" t="s">
        <v>28</v>
      </c>
      <c r="F5785" s="13" t="s">
        <v>29</v>
      </c>
      <c r="G5785">
        <v>10</v>
      </c>
      <c r="H5785" t="s">
        <v>30</v>
      </c>
      <c r="I5785">
        <v>10</v>
      </c>
      <c r="J5785" s="15"/>
      <c r="K5785" s="16">
        <f>285.49 - (285.49 * $E$1)</f>
        <v>285.49</v>
      </c>
      <c r="L5785" s="16">
        <f>234.01 - (234.01 * $E$1)</f>
        <v>234.01</v>
      </c>
      <c r="M5785" s="1">
        <v>285.49</v>
      </c>
      <c r="N5785" s="1">
        <v>234.01</v>
      </c>
      <c r="O5785" s="1">
        <v>242.67</v>
      </c>
      <c r="P5785" s="1">
        <v>198.91</v>
      </c>
      <c r="Q5785">
        <v>0.1</v>
      </c>
      <c r="R5785">
        <v>1.6000000000000001E-4</v>
      </c>
    </row>
    <row r="5786" spans="1:18" ht="13.8" outlineLevel="2" x14ac:dyDescent="0.25">
      <c r="A5786">
        <v>61372</v>
      </c>
      <c r="B5786" t="s">
        <v>8112</v>
      </c>
      <c r="C5786" t="s">
        <v>8119</v>
      </c>
      <c r="D5786" s="14" t="s">
        <v>8114</v>
      </c>
      <c r="E5786" s="12" t="s">
        <v>28</v>
      </c>
      <c r="F5786" s="13" t="s">
        <v>29</v>
      </c>
      <c r="G5786">
        <v>10</v>
      </c>
      <c r="H5786" t="s">
        <v>30</v>
      </c>
      <c r="I5786">
        <v>10</v>
      </c>
      <c r="J5786" s="15"/>
      <c r="K5786" s="16">
        <f>456.37 - (456.37 * $E$1)</f>
        <v>456.37</v>
      </c>
      <c r="L5786" s="16">
        <f>374.07 - (374.07 * $E$1)</f>
        <v>374.07</v>
      </c>
      <c r="M5786" s="1">
        <v>456.37</v>
      </c>
      <c r="N5786" s="1">
        <v>374.07</v>
      </c>
      <c r="O5786" s="1">
        <v>387.91</v>
      </c>
      <c r="P5786" s="1">
        <v>317.95999999999998</v>
      </c>
      <c r="Q5786">
        <v>0.15</v>
      </c>
      <c r="R5786">
        <v>1.5750000000000001E-4</v>
      </c>
    </row>
    <row r="5787" spans="1:18" ht="13.8" outlineLevel="2" x14ac:dyDescent="0.25">
      <c r="A5787">
        <v>61374</v>
      </c>
      <c r="B5787" t="s">
        <v>8112</v>
      </c>
      <c r="C5787" t="s">
        <v>8120</v>
      </c>
      <c r="D5787" s="14" t="s">
        <v>8114</v>
      </c>
      <c r="E5787" s="12" t="s">
        <v>28</v>
      </c>
      <c r="F5787" s="13" t="s">
        <v>29</v>
      </c>
      <c r="G5787">
        <v>10</v>
      </c>
      <c r="H5787" t="s">
        <v>30</v>
      </c>
      <c r="I5787">
        <v>10</v>
      </c>
      <c r="J5787" s="15"/>
      <c r="K5787" s="16">
        <f>595.68 - (595.68 * $E$1)</f>
        <v>595.67999999999995</v>
      </c>
      <c r="L5787" s="16">
        <f>488.26 - (488.26 * $E$1)</f>
        <v>488.26</v>
      </c>
      <c r="M5787" s="1">
        <v>595.67999999999995</v>
      </c>
      <c r="N5787" s="1">
        <v>488.26</v>
      </c>
      <c r="O5787" s="1">
        <v>506.33</v>
      </c>
      <c r="P5787" s="1">
        <v>415.02</v>
      </c>
      <c r="Q5787">
        <v>0.19</v>
      </c>
      <c r="R5787">
        <v>3.9599999999999998E-4</v>
      </c>
    </row>
    <row r="5788" spans="1:18" ht="13.8" outlineLevel="2" x14ac:dyDescent="0.25">
      <c r="A5788">
        <v>61375</v>
      </c>
      <c r="B5788" t="s">
        <v>8112</v>
      </c>
      <c r="C5788" t="s">
        <v>8121</v>
      </c>
      <c r="D5788" s="14" t="s">
        <v>8114</v>
      </c>
      <c r="E5788" s="12" t="s">
        <v>28</v>
      </c>
      <c r="F5788" s="13" t="s">
        <v>29</v>
      </c>
      <c r="G5788">
        <v>10</v>
      </c>
      <c r="H5788" t="s">
        <v>30</v>
      </c>
      <c r="I5788">
        <v>10</v>
      </c>
      <c r="J5788" s="15"/>
      <c r="K5788" s="16">
        <f>940.67 - (940.67 * $E$1)</f>
        <v>940.67</v>
      </c>
      <c r="L5788" s="16">
        <f>771.04 - (771.04 * $E$1)</f>
        <v>771.04</v>
      </c>
      <c r="M5788" s="1">
        <v>940.67</v>
      </c>
      <c r="N5788" s="1">
        <v>771.04</v>
      </c>
      <c r="O5788" s="1">
        <v>799.57</v>
      </c>
      <c r="P5788" s="1">
        <v>655.38</v>
      </c>
      <c r="Q5788">
        <v>0.3</v>
      </c>
      <c r="R5788">
        <v>3.4319999999999999E-4</v>
      </c>
    </row>
    <row r="5789" spans="1:18" ht="13.8" outlineLevel="2" x14ac:dyDescent="0.25">
      <c r="A5789">
        <v>61376</v>
      </c>
      <c r="B5789" t="s">
        <v>8112</v>
      </c>
      <c r="C5789" t="s">
        <v>8122</v>
      </c>
      <c r="D5789" s="14" t="s">
        <v>8114</v>
      </c>
      <c r="E5789" s="12" t="s">
        <v>28</v>
      </c>
      <c r="F5789" s="13" t="s">
        <v>29</v>
      </c>
      <c r="G5789">
        <v>4</v>
      </c>
      <c r="H5789" t="s">
        <v>30</v>
      </c>
      <c r="I5789">
        <v>4</v>
      </c>
      <c r="J5789" s="15"/>
      <c r="K5789" s="16">
        <f>1718.11 - (1718.11 * $E$1)</f>
        <v>1718.11</v>
      </c>
      <c r="L5789" s="16">
        <f>1408.29 - (1408.29 * $E$1)</f>
        <v>1408.29</v>
      </c>
      <c r="M5789" s="1">
        <v>1718.11</v>
      </c>
      <c r="N5789" s="1">
        <v>1408.29</v>
      </c>
      <c r="O5789" s="1">
        <v>1460.4</v>
      </c>
      <c r="P5789" s="1">
        <v>1197.05</v>
      </c>
      <c r="Q5789">
        <v>0.47499999999999998</v>
      </c>
      <c r="R5789">
        <v>5.2249999999999996E-4</v>
      </c>
    </row>
    <row r="5790" spans="1:18" ht="13.8" outlineLevel="2" x14ac:dyDescent="0.25">
      <c r="A5790">
        <v>61377</v>
      </c>
      <c r="B5790" t="s">
        <v>8112</v>
      </c>
      <c r="C5790" t="s">
        <v>8123</v>
      </c>
      <c r="D5790" s="14" t="s">
        <v>8114</v>
      </c>
      <c r="E5790" s="12" t="s">
        <v>28</v>
      </c>
      <c r="F5790" s="13" t="s">
        <v>29</v>
      </c>
      <c r="G5790">
        <v>4</v>
      </c>
      <c r="H5790" t="s">
        <v>30</v>
      </c>
      <c r="I5790">
        <v>4</v>
      </c>
      <c r="J5790" s="15"/>
      <c r="K5790" s="16">
        <f>2137.15 - (2137.15 * $E$1)</f>
        <v>2137.15</v>
      </c>
      <c r="L5790" s="16">
        <f>1751.76 - (1751.76 * $E$1)</f>
        <v>1751.76</v>
      </c>
      <c r="M5790" s="1">
        <v>2137.15</v>
      </c>
      <c r="N5790" s="1">
        <v>1751.76</v>
      </c>
      <c r="O5790" s="1">
        <v>1816.58</v>
      </c>
      <c r="P5790" s="1">
        <v>1489</v>
      </c>
      <c r="Q5790">
        <v>0.72499999999999998</v>
      </c>
      <c r="R5790">
        <v>6.9999999999999999E-4</v>
      </c>
    </row>
    <row r="5791" spans="1:18" ht="13.8" outlineLevel="2" x14ac:dyDescent="0.25">
      <c r="A5791">
        <v>61378</v>
      </c>
      <c r="B5791" t="s">
        <v>8112</v>
      </c>
      <c r="C5791" t="s">
        <v>8124</v>
      </c>
      <c r="D5791" s="14" t="s">
        <v>8114</v>
      </c>
      <c r="E5791" s="12" t="s">
        <v>28</v>
      </c>
      <c r="F5791" s="13" t="s">
        <v>29</v>
      </c>
      <c r="G5791">
        <v>4</v>
      </c>
      <c r="H5791" t="s">
        <v>30</v>
      </c>
      <c r="I5791">
        <v>4</v>
      </c>
      <c r="J5791" s="15"/>
      <c r="K5791" s="16">
        <f>3507.16 - (3507.16 * $E$1)</f>
        <v>3507.16</v>
      </c>
      <c r="L5791" s="16">
        <f>2874.72 - (2874.72 * $E$1)</f>
        <v>2874.72</v>
      </c>
      <c r="M5791" s="1">
        <v>3507.16</v>
      </c>
      <c r="N5791" s="1">
        <v>2874.72</v>
      </c>
      <c r="O5791" s="1">
        <v>2981.08</v>
      </c>
      <c r="P5791" s="1">
        <v>2443.5100000000002</v>
      </c>
      <c r="Q5791">
        <v>1.075</v>
      </c>
      <c r="R5791">
        <v>1.1407500000000001E-3</v>
      </c>
    </row>
    <row r="5792" spans="1:18" ht="13.8" outlineLevel="2" x14ac:dyDescent="0.25">
      <c r="A5792">
        <v>88904</v>
      </c>
      <c r="B5792" t="s">
        <v>8112</v>
      </c>
      <c r="C5792" t="s">
        <v>8125</v>
      </c>
      <c r="D5792" s="14" t="s">
        <v>8126</v>
      </c>
      <c r="E5792" s="12" t="s">
        <v>28</v>
      </c>
      <c r="F5792" s="13" t="s">
        <v>29</v>
      </c>
      <c r="G5792">
        <v>10</v>
      </c>
      <c r="H5792" t="s">
        <v>30</v>
      </c>
      <c r="I5792">
        <v>10</v>
      </c>
      <c r="J5792" s="15"/>
      <c r="K5792" s="16">
        <f>102.21 - (102.21 * $E$1)</f>
        <v>102.21</v>
      </c>
      <c r="L5792" s="16">
        <f>83.78 - (83.78 * $E$1)</f>
        <v>83.78</v>
      </c>
      <c r="M5792" s="1">
        <v>102.21</v>
      </c>
      <c r="N5792" s="1">
        <v>83.78</v>
      </c>
      <c r="O5792" s="1">
        <v>86.88</v>
      </c>
      <c r="P5792" s="1">
        <v>71.209999999999994</v>
      </c>
      <c r="Q5792">
        <v>0.03</v>
      </c>
      <c r="R5792">
        <v>3.3599999999999997E-5</v>
      </c>
    </row>
    <row r="5793" spans="1:18" ht="13.8" outlineLevel="2" x14ac:dyDescent="0.25">
      <c r="A5793">
        <v>88905</v>
      </c>
      <c r="B5793" t="s">
        <v>8112</v>
      </c>
      <c r="C5793" t="s">
        <v>8127</v>
      </c>
      <c r="D5793" s="14" t="s">
        <v>8126</v>
      </c>
      <c r="E5793" s="12" t="s">
        <v>28</v>
      </c>
      <c r="F5793" s="13" t="s">
        <v>29</v>
      </c>
      <c r="G5793">
        <v>10</v>
      </c>
      <c r="H5793" t="s">
        <v>30</v>
      </c>
      <c r="I5793">
        <v>10</v>
      </c>
      <c r="J5793" s="15"/>
      <c r="K5793" s="16">
        <f>105.18 - (105.18 * $E$1)</f>
        <v>105.18</v>
      </c>
      <c r="L5793" s="16">
        <f>86.21 - (86.21 * $E$1)</f>
        <v>86.21</v>
      </c>
      <c r="M5793" s="1">
        <v>105.18</v>
      </c>
      <c r="N5793" s="1">
        <v>86.21</v>
      </c>
      <c r="O5793" s="1">
        <v>89.4</v>
      </c>
      <c r="P5793" s="1">
        <v>73.28</v>
      </c>
      <c r="Q5793">
        <v>0.03</v>
      </c>
      <c r="R5793">
        <v>3.6000000000000001E-5</v>
      </c>
    </row>
    <row r="5794" spans="1:18" ht="13.8" outlineLevel="2" x14ac:dyDescent="0.25">
      <c r="A5794">
        <v>88906</v>
      </c>
      <c r="B5794" t="s">
        <v>8112</v>
      </c>
      <c r="C5794" t="s">
        <v>8128</v>
      </c>
      <c r="D5794" s="14" t="s">
        <v>8126</v>
      </c>
      <c r="E5794" s="12" t="s">
        <v>28</v>
      </c>
      <c r="F5794" s="13" t="s">
        <v>29</v>
      </c>
      <c r="G5794">
        <v>10</v>
      </c>
      <c r="H5794" t="s">
        <v>30</v>
      </c>
      <c r="I5794">
        <v>10</v>
      </c>
      <c r="J5794" s="15"/>
      <c r="K5794" s="16">
        <f>136.59 - (136.59 * $E$1)</f>
        <v>136.59</v>
      </c>
      <c r="L5794" s="16">
        <f>111.96 - (111.96 * $E$1)</f>
        <v>111.96</v>
      </c>
      <c r="M5794" s="1">
        <v>136.59</v>
      </c>
      <c r="N5794" s="1">
        <v>111.96</v>
      </c>
      <c r="O5794" s="1">
        <v>116.1</v>
      </c>
      <c r="P5794" s="1">
        <v>95.17</v>
      </c>
      <c r="Q5794">
        <v>0.04</v>
      </c>
      <c r="R5794">
        <v>4.5000000000000003E-5</v>
      </c>
    </row>
    <row r="5795" spans="1:18" ht="13.8" outlineLevel="2" x14ac:dyDescent="0.25">
      <c r="A5795">
        <v>88907</v>
      </c>
      <c r="B5795" t="s">
        <v>8112</v>
      </c>
      <c r="C5795" t="s">
        <v>8129</v>
      </c>
      <c r="D5795" s="14" t="s">
        <v>8126</v>
      </c>
      <c r="E5795" s="12" t="s">
        <v>28</v>
      </c>
      <c r="F5795" s="13" t="s">
        <v>29</v>
      </c>
      <c r="G5795">
        <v>10</v>
      </c>
      <c r="H5795" t="s">
        <v>30</v>
      </c>
      <c r="I5795">
        <v>10</v>
      </c>
      <c r="J5795" s="15"/>
      <c r="K5795" s="16">
        <f>177.17 - (177.17 * $E$1)</f>
        <v>177.17</v>
      </c>
      <c r="L5795" s="16">
        <f>145.22 - (145.22 * $E$1)</f>
        <v>145.22</v>
      </c>
      <c r="M5795" s="1">
        <v>177.17</v>
      </c>
      <c r="N5795" s="1">
        <v>145.22</v>
      </c>
      <c r="O5795" s="1">
        <v>150.59</v>
      </c>
      <c r="P5795" s="1">
        <v>123.44</v>
      </c>
      <c r="Q5795">
        <v>0.06</v>
      </c>
      <c r="R5795">
        <v>7.4800000000000002E-5</v>
      </c>
    </row>
    <row r="5796" spans="1:18" ht="13.8" outlineLevel="2" x14ac:dyDescent="0.25">
      <c r="A5796">
        <v>88908</v>
      </c>
      <c r="B5796" t="s">
        <v>8112</v>
      </c>
      <c r="C5796" t="s">
        <v>8130</v>
      </c>
      <c r="D5796" s="14" t="s">
        <v>8126</v>
      </c>
      <c r="E5796" s="12" t="s">
        <v>28</v>
      </c>
      <c r="F5796" s="13" t="s">
        <v>29</v>
      </c>
      <c r="G5796">
        <v>10</v>
      </c>
      <c r="H5796" t="s">
        <v>30</v>
      </c>
      <c r="I5796">
        <v>10</v>
      </c>
      <c r="J5796" s="15"/>
      <c r="K5796" s="16">
        <f>260.93 - (260.93 * $E$1)</f>
        <v>260.93</v>
      </c>
      <c r="L5796" s="16">
        <f>213.88 - (213.88 * $E$1)</f>
        <v>213.88</v>
      </c>
      <c r="M5796" s="1">
        <v>260.93</v>
      </c>
      <c r="N5796" s="1">
        <v>213.88</v>
      </c>
      <c r="O5796" s="1">
        <v>221.79</v>
      </c>
      <c r="P5796" s="1">
        <v>181.8</v>
      </c>
      <c r="Q5796">
        <v>0.1</v>
      </c>
      <c r="R5796">
        <v>1.6000000000000001E-4</v>
      </c>
    </row>
    <row r="5797" spans="1:18" ht="13.8" outlineLevel="2" x14ac:dyDescent="0.25">
      <c r="A5797">
        <v>88909</v>
      </c>
      <c r="B5797" t="s">
        <v>8112</v>
      </c>
      <c r="C5797" t="s">
        <v>8131</v>
      </c>
      <c r="D5797" s="14" t="s">
        <v>8126</v>
      </c>
      <c r="E5797" s="12" t="s">
        <v>28</v>
      </c>
      <c r="F5797" s="13" t="s">
        <v>29</v>
      </c>
      <c r="G5797">
        <v>10</v>
      </c>
      <c r="H5797" t="s">
        <v>30</v>
      </c>
      <c r="I5797">
        <v>10</v>
      </c>
      <c r="J5797" s="15"/>
      <c r="K5797" s="16">
        <f>406.6 - (406.6 * $E$1)</f>
        <v>406.6</v>
      </c>
      <c r="L5797" s="16">
        <f>333.28 - (333.28 * $E$1)</f>
        <v>333.28</v>
      </c>
      <c r="M5797" s="1">
        <v>406.6</v>
      </c>
      <c r="N5797" s="1">
        <v>333.28</v>
      </c>
      <c r="O5797" s="1">
        <v>345.61</v>
      </c>
      <c r="P5797" s="1">
        <v>283.29000000000002</v>
      </c>
      <c r="Q5797">
        <v>0.15</v>
      </c>
      <c r="R5797">
        <v>1.5750000000000001E-4</v>
      </c>
    </row>
    <row r="5798" spans="1:18" ht="13.8" outlineLevel="2" x14ac:dyDescent="0.25">
      <c r="A5798">
        <v>88910</v>
      </c>
      <c r="B5798" t="s">
        <v>8112</v>
      </c>
      <c r="C5798" t="s">
        <v>8132</v>
      </c>
      <c r="D5798" s="14" t="s">
        <v>8126</v>
      </c>
      <c r="E5798" s="12" t="s">
        <v>28</v>
      </c>
      <c r="F5798" s="13" t="s">
        <v>29</v>
      </c>
      <c r="G5798">
        <v>10</v>
      </c>
      <c r="H5798" t="s">
        <v>30</v>
      </c>
      <c r="I5798">
        <v>10</v>
      </c>
      <c r="J5798" s="15"/>
      <c r="K5798" s="16">
        <f>583.18 - (583.18 * $E$1)</f>
        <v>583.17999999999995</v>
      </c>
      <c r="L5798" s="16">
        <f>478.02 - (478.02 * $E$1)</f>
        <v>478.02</v>
      </c>
      <c r="M5798" s="1">
        <v>583.17999999999995</v>
      </c>
      <c r="N5798" s="1">
        <v>478.02</v>
      </c>
      <c r="O5798" s="1">
        <v>495.71</v>
      </c>
      <c r="P5798" s="1">
        <v>406.32</v>
      </c>
      <c r="Q5798">
        <v>0.19</v>
      </c>
      <c r="R5798">
        <v>3.9599999999999998E-4</v>
      </c>
    </row>
    <row r="5799" spans="1:18" ht="13.8" outlineLevel="2" x14ac:dyDescent="0.25">
      <c r="A5799">
        <v>88911</v>
      </c>
      <c r="B5799" t="s">
        <v>8112</v>
      </c>
      <c r="C5799" t="s">
        <v>8133</v>
      </c>
      <c r="D5799" s="14" t="s">
        <v>8126</v>
      </c>
      <c r="E5799" s="12" t="s">
        <v>28</v>
      </c>
      <c r="F5799" s="13" t="s">
        <v>29</v>
      </c>
      <c r="G5799">
        <v>10</v>
      </c>
      <c r="H5799" t="s">
        <v>30</v>
      </c>
      <c r="I5799">
        <v>10</v>
      </c>
      <c r="J5799" s="15"/>
      <c r="K5799" s="16">
        <f>919.2 - (919.2 * $E$1)</f>
        <v>919.2</v>
      </c>
      <c r="L5799" s="16">
        <f>753.44 - (753.44 * $E$1)</f>
        <v>753.44</v>
      </c>
      <c r="M5799" s="1">
        <v>919.2</v>
      </c>
      <c r="N5799" s="1">
        <v>753.44</v>
      </c>
      <c r="O5799" s="1">
        <v>781.32</v>
      </c>
      <c r="P5799" s="1">
        <v>640.41999999999996</v>
      </c>
      <c r="Q5799">
        <v>0.3</v>
      </c>
      <c r="R5799">
        <v>3.4319999999999999E-4</v>
      </c>
    </row>
    <row r="5800" spans="1:18" ht="13.8" outlineLevel="2" x14ac:dyDescent="0.25">
      <c r="A5800">
        <v>88912</v>
      </c>
      <c r="B5800" t="s">
        <v>8112</v>
      </c>
      <c r="C5800" t="s">
        <v>8134</v>
      </c>
      <c r="D5800" s="14" t="s">
        <v>8126</v>
      </c>
      <c r="E5800" s="12" t="s">
        <v>28</v>
      </c>
      <c r="F5800" s="13" t="s">
        <v>29</v>
      </c>
      <c r="G5800">
        <v>4</v>
      </c>
      <c r="H5800" t="s">
        <v>30</v>
      </c>
      <c r="I5800">
        <v>4</v>
      </c>
      <c r="J5800" s="15"/>
      <c r="K5800" s="16">
        <f>1654.43 - (1654.43 * $E$1)</f>
        <v>1654.43</v>
      </c>
      <c r="L5800" s="16">
        <f>1356.09 - (1356.09 * $E$1)</f>
        <v>1356.09</v>
      </c>
      <c r="M5800" s="1">
        <v>1654.43</v>
      </c>
      <c r="N5800" s="1">
        <v>1356.09</v>
      </c>
      <c r="O5800" s="1">
        <v>1406.27</v>
      </c>
      <c r="P5800" s="1">
        <v>1152.68</v>
      </c>
      <c r="Q5800">
        <v>0.47499999999999998</v>
      </c>
      <c r="R5800">
        <v>5.2249999999999996E-4</v>
      </c>
    </row>
    <row r="5801" spans="1:18" ht="13.8" outlineLevel="2" x14ac:dyDescent="0.25">
      <c r="A5801">
        <v>88913</v>
      </c>
      <c r="B5801" t="s">
        <v>8112</v>
      </c>
      <c r="C5801" t="s">
        <v>8135</v>
      </c>
      <c r="D5801" s="14" t="s">
        <v>8126</v>
      </c>
      <c r="E5801" s="12" t="s">
        <v>28</v>
      </c>
      <c r="F5801" s="13" t="s">
        <v>29</v>
      </c>
      <c r="G5801">
        <v>4</v>
      </c>
      <c r="H5801" t="s">
        <v>30</v>
      </c>
      <c r="I5801">
        <v>4</v>
      </c>
      <c r="J5801" s="15"/>
      <c r="K5801" s="16">
        <f>2314.9 - (2314.9 * $E$1)</f>
        <v>2314.9</v>
      </c>
      <c r="L5801" s="16">
        <f>1897.46 - (1897.46 * $E$1)</f>
        <v>1897.46</v>
      </c>
      <c r="M5801" s="1">
        <v>2314.9</v>
      </c>
      <c r="N5801" s="1">
        <v>1897.46</v>
      </c>
      <c r="O5801" s="1">
        <v>1967.67</v>
      </c>
      <c r="P5801" s="1">
        <v>1612.84</v>
      </c>
      <c r="Q5801">
        <v>0.72499999999999998</v>
      </c>
      <c r="R5801">
        <v>6.9999999999999999E-4</v>
      </c>
    </row>
    <row r="5802" spans="1:18" ht="13.8" outlineLevel="2" x14ac:dyDescent="0.25">
      <c r="A5802">
        <v>88914</v>
      </c>
      <c r="B5802" t="s">
        <v>8112</v>
      </c>
      <c r="C5802" t="s">
        <v>8136</v>
      </c>
      <c r="D5802" s="14" t="s">
        <v>8126</v>
      </c>
      <c r="E5802" s="12" t="s">
        <v>28</v>
      </c>
      <c r="F5802" s="13" t="s">
        <v>29</v>
      </c>
      <c r="G5802">
        <v>4</v>
      </c>
      <c r="H5802" t="s">
        <v>30</v>
      </c>
      <c r="I5802">
        <v>4</v>
      </c>
      <c r="J5802" s="15"/>
      <c r="K5802" s="16">
        <f>3928.99 - (3928.99 * $E$1)</f>
        <v>3928.99</v>
      </c>
      <c r="L5802" s="16">
        <f>3220.48 - (3220.48 * $E$1)</f>
        <v>3220.48</v>
      </c>
      <c r="M5802" s="1">
        <v>3928.99</v>
      </c>
      <c r="N5802" s="1">
        <v>3220.48</v>
      </c>
      <c r="O5802" s="1">
        <v>3339.64</v>
      </c>
      <c r="P5802" s="1">
        <v>2737.41</v>
      </c>
      <c r="Q5802">
        <v>1.075</v>
      </c>
      <c r="R5802">
        <v>1.1407500000000001E-3</v>
      </c>
    </row>
    <row r="5803" spans="1:18" ht="13.8" outlineLevel="2" x14ac:dyDescent="0.25">
      <c r="A5803">
        <v>87889</v>
      </c>
      <c r="B5803" t="s">
        <v>8112</v>
      </c>
      <c r="C5803" t="s">
        <v>8137</v>
      </c>
      <c r="D5803" s="14" t="s">
        <v>8138</v>
      </c>
      <c r="E5803" s="12" t="s">
        <v>28</v>
      </c>
      <c r="F5803" s="13" t="s">
        <v>29</v>
      </c>
      <c r="G5803">
        <v>10</v>
      </c>
      <c r="H5803" t="s">
        <v>30</v>
      </c>
      <c r="I5803">
        <v>10</v>
      </c>
      <c r="J5803" s="15"/>
      <c r="K5803" s="16">
        <f>95.82 - (95.82 * $E$1)</f>
        <v>95.82</v>
      </c>
      <c r="L5803" s="16">
        <f>78.54 - (78.54 * $E$1)</f>
        <v>78.540000000000006</v>
      </c>
      <c r="M5803" s="1">
        <v>95.82</v>
      </c>
      <c r="N5803" s="1">
        <v>78.540000000000006</v>
      </c>
      <c r="O5803" s="1">
        <v>81.45</v>
      </c>
      <c r="P5803" s="1">
        <v>66.760000000000005</v>
      </c>
      <c r="Q5803">
        <v>3.4000000000000002E-2</v>
      </c>
      <c r="R5803">
        <v>3.3599999999999997E-5</v>
      </c>
    </row>
    <row r="5804" spans="1:18" ht="13.8" outlineLevel="2" x14ac:dyDescent="0.25">
      <c r="A5804">
        <v>87890</v>
      </c>
      <c r="B5804" t="s">
        <v>8112</v>
      </c>
      <c r="C5804" t="s">
        <v>8139</v>
      </c>
      <c r="D5804" s="14" t="s">
        <v>8138</v>
      </c>
      <c r="E5804" s="12" t="s">
        <v>28</v>
      </c>
      <c r="F5804" s="13" t="s">
        <v>29</v>
      </c>
      <c r="G5804">
        <v>10</v>
      </c>
      <c r="H5804" t="s">
        <v>30</v>
      </c>
      <c r="I5804">
        <v>10</v>
      </c>
      <c r="J5804" s="15"/>
      <c r="K5804" s="16">
        <f>98.6 - (98.6 * $E$1)</f>
        <v>98.6</v>
      </c>
      <c r="L5804" s="16">
        <f>80.82 - (80.82 * $E$1)</f>
        <v>80.819999999999993</v>
      </c>
      <c r="M5804" s="1">
        <v>98.6</v>
      </c>
      <c r="N5804" s="1">
        <v>80.819999999999993</v>
      </c>
      <c r="O5804" s="1">
        <v>83.81</v>
      </c>
      <c r="P5804" s="1">
        <v>68.7</v>
      </c>
      <c r="Q5804">
        <v>3.4000000000000002E-2</v>
      </c>
      <c r="R5804">
        <v>3.6000000000000001E-5</v>
      </c>
    </row>
    <row r="5805" spans="1:18" ht="13.8" outlineLevel="2" x14ac:dyDescent="0.25">
      <c r="A5805">
        <v>87891</v>
      </c>
      <c r="B5805" t="s">
        <v>8112</v>
      </c>
      <c r="C5805" t="s">
        <v>8140</v>
      </c>
      <c r="D5805" s="14" t="s">
        <v>8138</v>
      </c>
      <c r="E5805" s="12" t="s">
        <v>28</v>
      </c>
      <c r="F5805" s="13" t="s">
        <v>29</v>
      </c>
      <c r="G5805">
        <v>10</v>
      </c>
      <c r="H5805" t="s">
        <v>30</v>
      </c>
      <c r="I5805">
        <v>10</v>
      </c>
      <c r="J5805" s="15"/>
      <c r="K5805" s="16">
        <f>128.06 - (128.06 * $E$1)</f>
        <v>128.06</v>
      </c>
      <c r="L5805" s="16">
        <f>104.97 - (104.97 * $E$1)</f>
        <v>104.97</v>
      </c>
      <c r="M5805" s="1">
        <v>128.06</v>
      </c>
      <c r="N5805" s="1">
        <v>104.97</v>
      </c>
      <c r="O5805" s="1">
        <v>108.85</v>
      </c>
      <c r="P5805" s="1">
        <v>89.22</v>
      </c>
      <c r="Q5805">
        <v>5.0999999999999997E-2</v>
      </c>
      <c r="R5805">
        <v>4.5000000000000003E-5</v>
      </c>
    </row>
    <row r="5806" spans="1:18" ht="13.8" outlineLevel="2" x14ac:dyDescent="0.25">
      <c r="A5806">
        <v>87892</v>
      </c>
      <c r="B5806" t="s">
        <v>8112</v>
      </c>
      <c r="C5806" t="s">
        <v>8141</v>
      </c>
      <c r="D5806" s="14" t="s">
        <v>8138</v>
      </c>
      <c r="E5806" s="12" t="s">
        <v>28</v>
      </c>
      <c r="F5806" s="13" t="s">
        <v>29</v>
      </c>
      <c r="G5806">
        <v>10</v>
      </c>
      <c r="H5806" t="s">
        <v>30</v>
      </c>
      <c r="I5806">
        <v>10</v>
      </c>
      <c r="J5806" s="15"/>
      <c r="K5806" s="16">
        <f>166.09 - (166.09 * $E$1)</f>
        <v>166.09</v>
      </c>
      <c r="L5806" s="16">
        <f>136.14 - (136.14 * $E$1)</f>
        <v>136.13999999999999</v>
      </c>
      <c r="M5806" s="1">
        <v>166.09</v>
      </c>
      <c r="N5806" s="1">
        <v>136.13999999999999</v>
      </c>
      <c r="O5806" s="1">
        <v>141.18</v>
      </c>
      <c r="P5806" s="1">
        <v>115.72</v>
      </c>
      <c r="Q5806">
        <v>6.6000000000000003E-2</v>
      </c>
      <c r="R5806">
        <v>7.4800000000000002E-5</v>
      </c>
    </row>
    <row r="5807" spans="1:18" ht="13.8" outlineLevel="2" x14ac:dyDescent="0.25">
      <c r="A5807">
        <v>87893</v>
      </c>
      <c r="B5807" t="s">
        <v>8112</v>
      </c>
      <c r="C5807" t="s">
        <v>8142</v>
      </c>
      <c r="D5807" s="14" t="s">
        <v>8138</v>
      </c>
      <c r="E5807" s="12" t="s">
        <v>28</v>
      </c>
      <c r="F5807" s="13" t="s">
        <v>29</v>
      </c>
      <c r="G5807">
        <v>10</v>
      </c>
      <c r="H5807" t="s">
        <v>30</v>
      </c>
      <c r="I5807">
        <v>10</v>
      </c>
      <c r="J5807" s="15"/>
      <c r="K5807" s="16">
        <f>244.61 - (244.61 * $E$1)</f>
        <v>244.61</v>
      </c>
      <c r="L5807" s="16">
        <f>200.5 - (200.5 * $E$1)</f>
        <v>200.5</v>
      </c>
      <c r="M5807" s="1">
        <v>244.61</v>
      </c>
      <c r="N5807" s="1">
        <v>200.5</v>
      </c>
      <c r="O5807" s="1">
        <v>207.92</v>
      </c>
      <c r="P5807" s="1">
        <v>170.43</v>
      </c>
      <c r="Q5807">
        <v>0.1</v>
      </c>
      <c r="R5807">
        <v>1.6000000000000001E-4</v>
      </c>
    </row>
    <row r="5808" spans="1:18" ht="13.8" outlineLevel="2" x14ac:dyDescent="0.25">
      <c r="A5808">
        <v>87894</v>
      </c>
      <c r="B5808" t="s">
        <v>8112</v>
      </c>
      <c r="C5808" t="s">
        <v>8143</v>
      </c>
      <c r="D5808" s="14" t="s">
        <v>8138</v>
      </c>
      <c r="E5808" s="12" t="s">
        <v>28</v>
      </c>
      <c r="F5808" s="13" t="s">
        <v>29</v>
      </c>
      <c r="G5808">
        <v>10</v>
      </c>
      <c r="H5808" t="s">
        <v>30</v>
      </c>
      <c r="I5808">
        <v>10</v>
      </c>
      <c r="J5808" s="15"/>
      <c r="K5808" s="16">
        <f>381.19 - (381.19 * $E$1)</f>
        <v>381.19</v>
      </c>
      <c r="L5808" s="16">
        <f>312.45 - (312.45 * $E$1)</f>
        <v>312.45</v>
      </c>
      <c r="M5808" s="1">
        <v>381.19</v>
      </c>
      <c r="N5808" s="1">
        <v>312.45</v>
      </c>
      <c r="O5808" s="1">
        <v>324.01</v>
      </c>
      <c r="P5808" s="1">
        <v>265.58</v>
      </c>
      <c r="Q5808">
        <v>0.155</v>
      </c>
      <c r="R5808">
        <v>1.5750000000000001E-4</v>
      </c>
    </row>
    <row r="5809" spans="1:18" ht="13.8" outlineLevel="2" x14ac:dyDescent="0.25">
      <c r="A5809">
        <v>87895</v>
      </c>
      <c r="B5809" t="s">
        <v>8112</v>
      </c>
      <c r="C5809" t="s">
        <v>8144</v>
      </c>
      <c r="D5809" s="14" t="s">
        <v>8138</v>
      </c>
      <c r="E5809" s="12" t="s">
        <v>28</v>
      </c>
      <c r="F5809" s="13" t="s">
        <v>29</v>
      </c>
      <c r="G5809">
        <v>10</v>
      </c>
      <c r="H5809" t="s">
        <v>30</v>
      </c>
      <c r="I5809">
        <v>10</v>
      </c>
      <c r="J5809" s="15"/>
      <c r="K5809" s="16">
        <f>546.71 - (546.71 * $E$1)</f>
        <v>546.71</v>
      </c>
      <c r="L5809" s="16">
        <f>448.12 - (448.12 * $E$1)</f>
        <v>448.12</v>
      </c>
      <c r="M5809" s="1">
        <v>546.71</v>
      </c>
      <c r="N5809" s="1">
        <v>448.12</v>
      </c>
      <c r="O5809" s="1">
        <v>464.7</v>
      </c>
      <c r="P5809" s="1">
        <v>380.9</v>
      </c>
      <c r="Q5809">
        <v>0.2</v>
      </c>
      <c r="R5809">
        <v>3.9599999999999998E-4</v>
      </c>
    </row>
    <row r="5810" spans="1:18" ht="13.8" outlineLevel="2" x14ac:dyDescent="0.25">
      <c r="A5810">
        <v>87896</v>
      </c>
      <c r="B5810" t="s">
        <v>8112</v>
      </c>
      <c r="C5810" t="s">
        <v>8145</v>
      </c>
      <c r="D5810" s="14" t="s">
        <v>8138</v>
      </c>
      <c r="E5810" s="12" t="s">
        <v>28</v>
      </c>
      <c r="F5810" s="13" t="s">
        <v>29</v>
      </c>
      <c r="G5810">
        <v>10</v>
      </c>
      <c r="H5810" t="s">
        <v>30</v>
      </c>
      <c r="I5810">
        <v>10</v>
      </c>
      <c r="J5810" s="15"/>
      <c r="K5810" s="16">
        <f>861.73 - (861.73 * $E$1)</f>
        <v>861.73</v>
      </c>
      <c r="L5810" s="16">
        <f>706.34 - (706.34 * $E$1)</f>
        <v>706.34</v>
      </c>
      <c r="M5810" s="1">
        <v>861.73</v>
      </c>
      <c r="N5810" s="1">
        <v>706.34</v>
      </c>
      <c r="O5810" s="1">
        <v>732.47</v>
      </c>
      <c r="P5810" s="1">
        <v>600.39</v>
      </c>
      <c r="Q5810">
        <v>0.33</v>
      </c>
      <c r="R5810">
        <v>3.4319999999999999E-4</v>
      </c>
    </row>
    <row r="5811" spans="1:18" ht="13.8" outlineLevel="2" x14ac:dyDescent="0.25">
      <c r="A5811">
        <v>87897</v>
      </c>
      <c r="B5811" t="s">
        <v>8112</v>
      </c>
      <c r="C5811" t="s">
        <v>8146</v>
      </c>
      <c r="D5811" s="14" t="s">
        <v>8138</v>
      </c>
      <c r="E5811" s="12" t="s">
        <v>28</v>
      </c>
      <c r="F5811" s="13" t="s">
        <v>29</v>
      </c>
      <c r="G5811">
        <v>4</v>
      </c>
      <c r="H5811" t="s">
        <v>30</v>
      </c>
      <c r="I5811">
        <v>4</v>
      </c>
      <c r="J5811" s="15"/>
      <c r="K5811" s="16">
        <f>1551.05 - (1551.05 * $E$1)</f>
        <v>1551.05</v>
      </c>
      <c r="L5811" s="16">
        <f>1271.35 - (1271.35 * $E$1)</f>
        <v>1271.3499999999999</v>
      </c>
      <c r="M5811" s="1">
        <v>1551.05</v>
      </c>
      <c r="N5811" s="1">
        <v>1271.3499999999999</v>
      </c>
      <c r="O5811" s="1">
        <v>1318.39</v>
      </c>
      <c r="P5811" s="1">
        <v>1080.6500000000001</v>
      </c>
      <c r="Q5811">
        <v>0.52</v>
      </c>
      <c r="R5811">
        <v>5.2249999999999996E-4</v>
      </c>
    </row>
    <row r="5812" spans="1:18" ht="13.8" outlineLevel="2" x14ac:dyDescent="0.25">
      <c r="A5812">
        <v>87898</v>
      </c>
      <c r="B5812" t="s">
        <v>8112</v>
      </c>
      <c r="C5812" t="s">
        <v>8147</v>
      </c>
      <c r="D5812" s="14" t="s">
        <v>8138</v>
      </c>
      <c r="E5812" s="12" t="s">
        <v>28</v>
      </c>
      <c r="F5812" s="13" t="s">
        <v>29</v>
      </c>
      <c r="G5812">
        <v>4</v>
      </c>
      <c r="H5812" t="s">
        <v>30</v>
      </c>
      <c r="I5812">
        <v>4</v>
      </c>
      <c r="J5812" s="15"/>
      <c r="K5812" s="16">
        <f>2170.27 - (2170.27 * $E$1)</f>
        <v>2170.27</v>
      </c>
      <c r="L5812" s="16">
        <f>1778.91 - (1778.91 * $E$1)</f>
        <v>1778.91</v>
      </c>
      <c r="M5812" s="1">
        <v>2170.27</v>
      </c>
      <c r="N5812" s="1">
        <v>1778.91</v>
      </c>
      <c r="O5812" s="1">
        <v>1844.73</v>
      </c>
      <c r="P5812" s="1">
        <v>1512.07</v>
      </c>
      <c r="Q5812">
        <v>0.72499999999999998</v>
      </c>
      <c r="R5812">
        <v>6.9999999999999999E-4</v>
      </c>
    </row>
    <row r="5813" spans="1:18" ht="13.8" outlineLevel="2" x14ac:dyDescent="0.25">
      <c r="A5813">
        <v>87899</v>
      </c>
      <c r="B5813" t="s">
        <v>8112</v>
      </c>
      <c r="C5813" t="s">
        <v>8148</v>
      </c>
      <c r="D5813" s="14" t="s">
        <v>8138</v>
      </c>
      <c r="E5813" s="12" t="s">
        <v>28</v>
      </c>
      <c r="F5813" s="13" t="s">
        <v>29</v>
      </c>
      <c r="G5813">
        <v>4</v>
      </c>
      <c r="H5813" t="s">
        <v>30</v>
      </c>
      <c r="I5813">
        <v>4</v>
      </c>
      <c r="J5813" s="15"/>
      <c r="K5813" s="16">
        <f>3683.4 - (3683.4 * $E$1)</f>
        <v>3683.4</v>
      </c>
      <c r="L5813" s="16">
        <f>3019.18 - (3019.18 * $E$1)</f>
        <v>3019.18</v>
      </c>
      <c r="M5813" s="1">
        <v>3683.4</v>
      </c>
      <c r="N5813" s="1">
        <v>3019.18</v>
      </c>
      <c r="O5813" s="1">
        <v>3130.89</v>
      </c>
      <c r="P5813" s="1">
        <v>2566.3000000000002</v>
      </c>
      <c r="Q5813">
        <v>1.25</v>
      </c>
      <c r="R5813">
        <v>1.1407500000000001E-3</v>
      </c>
    </row>
    <row r="5814" spans="1:18" ht="13.8" outlineLevel="2" x14ac:dyDescent="0.25">
      <c r="A5814">
        <v>61379</v>
      </c>
      <c r="B5814" t="s">
        <v>8112</v>
      </c>
      <c r="C5814" t="s">
        <v>8149</v>
      </c>
      <c r="D5814" s="14" t="s">
        <v>8150</v>
      </c>
      <c r="E5814" s="12" t="s">
        <v>28</v>
      </c>
      <c r="F5814" s="13" t="s">
        <v>29</v>
      </c>
      <c r="G5814">
        <v>10</v>
      </c>
      <c r="H5814" t="s">
        <v>30</v>
      </c>
      <c r="I5814">
        <v>10</v>
      </c>
      <c r="J5814" s="15"/>
      <c r="K5814" s="16">
        <f>262.89 - (262.89 * $E$1)</f>
        <v>262.89</v>
      </c>
      <c r="L5814" s="16">
        <f>215.48 - (215.48 * $E$1)</f>
        <v>215.48</v>
      </c>
      <c r="M5814" s="1">
        <v>262.89</v>
      </c>
      <c r="N5814" s="1">
        <v>215.48</v>
      </c>
      <c r="O5814" s="1">
        <v>223.45</v>
      </c>
      <c r="P5814" s="1">
        <v>183.16</v>
      </c>
      <c r="Q5814">
        <v>7.0000000000000007E-2</v>
      </c>
      <c r="R5814">
        <v>9.0000000000000006E-5</v>
      </c>
    </row>
    <row r="5815" spans="1:18" ht="13.8" outlineLevel="2" x14ac:dyDescent="0.25">
      <c r="A5815">
        <v>61380</v>
      </c>
      <c r="B5815" t="s">
        <v>8112</v>
      </c>
      <c r="C5815" t="s">
        <v>8151</v>
      </c>
      <c r="D5815" s="14" t="s">
        <v>8150</v>
      </c>
      <c r="E5815" s="12" t="s">
        <v>28</v>
      </c>
      <c r="F5815" s="13" t="s">
        <v>29</v>
      </c>
      <c r="G5815">
        <v>10</v>
      </c>
      <c r="H5815" t="s">
        <v>30</v>
      </c>
      <c r="I5815">
        <v>10</v>
      </c>
      <c r="J5815" s="15"/>
      <c r="K5815" s="16">
        <f>413.99 - (413.99 * $E$1)</f>
        <v>413.99</v>
      </c>
      <c r="L5815" s="16">
        <f>339.34 - (339.34 * $E$1)</f>
        <v>339.34</v>
      </c>
      <c r="M5815" s="1">
        <v>413.99</v>
      </c>
      <c r="N5815" s="1">
        <v>339.34</v>
      </c>
      <c r="O5815" s="1">
        <v>351.9</v>
      </c>
      <c r="P5815" s="1">
        <v>288.44</v>
      </c>
      <c r="Q5815">
        <v>0.11</v>
      </c>
      <c r="R5815">
        <v>1.5300000000000001E-4</v>
      </c>
    </row>
    <row r="5816" spans="1:18" ht="13.8" outlineLevel="2" x14ac:dyDescent="0.25">
      <c r="A5816">
        <v>61381</v>
      </c>
      <c r="B5816" t="s">
        <v>8112</v>
      </c>
      <c r="C5816" t="s">
        <v>8152</v>
      </c>
      <c r="D5816" s="14" t="s">
        <v>8150</v>
      </c>
      <c r="E5816" s="12" t="s">
        <v>28</v>
      </c>
      <c r="F5816" s="13" t="s">
        <v>29</v>
      </c>
      <c r="G5816">
        <v>10</v>
      </c>
      <c r="H5816" t="s">
        <v>30</v>
      </c>
      <c r="I5816">
        <v>10</v>
      </c>
      <c r="J5816" s="15"/>
      <c r="K5816" s="16">
        <f>597.48 - (597.48 * $E$1)</f>
        <v>597.48</v>
      </c>
      <c r="L5816" s="16">
        <f>489.74 - (489.74 * $E$1)</f>
        <v>489.74</v>
      </c>
      <c r="M5816" s="1">
        <v>597.48</v>
      </c>
      <c r="N5816" s="1">
        <v>489.74</v>
      </c>
      <c r="O5816" s="1">
        <v>507.86</v>
      </c>
      <c r="P5816" s="1">
        <v>416.28</v>
      </c>
      <c r="Q5816">
        <v>0.16</v>
      </c>
      <c r="R5816">
        <v>2.4479999999999999E-4</v>
      </c>
    </row>
    <row r="5817" spans="1:18" ht="13.8" outlineLevel="2" x14ac:dyDescent="0.25">
      <c r="A5817">
        <v>61382</v>
      </c>
      <c r="B5817" t="s">
        <v>8112</v>
      </c>
      <c r="C5817" t="s">
        <v>8153</v>
      </c>
      <c r="D5817" s="14" t="s">
        <v>8150</v>
      </c>
      <c r="E5817" s="12" t="s">
        <v>28</v>
      </c>
      <c r="F5817" s="13" t="s">
        <v>29</v>
      </c>
      <c r="G5817">
        <v>10</v>
      </c>
      <c r="H5817" t="s">
        <v>30</v>
      </c>
      <c r="I5817">
        <v>10</v>
      </c>
      <c r="J5817" s="15"/>
      <c r="K5817" s="16">
        <f>837.85 - (837.85 * $E$1)</f>
        <v>837.85</v>
      </c>
      <c r="L5817" s="16">
        <f>686.76 - (686.76 * $E$1)</f>
        <v>686.76</v>
      </c>
      <c r="M5817" s="1">
        <v>837.85</v>
      </c>
      <c r="N5817" s="1">
        <v>686.76</v>
      </c>
      <c r="O5817" s="1">
        <v>712.17</v>
      </c>
      <c r="P5817" s="1">
        <v>583.75</v>
      </c>
      <c r="Q5817">
        <v>0.22</v>
      </c>
      <c r="R5817">
        <v>2.7599999999999999E-4</v>
      </c>
    </row>
    <row r="5818" spans="1:18" ht="13.8" outlineLevel="2" x14ac:dyDescent="0.25">
      <c r="A5818">
        <v>61383</v>
      </c>
      <c r="B5818" t="s">
        <v>8112</v>
      </c>
      <c r="C5818" t="s">
        <v>8154</v>
      </c>
      <c r="D5818" s="14" t="s">
        <v>8150</v>
      </c>
      <c r="E5818" s="12" t="s">
        <v>28</v>
      </c>
      <c r="F5818" s="13" t="s">
        <v>29</v>
      </c>
      <c r="G5818">
        <v>10</v>
      </c>
      <c r="H5818" t="s">
        <v>30</v>
      </c>
      <c r="I5818">
        <v>10</v>
      </c>
      <c r="J5818" s="15"/>
      <c r="K5818" s="16">
        <f>1194.89 - (1194.89 * $E$1)</f>
        <v>1194.8900000000001</v>
      </c>
      <c r="L5818" s="16">
        <f>979.42 - (979.42 * $E$1)</f>
        <v>979.42</v>
      </c>
      <c r="M5818" s="1">
        <v>1194.8900000000001</v>
      </c>
      <c r="N5818" s="1">
        <v>979.42</v>
      </c>
      <c r="O5818" s="1">
        <v>1015.66</v>
      </c>
      <c r="P5818" s="1">
        <v>832.51</v>
      </c>
      <c r="Q5818">
        <v>0.34</v>
      </c>
      <c r="R5818">
        <v>5.5199999999999997E-4</v>
      </c>
    </row>
    <row r="5819" spans="1:18" ht="13.8" outlineLevel="2" x14ac:dyDescent="0.25">
      <c r="A5819">
        <v>61384</v>
      </c>
      <c r="B5819" t="s">
        <v>8112</v>
      </c>
      <c r="C5819" t="s">
        <v>8155</v>
      </c>
      <c r="D5819" s="14" t="s">
        <v>8150</v>
      </c>
      <c r="E5819" s="12" t="s">
        <v>28</v>
      </c>
      <c r="F5819" s="13" t="s">
        <v>29</v>
      </c>
      <c r="G5819">
        <v>10</v>
      </c>
      <c r="H5819" t="s">
        <v>30</v>
      </c>
      <c r="I5819">
        <v>10</v>
      </c>
      <c r="J5819" s="15"/>
      <c r="K5819" s="16">
        <f>1963.82 - (1963.82 * $E$1)</f>
        <v>1963.82</v>
      </c>
      <c r="L5819" s="16">
        <f>1609.69 - (1609.69 * $E$1)</f>
        <v>1609.69</v>
      </c>
      <c r="M5819" s="1">
        <v>1963.82</v>
      </c>
      <c r="N5819" s="1">
        <v>1609.69</v>
      </c>
      <c r="O5819" s="1">
        <v>1669.25</v>
      </c>
      <c r="P5819" s="1">
        <v>1368.24</v>
      </c>
      <c r="Q5819">
        <v>0.52</v>
      </c>
      <c r="R5819">
        <v>1.1249999999999999E-3</v>
      </c>
    </row>
    <row r="5820" spans="1:18" ht="13.8" outlineLevel="2" x14ac:dyDescent="0.25">
      <c r="A5820">
        <v>61392</v>
      </c>
      <c r="B5820" t="s">
        <v>8112</v>
      </c>
      <c r="C5820" t="s">
        <v>8156</v>
      </c>
      <c r="D5820" s="14" t="s">
        <v>8157</v>
      </c>
      <c r="E5820" s="12" t="s">
        <v>28</v>
      </c>
      <c r="F5820" s="13" t="s">
        <v>29</v>
      </c>
      <c r="G5820">
        <v>10</v>
      </c>
      <c r="H5820" t="s">
        <v>30</v>
      </c>
      <c r="I5820">
        <v>10</v>
      </c>
      <c r="J5820" s="15"/>
      <c r="K5820" s="16">
        <f>150.4 - (150.4 * $E$1)</f>
        <v>150.4</v>
      </c>
      <c r="L5820" s="16">
        <f>123.28 - (123.28 * $E$1)</f>
        <v>123.28</v>
      </c>
      <c r="M5820" s="1">
        <v>150.4</v>
      </c>
      <c r="N5820" s="1">
        <v>123.28</v>
      </c>
      <c r="O5820" s="1">
        <v>127.84</v>
      </c>
      <c r="P5820" s="1">
        <v>104.79</v>
      </c>
      <c r="Q5820">
        <v>0.05</v>
      </c>
      <c r="R5820">
        <v>3.96E-5</v>
      </c>
    </row>
    <row r="5821" spans="1:18" ht="13.8" outlineLevel="2" x14ac:dyDescent="0.25">
      <c r="A5821">
        <v>61393</v>
      </c>
      <c r="B5821" t="s">
        <v>8112</v>
      </c>
      <c r="C5821" t="s">
        <v>8158</v>
      </c>
      <c r="D5821" s="14" t="s">
        <v>8157</v>
      </c>
      <c r="E5821" s="12" t="s">
        <v>28</v>
      </c>
      <c r="F5821" s="13" t="s">
        <v>29</v>
      </c>
      <c r="G5821">
        <v>10</v>
      </c>
      <c r="H5821" t="s">
        <v>30</v>
      </c>
      <c r="I5821">
        <v>10</v>
      </c>
      <c r="J5821" s="15"/>
      <c r="K5821" s="16">
        <f>210.38 - (210.38 * $E$1)</f>
        <v>210.38</v>
      </c>
      <c r="L5821" s="16">
        <f>172.44 - (172.44 * $E$1)</f>
        <v>172.44</v>
      </c>
      <c r="M5821" s="1">
        <v>210.38</v>
      </c>
      <c r="N5821" s="1">
        <v>172.44</v>
      </c>
      <c r="O5821" s="1">
        <v>178.82</v>
      </c>
      <c r="P5821" s="1">
        <v>146.57</v>
      </c>
      <c r="Q5821">
        <v>7.0000000000000007E-2</v>
      </c>
      <c r="R5821">
        <v>6.6000000000000005E-5</v>
      </c>
    </row>
    <row r="5822" spans="1:18" ht="13.8" outlineLevel="2" x14ac:dyDescent="0.25">
      <c r="A5822">
        <v>61394</v>
      </c>
      <c r="B5822" t="s">
        <v>8112</v>
      </c>
      <c r="C5822" t="s">
        <v>8159</v>
      </c>
      <c r="D5822" s="14" t="s">
        <v>8157</v>
      </c>
      <c r="E5822" s="12" t="s">
        <v>28</v>
      </c>
      <c r="F5822" s="13" t="s">
        <v>29</v>
      </c>
      <c r="G5822">
        <v>10</v>
      </c>
      <c r="H5822" t="s">
        <v>30</v>
      </c>
      <c r="I5822">
        <v>10</v>
      </c>
      <c r="J5822" s="15"/>
      <c r="K5822" s="16">
        <f>334.35 - (334.35 * $E$1)</f>
        <v>334.35</v>
      </c>
      <c r="L5822" s="16">
        <f>274.06 - (274.06 * $E$1)</f>
        <v>274.06</v>
      </c>
      <c r="M5822" s="1">
        <v>334.35</v>
      </c>
      <c r="N5822" s="1">
        <v>274.06</v>
      </c>
      <c r="O5822" s="1">
        <v>284.2</v>
      </c>
      <c r="P5822" s="1">
        <v>232.95</v>
      </c>
      <c r="Q5822">
        <v>0.11</v>
      </c>
      <c r="R5822">
        <v>1.1900000000000001E-4</v>
      </c>
    </row>
    <row r="5823" spans="1:18" ht="13.8" outlineLevel="2" x14ac:dyDescent="0.25">
      <c r="A5823">
        <v>61395</v>
      </c>
      <c r="B5823" t="s">
        <v>8112</v>
      </c>
      <c r="C5823" t="s">
        <v>8160</v>
      </c>
      <c r="D5823" s="14" t="s">
        <v>8157</v>
      </c>
      <c r="E5823" s="12" t="s">
        <v>28</v>
      </c>
      <c r="F5823" s="13" t="s">
        <v>29</v>
      </c>
      <c r="G5823">
        <v>10</v>
      </c>
      <c r="H5823" t="s">
        <v>30</v>
      </c>
      <c r="I5823">
        <v>10</v>
      </c>
      <c r="J5823" s="15"/>
      <c r="K5823" s="16">
        <f>578.73 - (578.73 * $E$1)</f>
        <v>578.73</v>
      </c>
      <c r="L5823" s="16">
        <f>474.37 - (474.37 * $E$1)</f>
        <v>474.37</v>
      </c>
      <c r="M5823" s="1">
        <v>578.73</v>
      </c>
      <c r="N5823" s="1">
        <v>474.37</v>
      </c>
      <c r="O5823" s="1">
        <v>491.92</v>
      </c>
      <c r="P5823" s="1">
        <v>403.21</v>
      </c>
      <c r="Q5823">
        <v>0.17</v>
      </c>
      <c r="R5823">
        <v>1.8000000000000001E-4</v>
      </c>
    </row>
    <row r="5824" spans="1:18" ht="13.8" outlineLevel="2" x14ac:dyDescent="0.25">
      <c r="A5824">
        <v>61396</v>
      </c>
      <c r="B5824" t="s">
        <v>8112</v>
      </c>
      <c r="C5824" t="s">
        <v>8161</v>
      </c>
      <c r="D5824" s="14" t="s">
        <v>8157</v>
      </c>
      <c r="E5824" s="12" t="s">
        <v>28</v>
      </c>
      <c r="F5824" s="13" t="s">
        <v>29</v>
      </c>
      <c r="G5824">
        <v>10</v>
      </c>
      <c r="H5824" t="s">
        <v>30</v>
      </c>
      <c r="I5824">
        <v>10</v>
      </c>
      <c r="J5824" s="15"/>
      <c r="K5824" s="16">
        <f>886.23 - (886.23 * $E$1)</f>
        <v>886.23</v>
      </c>
      <c r="L5824" s="16">
        <f>726.42 - (726.42 * $E$1)</f>
        <v>726.42</v>
      </c>
      <c r="M5824" s="1">
        <v>886.23</v>
      </c>
      <c r="N5824" s="1">
        <v>726.42</v>
      </c>
      <c r="O5824" s="1">
        <v>753.3</v>
      </c>
      <c r="P5824" s="1">
        <v>617.46</v>
      </c>
      <c r="Q5824">
        <v>0.31</v>
      </c>
      <c r="R5824">
        <v>4.8000000000000001E-4</v>
      </c>
    </row>
    <row r="5825" spans="1:18" ht="13.8" outlineLevel="2" x14ac:dyDescent="0.25">
      <c r="A5825">
        <v>83754</v>
      </c>
      <c r="B5825" t="s">
        <v>8112</v>
      </c>
      <c r="C5825" t="s">
        <v>8162</v>
      </c>
      <c r="D5825" s="14" t="s">
        <v>8163</v>
      </c>
      <c r="E5825" s="12" t="s">
        <v>28</v>
      </c>
      <c r="F5825" s="13" t="s">
        <v>29</v>
      </c>
      <c r="G5825">
        <v>5</v>
      </c>
      <c r="H5825" t="s">
        <v>30</v>
      </c>
      <c r="I5825">
        <v>5</v>
      </c>
      <c r="J5825" s="15"/>
      <c r="K5825" s="16">
        <f>879.38 - (879.38 * $E$1)</f>
        <v>879.38</v>
      </c>
      <c r="L5825" s="16">
        <f>720.8 - (720.8 * $E$1)</f>
        <v>720.8</v>
      </c>
      <c r="M5825" s="1">
        <v>879.38</v>
      </c>
      <c r="N5825" s="1">
        <v>720.8</v>
      </c>
      <c r="O5825" s="1">
        <v>747.47</v>
      </c>
      <c r="P5825" s="1">
        <v>612.67999999999995</v>
      </c>
      <c r="Q5825">
        <v>4.5999999999999999E-2</v>
      </c>
      <c r="R5825">
        <v>8.5799999999999998E-5</v>
      </c>
    </row>
    <row r="5826" spans="1:18" ht="13.8" outlineLevel="2" x14ac:dyDescent="0.25">
      <c r="A5826">
        <v>83755</v>
      </c>
      <c r="B5826" t="s">
        <v>8112</v>
      </c>
      <c r="C5826" t="s">
        <v>8164</v>
      </c>
      <c r="D5826" s="14" t="s">
        <v>8163</v>
      </c>
      <c r="E5826" s="12" t="s">
        <v>28</v>
      </c>
      <c r="F5826" s="13" t="s">
        <v>29</v>
      </c>
      <c r="G5826">
        <v>5</v>
      </c>
      <c r="H5826" t="s">
        <v>30</v>
      </c>
      <c r="I5826">
        <v>5</v>
      </c>
      <c r="J5826" s="15"/>
      <c r="K5826" s="16">
        <f>1207.95 - (1207.95 * $E$1)</f>
        <v>1207.95</v>
      </c>
      <c r="L5826" s="16">
        <f>990.12 - (990.12 * $E$1)</f>
        <v>990.12</v>
      </c>
      <c r="M5826" s="1">
        <v>1207.95</v>
      </c>
      <c r="N5826" s="1">
        <v>990.12</v>
      </c>
      <c r="O5826" s="1">
        <v>1026.75</v>
      </c>
      <c r="P5826" s="1">
        <v>841.6</v>
      </c>
      <c r="Q5826">
        <v>8.2000000000000003E-2</v>
      </c>
      <c r="R5826">
        <v>4.8999999999999998E-5</v>
      </c>
    </row>
    <row r="5827" spans="1:18" ht="13.8" outlineLevel="2" x14ac:dyDescent="0.25">
      <c r="A5827">
        <v>83756</v>
      </c>
      <c r="B5827" t="s">
        <v>8112</v>
      </c>
      <c r="C5827" t="s">
        <v>8165</v>
      </c>
      <c r="D5827" s="14" t="s">
        <v>8163</v>
      </c>
      <c r="E5827" s="12" t="s">
        <v>28</v>
      </c>
      <c r="F5827" s="13" t="s">
        <v>29</v>
      </c>
      <c r="G5827">
        <v>5</v>
      </c>
      <c r="H5827" t="s">
        <v>30</v>
      </c>
      <c r="I5827">
        <v>5</v>
      </c>
      <c r="J5827" s="15"/>
      <c r="K5827" s="16">
        <f>1867.19 - (1867.19 * $E$1)</f>
        <v>1867.19</v>
      </c>
      <c r="L5827" s="16">
        <f>1530.48 - (1530.48 * $E$1)</f>
        <v>1530.48</v>
      </c>
      <c r="M5827" s="1">
        <v>1867.19</v>
      </c>
      <c r="N5827" s="1">
        <v>1530.48</v>
      </c>
      <c r="O5827" s="1">
        <v>1587.11</v>
      </c>
      <c r="P5827" s="1">
        <v>1300.9100000000001</v>
      </c>
      <c r="Q5827">
        <v>0.1012</v>
      </c>
      <c r="R5827">
        <v>2.3800000000000001E-4</v>
      </c>
    </row>
    <row r="5828" spans="1:18" ht="13.8" outlineLevel="2" x14ac:dyDescent="0.25">
      <c r="A5828">
        <v>83757</v>
      </c>
      <c r="B5828" t="s">
        <v>8112</v>
      </c>
      <c r="C5828" t="s">
        <v>8166</v>
      </c>
      <c r="D5828" s="14" t="s">
        <v>8163</v>
      </c>
      <c r="E5828" s="12" t="s">
        <v>28</v>
      </c>
      <c r="F5828" s="13" t="s">
        <v>29</v>
      </c>
      <c r="G5828">
        <v>2</v>
      </c>
      <c r="H5828" t="s">
        <v>30</v>
      </c>
      <c r="I5828">
        <v>2</v>
      </c>
      <c r="J5828" s="15"/>
      <c r="K5828" s="16">
        <f>2964.55 - (2964.55 * $E$1)</f>
        <v>2964.55</v>
      </c>
      <c r="L5828" s="16">
        <f>2429.96 - (2429.96 * $E$1)</f>
        <v>2429.96</v>
      </c>
      <c r="M5828" s="1">
        <v>2964.55</v>
      </c>
      <c r="N5828" s="1">
        <v>2429.96</v>
      </c>
      <c r="O5828" s="1">
        <v>2519.87</v>
      </c>
      <c r="P5828" s="1">
        <v>2065.4699999999998</v>
      </c>
      <c r="Q5828">
        <v>0.16</v>
      </c>
      <c r="R5828">
        <v>4.8000000000000001E-4</v>
      </c>
    </row>
    <row r="5829" spans="1:18" ht="13.8" outlineLevel="2" x14ac:dyDescent="0.25">
      <c r="A5829">
        <v>83758</v>
      </c>
      <c r="B5829" t="s">
        <v>8112</v>
      </c>
      <c r="C5829" t="s">
        <v>8167</v>
      </c>
      <c r="D5829" s="14" t="s">
        <v>8163</v>
      </c>
      <c r="E5829" s="12" t="s">
        <v>28</v>
      </c>
      <c r="F5829" s="13" t="s">
        <v>29</v>
      </c>
      <c r="G5829">
        <v>2</v>
      </c>
      <c r="H5829" t="s">
        <v>30</v>
      </c>
      <c r="I5829">
        <v>2</v>
      </c>
      <c r="J5829" s="15"/>
      <c r="K5829" s="16">
        <f>4717.17 - (4717.17 * $E$1)</f>
        <v>4717.17</v>
      </c>
      <c r="L5829" s="16">
        <f>3866.53 - (3866.53 * $E$1)</f>
        <v>3866.53</v>
      </c>
      <c r="M5829" s="1">
        <v>4717.17</v>
      </c>
      <c r="N5829" s="1">
        <v>3866.53</v>
      </c>
      <c r="O5829" s="1">
        <v>4009.59</v>
      </c>
      <c r="P5829" s="1">
        <v>3286.55</v>
      </c>
      <c r="Q5829">
        <v>0.224</v>
      </c>
      <c r="R5829">
        <v>4.8000000000000001E-4</v>
      </c>
    </row>
    <row r="5830" spans="1:18" ht="13.8" outlineLevel="2" x14ac:dyDescent="0.25">
      <c r="A5830">
        <v>83759</v>
      </c>
      <c r="B5830" t="s">
        <v>8112</v>
      </c>
      <c r="C5830" t="s">
        <v>8168</v>
      </c>
      <c r="D5830" s="14" t="s">
        <v>8163</v>
      </c>
      <c r="E5830" s="12" t="s">
        <v>28</v>
      </c>
      <c r="F5830" s="13" t="s">
        <v>29</v>
      </c>
      <c r="G5830">
        <v>2</v>
      </c>
      <c r="H5830" t="s">
        <v>30</v>
      </c>
      <c r="I5830">
        <v>2</v>
      </c>
      <c r="J5830" s="15"/>
      <c r="K5830" s="16">
        <f>6364.18 - (6364.18 * $E$1)</f>
        <v>6364.18</v>
      </c>
      <c r="L5830" s="16">
        <f>5216.54 - (5216.54 * $E$1)</f>
        <v>5216.54</v>
      </c>
      <c r="M5830" s="1">
        <v>6364.18</v>
      </c>
      <c r="N5830" s="1">
        <v>5216.54</v>
      </c>
      <c r="O5830" s="1">
        <v>5409.55</v>
      </c>
      <c r="P5830" s="1">
        <v>4434.0600000000004</v>
      </c>
      <c r="Q5830">
        <v>0.28599999999999998</v>
      </c>
      <c r="R5830">
        <v>6.3000000000000003E-4</v>
      </c>
    </row>
    <row r="5831" spans="1:18" ht="13.8" outlineLevel="2" x14ac:dyDescent="0.25">
      <c r="A5831">
        <v>88853</v>
      </c>
      <c r="B5831" t="s">
        <v>8169</v>
      </c>
      <c r="C5831" t="s">
        <v>8170</v>
      </c>
      <c r="D5831" s="14" t="s">
        <v>8171</v>
      </c>
      <c r="E5831" s="12" t="s">
        <v>28</v>
      </c>
      <c r="F5831" s="13" t="s">
        <v>29</v>
      </c>
      <c r="G5831">
        <v>10</v>
      </c>
      <c r="H5831" t="s">
        <v>30</v>
      </c>
      <c r="I5831">
        <v>10</v>
      </c>
      <c r="J5831" s="15"/>
      <c r="K5831" s="16">
        <f>356.55 - (356.55 * $E$1)</f>
        <v>356.55</v>
      </c>
      <c r="L5831" s="16">
        <f>292.25 - (292.25 * $E$1)</f>
        <v>292.25</v>
      </c>
      <c r="M5831" s="1">
        <v>356.55</v>
      </c>
      <c r="N5831" s="1">
        <v>292.25</v>
      </c>
      <c r="O5831" s="1">
        <v>303.06</v>
      </c>
      <c r="P5831" s="1">
        <v>248.41</v>
      </c>
      <c r="Q5831">
        <v>4.02E-2</v>
      </c>
      <c r="R5831">
        <v>3.6300000000000001E-5</v>
      </c>
    </row>
    <row r="5832" spans="1:18" ht="13.8" outlineLevel="2" x14ac:dyDescent="0.25">
      <c r="A5832">
        <v>88854</v>
      </c>
      <c r="B5832" t="s">
        <v>8169</v>
      </c>
      <c r="C5832" t="s">
        <v>8172</v>
      </c>
      <c r="D5832" s="14" t="s">
        <v>8171</v>
      </c>
      <c r="E5832" s="12" t="s">
        <v>28</v>
      </c>
      <c r="F5832" s="13" t="s">
        <v>29</v>
      </c>
      <c r="G5832">
        <v>10</v>
      </c>
      <c r="H5832" t="s">
        <v>30</v>
      </c>
      <c r="I5832">
        <v>10</v>
      </c>
      <c r="J5832" s="15"/>
      <c r="K5832" s="16">
        <f>435.37 - (435.37 * $E$1)</f>
        <v>435.37</v>
      </c>
      <c r="L5832" s="16">
        <f>356.86 - (356.86 * $E$1)</f>
        <v>356.86</v>
      </c>
      <c r="M5832" s="1">
        <v>435.37</v>
      </c>
      <c r="N5832" s="1">
        <v>356.86</v>
      </c>
      <c r="O5832" s="1">
        <v>370.06</v>
      </c>
      <c r="P5832" s="1">
        <v>303.33</v>
      </c>
      <c r="Q5832">
        <v>4.5400000000000003E-2</v>
      </c>
      <c r="R5832">
        <v>4.6199999999999998E-5</v>
      </c>
    </row>
    <row r="5833" spans="1:18" ht="13.8" outlineLevel="2" x14ac:dyDescent="0.25">
      <c r="A5833">
        <v>88855</v>
      </c>
      <c r="B5833" t="s">
        <v>8169</v>
      </c>
      <c r="C5833" t="s">
        <v>8173</v>
      </c>
      <c r="D5833" s="14" t="s">
        <v>8171</v>
      </c>
      <c r="E5833" s="12" t="s">
        <v>28</v>
      </c>
      <c r="F5833" s="13" t="s">
        <v>29</v>
      </c>
      <c r="G5833">
        <v>10</v>
      </c>
      <c r="H5833" t="s">
        <v>30</v>
      </c>
      <c r="I5833">
        <v>10</v>
      </c>
      <c r="J5833" s="15"/>
      <c r="K5833" s="16">
        <f>488.18 - (488.18 * $E$1)</f>
        <v>488.18</v>
      </c>
      <c r="L5833" s="16">
        <f>400.15 - (400.15 * $E$1)</f>
        <v>400.15</v>
      </c>
      <c r="M5833" s="1">
        <v>488.18</v>
      </c>
      <c r="N5833" s="1">
        <v>400.15</v>
      </c>
      <c r="O5833" s="1">
        <v>414.96</v>
      </c>
      <c r="P5833" s="1">
        <v>340.13</v>
      </c>
      <c r="Q5833">
        <v>5.2200000000000003E-2</v>
      </c>
      <c r="R5833">
        <v>5.0399999999999999E-5</v>
      </c>
    </row>
    <row r="5834" spans="1:18" ht="13.8" outlineLevel="2" x14ac:dyDescent="0.25">
      <c r="A5834">
        <v>88856</v>
      </c>
      <c r="B5834" t="s">
        <v>8169</v>
      </c>
      <c r="C5834" t="s">
        <v>8174</v>
      </c>
      <c r="D5834" s="14" t="s">
        <v>8171</v>
      </c>
      <c r="E5834" s="12" t="s">
        <v>28</v>
      </c>
      <c r="F5834" s="13" t="s">
        <v>29</v>
      </c>
      <c r="G5834">
        <v>10</v>
      </c>
      <c r="H5834" t="s">
        <v>30</v>
      </c>
      <c r="I5834">
        <v>10</v>
      </c>
      <c r="J5834" s="15"/>
      <c r="K5834" s="16">
        <f>514.32 - (514.32 * $E$1)</f>
        <v>514.32000000000005</v>
      </c>
      <c r="L5834" s="16">
        <f>421.57 - (421.57 * $E$1)</f>
        <v>421.57</v>
      </c>
      <c r="M5834" s="1">
        <v>514.32000000000005</v>
      </c>
      <c r="N5834" s="1">
        <v>421.57</v>
      </c>
      <c r="O5834" s="1">
        <v>437.17</v>
      </c>
      <c r="P5834" s="1">
        <v>358.33</v>
      </c>
      <c r="Q5834">
        <v>5.5800000000000002E-2</v>
      </c>
      <c r="R5834">
        <v>5.7599999999999997E-5</v>
      </c>
    </row>
    <row r="5835" spans="1:18" ht="13.8" outlineLevel="2" x14ac:dyDescent="0.25">
      <c r="A5835">
        <v>88857</v>
      </c>
      <c r="B5835" t="s">
        <v>8169</v>
      </c>
      <c r="C5835" t="s">
        <v>8175</v>
      </c>
      <c r="D5835" s="14" t="s">
        <v>8171</v>
      </c>
      <c r="E5835" s="12" t="s">
        <v>28</v>
      </c>
      <c r="F5835" s="13" t="s">
        <v>29</v>
      </c>
      <c r="G5835">
        <v>10</v>
      </c>
      <c r="H5835" t="s">
        <v>30</v>
      </c>
      <c r="I5835">
        <v>10</v>
      </c>
      <c r="J5835" s="15"/>
      <c r="K5835" s="16">
        <f>712.15 - (712.15 * $E$1)</f>
        <v>712.15</v>
      </c>
      <c r="L5835" s="16">
        <f>583.73 - (583.73 * $E$1)</f>
        <v>583.73</v>
      </c>
      <c r="M5835" s="1">
        <v>712.15</v>
      </c>
      <c r="N5835" s="1">
        <v>583.73</v>
      </c>
      <c r="O5835" s="1">
        <v>605.33000000000004</v>
      </c>
      <c r="P5835" s="1">
        <v>496.17</v>
      </c>
      <c r="Q5835">
        <v>0.08</v>
      </c>
      <c r="R5835">
        <v>7.6799999999999997E-5</v>
      </c>
    </row>
    <row r="5836" spans="1:18" ht="13.8" outlineLevel="2" x14ac:dyDescent="0.25">
      <c r="A5836">
        <v>88858</v>
      </c>
      <c r="B5836" t="s">
        <v>8169</v>
      </c>
      <c r="C5836" t="s">
        <v>8176</v>
      </c>
      <c r="D5836" s="14" t="s">
        <v>8171</v>
      </c>
      <c r="E5836" s="12" t="s">
        <v>28</v>
      </c>
      <c r="F5836" s="13" t="s">
        <v>29</v>
      </c>
      <c r="G5836">
        <v>10</v>
      </c>
      <c r="H5836" t="s">
        <v>30</v>
      </c>
      <c r="I5836">
        <v>10</v>
      </c>
      <c r="J5836" s="15"/>
      <c r="K5836" s="16">
        <f>780.79 - (780.79 * $E$1)</f>
        <v>780.79</v>
      </c>
      <c r="L5836" s="16">
        <f>639.99 - (639.99 * $E$1)</f>
        <v>639.99</v>
      </c>
      <c r="M5836" s="1">
        <v>780.79</v>
      </c>
      <c r="N5836" s="1">
        <v>639.99</v>
      </c>
      <c r="O5836" s="1">
        <v>663.67</v>
      </c>
      <c r="P5836" s="1">
        <v>543.99</v>
      </c>
      <c r="Q5836">
        <v>8.2400000000000001E-2</v>
      </c>
      <c r="R5836">
        <v>9.0000000000000006E-5</v>
      </c>
    </row>
    <row r="5837" spans="1:18" ht="13.8" outlineLevel="2" x14ac:dyDescent="0.25">
      <c r="A5837">
        <v>88859</v>
      </c>
      <c r="B5837" t="s">
        <v>8169</v>
      </c>
      <c r="C5837" t="s">
        <v>8177</v>
      </c>
      <c r="D5837" s="14" t="s">
        <v>8171</v>
      </c>
      <c r="E5837" s="12" t="s">
        <v>28</v>
      </c>
      <c r="F5837" s="13" t="s">
        <v>29</v>
      </c>
      <c r="G5837">
        <v>10</v>
      </c>
      <c r="H5837" t="s">
        <v>30</v>
      </c>
      <c r="I5837">
        <v>10</v>
      </c>
      <c r="J5837" s="15"/>
      <c r="K5837" s="16">
        <f>965.15 - (965.15 * $E$1)</f>
        <v>965.15</v>
      </c>
      <c r="L5837" s="16">
        <f>791.11 - (791.11 * $E$1)</f>
        <v>791.11</v>
      </c>
      <c r="M5837" s="1">
        <v>965.15</v>
      </c>
      <c r="N5837" s="1">
        <v>791.11</v>
      </c>
      <c r="O5837" s="1">
        <v>820.38</v>
      </c>
      <c r="P5837" s="1">
        <v>672.44</v>
      </c>
      <c r="Q5837">
        <v>0.1124</v>
      </c>
      <c r="R5837">
        <v>1.3770000000000001E-4</v>
      </c>
    </row>
    <row r="5838" spans="1:18" ht="13.8" outlineLevel="2" x14ac:dyDescent="0.25">
      <c r="A5838">
        <v>88860</v>
      </c>
      <c r="B5838" t="s">
        <v>8169</v>
      </c>
      <c r="C5838" t="s">
        <v>8178</v>
      </c>
      <c r="D5838" s="14" t="s">
        <v>8171</v>
      </c>
      <c r="E5838" s="12" t="s">
        <v>28</v>
      </c>
      <c r="F5838" s="13" t="s">
        <v>29</v>
      </c>
      <c r="G5838">
        <v>6</v>
      </c>
      <c r="H5838" t="s">
        <v>30</v>
      </c>
      <c r="I5838">
        <v>6</v>
      </c>
      <c r="J5838" s="15"/>
      <c r="K5838" s="16">
        <f>1108.17 - (1108.17 * $E$1)</f>
        <v>1108.17</v>
      </c>
      <c r="L5838" s="16">
        <f>908.34 - (908.34 * $E$1)</f>
        <v>908.34</v>
      </c>
      <c r="M5838" s="1">
        <v>1108.17</v>
      </c>
      <c r="N5838" s="1">
        <v>908.34</v>
      </c>
      <c r="O5838" s="1">
        <v>941.95</v>
      </c>
      <c r="P5838" s="1">
        <v>772.09</v>
      </c>
      <c r="Q5838">
        <v>0.11833333333333</v>
      </c>
      <c r="R5838">
        <v>1.3999999999999999E-4</v>
      </c>
    </row>
    <row r="5839" spans="1:18" ht="13.8" outlineLevel="2" x14ac:dyDescent="0.25">
      <c r="A5839">
        <v>88861</v>
      </c>
      <c r="B5839" t="s">
        <v>8169</v>
      </c>
      <c r="C5839" t="s">
        <v>8179</v>
      </c>
      <c r="D5839" s="14" t="s">
        <v>8171</v>
      </c>
      <c r="E5839" s="12" t="s">
        <v>28</v>
      </c>
      <c r="F5839" s="13" t="s">
        <v>29</v>
      </c>
      <c r="G5839">
        <v>6</v>
      </c>
      <c r="H5839" t="s">
        <v>30</v>
      </c>
      <c r="I5839">
        <v>6</v>
      </c>
      <c r="J5839" s="15"/>
      <c r="K5839" s="16">
        <f>1451.69 - (1451.69 * $E$1)</f>
        <v>1451.69</v>
      </c>
      <c r="L5839" s="16">
        <f>1189.91 - (1189.91 * $E$1)</f>
        <v>1189.9100000000001</v>
      </c>
      <c r="M5839" s="1">
        <v>1451.69</v>
      </c>
      <c r="N5839" s="1">
        <v>1189.9100000000001</v>
      </c>
      <c r="O5839" s="1">
        <v>1233.94</v>
      </c>
      <c r="P5839" s="1">
        <v>1011.42</v>
      </c>
      <c r="Q5839">
        <v>0.17933333333332999</v>
      </c>
      <c r="R5839">
        <v>1.95E-4</v>
      </c>
    </row>
    <row r="5840" spans="1:18" ht="13.8" outlineLevel="2" x14ac:dyDescent="0.25">
      <c r="A5840">
        <v>106746</v>
      </c>
      <c r="B5840" t="s">
        <v>8180</v>
      </c>
      <c r="C5840" t="s">
        <v>8181</v>
      </c>
      <c r="D5840" s="14" t="s">
        <v>8182</v>
      </c>
      <c r="E5840" s="12" t="s">
        <v>28</v>
      </c>
      <c r="F5840" s="18" t="s">
        <v>1467</v>
      </c>
      <c r="G5840">
        <v>5</v>
      </c>
      <c r="H5840" t="s">
        <v>30</v>
      </c>
      <c r="I5840">
        <v>5</v>
      </c>
      <c r="J5840" s="15"/>
      <c r="K5840" s="16">
        <f>1387.03 - (1387.03 * $E$1)</f>
        <v>1387.03</v>
      </c>
      <c r="L5840" s="16">
        <f>1136.91 - (1136.91 * $E$1)</f>
        <v>1136.9100000000001</v>
      </c>
      <c r="M5840" s="1">
        <v>1387.03</v>
      </c>
      <c r="N5840" s="1">
        <v>1136.9100000000001</v>
      </c>
      <c r="O5840" s="1">
        <v>1178.98</v>
      </c>
      <c r="P5840" s="1">
        <v>966.37</v>
      </c>
      <c r="Q5840">
        <v>8.2000000000000003E-2</v>
      </c>
      <c r="R5840">
        <v>5.5600000000000003E-5</v>
      </c>
    </row>
    <row r="5841" spans="1:18" ht="13.8" outlineLevel="2" x14ac:dyDescent="0.25">
      <c r="A5841">
        <v>106747</v>
      </c>
      <c r="B5841" t="s">
        <v>8180</v>
      </c>
      <c r="C5841" t="s">
        <v>8183</v>
      </c>
      <c r="D5841" s="14" t="s">
        <v>8182</v>
      </c>
      <c r="E5841" s="12" t="s">
        <v>28</v>
      </c>
      <c r="F5841" s="18" t="s">
        <v>1467</v>
      </c>
      <c r="G5841">
        <v>5</v>
      </c>
      <c r="H5841" t="s">
        <v>30</v>
      </c>
      <c r="I5841">
        <v>5</v>
      </c>
      <c r="J5841" s="15"/>
      <c r="K5841" s="16">
        <f>1797.98 - (1797.98 * $E$1)</f>
        <v>1797.98</v>
      </c>
      <c r="L5841" s="16">
        <f>1473.75 - (1473.75 * $E$1)</f>
        <v>1473.75</v>
      </c>
      <c r="M5841" s="1">
        <v>1797.98</v>
      </c>
      <c r="N5841" s="1">
        <v>1473.75</v>
      </c>
      <c r="O5841" s="1">
        <v>1528.28</v>
      </c>
      <c r="P5841" s="1">
        <v>1252.69</v>
      </c>
      <c r="Q5841">
        <v>0.114</v>
      </c>
      <c r="R5841">
        <v>7.7000000000000001E-5</v>
      </c>
    </row>
    <row r="5842" spans="1:18" ht="13.8" outlineLevel="2" x14ac:dyDescent="0.25">
      <c r="A5842">
        <v>106748</v>
      </c>
      <c r="B5842" t="s">
        <v>8180</v>
      </c>
      <c r="C5842" t="s">
        <v>8184</v>
      </c>
      <c r="D5842" s="14" t="s">
        <v>8182</v>
      </c>
      <c r="E5842" s="12" t="s">
        <v>28</v>
      </c>
      <c r="F5842" s="18" t="s">
        <v>1467</v>
      </c>
      <c r="G5842">
        <v>5</v>
      </c>
      <c r="H5842" t="s">
        <v>30</v>
      </c>
      <c r="I5842">
        <v>5</v>
      </c>
      <c r="J5842" s="15"/>
      <c r="K5842" s="16">
        <f>2493.44 - (2493.44 * $E$1)</f>
        <v>2493.44</v>
      </c>
      <c r="L5842" s="16">
        <f>2043.8 - (2043.8 * $E$1)</f>
        <v>2043.8</v>
      </c>
      <c r="M5842" s="1">
        <v>2493.44</v>
      </c>
      <c r="N5842" s="1">
        <v>2043.8</v>
      </c>
      <c r="O5842" s="1">
        <v>2119.42</v>
      </c>
      <c r="P5842" s="1">
        <v>1737.23</v>
      </c>
      <c r="Q5842">
        <v>0.14399999999999999</v>
      </c>
      <c r="R5842">
        <v>1.106E-4</v>
      </c>
    </row>
    <row r="5843" spans="1:18" ht="13.8" outlineLevel="2" x14ac:dyDescent="0.25">
      <c r="A5843">
        <v>106749</v>
      </c>
      <c r="B5843" t="s">
        <v>8180</v>
      </c>
      <c r="C5843" t="s">
        <v>8185</v>
      </c>
      <c r="D5843" s="14" t="s">
        <v>8182</v>
      </c>
      <c r="E5843" s="12" t="s">
        <v>28</v>
      </c>
      <c r="F5843" s="18" t="s">
        <v>1467</v>
      </c>
      <c r="G5843">
        <v>2</v>
      </c>
      <c r="H5843" t="s">
        <v>30</v>
      </c>
      <c r="I5843">
        <v>2</v>
      </c>
      <c r="J5843" s="15"/>
      <c r="K5843" s="16">
        <f>3770.2 - (3770.2 * $E$1)</f>
        <v>3770.2</v>
      </c>
      <c r="L5843" s="16">
        <f>3090.33 - (3090.33 * $E$1)</f>
        <v>3090.33</v>
      </c>
      <c r="M5843" s="1">
        <v>3770.2</v>
      </c>
      <c r="N5843" s="1">
        <v>3090.33</v>
      </c>
      <c r="O5843" s="1">
        <v>3204.67</v>
      </c>
      <c r="P5843" s="1">
        <v>2626.78</v>
      </c>
      <c r="Q5843">
        <v>0.19</v>
      </c>
      <c r="R5843">
        <v>1.9799999999999999E-4</v>
      </c>
    </row>
    <row r="5844" spans="1:18" ht="13.8" outlineLevel="2" x14ac:dyDescent="0.25">
      <c r="A5844">
        <v>83761</v>
      </c>
      <c r="B5844" t="s">
        <v>8180</v>
      </c>
      <c r="C5844" t="s">
        <v>8186</v>
      </c>
      <c r="D5844" s="14" t="s">
        <v>8187</v>
      </c>
      <c r="E5844" s="12" t="s">
        <v>28</v>
      </c>
      <c r="F5844" s="13" t="s">
        <v>29</v>
      </c>
      <c r="G5844">
        <v>5</v>
      </c>
      <c r="H5844" t="s">
        <v>30</v>
      </c>
      <c r="I5844">
        <v>5</v>
      </c>
      <c r="J5844" s="15"/>
      <c r="K5844" s="16">
        <f>896.07 - (896.07 * $E$1)</f>
        <v>896.07</v>
      </c>
      <c r="L5844" s="16">
        <f>734.48 - (734.48 * $E$1)</f>
        <v>734.48</v>
      </c>
      <c r="M5844" s="1">
        <v>896.07</v>
      </c>
      <c r="N5844" s="1">
        <v>734.48</v>
      </c>
      <c r="O5844" s="1">
        <v>761.66</v>
      </c>
      <c r="P5844" s="1">
        <v>624.30999999999995</v>
      </c>
      <c r="Q5844">
        <v>0.04</v>
      </c>
      <c r="R5844">
        <v>1.8900000000000001E-4</v>
      </c>
    </row>
    <row r="5845" spans="1:18" ht="13.8" outlineLevel="2" x14ac:dyDescent="0.25">
      <c r="A5845">
        <v>83762</v>
      </c>
      <c r="B5845" t="s">
        <v>8180</v>
      </c>
      <c r="C5845" t="s">
        <v>8188</v>
      </c>
      <c r="D5845" s="14" t="s">
        <v>8187</v>
      </c>
      <c r="E5845" s="12" t="s">
        <v>28</v>
      </c>
      <c r="F5845" s="13" t="s">
        <v>29</v>
      </c>
      <c r="G5845">
        <v>5</v>
      </c>
      <c r="H5845" t="s">
        <v>30</v>
      </c>
      <c r="I5845">
        <v>5</v>
      </c>
      <c r="J5845" s="15"/>
      <c r="K5845" s="16">
        <f>1232.69 - (1232.69 * $E$1)</f>
        <v>1232.69</v>
      </c>
      <c r="L5845" s="16">
        <f>1010.4 - (1010.4 * $E$1)</f>
        <v>1010.4</v>
      </c>
      <c r="M5845" s="1">
        <v>1232.69</v>
      </c>
      <c r="N5845" s="1">
        <v>1010.4</v>
      </c>
      <c r="O5845" s="1">
        <v>1047.78</v>
      </c>
      <c r="P5845" s="1">
        <v>858.84</v>
      </c>
      <c r="Q5845">
        <v>5.6000000000000001E-2</v>
      </c>
      <c r="R5845">
        <v>2.206E-4</v>
      </c>
    </row>
    <row r="5846" spans="1:18" ht="13.8" outlineLevel="2" x14ac:dyDescent="0.25">
      <c r="A5846">
        <v>83763</v>
      </c>
      <c r="B5846" t="s">
        <v>8180</v>
      </c>
      <c r="C5846" t="s">
        <v>8189</v>
      </c>
      <c r="D5846" s="14" t="s">
        <v>8187</v>
      </c>
      <c r="E5846" s="12" t="s">
        <v>28</v>
      </c>
      <c r="F5846" s="13" t="s">
        <v>29</v>
      </c>
      <c r="G5846">
        <v>5</v>
      </c>
      <c r="H5846" t="s">
        <v>30</v>
      </c>
      <c r="I5846">
        <v>5</v>
      </c>
      <c r="J5846" s="15"/>
      <c r="K5846" s="16">
        <f>1905.49 - (1905.49 * $E$1)</f>
        <v>1905.49</v>
      </c>
      <c r="L5846" s="16">
        <f>1561.88 - (1561.88 * $E$1)</f>
        <v>1561.88</v>
      </c>
      <c r="M5846" s="1">
        <v>1905.49</v>
      </c>
      <c r="N5846" s="1">
        <v>1561.88</v>
      </c>
      <c r="O5846" s="1">
        <v>1619.67</v>
      </c>
      <c r="P5846" s="1">
        <v>1327.6</v>
      </c>
      <c r="Q5846">
        <v>0.10199999999999999</v>
      </c>
      <c r="R5846">
        <v>8.8399999999999994E-5</v>
      </c>
    </row>
    <row r="5847" spans="1:18" ht="13.8" outlineLevel="2" x14ac:dyDescent="0.25">
      <c r="A5847">
        <v>83764</v>
      </c>
      <c r="B5847" t="s">
        <v>8180</v>
      </c>
      <c r="C5847" t="s">
        <v>8190</v>
      </c>
      <c r="D5847" s="14" t="s">
        <v>8187</v>
      </c>
      <c r="E5847" s="12" t="s">
        <v>28</v>
      </c>
      <c r="F5847" s="13" t="s">
        <v>29</v>
      </c>
      <c r="G5847">
        <v>2</v>
      </c>
      <c r="H5847" t="s">
        <v>30</v>
      </c>
      <c r="I5847">
        <v>2</v>
      </c>
      <c r="J5847" s="15"/>
      <c r="K5847" s="16">
        <f>3026.17 - (3026.17 * $E$1)</f>
        <v>3026.17</v>
      </c>
      <c r="L5847" s="16">
        <f>2480.47 - (2480.47 * $E$1)</f>
        <v>2480.4699999999998</v>
      </c>
      <c r="M5847" s="1">
        <v>3026.17</v>
      </c>
      <c r="N5847" s="1">
        <v>2480.4699999999998</v>
      </c>
      <c r="O5847" s="1">
        <v>2572.25</v>
      </c>
      <c r="P5847" s="1">
        <v>2108.4</v>
      </c>
      <c r="Q5847">
        <v>0.13</v>
      </c>
      <c r="R5847">
        <v>1.155E-4</v>
      </c>
    </row>
    <row r="5848" spans="1:18" ht="13.8" outlineLevel="2" x14ac:dyDescent="0.25">
      <c r="A5848">
        <v>83765</v>
      </c>
      <c r="B5848" t="s">
        <v>8180</v>
      </c>
      <c r="C5848" t="s">
        <v>8191</v>
      </c>
      <c r="D5848" s="14" t="s">
        <v>8187</v>
      </c>
      <c r="E5848" s="12" t="s">
        <v>28</v>
      </c>
      <c r="F5848" s="13" t="s">
        <v>29</v>
      </c>
      <c r="G5848">
        <v>2</v>
      </c>
      <c r="H5848" t="s">
        <v>30</v>
      </c>
      <c r="I5848">
        <v>2</v>
      </c>
      <c r="J5848" s="15"/>
      <c r="K5848" s="16">
        <f>4811.4 - (4811.4 * $E$1)</f>
        <v>4811.3999999999996</v>
      </c>
      <c r="L5848" s="16">
        <f>3943.77 - (3943.77 * $E$1)</f>
        <v>3943.77</v>
      </c>
      <c r="M5848" s="1">
        <v>4811.3999999999996</v>
      </c>
      <c r="N5848" s="1">
        <v>3943.77</v>
      </c>
      <c r="O5848" s="1">
        <v>4089.69</v>
      </c>
      <c r="P5848" s="1">
        <v>3352.2</v>
      </c>
      <c r="Q5848">
        <v>0.17</v>
      </c>
      <c r="R5848">
        <v>9.8999999999999999E-4</v>
      </c>
    </row>
    <row r="5849" spans="1:18" ht="13.8" outlineLevel="2" x14ac:dyDescent="0.25">
      <c r="A5849">
        <v>83766</v>
      </c>
      <c r="B5849" t="s">
        <v>8180</v>
      </c>
      <c r="C5849" t="s">
        <v>8192</v>
      </c>
      <c r="D5849" s="14" t="s">
        <v>8187</v>
      </c>
      <c r="E5849" s="12" t="s">
        <v>28</v>
      </c>
      <c r="F5849" s="13" t="s">
        <v>29</v>
      </c>
      <c r="G5849">
        <v>2</v>
      </c>
      <c r="H5849" t="s">
        <v>30</v>
      </c>
      <c r="I5849">
        <v>2</v>
      </c>
      <c r="J5849" s="15"/>
      <c r="K5849" s="16">
        <f>6493.44 - (6493.44 * $E$1)</f>
        <v>6493.44</v>
      </c>
      <c r="L5849" s="16">
        <f>5322.49 - (5322.49 * $E$1)</f>
        <v>5322.49</v>
      </c>
      <c r="M5849" s="1">
        <v>6493.44</v>
      </c>
      <c r="N5849" s="1">
        <v>5322.49</v>
      </c>
      <c r="O5849" s="1">
        <v>5519.42</v>
      </c>
      <c r="P5849" s="1">
        <v>4524.12</v>
      </c>
      <c r="Q5849">
        <v>0.27500000000000002</v>
      </c>
      <c r="R5849">
        <v>2.2049999999999999E-4</v>
      </c>
    </row>
    <row r="5850" spans="1:18" ht="13.8" outlineLevel="2" x14ac:dyDescent="0.25">
      <c r="A5850">
        <v>88862</v>
      </c>
      <c r="B5850" t="s">
        <v>8193</v>
      </c>
      <c r="C5850" t="s">
        <v>8194</v>
      </c>
      <c r="D5850" s="14" t="s">
        <v>8195</v>
      </c>
      <c r="E5850" s="12" t="s">
        <v>28</v>
      </c>
      <c r="F5850" s="13" t="s">
        <v>29</v>
      </c>
      <c r="G5850">
        <v>10</v>
      </c>
      <c r="H5850" t="s">
        <v>30</v>
      </c>
      <c r="I5850">
        <v>10</v>
      </c>
      <c r="J5850" s="15"/>
      <c r="K5850" s="16">
        <f>1111.69 - (1111.69 * $E$1)</f>
        <v>1111.69</v>
      </c>
      <c r="L5850" s="16">
        <f>911.22 - (911.22 * $E$1)</f>
        <v>911.22</v>
      </c>
      <c r="M5850" s="1">
        <v>1111.69</v>
      </c>
      <c r="N5850" s="1">
        <v>911.22</v>
      </c>
      <c r="O5850" s="1">
        <v>944.94</v>
      </c>
      <c r="P5850" s="1">
        <v>774.54</v>
      </c>
      <c r="Q5850">
        <v>0.1</v>
      </c>
      <c r="R5850">
        <v>6.1600000000000007E-5</v>
      </c>
    </row>
    <row r="5851" spans="1:18" ht="13.8" outlineLevel="2" x14ac:dyDescent="0.25">
      <c r="A5851">
        <v>88863</v>
      </c>
      <c r="B5851" t="s">
        <v>8193</v>
      </c>
      <c r="C5851" t="s">
        <v>8196</v>
      </c>
      <c r="D5851" s="14" t="s">
        <v>8195</v>
      </c>
      <c r="E5851" s="12" t="s">
        <v>28</v>
      </c>
      <c r="F5851" s="13" t="s">
        <v>29</v>
      </c>
      <c r="G5851">
        <v>10</v>
      </c>
      <c r="H5851" t="s">
        <v>30</v>
      </c>
      <c r="I5851">
        <v>10</v>
      </c>
      <c r="J5851" s="15"/>
      <c r="K5851" s="16">
        <f>1580.88 - (1580.88 * $E$1)</f>
        <v>1580.88</v>
      </c>
      <c r="L5851" s="16">
        <f>1295.8 - (1295.8 * $E$1)</f>
        <v>1295.8</v>
      </c>
      <c r="M5851" s="1">
        <v>1580.88</v>
      </c>
      <c r="N5851" s="1">
        <v>1295.8</v>
      </c>
      <c r="O5851" s="1">
        <v>1343.74</v>
      </c>
      <c r="P5851" s="1">
        <v>1101.43</v>
      </c>
      <c r="Q5851">
        <v>0.14199999999999999</v>
      </c>
      <c r="R5851">
        <v>7.0400000000000004E-5</v>
      </c>
    </row>
    <row r="5852" spans="1:18" ht="13.8" outlineLevel="2" x14ac:dyDescent="0.25">
      <c r="A5852">
        <v>88864</v>
      </c>
      <c r="B5852" t="s">
        <v>8193</v>
      </c>
      <c r="C5852" t="s">
        <v>8197</v>
      </c>
      <c r="D5852" s="14" t="s">
        <v>8195</v>
      </c>
      <c r="E5852" s="12" t="s">
        <v>28</v>
      </c>
      <c r="F5852" s="13" t="s">
        <v>29</v>
      </c>
      <c r="G5852">
        <v>8</v>
      </c>
      <c r="H5852" t="s">
        <v>30</v>
      </c>
      <c r="I5852">
        <v>8</v>
      </c>
      <c r="J5852" s="15"/>
      <c r="K5852" s="16">
        <f>2049.2 - (2049.2 * $E$1)</f>
        <v>2049.1999999999998</v>
      </c>
      <c r="L5852" s="16">
        <f>1679.67 - (1679.67 * $E$1)</f>
        <v>1679.67</v>
      </c>
      <c r="M5852" s="1">
        <v>2049.1999999999998</v>
      </c>
      <c r="N5852" s="1">
        <v>1679.67</v>
      </c>
      <c r="O5852" s="1">
        <v>1741.82</v>
      </c>
      <c r="P5852" s="1">
        <v>1427.72</v>
      </c>
      <c r="Q5852">
        <v>0.21875</v>
      </c>
      <c r="R5852">
        <v>1.96875E-4</v>
      </c>
    </row>
    <row r="5853" spans="1:18" ht="13.8" outlineLevel="2" x14ac:dyDescent="0.25">
      <c r="A5853">
        <v>88865</v>
      </c>
      <c r="B5853" t="s">
        <v>8193</v>
      </c>
      <c r="C5853" t="s">
        <v>8198</v>
      </c>
      <c r="D5853" s="14" t="s">
        <v>8195</v>
      </c>
      <c r="E5853" s="12" t="s">
        <v>28</v>
      </c>
      <c r="F5853" s="13" t="s">
        <v>29</v>
      </c>
      <c r="G5853">
        <v>6</v>
      </c>
      <c r="H5853" t="s">
        <v>30</v>
      </c>
      <c r="I5853">
        <v>6</v>
      </c>
      <c r="J5853" s="15"/>
      <c r="K5853" s="16">
        <f>2660.37 - (2660.37 * $E$1)</f>
        <v>2660.37</v>
      </c>
      <c r="L5853" s="16">
        <f>2180.63 - (2180.63 * $E$1)</f>
        <v>2180.63</v>
      </c>
      <c r="M5853" s="1">
        <v>2660.37</v>
      </c>
      <c r="N5853" s="1">
        <v>2180.63</v>
      </c>
      <c r="O5853" s="1">
        <v>2261.31</v>
      </c>
      <c r="P5853" s="1">
        <v>1853.54</v>
      </c>
      <c r="Q5853">
        <v>0.29166666666667002</v>
      </c>
      <c r="R5853">
        <v>2.9333333333333002E-4</v>
      </c>
    </row>
    <row r="5854" spans="1:18" ht="13.8" outlineLevel="2" x14ac:dyDescent="0.25">
      <c r="A5854">
        <v>88866</v>
      </c>
      <c r="B5854" t="s">
        <v>8193</v>
      </c>
      <c r="C5854" t="s">
        <v>8199</v>
      </c>
      <c r="D5854" s="14" t="s">
        <v>8195</v>
      </c>
      <c r="E5854" s="12" t="s">
        <v>28</v>
      </c>
      <c r="F5854" s="13" t="s">
        <v>29</v>
      </c>
      <c r="G5854">
        <v>4</v>
      </c>
      <c r="H5854" t="s">
        <v>30</v>
      </c>
      <c r="I5854">
        <v>4</v>
      </c>
      <c r="J5854" s="15"/>
      <c r="K5854" s="16">
        <f>3679.72 - (3679.72 * $E$1)</f>
        <v>3679.72</v>
      </c>
      <c r="L5854" s="16">
        <f>3016.16 - (3016.16 * $E$1)</f>
        <v>3016.16</v>
      </c>
      <c r="M5854" s="1">
        <v>3679.72</v>
      </c>
      <c r="N5854" s="1">
        <v>3016.16</v>
      </c>
      <c r="O5854" s="1">
        <v>3127.76</v>
      </c>
      <c r="P5854" s="1">
        <v>2563.7399999999998</v>
      </c>
      <c r="Q5854">
        <v>0.375</v>
      </c>
      <c r="R5854">
        <v>5.9400000000000002E-4</v>
      </c>
    </row>
    <row r="5855" spans="1:18" ht="13.8" outlineLevel="2" x14ac:dyDescent="0.25">
      <c r="A5855">
        <v>61403</v>
      </c>
      <c r="B5855" t="s">
        <v>8180</v>
      </c>
      <c r="C5855" t="s">
        <v>8200</v>
      </c>
      <c r="D5855" s="14" t="s">
        <v>8201</v>
      </c>
      <c r="E5855" s="12" t="s">
        <v>28</v>
      </c>
      <c r="F5855" s="13" t="s">
        <v>29</v>
      </c>
      <c r="G5855">
        <v>10</v>
      </c>
      <c r="H5855" t="s">
        <v>30</v>
      </c>
      <c r="I5855">
        <v>10</v>
      </c>
      <c r="J5855" s="15"/>
      <c r="K5855" s="16">
        <f>206.55 - (206.55 * $E$1)</f>
        <v>206.55</v>
      </c>
      <c r="L5855" s="16">
        <f>169.3 - (169.3 * $E$1)</f>
        <v>169.3</v>
      </c>
      <c r="M5855" s="1">
        <v>206.55</v>
      </c>
      <c r="N5855" s="1">
        <v>169.3</v>
      </c>
      <c r="O5855" s="1">
        <v>175.56</v>
      </c>
      <c r="P5855" s="1">
        <v>143.91</v>
      </c>
      <c r="Q5855">
        <v>7.0000000000000007E-2</v>
      </c>
      <c r="R5855">
        <v>6.1600000000000007E-5</v>
      </c>
    </row>
    <row r="5856" spans="1:18" ht="13.8" outlineLevel="2" x14ac:dyDescent="0.25">
      <c r="A5856">
        <v>61404</v>
      </c>
      <c r="B5856" t="s">
        <v>8180</v>
      </c>
      <c r="C5856" t="s">
        <v>8202</v>
      </c>
      <c r="D5856" s="14" t="s">
        <v>8201</v>
      </c>
      <c r="E5856" s="12" t="s">
        <v>28</v>
      </c>
      <c r="F5856" s="13" t="s">
        <v>29</v>
      </c>
      <c r="G5856">
        <v>10</v>
      </c>
      <c r="H5856" t="s">
        <v>30</v>
      </c>
      <c r="I5856">
        <v>10</v>
      </c>
      <c r="J5856" s="15"/>
      <c r="K5856" s="16">
        <f>252.61 - (252.61 * $E$1)</f>
        <v>252.61</v>
      </c>
      <c r="L5856" s="16">
        <f>207.06 - (207.06 * $E$1)</f>
        <v>207.06</v>
      </c>
      <c r="M5856" s="1">
        <v>252.61</v>
      </c>
      <c r="N5856" s="1">
        <v>207.06</v>
      </c>
      <c r="O5856" s="1">
        <v>214.72</v>
      </c>
      <c r="P5856" s="1">
        <v>176</v>
      </c>
      <c r="Q5856">
        <v>0.08</v>
      </c>
      <c r="R5856">
        <v>7.0400000000000004E-5</v>
      </c>
    </row>
    <row r="5857" spans="1:18" ht="13.8" outlineLevel="2" x14ac:dyDescent="0.25">
      <c r="A5857">
        <v>61405</v>
      </c>
      <c r="B5857" t="s">
        <v>8180</v>
      </c>
      <c r="C5857" t="s">
        <v>8203</v>
      </c>
      <c r="D5857" s="14" t="s">
        <v>8201</v>
      </c>
      <c r="E5857" s="12" t="s">
        <v>28</v>
      </c>
      <c r="F5857" s="13" t="s">
        <v>29</v>
      </c>
      <c r="G5857">
        <v>10</v>
      </c>
      <c r="H5857" t="s">
        <v>30</v>
      </c>
      <c r="I5857">
        <v>10</v>
      </c>
      <c r="J5857" s="15"/>
      <c r="K5857" s="16">
        <f>365.52 - (365.52 * $E$1)</f>
        <v>365.52</v>
      </c>
      <c r="L5857" s="16">
        <f>299.61 - (299.61 * $E$1)</f>
        <v>299.61</v>
      </c>
      <c r="M5857" s="1">
        <v>365.52</v>
      </c>
      <c r="N5857" s="1">
        <v>299.61</v>
      </c>
      <c r="O5857" s="1">
        <v>310.7</v>
      </c>
      <c r="P5857" s="1">
        <v>254.67</v>
      </c>
      <c r="Q5857">
        <v>0.13</v>
      </c>
      <c r="R5857">
        <v>1.5750000000000001E-4</v>
      </c>
    </row>
    <row r="5858" spans="1:18" ht="13.8" outlineLevel="2" x14ac:dyDescent="0.25">
      <c r="A5858">
        <v>61406</v>
      </c>
      <c r="B5858" t="s">
        <v>8180</v>
      </c>
      <c r="C5858" t="s">
        <v>8204</v>
      </c>
      <c r="D5858" s="14" t="s">
        <v>8201</v>
      </c>
      <c r="E5858" s="12" t="s">
        <v>28</v>
      </c>
      <c r="F5858" s="13" t="s">
        <v>29</v>
      </c>
      <c r="G5858">
        <v>10</v>
      </c>
      <c r="H5858" t="s">
        <v>30</v>
      </c>
      <c r="I5858">
        <v>10</v>
      </c>
      <c r="J5858" s="15"/>
      <c r="K5858" s="16">
        <f>546.52 - (546.52 * $E$1)</f>
        <v>546.52</v>
      </c>
      <c r="L5858" s="16">
        <f>447.97 - (447.97 * $E$1)</f>
        <v>447.97</v>
      </c>
      <c r="M5858" s="1">
        <v>546.52</v>
      </c>
      <c r="N5858" s="1">
        <v>447.97</v>
      </c>
      <c r="O5858" s="1">
        <v>464.54</v>
      </c>
      <c r="P5858" s="1">
        <v>380.77</v>
      </c>
      <c r="Q5858">
        <v>0.17</v>
      </c>
      <c r="R5858">
        <v>1.76E-4</v>
      </c>
    </row>
    <row r="5859" spans="1:18" ht="13.8" outlineLevel="2" x14ac:dyDescent="0.25">
      <c r="A5859">
        <v>61407</v>
      </c>
      <c r="B5859" t="s">
        <v>8180</v>
      </c>
      <c r="C5859" t="s">
        <v>8205</v>
      </c>
      <c r="D5859" s="14" t="s">
        <v>8201</v>
      </c>
      <c r="E5859" s="12" t="s">
        <v>28</v>
      </c>
      <c r="F5859" s="13" t="s">
        <v>29</v>
      </c>
      <c r="G5859">
        <v>10</v>
      </c>
      <c r="H5859" t="s">
        <v>30</v>
      </c>
      <c r="I5859">
        <v>10</v>
      </c>
      <c r="J5859" s="15"/>
      <c r="K5859" s="16">
        <f>802.06 - (802.06 * $E$1)</f>
        <v>802.06</v>
      </c>
      <c r="L5859" s="16">
        <f>657.43 - (657.43 * $E$1)</f>
        <v>657.43</v>
      </c>
      <c r="M5859" s="1">
        <v>802.06</v>
      </c>
      <c r="N5859" s="1">
        <v>657.43</v>
      </c>
      <c r="O5859" s="1">
        <v>681.75</v>
      </c>
      <c r="P5859" s="1">
        <v>558.82000000000005</v>
      </c>
      <c r="Q5859">
        <v>0.26</v>
      </c>
      <c r="R5859">
        <v>2.376E-4</v>
      </c>
    </row>
    <row r="5860" spans="1:18" ht="13.8" outlineLevel="2" x14ac:dyDescent="0.25">
      <c r="A5860">
        <v>61408</v>
      </c>
      <c r="B5860" t="s">
        <v>8180</v>
      </c>
      <c r="C5860" t="s">
        <v>8206</v>
      </c>
      <c r="D5860" s="14" t="s">
        <v>8201</v>
      </c>
      <c r="E5860" s="12" t="s">
        <v>28</v>
      </c>
      <c r="F5860" s="13" t="s">
        <v>29</v>
      </c>
      <c r="G5860">
        <v>10</v>
      </c>
      <c r="H5860" t="s">
        <v>30</v>
      </c>
      <c r="I5860">
        <v>10</v>
      </c>
      <c r="J5860" s="15"/>
      <c r="K5860" s="16">
        <f>1143.31 - (1143.31 * $E$1)</f>
        <v>1143.31</v>
      </c>
      <c r="L5860" s="16">
        <f>937.14 - (937.14 * $E$1)</f>
        <v>937.14</v>
      </c>
      <c r="M5860" s="1">
        <v>1143.31</v>
      </c>
      <c r="N5860" s="1">
        <v>937.14</v>
      </c>
      <c r="O5860" s="1">
        <v>971.81</v>
      </c>
      <c r="P5860" s="1">
        <v>796.57</v>
      </c>
      <c r="Q5860">
        <v>0.36</v>
      </c>
      <c r="R5860">
        <v>4.8000000000000001E-4</v>
      </c>
    </row>
    <row r="5861" spans="1:18" ht="13.8" outlineLevel="2" x14ac:dyDescent="0.25">
      <c r="A5861">
        <v>61397</v>
      </c>
      <c r="B5861" t="s">
        <v>8180</v>
      </c>
      <c r="C5861" t="s">
        <v>8207</v>
      </c>
      <c r="D5861" s="14" t="s">
        <v>8208</v>
      </c>
      <c r="E5861" s="12" t="s">
        <v>28</v>
      </c>
      <c r="F5861" s="13" t="s">
        <v>29</v>
      </c>
      <c r="G5861">
        <v>10</v>
      </c>
      <c r="H5861" t="s">
        <v>30</v>
      </c>
      <c r="I5861">
        <v>10</v>
      </c>
      <c r="J5861" s="15"/>
      <c r="K5861" s="16">
        <f>206.99 - (206.99 * $E$1)</f>
        <v>206.99</v>
      </c>
      <c r="L5861" s="16">
        <f>169.66 - (169.66 * $E$1)</f>
        <v>169.66</v>
      </c>
      <c r="M5861" s="1">
        <v>206.99</v>
      </c>
      <c r="N5861" s="1">
        <v>169.66</v>
      </c>
      <c r="O5861" s="1">
        <v>175.94</v>
      </c>
      <c r="P5861" s="1">
        <v>144.21</v>
      </c>
      <c r="Q5861">
        <v>0.06</v>
      </c>
      <c r="R5861">
        <v>4.32E-5</v>
      </c>
    </row>
    <row r="5862" spans="1:18" ht="13.8" outlineLevel="2" x14ac:dyDescent="0.25">
      <c r="A5862">
        <v>61398</v>
      </c>
      <c r="B5862" t="s">
        <v>8180</v>
      </c>
      <c r="C5862" t="s">
        <v>8209</v>
      </c>
      <c r="D5862" s="14" t="s">
        <v>8208</v>
      </c>
      <c r="E5862" s="12" t="s">
        <v>28</v>
      </c>
      <c r="F5862" s="13" t="s">
        <v>29</v>
      </c>
      <c r="G5862">
        <v>10</v>
      </c>
      <c r="H5862" t="s">
        <v>30</v>
      </c>
      <c r="I5862">
        <v>10</v>
      </c>
      <c r="J5862" s="15"/>
      <c r="K5862" s="16">
        <f>256.61 - (256.61 * $E$1)</f>
        <v>256.61</v>
      </c>
      <c r="L5862" s="16">
        <f>210.34 - (210.34 * $E$1)</f>
        <v>210.34</v>
      </c>
      <c r="M5862" s="1">
        <v>256.61</v>
      </c>
      <c r="N5862" s="1">
        <v>210.34</v>
      </c>
      <c r="O5862" s="1">
        <v>218.12</v>
      </c>
      <c r="P5862" s="1">
        <v>178.79</v>
      </c>
      <c r="Q5862">
        <v>0.09</v>
      </c>
      <c r="R5862">
        <v>1.17E-4</v>
      </c>
    </row>
    <row r="5863" spans="1:18" ht="13.8" outlineLevel="2" x14ac:dyDescent="0.25">
      <c r="A5863">
        <v>61399</v>
      </c>
      <c r="B5863" t="s">
        <v>8180</v>
      </c>
      <c r="C5863" t="s">
        <v>8210</v>
      </c>
      <c r="D5863" s="14" t="s">
        <v>8208</v>
      </c>
      <c r="E5863" s="12" t="s">
        <v>28</v>
      </c>
      <c r="F5863" s="13" t="s">
        <v>29</v>
      </c>
      <c r="G5863">
        <v>10</v>
      </c>
      <c r="H5863" t="s">
        <v>30</v>
      </c>
      <c r="I5863">
        <v>10</v>
      </c>
      <c r="J5863" s="15"/>
      <c r="K5863" s="16">
        <f>367.62 - (367.62 * $E$1)</f>
        <v>367.62</v>
      </c>
      <c r="L5863" s="16">
        <f>301.33 - (301.33 * $E$1)</f>
        <v>301.33</v>
      </c>
      <c r="M5863" s="1">
        <v>367.62</v>
      </c>
      <c r="N5863" s="1">
        <v>301.33</v>
      </c>
      <c r="O5863" s="1">
        <v>312.48</v>
      </c>
      <c r="P5863" s="1">
        <v>256.13</v>
      </c>
      <c r="Q5863">
        <v>0.13</v>
      </c>
      <c r="R5863">
        <v>1.6100000000000001E-4</v>
      </c>
    </row>
    <row r="5864" spans="1:18" ht="13.8" outlineLevel="2" x14ac:dyDescent="0.25">
      <c r="A5864">
        <v>61400</v>
      </c>
      <c r="B5864" t="s">
        <v>8180</v>
      </c>
      <c r="C5864" t="s">
        <v>8211</v>
      </c>
      <c r="D5864" s="14" t="s">
        <v>8208</v>
      </c>
      <c r="E5864" s="12" t="s">
        <v>28</v>
      </c>
      <c r="F5864" s="13" t="s">
        <v>29</v>
      </c>
      <c r="G5864">
        <v>10</v>
      </c>
      <c r="H5864" t="s">
        <v>30</v>
      </c>
      <c r="I5864">
        <v>10</v>
      </c>
      <c r="J5864" s="15"/>
      <c r="K5864" s="16">
        <f>551.64 - (551.64 * $E$1)</f>
        <v>551.64</v>
      </c>
      <c r="L5864" s="16">
        <f>452.16 - (452.16 * $E$1)</f>
        <v>452.16</v>
      </c>
      <c r="M5864" s="1">
        <v>551.64</v>
      </c>
      <c r="N5864" s="1">
        <v>452.16</v>
      </c>
      <c r="O5864" s="1">
        <v>468.89</v>
      </c>
      <c r="P5864" s="1">
        <v>384.34</v>
      </c>
      <c r="Q5864">
        <v>0.17</v>
      </c>
      <c r="R5864">
        <v>1.76E-4</v>
      </c>
    </row>
    <row r="5865" spans="1:18" ht="13.8" outlineLevel="2" x14ac:dyDescent="0.25">
      <c r="A5865">
        <v>61401</v>
      </c>
      <c r="B5865" t="s">
        <v>8180</v>
      </c>
      <c r="C5865" t="s">
        <v>8212</v>
      </c>
      <c r="D5865" s="14" t="s">
        <v>8208</v>
      </c>
      <c r="E5865" s="12" t="s">
        <v>28</v>
      </c>
      <c r="F5865" s="13" t="s">
        <v>29</v>
      </c>
      <c r="G5865">
        <v>10</v>
      </c>
      <c r="H5865" t="s">
        <v>30</v>
      </c>
      <c r="I5865">
        <v>10</v>
      </c>
      <c r="J5865" s="15"/>
      <c r="K5865" s="16">
        <f>808.34 - (808.34 * $E$1)</f>
        <v>808.34</v>
      </c>
      <c r="L5865" s="16">
        <f>662.57 - (662.57 * $E$1)</f>
        <v>662.57</v>
      </c>
      <c r="M5865" s="1">
        <v>808.34</v>
      </c>
      <c r="N5865" s="1">
        <v>662.57</v>
      </c>
      <c r="O5865" s="1">
        <v>687.09</v>
      </c>
      <c r="P5865" s="1">
        <v>563.17999999999995</v>
      </c>
      <c r="Q5865">
        <v>0.27</v>
      </c>
      <c r="R5865">
        <v>2.5920000000000001E-4</v>
      </c>
    </row>
    <row r="5866" spans="1:18" ht="13.8" outlineLevel="2" x14ac:dyDescent="0.25">
      <c r="A5866">
        <v>61402</v>
      </c>
      <c r="B5866" t="s">
        <v>8180</v>
      </c>
      <c r="C5866" t="s">
        <v>8213</v>
      </c>
      <c r="D5866" s="14" t="s">
        <v>8208</v>
      </c>
      <c r="E5866" s="12" t="s">
        <v>28</v>
      </c>
      <c r="F5866" s="13" t="s">
        <v>29</v>
      </c>
      <c r="G5866">
        <v>10</v>
      </c>
      <c r="H5866" t="s">
        <v>30</v>
      </c>
      <c r="I5866">
        <v>10</v>
      </c>
      <c r="J5866" s="15"/>
      <c r="K5866" s="16">
        <f>1176.97 - (1176.97 * $E$1)</f>
        <v>1176.97</v>
      </c>
      <c r="L5866" s="16">
        <f>964.73 - (964.73 * $E$1)</f>
        <v>964.73</v>
      </c>
      <c r="M5866" s="1">
        <v>1176.97</v>
      </c>
      <c r="N5866" s="1">
        <v>964.73</v>
      </c>
      <c r="O5866" s="1">
        <v>1000.43</v>
      </c>
      <c r="P5866" s="1">
        <v>820.02</v>
      </c>
      <c r="Q5866">
        <v>0.33</v>
      </c>
      <c r="R5866">
        <v>3.969E-4</v>
      </c>
    </row>
    <row r="5867" spans="1:18" ht="13.8" outlineLevel="2" x14ac:dyDescent="0.25">
      <c r="A5867">
        <v>92318</v>
      </c>
      <c r="B5867" t="s">
        <v>8214</v>
      </c>
      <c r="C5867" t="s">
        <v>8215</v>
      </c>
      <c r="D5867" s="14" t="s">
        <v>8216</v>
      </c>
      <c r="E5867" s="12" t="s">
        <v>28</v>
      </c>
      <c r="F5867" s="13" t="s">
        <v>29</v>
      </c>
      <c r="G5867">
        <v>10</v>
      </c>
      <c r="H5867" t="s">
        <v>30</v>
      </c>
      <c r="I5867">
        <v>10</v>
      </c>
      <c r="J5867" s="15"/>
      <c r="K5867" s="16">
        <f>283.28 - (283.28 * $E$1)</f>
        <v>283.27999999999997</v>
      </c>
      <c r="L5867" s="16">
        <f>232.2 - (232.2 * $E$1)</f>
        <v>232.2</v>
      </c>
      <c r="M5867" s="1">
        <v>283.27999999999997</v>
      </c>
      <c r="N5867" s="1">
        <v>232.2</v>
      </c>
      <c r="O5867" s="1">
        <v>240.79</v>
      </c>
      <c r="P5867" s="1">
        <v>197.37</v>
      </c>
      <c r="Q5867">
        <v>8.6999999999999994E-2</v>
      </c>
      <c r="R5867">
        <v>7.0400000000000004E-5</v>
      </c>
    </row>
    <row r="5868" spans="1:18" ht="13.8" outlineLevel="2" x14ac:dyDescent="0.25">
      <c r="A5868">
        <v>92319</v>
      </c>
      <c r="B5868" t="s">
        <v>8214</v>
      </c>
      <c r="C5868" t="s">
        <v>8217</v>
      </c>
      <c r="D5868" s="14" t="s">
        <v>8216</v>
      </c>
      <c r="E5868" s="12" t="s">
        <v>28</v>
      </c>
      <c r="F5868" s="13" t="s">
        <v>29</v>
      </c>
      <c r="G5868">
        <v>10</v>
      </c>
      <c r="H5868" t="s">
        <v>30</v>
      </c>
      <c r="I5868">
        <v>10</v>
      </c>
      <c r="J5868" s="15"/>
      <c r="K5868" s="16">
        <f>288.69 - (288.69 * $E$1)</f>
        <v>288.69</v>
      </c>
      <c r="L5868" s="16">
        <f>236.63 - (236.63 * $E$1)</f>
        <v>236.63</v>
      </c>
      <c r="M5868" s="1">
        <v>288.69</v>
      </c>
      <c r="N5868" s="1">
        <v>236.63</v>
      </c>
      <c r="O5868" s="1">
        <v>245.39</v>
      </c>
      <c r="P5868" s="1">
        <v>201.14</v>
      </c>
      <c r="Q5868">
        <v>0.09</v>
      </c>
      <c r="R5868">
        <v>8.1600000000000005E-5</v>
      </c>
    </row>
    <row r="5869" spans="1:18" ht="13.8" outlineLevel="2" x14ac:dyDescent="0.25">
      <c r="A5869">
        <v>92320</v>
      </c>
      <c r="B5869" t="s">
        <v>8214</v>
      </c>
      <c r="C5869" t="s">
        <v>8218</v>
      </c>
      <c r="D5869" s="14" t="s">
        <v>8216</v>
      </c>
      <c r="E5869" s="12" t="s">
        <v>28</v>
      </c>
      <c r="F5869" s="13" t="s">
        <v>29</v>
      </c>
      <c r="G5869">
        <v>10</v>
      </c>
      <c r="H5869" t="s">
        <v>30</v>
      </c>
      <c r="I5869">
        <v>10</v>
      </c>
      <c r="J5869" s="15"/>
      <c r="K5869" s="16">
        <f>476.21 - (476.21 * $E$1)</f>
        <v>476.21</v>
      </c>
      <c r="L5869" s="16">
        <f>390.34 - (390.34 * $E$1)</f>
        <v>390.34</v>
      </c>
      <c r="M5869" s="1">
        <v>476.21</v>
      </c>
      <c r="N5869" s="1">
        <v>390.34</v>
      </c>
      <c r="O5869" s="1">
        <v>404.78</v>
      </c>
      <c r="P5869" s="1">
        <v>331.79</v>
      </c>
      <c r="Q5869">
        <v>0.14799999999999999</v>
      </c>
      <c r="R5869">
        <v>1.7000000000000001E-4</v>
      </c>
    </row>
    <row r="5870" spans="1:18" ht="13.8" outlineLevel="2" x14ac:dyDescent="0.25">
      <c r="A5870">
        <v>92321</v>
      </c>
      <c r="B5870" t="s">
        <v>8214</v>
      </c>
      <c r="C5870" t="s">
        <v>8219</v>
      </c>
      <c r="D5870" s="14" t="s">
        <v>8216</v>
      </c>
      <c r="E5870" s="12" t="s">
        <v>28</v>
      </c>
      <c r="F5870" s="13" t="s">
        <v>29</v>
      </c>
      <c r="G5870">
        <v>10</v>
      </c>
      <c r="H5870" t="s">
        <v>30</v>
      </c>
      <c r="I5870">
        <v>10</v>
      </c>
      <c r="J5870" s="15"/>
      <c r="K5870" s="16">
        <f>635.49 - (635.49 * $E$1)</f>
        <v>635.49</v>
      </c>
      <c r="L5870" s="16">
        <f>520.89 - (520.89 * $E$1)</f>
        <v>520.89</v>
      </c>
      <c r="M5870" s="1">
        <v>635.49</v>
      </c>
      <c r="N5870" s="1">
        <v>520.89</v>
      </c>
      <c r="O5870" s="1">
        <v>540.16</v>
      </c>
      <c r="P5870" s="1">
        <v>442.76</v>
      </c>
      <c r="Q5870">
        <v>0.184</v>
      </c>
      <c r="R5870">
        <v>3.1280000000000001E-4</v>
      </c>
    </row>
    <row r="5871" spans="1:18" ht="13.8" outlineLevel="2" x14ac:dyDescent="0.25">
      <c r="A5871">
        <v>92322</v>
      </c>
      <c r="B5871" t="s">
        <v>8214</v>
      </c>
      <c r="C5871" t="s">
        <v>8220</v>
      </c>
      <c r="D5871" s="14" t="s">
        <v>8216</v>
      </c>
      <c r="E5871" s="12" t="s">
        <v>28</v>
      </c>
      <c r="F5871" s="13" t="s">
        <v>29</v>
      </c>
      <c r="G5871">
        <v>10</v>
      </c>
      <c r="H5871" t="s">
        <v>30</v>
      </c>
      <c r="I5871">
        <v>10</v>
      </c>
      <c r="J5871" s="15"/>
      <c r="K5871" s="16">
        <f>864.99 - (864.99 * $E$1)</f>
        <v>864.99</v>
      </c>
      <c r="L5871" s="16">
        <f>709.01 - (709.01 * $E$1)</f>
        <v>709.01</v>
      </c>
      <c r="M5871" s="1">
        <v>864.99</v>
      </c>
      <c r="N5871" s="1">
        <v>709.01</v>
      </c>
      <c r="O5871" s="1">
        <v>735.24</v>
      </c>
      <c r="P5871" s="1">
        <v>602.66</v>
      </c>
      <c r="Q5871">
        <v>0.254</v>
      </c>
      <c r="R5871">
        <v>2.8800000000000001E-4</v>
      </c>
    </row>
    <row r="5872" spans="1:18" ht="13.8" outlineLevel="2" x14ac:dyDescent="0.25">
      <c r="A5872">
        <v>92323</v>
      </c>
      <c r="B5872" t="s">
        <v>8214</v>
      </c>
      <c r="C5872" t="s">
        <v>8221</v>
      </c>
      <c r="D5872" s="14" t="s">
        <v>8216</v>
      </c>
      <c r="E5872" s="12" t="s">
        <v>28</v>
      </c>
      <c r="F5872" s="13" t="s">
        <v>29</v>
      </c>
      <c r="G5872">
        <v>10</v>
      </c>
      <c r="H5872" t="s">
        <v>30</v>
      </c>
      <c r="I5872">
        <v>10</v>
      </c>
      <c r="J5872" s="15"/>
      <c r="K5872" s="16">
        <f>1317.84 - (1317.84 * $E$1)</f>
        <v>1317.84</v>
      </c>
      <c r="L5872" s="16">
        <f>1080.2 - (1080.2 * $E$1)</f>
        <v>1080.2</v>
      </c>
      <c r="M5872" s="1">
        <v>1317.84</v>
      </c>
      <c r="N5872" s="1">
        <v>1080.2</v>
      </c>
      <c r="O5872" s="1">
        <v>1120.17</v>
      </c>
      <c r="P5872" s="1">
        <v>918.17</v>
      </c>
      <c r="Q5872">
        <v>0.36299999999999999</v>
      </c>
      <c r="R5872">
        <v>3.3599999999999998E-4</v>
      </c>
    </row>
    <row r="5873" spans="1:18" ht="13.8" outlineLevel="2" x14ac:dyDescent="0.25">
      <c r="A5873">
        <v>61409</v>
      </c>
      <c r="B5873" t="s">
        <v>8180</v>
      </c>
      <c r="C5873" t="s">
        <v>8222</v>
      </c>
      <c r="D5873" s="14" t="s">
        <v>8223</v>
      </c>
      <c r="E5873" s="12" t="s">
        <v>28</v>
      </c>
      <c r="F5873" s="13" t="s">
        <v>29</v>
      </c>
      <c r="G5873">
        <v>10</v>
      </c>
      <c r="H5873" t="s">
        <v>30</v>
      </c>
      <c r="I5873">
        <v>10</v>
      </c>
      <c r="J5873" s="15"/>
      <c r="K5873" s="16">
        <f>136.08 - (136.08 * $E$1)</f>
        <v>136.08000000000001</v>
      </c>
      <c r="L5873" s="16">
        <f>111.54 - (111.54 * $E$1)</f>
        <v>111.54</v>
      </c>
      <c r="M5873" s="1">
        <v>136.08000000000001</v>
      </c>
      <c r="N5873" s="1">
        <v>111.54</v>
      </c>
      <c r="O5873" s="1">
        <v>115.67</v>
      </c>
      <c r="P5873" s="1">
        <v>94.81</v>
      </c>
      <c r="Q5873">
        <v>0.05</v>
      </c>
      <c r="R5873">
        <v>3.8999999999999999E-5</v>
      </c>
    </row>
    <row r="5874" spans="1:18" ht="13.8" outlineLevel="2" x14ac:dyDescent="0.25">
      <c r="A5874">
        <v>61410</v>
      </c>
      <c r="B5874" t="s">
        <v>8180</v>
      </c>
      <c r="C5874" t="s">
        <v>8224</v>
      </c>
      <c r="D5874" s="14" t="s">
        <v>8223</v>
      </c>
      <c r="E5874" s="12" t="s">
        <v>28</v>
      </c>
      <c r="F5874" s="13" t="s">
        <v>29</v>
      </c>
      <c r="G5874">
        <v>10</v>
      </c>
      <c r="H5874" t="s">
        <v>30</v>
      </c>
      <c r="I5874">
        <v>10</v>
      </c>
      <c r="J5874" s="15"/>
      <c r="K5874" s="16">
        <f>182.95 - (182.95 * $E$1)</f>
        <v>182.95</v>
      </c>
      <c r="L5874" s="16">
        <f>149.96 - (149.96 * $E$1)</f>
        <v>149.96</v>
      </c>
      <c r="M5874" s="1">
        <v>182.95</v>
      </c>
      <c r="N5874" s="1">
        <v>149.96</v>
      </c>
      <c r="O5874" s="1">
        <v>155.51</v>
      </c>
      <c r="P5874" s="1">
        <v>127.47</v>
      </c>
      <c r="Q5874">
        <v>7.0000000000000007E-2</v>
      </c>
      <c r="R5874">
        <v>4.9499999999999997E-5</v>
      </c>
    </row>
    <row r="5875" spans="1:18" ht="13.8" outlineLevel="2" x14ac:dyDescent="0.25">
      <c r="A5875">
        <v>61411</v>
      </c>
      <c r="B5875" t="s">
        <v>8180</v>
      </c>
      <c r="C5875" t="s">
        <v>8225</v>
      </c>
      <c r="D5875" s="14" t="s">
        <v>8223</v>
      </c>
      <c r="E5875" s="12" t="s">
        <v>28</v>
      </c>
      <c r="F5875" s="13" t="s">
        <v>29</v>
      </c>
      <c r="G5875">
        <v>10</v>
      </c>
      <c r="H5875" t="s">
        <v>30</v>
      </c>
      <c r="I5875">
        <v>10</v>
      </c>
      <c r="J5875" s="15"/>
      <c r="K5875" s="16">
        <f>266.13 - (266.13 * $E$1)</f>
        <v>266.13</v>
      </c>
      <c r="L5875" s="16">
        <f>218.14 - (218.14 * $E$1)</f>
        <v>218.14</v>
      </c>
      <c r="M5875" s="1">
        <v>266.13</v>
      </c>
      <c r="N5875" s="1">
        <v>218.14</v>
      </c>
      <c r="O5875" s="1">
        <v>226.21</v>
      </c>
      <c r="P5875" s="1">
        <v>185.42</v>
      </c>
      <c r="Q5875">
        <v>8.8999999999999996E-2</v>
      </c>
      <c r="R5875">
        <v>1.47E-4</v>
      </c>
    </row>
    <row r="5876" spans="1:18" ht="13.8" outlineLevel="2" x14ac:dyDescent="0.25">
      <c r="A5876">
        <v>61412</v>
      </c>
      <c r="B5876" t="s">
        <v>8180</v>
      </c>
      <c r="C5876" t="s">
        <v>8226</v>
      </c>
      <c r="D5876" s="14" t="s">
        <v>8223</v>
      </c>
      <c r="E5876" s="12" t="s">
        <v>28</v>
      </c>
      <c r="F5876" s="13" t="s">
        <v>29</v>
      </c>
      <c r="G5876">
        <v>10</v>
      </c>
      <c r="H5876" t="s">
        <v>30</v>
      </c>
      <c r="I5876">
        <v>10</v>
      </c>
      <c r="J5876" s="15"/>
      <c r="K5876" s="16">
        <f>415.93 - (415.93 * $E$1)</f>
        <v>415.93</v>
      </c>
      <c r="L5876" s="16">
        <f>340.93 - (340.93 * $E$1)</f>
        <v>340.93</v>
      </c>
      <c r="M5876" s="1">
        <v>415.93</v>
      </c>
      <c r="N5876" s="1">
        <v>340.93</v>
      </c>
      <c r="O5876" s="1">
        <v>353.54</v>
      </c>
      <c r="P5876" s="1">
        <v>289.79000000000002</v>
      </c>
      <c r="Q5876">
        <v>0.14000000000000001</v>
      </c>
      <c r="R5876">
        <v>1.5200000000000001E-4</v>
      </c>
    </row>
    <row r="5877" spans="1:18" ht="13.8" outlineLevel="2" x14ac:dyDescent="0.25">
      <c r="A5877">
        <v>61413</v>
      </c>
      <c r="B5877" t="s">
        <v>8180</v>
      </c>
      <c r="C5877" t="s">
        <v>8227</v>
      </c>
      <c r="D5877" s="14" t="s">
        <v>8223</v>
      </c>
      <c r="E5877" s="12" t="s">
        <v>28</v>
      </c>
      <c r="F5877" s="13" t="s">
        <v>29</v>
      </c>
      <c r="G5877">
        <v>10</v>
      </c>
      <c r="H5877" t="s">
        <v>30</v>
      </c>
      <c r="I5877">
        <v>10</v>
      </c>
      <c r="J5877" s="15"/>
      <c r="K5877" s="16">
        <f>609.52 - (609.52 * $E$1)</f>
        <v>609.52</v>
      </c>
      <c r="L5877" s="16">
        <f>499.61 - (499.61 * $E$1)</f>
        <v>499.61</v>
      </c>
      <c r="M5877" s="1">
        <v>609.52</v>
      </c>
      <c r="N5877" s="1">
        <v>499.61</v>
      </c>
      <c r="O5877" s="1">
        <v>518.1</v>
      </c>
      <c r="P5877" s="1">
        <v>424.67</v>
      </c>
      <c r="Q5877">
        <v>0.2</v>
      </c>
      <c r="R5877">
        <v>2.4000000000000001E-4</v>
      </c>
    </row>
    <row r="5878" spans="1:18" ht="13.8" outlineLevel="2" x14ac:dyDescent="0.25">
      <c r="A5878">
        <v>61414</v>
      </c>
      <c r="B5878" t="s">
        <v>8180</v>
      </c>
      <c r="C5878" t="s">
        <v>8228</v>
      </c>
      <c r="D5878" s="14" t="s">
        <v>8223</v>
      </c>
      <c r="E5878" s="12" t="s">
        <v>28</v>
      </c>
      <c r="F5878" s="13" t="s">
        <v>29</v>
      </c>
      <c r="G5878">
        <v>10</v>
      </c>
      <c r="H5878" t="s">
        <v>30</v>
      </c>
      <c r="I5878">
        <v>10</v>
      </c>
      <c r="J5878" s="15"/>
      <c r="K5878" s="16">
        <f>951.59 - (951.59 * $E$1)</f>
        <v>951.59</v>
      </c>
      <c r="L5878" s="16">
        <f>779.99 - (779.99 * $E$1)</f>
        <v>779.99</v>
      </c>
      <c r="M5878" s="1">
        <v>951.59</v>
      </c>
      <c r="N5878" s="1">
        <v>779.99</v>
      </c>
      <c r="O5878" s="1">
        <v>808.85</v>
      </c>
      <c r="P5878" s="1">
        <v>662.99</v>
      </c>
      <c r="Q5878">
        <v>0.27</v>
      </c>
      <c r="R5878">
        <v>4.0000000000000002E-4</v>
      </c>
    </row>
    <row r="5879" spans="1:18" ht="13.8" outlineLevel="2" x14ac:dyDescent="0.25">
      <c r="A5879">
        <v>63603</v>
      </c>
      <c r="B5879" t="s">
        <v>8180</v>
      </c>
      <c r="C5879" t="s">
        <v>8229</v>
      </c>
      <c r="D5879" s="14" t="s">
        <v>8230</v>
      </c>
      <c r="E5879" s="12" t="s">
        <v>28</v>
      </c>
      <c r="F5879" s="13" t="s">
        <v>29</v>
      </c>
      <c r="G5879">
        <v>10</v>
      </c>
      <c r="H5879" t="s">
        <v>30</v>
      </c>
      <c r="I5879">
        <v>10</v>
      </c>
      <c r="J5879" s="15"/>
      <c r="K5879" s="16">
        <f>136.71 - (136.71 * $E$1)</f>
        <v>136.71</v>
      </c>
      <c r="L5879" s="16">
        <f>112.06 - (112.06 * $E$1)</f>
        <v>112.06</v>
      </c>
      <c r="M5879" s="1">
        <v>136.71</v>
      </c>
      <c r="N5879" s="1">
        <v>112.06</v>
      </c>
      <c r="O5879" s="1">
        <v>116.21</v>
      </c>
      <c r="P5879" s="1">
        <v>95.25</v>
      </c>
      <c r="Q5879">
        <v>0.06</v>
      </c>
      <c r="R5879">
        <v>5.1999999999999997E-5</v>
      </c>
    </row>
    <row r="5880" spans="1:18" ht="13.8" outlineLevel="2" x14ac:dyDescent="0.25">
      <c r="A5880">
        <v>63604</v>
      </c>
      <c r="B5880" t="s">
        <v>8180</v>
      </c>
      <c r="C5880" t="s">
        <v>8231</v>
      </c>
      <c r="D5880" s="14" t="s">
        <v>8230</v>
      </c>
      <c r="E5880" s="12" t="s">
        <v>28</v>
      </c>
      <c r="F5880" s="13" t="s">
        <v>29</v>
      </c>
      <c r="G5880">
        <v>10</v>
      </c>
      <c r="H5880" t="s">
        <v>30</v>
      </c>
      <c r="I5880">
        <v>10</v>
      </c>
      <c r="J5880" s="15"/>
      <c r="K5880" s="16">
        <f>184.29 - (184.29 * $E$1)</f>
        <v>184.29</v>
      </c>
      <c r="L5880" s="16">
        <f>151.06 - (151.06 * $E$1)</f>
        <v>151.06</v>
      </c>
      <c r="M5880" s="1">
        <v>184.29</v>
      </c>
      <c r="N5880" s="1">
        <v>151.06</v>
      </c>
      <c r="O5880" s="1">
        <v>156.65</v>
      </c>
      <c r="P5880" s="1">
        <v>128.4</v>
      </c>
      <c r="Q5880">
        <v>7.0000000000000007E-2</v>
      </c>
      <c r="R5880">
        <v>7.2000000000000002E-5</v>
      </c>
    </row>
    <row r="5881" spans="1:18" ht="13.8" outlineLevel="2" x14ac:dyDescent="0.25">
      <c r="A5881">
        <v>63606</v>
      </c>
      <c r="B5881" t="s">
        <v>8180</v>
      </c>
      <c r="C5881" t="s">
        <v>8232</v>
      </c>
      <c r="D5881" s="14" t="s">
        <v>8230</v>
      </c>
      <c r="E5881" s="12" t="s">
        <v>28</v>
      </c>
      <c r="F5881" s="13" t="s">
        <v>29</v>
      </c>
      <c r="G5881">
        <v>10</v>
      </c>
      <c r="H5881" t="s">
        <v>30</v>
      </c>
      <c r="I5881">
        <v>10</v>
      </c>
      <c r="J5881" s="15"/>
      <c r="K5881" s="16">
        <f>268.53 - (268.53 * $E$1)</f>
        <v>268.52999999999997</v>
      </c>
      <c r="L5881" s="16">
        <f>220.11 - (220.11 * $E$1)</f>
        <v>220.11</v>
      </c>
      <c r="M5881" s="1">
        <v>268.52999999999997</v>
      </c>
      <c r="N5881" s="1">
        <v>220.11</v>
      </c>
      <c r="O5881" s="1">
        <v>228.25</v>
      </c>
      <c r="P5881" s="1">
        <v>187.09</v>
      </c>
      <c r="Q5881">
        <v>0.1</v>
      </c>
      <c r="R5881">
        <v>9.0000000000000006E-5</v>
      </c>
    </row>
    <row r="5882" spans="1:18" ht="13.8" outlineLevel="2" x14ac:dyDescent="0.25">
      <c r="A5882">
        <v>63605</v>
      </c>
      <c r="B5882" t="s">
        <v>8180</v>
      </c>
      <c r="C5882" t="s">
        <v>8233</v>
      </c>
      <c r="D5882" s="14" t="s">
        <v>8230</v>
      </c>
      <c r="E5882" s="12" t="s">
        <v>28</v>
      </c>
      <c r="F5882" s="13" t="s">
        <v>29</v>
      </c>
      <c r="G5882">
        <v>10</v>
      </c>
      <c r="H5882" t="s">
        <v>30</v>
      </c>
      <c r="I5882">
        <v>10</v>
      </c>
      <c r="J5882" s="15"/>
      <c r="K5882" s="16">
        <f>418.16 - (418.16 * $E$1)</f>
        <v>418.16</v>
      </c>
      <c r="L5882" s="16">
        <f>342.75 - (342.75 * $E$1)</f>
        <v>342.75</v>
      </c>
      <c r="M5882" s="1">
        <v>418.16</v>
      </c>
      <c r="N5882" s="1">
        <v>342.75</v>
      </c>
      <c r="O5882" s="1">
        <v>355.43</v>
      </c>
      <c r="P5882" s="1">
        <v>291.33999999999997</v>
      </c>
      <c r="Q5882">
        <v>0.15</v>
      </c>
      <c r="R5882">
        <v>1.6799999999999999E-4</v>
      </c>
    </row>
    <row r="5883" spans="1:18" ht="13.8" outlineLevel="2" x14ac:dyDescent="0.25">
      <c r="A5883">
        <v>61385</v>
      </c>
      <c r="B5883" t="s">
        <v>8112</v>
      </c>
      <c r="C5883" t="s">
        <v>8234</v>
      </c>
      <c r="D5883" s="14" t="s">
        <v>8235</v>
      </c>
      <c r="E5883" s="12" t="s">
        <v>28</v>
      </c>
      <c r="F5883" s="13" t="s">
        <v>29</v>
      </c>
      <c r="G5883">
        <v>10</v>
      </c>
      <c r="H5883" t="s">
        <v>30</v>
      </c>
      <c r="I5883">
        <v>10</v>
      </c>
      <c r="J5883" s="15"/>
      <c r="K5883" s="16">
        <f>78.86 - (78.86 * $E$1)</f>
        <v>78.86</v>
      </c>
      <c r="L5883" s="16">
        <f>64.64 - (64.64 * $E$1)</f>
        <v>64.64</v>
      </c>
      <c r="M5883" s="1">
        <v>78.86</v>
      </c>
      <c r="N5883" s="1">
        <v>64.64</v>
      </c>
      <c r="O5883" s="1">
        <v>67.03</v>
      </c>
      <c r="P5883" s="1">
        <v>54.94</v>
      </c>
      <c r="Q5883">
        <v>0.03</v>
      </c>
      <c r="R5883">
        <v>4.6199999999999998E-5</v>
      </c>
    </row>
    <row r="5884" spans="1:18" ht="13.8" outlineLevel="2" x14ac:dyDescent="0.25">
      <c r="A5884">
        <v>61386</v>
      </c>
      <c r="B5884" t="s">
        <v>8112</v>
      </c>
      <c r="C5884" t="s">
        <v>8236</v>
      </c>
      <c r="D5884" s="14" t="s">
        <v>8235</v>
      </c>
      <c r="E5884" s="12" t="s">
        <v>28</v>
      </c>
      <c r="F5884" s="13" t="s">
        <v>29</v>
      </c>
      <c r="G5884">
        <v>10</v>
      </c>
      <c r="H5884" t="s">
        <v>30</v>
      </c>
      <c r="I5884">
        <v>10</v>
      </c>
      <c r="J5884" s="15"/>
      <c r="K5884" s="16">
        <f>109.24 - (109.24 * $E$1)</f>
        <v>109.24</v>
      </c>
      <c r="L5884" s="16">
        <f>89.54 - (89.54 * $E$1)</f>
        <v>89.54</v>
      </c>
      <c r="M5884" s="1">
        <v>109.24</v>
      </c>
      <c r="N5884" s="1">
        <v>89.54</v>
      </c>
      <c r="O5884" s="1">
        <v>92.85</v>
      </c>
      <c r="P5884" s="1">
        <v>76.11</v>
      </c>
      <c r="Q5884">
        <v>0.04</v>
      </c>
      <c r="R5884">
        <v>6.1199999999999997E-5</v>
      </c>
    </row>
    <row r="5885" spans="1:18" ht="13.8" outlineLevel="2" x14ac:dyDescent="0.25">
      <c r="A5885">
        <v>61387</v>
      </c>
      <c r="B5885" t="s">
        <v>8112</v>
      </c>
      <c r="C5885" t="s">
        <v>8237</v>
      </c>
      <c r="D5885" s="14" t="s">
        <v>8235</v>
      </c>
      <c r="E5885" s="12" t="s">
        <v>28</v>
      </c>
      <c r="F5885" s="13" t="s">
        <v>29</v>
      </c>
      <c r="G5885">
        <v>10</v>
      </c>
      <c r="H5885" t="s">
        <v>30</v>
      </c>
      <c r="I5885">
        <v>10</v>
      </c>
      <c r="J5885" s="15"/>
      <c r="K5885" s="16">
        <f>170.1 - (170.1 * $E$1)</f>
        <v>170.1</v>
      </c>
      <c r="L5885" s="16">
        <f>139.43 - (139.43 * $E$1)</f>
        <v>139.43</v>
      </c>
      <c r="M5885" s="1">
        <v>170.1</v>
      </c>
      <c r="N5885" s="1">
        <v>139.43</v>
      </c>
      <c r="O5885" s="1">
        <v>144.59</v>
      </c>
      <c r="P5885" s="1">
        <v>118.52</v>
      </c>
      <c r="Q5885">
        <v>0.06</v>
      </c>
      <c r="R5885">
        <v>1.05E-4</v>
      </c>
    </row>
    <row r="5886" spans="1:18" ht="13.8" outlineLevel="2" x14ac:dyDescent="0.25">
      <c r="A5886">
        <v>61388</v>
      </c>
      <c r="B5886" t="s">
        <v>8112</v>
      </c>
      <c r="C5886" t="s">
        <v>8238</v>
      </c>
      <c r="D5886" s="14" t="s">
        <v>8235</v>
      </c>
      <c r="E5886" s="12" t="s">
        <v>28</v>
      </c>
      <c r="F5886" s="13" t="s">
        <v>29</v>
      </c>
      <c r="G5886">
        <v>10</v>
      </c>
      <c r="H5886" t="s">
        <v>30</v>
      </c>
      <c r="I5886">
        <v>10</v>
      </c>
      <c r="J5886" s="15"/>
      <c r="K5886" s="16">
        <f>241.82 - (241.82 * $E$1)</f>
        <v>241.82</v>
      </c>
      <c r="L5886" s="16">
        <f>198.21 - (198.21 * $E$1)</f>
        <v>198.21</v>
      </c>
      <c r="M5886" s="1">
        <v>241.82</v>
      </c>
      <c r="N5886" s="1">
        <v>198.21</v>
      </c>
      <c r="O5886" s="1">
        <v>205.54</v>
      </c>
      <c r="P5886" s="1">
        <v>168.48</v>
      </c>
      <c r="Q5886">
        <v>0.09</v>
      </c>
      <c r="R5886">
        <v>1.8200000000000001E-4</v>
      </c>
    </row>
    <row r="5887" spans="1:18" ht="13.8" outlineLevel="2" x14ac:dyDescent="0.25">
      <c r="A5887">
        <v>92324</v>
      </c>
      <c r="B5887" t="s">
        <v>8239</v>
      </c>
      <c r="C5887" t="s">
        <v>8240</v>
      </c>
      <c r="D5887" s="14" t="s">
        <v>8241</v>
      </c>
      <c r="E5887" s="12" t="s">
        <v>28</v>
      </c>
      <c r="F5887" s="13" t="s">
        <v>29</v>
      </c>
      <c r="G5887">
        <v>10</v>
      </c>
      <c r="H5887" t="s">
        <v>30</v>
      </c>
      <c r="I5887">
        <v>10</v>
      </c>
      <c r="J5887" s="15"/>
      <c r="K5887" s="16">
        <f>207.6 - (207.6 * $E$1)</f>
        <v>207.6</v>
      </c>
      <c r="L5887" s="16">
        <f>170.16 - (170.16 * $E$1)</f>
        <v>170.16</v>
      </c>
      <c r="M5887" s="1">
        <v>207.6</v>
      </c>
      <c r="N5887" s="1">
        <v>170.16</v>
      </c>
      <c r="O5887" s="1">
        <v>176.46</v>
      </c>
      <c r="P5887" s="1">
        <v>144.63999999999999</v>
      </c>
      <c r="Q5887">
        <v>6.0999999999999999E-2</v>
      </c>
      <c r="R5887">
        <v>6.1600000000000007E-5</v>
      </c>
    </row>
    <row r="5888" spans="1:18" ht="13.8" outlineLevel="2" x14ac:dyDescent="0.25">
      <c r="A5888">
        <v>92325</v>
      </c>
      <c r="B5888" t="s">
        <v>8239</v>
      </c>
      <c r="C5888" t="s">
        <v>8242</v>
      </c>
      <c r="D5888" s="14" t="s">
        <v>8241</v>
      </c>
      <c r="E5888" s="12" t="s">
        <v>28</v>
      </c>
      <c r="F5888" s="13" t="s">
        <v>29</v>
      </c>
      <c r="G5888">
        <v>10</v>
      </c>
      <c r="H5888" t="s">
        <v>30</v>
      </c>
      <c r="I5888">
        <v>10</v>
      </c>
      <c r="J5888" s="15"/>
      <c r="K5888" s="16">
        <f>273.3 - (273.3 * $E$1)</f>
        <v>273.3</v>
      </c>
      <c r="L5888" s="16">
        <f>224.02 - (224.02 * $E$1)</f>
        <v>224.02</v>
      </c>
      <c r="M5888" s="1">
        <v>273.3</v>
      </c>
      <c r="N5888" s="1">
        <v>224.02</v>
      </c>
      <c r="O5888" s="1">
        <v>232.31</v>
      </c>
      <c r="P5888" s="1">
        <v>190.42</v>
      </c>
      <c r="Q5888">
        <v>7.0999999999999994E-2</v>
      </c>
      <c r="R5888">
        <v>7.4800000000000002E-5</v>
      </c>
    </row>
    <row r="5889" spans="1:18" ht="13.8" outlineLevel="2" x14ac:dyDescent="0.25">
      <c r="A5889">
        <v>92326</v>
      </c>
      <c r="B5889" t="s">
        <v>8239</v>
      </c>
      <c r="C5889" t="s">
        <v>8243</v>
      </c>
      <c r="D5889" s="14" t="s">
        <v>8241</v>
      </c>
      <c r="E5889" s="12" t="s">
        <v>28</v>
      </c>
      <c r="F5889" s="13" t="s">
        <v>29</v>
      </c>
      <c r="G5889">
        <v>10</v>
      </c>
      <c r="H5889" t="s">
        <v>30</v>
      </c>
      <c r="I5889">
        <v>10</v>
      </c>
      <c r="J5889" s="15"/>
      <c r="K5889" s="16">
        <f>462.51 - (462.51 * $E$1)</f>
        <v>462.51</v>
      </c>
      <c r="L5889" s="16">
        <f>379.11 - (379.11 * $E$1)</f>
        <v>379.11</v>
      </c>
      <c r="M5889" s="1">
        <v>462.51</v>
      </c>
      <c r="N5889" s="1">
        <v>379.11</v>
      </c>
      <c r="O5889" s="1">
        <v>393.14</v>
      </c>
      <c r="P5889" s="1">
        <v>322.24</v>
      </c>
      <c r="Q5889">
        <v>0.11899999999999999</v>
      </c>
      <c r="R5889">
        <v>1.26E-4</v>
      </c>
    </row>
    <row r="5890" spans="1:18" ht="13.8" outlineLevel="2" x14ac:dyDescent="0.25">
      <c r="A5890">
        <v>92327</v>
      </c>
      <c r="B5890" t="s">
        <v>8239</v>
      </c>
      <c r="C5890" t="s">
        <v>8244</v>
      </c>
      <c r="D5890" s="14" t="s">
        <v>8241</v>
      </c>
      <c r="E5890" s="12" t="s">
        <v>28</v>
      </c>
      <c r="F5890" s="13" t="s">
        <v>29</v>
      </c>
      <c r="G5890">
        <v>10</v>
      </c>
      <c r="H5890" t="s">
        <v>30</v>
      </c>
      <c r="I5890">
        <v>10</v>
      </c>
      <c r="J5890" s="15"/>
      <c r="K5890" s="16">
        <f>539.55 - (539.55 * $E$1)</f>
        <v>539.54999999999995</v>
      </c>
      <c r="L5890" s="16">
        <f>442.25 - (442.25 * $E$1)</f>
        <v>442.25</v>
      </c>
      <c r="M5890" s="1">
        <v>539.54999999999995</v>
      </c>
      <c r="N5890" s="1">
        <v>442.25</v>
      </c>
      <c r="O5890" s="1">
        <v>458.61</v>
      </c>
      <c r="P5890" s="1">
        <v>375.91</v>
      </c>
      <c r="Q5890">
        <v>0.153</v>
      </c>
      <c r="R5890">
        <v>1.8699999999999999E-4</v>
      </c>
    </row>
    <row r="5891" spans="1:18" ht="13.8" outlineLevel="2" x14ac:dyDescent="0.25">
      <c r="A5891">
        <v>92328</v>
      </c>
      <c r="B5891" t="s">
        <v>8239</v>
      </c>
      <c r="C5891" t="s">
        <v>8245</v>
      </c>
      <c r="D5891" s="14" t="s">
        <v>8241</v>
      </c>
      <c r="E5891" s="12" t="s">
        <v>28</v>
      </c>
      <c r="F5891" s="13" t="s">
        <v>29</v>
      </c>
      <c r="G5891">
        <v>10</v>
      </c>
      <c r="H5891" t="s">
        <v>30</v>
      </c>
      <c r="I5891">
        <v>10</v>
      </c>
      <c r="J5891" s="15"/>
      <c r="K5891" s="16">
        <f>795.12 - (795.12 * $E$1)</f>
        <v>795.12</v>
      </c>
      <c r="L5891" s="16">
        <f>651.74 - (651.74 * $E$1)</f>
        <v>651.74</v>
      </c>
      <c r="M5891" s="1">
        <v>795.12</v>
      </c>
      <c r="N5891" s="1">
        <v>651.74</v>
      </c>
      <c r="O5891" s="1">
        <v>675.85</v>
      </c>
      <c r="P5891" s="1">
        <v>553.98</v>
      </c>
      <c r="Q5891">
        <v>0.21199999999999999</v>
      </c>
      <c r="R5891">
        <v>2.3000000000000001E-4</v>
      </c>
    </row>
    <row r="5892" spans="1:18" ht="13.8" outlineLevel="2" x14ac:dyDescent="0.25">
      <c r="A5892">
        <v>92329</v>
      </c>
      <c r="B5892" t="s">
        <v>8239</v>
      </c>
      <c r="C5892" t="s">
        <v>8246</v>
      </c>
      <c r="D5892" s="14" t="s">
        <v>8241</v>
      </c>
      <c r="E5892" s="12" t="s">
        <v>28</v>
      </c>
      <c r="F5892" s="13" t="s">
        <v>29</v>
      </c>
      <c r="G5892">
        <v>10</v>
      </c>
      <c r="H5892" t="s">
        <v>30</v>
      </c>
      <c r="I5892">
        <v>10</v>
      </c>
      <c r="J5892" s="15"/>
      <c r="K5892" s="16">
        <f>1306.44 - (1306.44 * $E$1)</f>
        <v>1306.44</v>
      </c>
      <c r="L5892" s="16">
        <f>1070.85 - (1070.85 * $E$1)</f>
        <v>1070.8499999999999</v>
      </c>
      <c r="M5892" s="1">
        <v>1306.44</v>
      </c>
      <c r="N5892" s="1">
        <v>1070.8499999999999</v>
      </c>
      <c r="O5892" s="1">
        <v>1110.47</v>
      </c>
      <c r="P5892" s="1">
        <v>910.22</v>
      </c>
      <c r="Q5892">
        <v>0.313</v>
      </c>
      <c r="R5892">
        <v>4.6200000000000001E-4</v>
      </c>
    </row>
    <row r="5893" spans="1:18" ht="13.8" outlineLevel="2" x14ac:dyDescent="0.25">
      <c r="A5893">
        <v>68403</v>
      </c>
      <c r="B5893" t="s">
        <v>8247</v>
      </c>
      <c r="C5893" t="s">
        <v>8248</v>
      </c>
      <c r="D5893" s="14" t="s">
        <v>8249</v>
      </c>
      <c r="E5893" s="12" t="s">
        <v>28</v>
      </c>
      <c r="F5893" s="13" t="s">
        <v>29</v>
      </c>
      <c r="G5893">
        <v>100</v>
      </c>
      <c r="H5893" t="s">
        <v>30</v>
      </c>
      <c r="I5893">
        <v>100</v>
      </c>
      <c r="J5893" s="15"/>
      <c r="K5893" s="16">
        <f>13.73 - (13.73 * $E$1)</f>
        <v>13.73</v>
      </c>
      <c r="L5893" s="16">
        <f>11.25 - (11.25 * $E$1)</f>
        <v>11.25</v>
      </c>
      <c r="M5893" s="1">
        <v>13.73</v>
      </c>
      <c r="N5893" s="1">
        <v>11.25</v>
      </c>
      <c r="O5893" s="1">
        <v>11.67</v>
      </c>
      <c r="P5893" s="1">
        <v>9.56</v>
      </c>
      <c r="Q5893">
        <v>2E-3</v>
      </c>
      <c r="R5893">
        <v>6.1199999999999999E-6</v>
      </c>
    </row>
    <row r="5894" spans="1:18" ht="13.8" outlineLevel="2" x14ac:dyDescent="0.25">
      <c r="A5894">
        <v>68404</v>
      </c>
      <c r="B5894" t="s">
        <v>8247</v>
      </c>
      <c r="C5894" t="s">
        <v>8250</v>
      </c>
      <c r="D5894" s="14" t="s">
        <v>8249</v>
      </c>
      <c r="E5894" s="12" t="s">
        <v>28</v>
      </c>
      <c r="F5894" s="13" t="s">
        <v>29</v>
      </c>
      <c r="G5894">
        <v>100</v>
      </c>
      <c r="H5894" t="s">
        <v>30</v>
      </c>
      <c r="I5894">
        <v>100</v>
      </c>
      <c r="J5894" s="15"/>
      <c r="K5894" s="16">
        <f>16.6 - (16.6 * $E$1)</f>
        <v>16.600000000000001</v>
      </c>
      <c r="L5894" s="16">
        <f>13.61 - (13.61 * $E$1)</f>
        <v>13.61</v>
      </c>
      <c r="M5894" s="1">
        <v>16.600000000000001</v>
      </c>
      <c r="N5894" s="1">
        <v>13.61</v>
      </c>
      <c r="O5894" s="1">
        <v>14.11</v>
      </c>
      <c r="P5894" s="1">
        <v>11.57</v>
      </c>
      <c r="Q5894">
        <v>3.0000000000000001E-3</v>
      </c>
      <c r="R5894">
        <v>1.0560000000000001E-5</v>
      </c>
    </row>
    <row r="5895" spans="1:18" ht="13.8" outlineLevel="2" x14ac:dyDescent="0.25">
      <c r="A5895">
        <v>68405</v>
      </c>
      <c r="B5895" t="s">
        <v>8247</v>
      </c>
      <c r="C5895" t="s">
        <v>8251</v>
      </c>
      <c r="D5895" s="14" t="s">
        <v>8249</v>
      </c>
      <c r="E5895" s="12" t="s">
        <v>28</v>
      </c>
      <c r="F5895" s="13" t="s">
        <v>29</v>
      </c>
      <c r="G5895">
        <v>100</v>
      </c>
      <c r="H5895" t="s">
        <v>30</v>
      </c>
      <c r="I5895">
        <v>100</v>
      </c>
      <c r="J5895" s="15"/>
      <c r="K5895" s="16">
        <f>24.18 - (24.18 * $E$1)</f>
        <v>24.18</v>
      </c>
      <c r="L5895" s="16">
        <f>19.82 - (19.82 * $E$1)</f>
        <v>19.82</v>
      </c>
      <c r="M5895" s="1">
        <v>24.18</v>
      </c>
      <c r="N5895" s="1">
        <v>19.82</v>
      </c>
      <c r="O5895" s="1">
        <v>20.55</v>
      </c>
      <c r="P5895" s="1">
        <v>16.850000000000001</v>
      </c>
      <c r="Q5895">
        <v>5.0000000000000001E-3</v>
      </c>
      <c r="R5895">
        <v>1.7E-5</v>
      </c>
    </row>
    <row r="5896" spans="1:18" ht="13.8" outlineLevel="2" x14ac:dyDescent="0.25">
      <c r="A5896">
        <v>68406</v>
      </c>
      <c r="B5896" t="s">
        <v>8247</v>
      </c>
      <c r="C5896" t="s">
        <v>8252</v>
      </c>
      <c r="D5896" s="14" t="s">
        <v>8249</v>
      </c>
      <c r="E5896" s="12" t="s">
        <v>28</v>
      </c>
      <c r="F5896" s="13" t="s">
        <v>29</v>
      </c>
      <c r="G5896">
        <v>100</v>
      </c>
      <c r="H5896" t="s">
        <v>30</v>
      </c>
      <c r="I5896">
        <v>100</v>
      </c>
      <c r="J5896" s="15"/>
      <c r="K5896" s="16">
        <f>26.83 - (26.83 * $E$1)</f>
        <v>26.83</v>
      </c>
      <c r="L5896" s="16">
        <f>21.99 - (21.99 * $E$1)</f>
        <v>21.99</v>
      </c>
      <c r="M5896" s="1">
        <v>26.83</v>
      </c>
      <c r="N5896" s="1">
        <v>21.99</v>
      </c>
      <c r="O5896" s="1">
        <v>22.8</v>
      </c>
      <c r="P5896" s="1">
        <v>18.690000000000001</v>
      </c>
      <c r="Q5896">
        <v>6.0000000000000001E-3</v>
      </c>
      <c r="R5896">
        <v>2.0400000000000001E-5</v>
      </c>
    </row>
    <row r="5897" spans="1:18" ht="13.8" outlineLevel="2" x14ac:dyDescent="0.25">
      <c r="A5897">
        <v>68407</v>
      </c>
      <c r="B5897" t="s">
        <v>8247</v>
      </c>
      <c r="C5897" t="s">
        <v>8253</v>
      </c>
      <c r="D5897" s="14" t="s">
        <v>8249</v>
      </c>
      <c r="E5897" s="12" t="s">
        <v>28</v>
      </c>
      <c r="F5897" s="13" t="s">
        <v>29</v>
      </c>
      <c r="G5897">
        <v>100</v>
      </c>
      <c r="H5897" t="s">
        <v>30</v>
      </c>
      <c r="I5897">
        <v>100</v>
      </c>
      <c r="J5897" s="15"/>
      <c r="K5897" s="16">
        <f>34.73 - (34.73 * $E$1)</f>
        <v>34.729999999999997</v>
      </c>
      <c r="L5897" s="16">
        <f>28.47 - (28.47 * $E$1)</f>
        <v>28.47</v>
      </c>
      <c r="M5897" s="1">
        <v>34.729999999999997</v>
      </c>
      <c r="N5897" s="1">
        <v>28.47</v>
      </c>
      <c r="O5897" s="1">
        <v>29.52</v>
      </c>
      <c r="P5897" s="1">
        <v>24.2</v>
      </c>
      <c r="Q5897">
        <v>0.01</v>
      </c>
      <c r="R5897">
        <v>4.8600000000000002E-5</v>
      </c>
    </row>
    <row r="5898" spans="1:18" ht="13.8" outlineLevel="2" x14ac:dyDescent="0.25">
      <c r="A5898">
        <v>68408</v>
      </c>
      <c r="B5898" t="s">
        <v>8247</v>
      </c>
      <c r="C5898" t="s">
        <v>8254</v>
      </c>
      <c r="D5898" s="14" t="s">
        <v>8249</v>
      </c>
      <c r="E5898" s="12" t="s">
        <v>28</v>
      </c>
      <c r="F5898" s="13" t="s">
        <v>29</v>
      </c>
      <c r="G5898">
        <v>100</v>
      </c>
      <c r="H5898" t="s">
        <v>30</v>
      </c>
      <c r="I5898">
        <v>100</v>
      </c>
      <c r="J5898" s="15"/>
      <c r="K5898" s="16">
        <f>48.14 - (48.14 * $E$1)</f>
        <v>48.14</v>
      </c>
      <c r="L5898" s="16">
        <f>39.46 - (39.46 * $E$1)</f>
        <v>39.46</v>
      </c>
      <c r="M5898" s="1">
        <v>48.14</v>
      </c>
      <c r="N5898" s="1">
        <v>39.46</v>
      </c>
      <c r="O5898" s="1">
        <v>40.92</v>
      </c>
      <c r="P5898" s="1">
        <v>33.54</v>
      </c>
      <c r="Q5898">
        <v>1.4E-2</v>
      </c>
      <c r="R5898">
        <v>6.9999999999999994E-5</v>
      </c>
    </row>
    <row r="5899" spans="1:18" ht="13.8" outlineLevel="2" x14ac:dyDescent="0.25">
      <c r="A5899">
        <v>68409</v>
      </c>
      <c r="B5899" t="s">
        <v>8247</v>
      </c>
      <c r="C5899" t="s">
        <v>8255</v>
      </c>
      <c r="D5899" s="14" t="s">
        <v>8249</v>
      </c>
      <c r="E5899" s="12" t="s">
        <v>28</v>
      </c>
      <c r="F5899" s="13" t="s">
        <v>29</v>
      </c>
      <c r="G5899">
        <v>100</v>
      </c>
      <c r="H5899" t="s">
        <v>30</v>
      </c>
      <c r="I5899">
        <v>100</v>
      </c>
      <c r="J5899" s="15"/>
      <c r="K5899" s="16">
        <f>78.21 - (78.21 * $E$1)</f>
        <v>78.209999999999994</v>
      </c>
      <c r="L5899" s="16">
        <f>64.11 - (64.11 * $E$1)</f>
        <v>64.11</v>
      </c>
      <c r="M5899" s="1">
        <v>78.209999999999994</v>
      </c>
      <c r="N5899" s="1">
        <v>64.11</v>
      </c>
      <c r="O5899" s="1">
        <v>66.48</v>
      </c>
      <c r="P5899" s="1">
        <v>54.49</v>
      </c>
      <c r="Q5899">
        <v>1.7999999999999999E-2</v>
      </c>
      <c r="R5899">
        <v>1.1776E-4</v>
      </c>
    </row>
    <row r="5900" spans="1:18" ht="13.8" outlineLevel="2" x14ac:dyDescent="0.25">
      <c r="A5900">
        <v>68410</v>
      </c>
      <c r="B5900" t="s">
        <v>8247</v>
      </c>
      <c r="C5900" t="s">
        <v>8256</v>
      </c>
      <c r="D5900" s="14" t="s">
        <v>8249</v>
      </c>
      <c r="E5900" s="12" t="s">
        <v>28</v>
      </c>
      <c r="F5900" s="13" t="s">
        <v>29</v>
      </c>
      <c r="G5900">
        <v>100</v>
      </c>
      <c r="H5900" t="s">
        <v>30</v>
      </c>
      <c r="I5900">
        <v>100</v>
      </c>
      <c r="J5900" s="15"/>
      <c r="K5900" s="16">
        <f>127.39 - (127.39 * $E$1)</f>
        <v>127.39</v>
      </c>
      <c r="L5900" s="16">
        <f>104.42 - (104.42 * $E$1)</f>
        <v>104.42</v>
      </c>
      <c r="M5900" s="1">
        <v>127.39</v>
      </c>
      <c r="N5900" s="1">
        <v>104.42</v>
      </c>
      <c r="O5900" s="1">
        <v>108.28</v>
      </c>
      <c r="P5900" s="1">
        <v>88.76</v>
      </c>
      <c r="Q5900">
        <v>2.3E-2</v>
      </c>
      <c r="R5900">
        <v>1.496E-4</v>
      </c>
    </row>
    <row r="5901" spans="1:18" ht="13.8" outlineLevel="2" x14ac:dyDescent="0.25">
      <c r="A5901">
        <v>49644</v>
      </c>
      <c r="B5901" t="s">
        <v>8112</v>
      </c>
      <c r="C5901" t="s">
        <v>8257</v>
      </c>
      <c r="D5901" s="14" t="s">
        <v>8258</v>
      </c>
      <c r="E5901" s="12" t="s">
        <v>28</v>
      </c>
      <c r="F5901" s="13" t="s">
        <v>29</v>
      </c>
      <c r="G5901">
        <v>100</v>
      </c>
      <c r="H5901" t="s">
        <v>30</v>
      </c>
      <c r="I5901">
        <v>100</v>
      </c>
      <c r="J5901" s="15"/>
      <c r="K5901" s="16">
        <f>20.01 - (20.01 * $E$1)</f>
        <v>20.010000000000002</v>
      </c>
      <c r="L5901" s="16">
        <f>16.4 - (16.4 * $E$1)</f>
        <v>16.399999999999999</v>
      </c>
      <c r="M5901" s="1">
        <v>20.010000000000002</v>
      </c>
      <c r="N5901" s="1">
        <v>16.399999999999999</v>
      </c>
      <c r="O5901" s="1">
        <v>17.010000000000002</v>
      </c>
      <c r="P5901" s="1">
        <v>13.94</v>
      </c>
      <c r="Q5901">
        <v>5.0000000000000001E-3</v>
      </c>
      <c r="R5901">
        <v>3.3000000000000003E-5</v>
      </c>
    </row>
    <row r="5902" spans="1:18" ht="13.8" outlineLevel="2" x14ac:dyDescent="0.25">
      <c r="A5902">
        <v>49645</v>
      </c>
      <c r="B5902" t="s">
        <v>8112</v>
      </c>
      <c r="C5902" t="s">
        <v>8259</v>
      </c>
      <c r="D5902" s="14" t="s">
        <v>8258</v>
      </c>
      <c r="E5902" s="12" t="s">
        <v>28</v>
      </c>
      <c r="F5902" s="13" t="s">
        <v>29</v>
      </c>
      <c r="G5902">
        <v>100</v>
      </c>
      <c r="H5902" t="s">
        <v>30</v>
      </c>
      <c r="I5902">
        <v>100</v>
      </c>
      <c r="J5902" s="15"/>
      <c r="K5902" s="16">
        <f>20.01 - (20.01 * $E$1)</f>
        <v>20.010000000000002</v>
      </c>
      <c r="L5902" s="16">
        <f>16.4 - (16.4 * $E$1)</f>
        <v>16.399999999999999</v>
      </c>
      <c r="M5902" s="1">
        <v>20.010000000000002</v>
      </c>
      <c r="N5902" s="1">
        <v>16.399999999999999</v>
      </c>
      <c r="O5902" s="1">
        <v>17.010000000000002</v>
      </c>
      <c r="P5902" s="1">
        <v>13.94</v>
      </c>
      <c r="Q5902">
        <v>5.0000000000000001E-3</v>
      </c>
      <c r="R5902">
        <v>3.4499999999999998E-5</v>
      </c>
    </row>
    <row r="5903" spans="1:18" ht="13.8" outlineLevel="2" x14ac:dyDescent="0.25">
      <c r="A5903">
        <v>49646</v>
      </c>
      <c r="B5903" t="s">
        <v>8112</v>
      </c>
      <c r="C5903" t="s">
        <v>8260</v>
      </c>
      <c r="D5903" s="14" t="s">
        <v>8258</v>
      </c>
      <c r="E5903" s="12" t="s">
        <v>28</v>
      </c>
      <c r="F5903" s="13" t="s">
        <v>29</v>
      </c>
      <c r="G5903">
        <v>50</v>
      </c>
      <c r="H5903" t="s">
        <v>30</v>
      </c>
      <c r="I5903">
        <v>50</v>
      </c>
      <c r="J5903" s="15"/>
      <c r="K5903" s="16">
        <f>25.01 - (25.01 * $E$1)</f>
        <v>25.01</v>
      </c>
      <c r="L5903" s="16">
        <f>20.5 - (20.5 * $E$1)</f>
        <v>20.5</v>
      </c>
      <c r="M5903" s="1">
        <v>25.01</v>
      </c>
      <c r="N5903" s="1">
        <v>20.5</v>
      </c>
      <c r="O5903" s="1">
        <v>21.26</v>
      </c>
      <c r="P5903" s="1">
        <v>17.43</v>
      </c>
      <c r="Q5903">
        <v>4.0000000000000001E-3</v>
      </c>
      <c r="R5903">
        <v>3.8399999999999998E-5</v>
      </c>
    </row>
    <row r="5904" spans="1:18" ht="13.8" outlineLevel="2" x14ac:dyDescent="0.25">
      <c r="A5904">
        <v>49647</v>
      </c>
      <c r="B5904" t="s">
        <v>8112</v>
      </c>
      <c r="C5904" t="s">
        <v>8261</v>
      </c>
      <c r="D5904" s="14" t="s">
        <v>8258</v>
      </c>
      <c r="E5904" s="12" t="s">
        <v>28</v>
      </c>
      <c r="F5904" s="13" t="s">
        <v>29</v>
      </c>
      <c r="G5904">
        <v>50</v>
      </c>
      <c r="H5904" t="s">
        <v>30</v>
      </c>
      <c r="I5904">
        <v>50</v>
      </c>
      <c r="J5904" s="15"/>
      <c r="K5904" s="16">
        <f>27.19 - (27.19 * $E$1)</f>
        <v>27.19</v>
      </c>
      <c r="L5904" s="16">
        <f>22.29 - (22.29 * $E$1)</f>
        <v>22.29</v>
      </c>
      <c r="M5904" s="1">
        <v>27.19</v>
      </c>
      <c r="N5904" s="1">
        <v>22.29</v>
      </c>
      <c r="O5904" s="1">
        <v>23.11</v>
      </c>
      <c r="P5904" s="1">
        <v>18.95</v>
      </c>
      <c r="Q5904">
        <v>6.0000000000000001E-3</v>
      </c>
      <c r="R5904">
        <v>6.3E-5</v>
      </c>
    </row>
    <row r="5905" spans="1:18" ht="13.8" outlineLevel="2" x14ac:dyDescent="0.25">
      <c r="A5905">
        <v>49649</v>
      </c>
      <c r="B5905" t="s">
        <v>8112</v>
      </c>
      <c r="C5905" t="s">
        <v>8262</v>
      </c>
      <c r="D5905" s="14" t="s">
        <v>8258</v>
      </c>
      <c r="E5905" s="12" t="s">
        <v>28</v>
      </c>
      <c r="F5905" s="13" t="s">
        <v>29</v>
      </c>
      <c r="G5905">
        <v>50</v>
      </c>
      <c r="H5905" t="s">
        <v>30</v>
      </c>
      <c r="I5905">
        <v>50</v>
      </c>
      <c r="J5905" s="15"/>
      <c r="K5905" s="16">
        <f>59.35 - (59.35 * $E$1)</f>
        <v>59.35</v>
      </c>
      <c r="L5905" s="16">
        <f>48.65 - (48.65 * $E$1)</f>
        <v>48.65</v>
      </c>
      <c r="M5905" s="1">
        <v>59.35</v>
      </c>
      <c r="N5905" s="1">
        <v>48.65</v>
      </c>
      <c r="O5905" s="1">
        <v>50.45</v>
      </c>
      <c r="P5905" s="1">
        <v>41.35</v>
      </c>
      <c r="Q5905">
        <v>1.4E-2</v>
      </c>
      <c r="R5905">
        <v>1.4688E-4</v>
      </c>
    </row>
    <row r="5906" spans="1:18" ht="13.8" outlineLevel="2" x14ac:dyDescent="0.25">
      <c r="A5906">
        <v>49650</v>
      </c>
      <c r="B5906" t="s">
        <v>8112</v>
      </c>
      <c r="C5906" t="s">
        <v>8263</v>
      </c>
      <c r="D5906" s="14" t="s">
        <v>8258</v>
      </c>
      <c r="E5906" s="12" t="s">
        <v>28</v>
      </c>
      <c r="F5906" s="13" t="s">
        <v>29</v>
      </c>
      <c r="G5906">
        <v>50</v>
      </c>
      <c r="H5906" t="s">
        <v>30</v>
      </c>
      <c r="I5906">
        <v>50</v>
      </c>
      <c r="J5906" s="15"/>
      <c r="K5906" s="16">
        <f>81.01 - (81.01 * $E$1)</f>
        <v>81.010000000000005</v>
      </c>
      <c r="L5906" s="16">
        <f>66.4 - (66.4 * $E$1)</f>
        <v>66.400000000000006</v>
      </c>
      <c r="M5906" s="1">
        <v>81.010000000000005</v>
      </c>
      <c r="N5906" s="1">
        <v>66.400000000000006</v>
      </c>
      <c r="O5906" s="1">
        <v>68.86</v>
      </c>
      <c r="P5906" s="1">
        <v>56.44</v>
      </c>
      <c r="Q5906">
        <v>1.7999999999999999E-2</v>
      </c>
      <c r="R5906">
        <v>2.3232E-4</v>
      </c>
    </row>
    <row r="5907" spans="1:18" ht="13.8" outlineLevel="2" x14ac:dyDescent="0.25">
      <c r="A5907">
        <v>49651</v>
      </c>
      <c r="B5907" t="s">
        <v>8112</v>
      </c>
      <c r="C5907" t="s">
        <v>8264</v>
      </c>
      <c r="D5907" s="14" t="s">
        <v>8258</v>
      </c>
      <c r="E5907" s="12" t="s">
        <v>28</v>
      </c>
      <c r="F5907" s="13" t="s">
        <v>29</v>
      </c>
      <c r="G5907">
        <v>30</v>
      </c>
      <c r="H5907" t="s">
        <v>30</v>
      </c>
      <c r="I5907">
        <v>30</v>
      </c>
      <c r="J5907" s="15"/>
      <c r="K5907" s="16">
        <f>119.32 - (119.32 * $E$1)</f>
        <v>119.32</v>
      </c>
      <c r="L5907" s="16">
        <f>97.8 - (97.8 * $E$1)</f>
        <v>97.8</v>
      </c>
      <c r="M5907" s="1">
        <v>119.32</v>
      </c>
      <c r="N5907" s="1">
        <v>97.8</v>
      </c>
      <c r="O5907" s="1">
        <v>101.42</v>
      </c>
      <c r="P5907" s="1">
        <v>83.13</v>
      </c>
      <c r="Q5907">
        <v>0.03</v>
      </c>
      <c r="R5907">
        <v>3.388E-4</v>
      </c>
    </row>
    <row r="5908" spans="1:18" ht="13.8" outlineLevel="2" x14ac:dyDescent="0.25">
      <c r="A5908">
        <v>49652</v>
      </c>
      <c r="B5908" t="s">
        <v>8112</v>
      </c>
      <c r="C5908" t="s">
        <v>8265</v>
      </c>
      <c r="D5908" s="14" t="s">
        <v>8258</v>
      </c>
      <c r="E5908" s="12" t="s">
        <v>28</v>
      </c>
      <c r="F5908" s="13" t="s">
        <v>29</v>
      </c>
      <c r="G5908">
        <v>10</v>
      </c>
      <c r="H5908" t="s">
        <v>30</v>
      </c>
      <c r="I5908">
        <v>10</v>
      </c>
      <c r="J5908" s="15"/>
      <c r="K5908" s="16">
        <f>276.5 - (276.5 * $E$1)</f>
        <v>276.5</v>
      </c>
      <c r="L5908" s="16">
        <f>226.64 - (226.64 * $E$1)</f>
        <v>226.64</v>
      </c>
      <c r="M5908" s="1">
        <v>276.5</v>
      </c>
      <c r="N5908" s="1">
        <v>226.64</v>
      </c>
      <c r="O5908" s="1">
        <v>235.03</v>
      </c>
      <c r="P5908" s="1">
        <v>192.64</v>
      </c>
      <c r="Q5908">
        <v>0.06</v>
      </c>
      <c r="R5908">
        <v>4.2000000000000002E-4</v>
      </c>
    </row>
    <row r="5909" spans="1:18" ht="13.8" outlineLevel="2" x14ac:dyDescent="0.25">
      <c r="A5909">
        <v>70032</v>
      </c>
      <c r="B5909" t="s">
        <v>8266</v>
      </c>
      <c r="C5909" t="s">
        <v>8267</v>
      </c>
      <c r="D5909" s="14" t="s">
        <v>8268</v>
      </c>
      <c r="E5909" s="12" t="s">
        <v>28</v>
      </c>
      <c r="F5909" s="13" t="s">
        <v>29</v>
      </c>
      <c r="G5909">
        <v>1</v>
      </c>
      <c r="H5909" t="s">
        <v>420</v>
      </c>
      <c r="I5909">
        <v>1</v>
      </c>
      <c r="J5909" s="15"/>
      <c r="K5909" s="16">
        <f>2140.29 - (2140.29 * $E$1)</f>
        <v>2140.29</v>
      </c>
      <c r="L5909" s="16">
        <f>1754.34 - (1754.34 * $E$1)</f>
        <v>1754.34</v>
      </c>
      <c r="M5909" s="1">
        <v>2140.29</v>
      </c>
      <c r="N5909" s="1">
        <v>1754.34</v>
      </c>
      <c r="O5909" s="1">
        <v>1819.25</v>
      </c>
      <c r="P5909" s="1">
        <v>1491.19</v>
      </c>
      <c r="Q5909">
        <v>0.69</v>
      </c>
      <c r="R5909">
        <v>4.8510000000000003E-3</v>
      </c>
    </row>
    <row r="5910" spans="1:18" ht="13.8" outlineLevel="2" x14ac:dyDescent="0.25">
      <c r="A5910">
        <v>70033</v>
      </c>
      <c r="B5910" t="s">
        <v>8266</v>
      </c>
      <c r="C5910" t="s">
        <v>8269</v>
      </c>
      <c r="D5910" s="14" t="s">
        <v>8268</v>
      </c>
      <c r="E5910" s="12" t="s">
        <v>28</v>
      </c>
      <c r="F5910" s="13" t="s">
        <v>29</v>
      </c>
      <c r="G5910">
        <v>1</v>
      </c>
      <c r="H5910" t="s">
        <v>420</v>
      </c>
      <c r="I5910">
        <v>1</v>
      </c>
      <c r="J5910" s="15"/>
      <c r="K5910" s="16">
        <f>1270.96 - (1270.96 * $E$1)</f>
        <v>1270.96</v>
      </c>
      <c r="L5910" s="16">
        <f>1041.77 - (1041.77 * $E$1)</f>
        <v>1041.77</v>
      </c>
      <c r="M5910" s="1">
        <v>1270.96</v>
      </c>
      <c r="N5910" s="1">
        <v>1041.77</v>
      </c>
      <c r="O5910" s="1">
        <v>1080.32</v>
      </c>
      <c r="P5910" s="1">
        <v>885.5</v>
      </c>
      <c r="Q5910">
        <v>0.54500000000000004</v>
      </c>
      <c r="R5910">
        <v>4.8510000000000003E-3</v>
      </c>
    </row>
    <row r="5911" spans="1:18" ht="13.8" outlineLevel="2" x14ac:dyDescent="0.25">
      <c r="A5911">
        <v>70034</v>
      </c>
      <c r="B5911" t="s">
        <v>8266</v>
      </c>
      <c r="C5911" t="s">
        <v>8270</v>
      </c>
      <c r="D5911" s="14" t="s">
        <v>8268</v>
      </c>
      <c r="E5911" s="12" t="s">
        <v>28</v>
      </c>
      <c r="F5911" s="13" t="s">
        <v>29</v>
      </c>
      <c r="G5911">
        <v>1</v>
      </c>
      <c r="H5911" t="s">
        <v>420</v>
      </c>
      <c r="I5911">
        <v>1</v>
      </c>
      <c r="J5911" s="15"/>
      <c r="K5911" s="16">
        <f>1148.14 - (1148.14 * $E$1)</f>
        <v>1148.1400000000001</v>
      </c>
      <c r="L5911" s="16">
        <f>941.1 - (941.1 * $E$1)</f>
        <v>941.1</v>
      </c>
      <c r="M5911" s="1">
        <v>1148.1400000000001</v>
      </c>
      <c r="N5911" s="1">
        <v>941.1</v>
      </c>
      <c r="O5911" s="1">
        <v>975.92</v>
      </c>
      <c r="P5911" s="1">
        <v>799.94</v>
      </c>
      <c r="Q5911">
        <v>0.58399999999999996</v>
      </c>
      <c r="R5911">
        <v>4.8510000000000003E-3</v>
      </c>
    </row>
    <row r="5912" spans="1:18" ht="13.8" outlineLevel="2" x14ac:dyDescent="0.25">
      <c r="A5912">
        <v>70035</v>
      </c>
      <c r="B5912" t="s">
        <v>8266</v>
      </c>
      <c r="C5912" t="s">
        <v>8271</v>
      </c>
      <c r="D5912" s="14" t="s">
        <v>8268</v>
      </c>
      <c r="E5912" s="12" t="s">
        <v>28</v>
      </c>
      <c r="F5912" s="13" t="s">
        <v>29</v>
      </c>
      <c r="G5912">
        <v>1</v>
      </c>
      <c r="H5912" t="s">
        <v>420</v>
      </c>
      <c r="I5912">
        <v>1</v>
      </c>
      <c r="J5912" s="15"/>
      <c r="K5912" s="16">
        <f>1118.68 - (1118.68 * $E$1)</f>
        <v>1118.68</v>
      </c>
      <c r="L5912" s="16">
        <f>916.95 - (916.95 * $E$1)</f>
        <v>916.95</v>
      </c>
      <c r="M5912" s="1">
        <v>1118.68</v>
      </c>
      <c r="N5912" s="1">
        <v>916.95</v>
      </c>
      <c r="O5912" s="1">
        <v>950.88</v>
      </c>
      <c r="P5912" s="1">
        <v>779.41</v>
      </c>
      <c r="Q5912">
        <v>0.71399999999999997</v>
      </c>
      <c r="R5912">
        <v>7.7219999999999997E-3</v>
      </c>
    </row>
    <row r="5913" spans="1:18" ht="13.8" outlineLevel="2" x14ac:dyDescent="0.25">
      <c r="A5913">
        <v>70036</v>
      </c>
      <c r="B5913" t="s">
        <v>8266</v>
      </c>
      <c r="C5913" t="s">
        <v>8272</v>
      </c>
      <c r="D5913" s="14" t="s">
        <v>8268</v>
      </c>
      <c r="E5913" s="12" t="s">
        <v>28</v>
      </c>
      <c r="F5913" s="13" t="s">
        <v>29</v>
      </c>
      <c r="G5913">
        <v>1</v>
      </c>
      <c r="H5913" t="s">
        <v>420</v>
      </c>
      <c r="I5913">
        <v>1</v>
      </c>
      <c r="J5913" s="15"/>
      <c r="K5913" s="16">
        <f>690.29 - (690.29 * $E$1)</f>
        <v>690.29</v>
      </c>
      <c r="L5913" s="16">
        <f>565.81 - (565.81 * $E$1)</f>
        <v>565.80999999999995</v>
      </c>
      <c r="M5913" s="1">
        <v>690.29</v>
      </c>
      <c r="N5913" s="1">
        <v>565.80999999999995</v>
      </c>
      <c r="O5913" s="1">
        <v>586.74</v>
      </c>
      <c r="P5913" s="1">
        <v>480.94</v>
      </c>
      <c r="Q5913">
        <v>0.71399999999999997</v>
      </c>
      <c r="R5913">
        <v>8.0999999999999996E-3</v>
      </c>
    </row>
    <row r="5914" spans="1:18" ht="13.8" outlineLevel="2" x14ac:dyDescent="0.25">
      <c r="A5914">
        <v>70037</v>
      </c>
      <c r="B5914" t="s">
        <v>8266</v>
      </c>
      <c r="C5914" t="s">
        <v>8273</v>
      </c>
      <c r="D5914" s="14" t="s">
        <v>8268</v>
      </c>
      <c r="E5914" s="12" t="s">
        <v>28</v>
      </c>
      <c r="F5914" s="13" t="s">
        <v>29</v>
      </c>
      <c r="G5914">
        <v>1</v>
      </c>
      <c r="H5914" t="s">
        <v>420</v>
      </c>
      <c r="I5914">
        <v>1</v>
      </c>
      <c r="J5914" s="15"/>
      <c r="K5914" s="16">
        <f>721 - (721 * $E$1)</f>
        <v>721</v>
      </c>
      <c r="L5914" s="16">
        <f>590.98 - (590.98 * $E$1)</f>
        <v>590.98</v>
      </c>
      <c r="M5914" s="1">
        <v>721</v>
      </c>
      <c r="N5914" s="1">
        <v>590.98</v>
      </c>
      <c r="O5914" s="1">
        <v>612.85</v>
      </c>
      <c r="P5914" s="1">
        <v>502.33</v>
      </c>
      <c r="Q5914">
        <v>0.53</v>
      </c>
      <c r="R5914">
        <v>1.248E-2</v>
      </c>
    </row>
    <row r="5915" spans="1:18" ht="13.8" outlineLevel="2" x14ac:dyDescent="0.25">
      <c r="A5915">
        <v>70038</v>
      </c>
      <c r="B5915" t="s">
        <v>8266</v>
      </c>
      <c r="C5915" t="s">
        <v>8274</v>
      </c>
      <c r="D5915" s="14" t="s">
        <v>8268</v>
      </c>
      <c r="E5915" s="12" t="s">
        <v>28</v>
      </c>
      <c r="F5915" s="13" t="s">
        <v>29</v>
      </c>
      <c r="G5915">
        <v>1</v>
      </c>
      <c r="H5915" t="s">
        <v>420</v>
      </c>
      <c r="I5915">
        <v>1</v>
      </c>
      <c r="J5915" s="15"/>
      <c r="K5915" s="16">
        <f>662.66 - (662.66 * $E$1)</f>
        <v>662.66</v>
      </c>
      <c r="L5915" s="16">
        <f>543.16 - (543.16 * $E$1)</f>
        <v>543.16</v>
      </c>
      <c r="M5915" s="1">
        <v>662.66</v>
      </c>
      <c r="N5915" s="1">
        <v>543.16</v>
      </c>
      <c r="O5915" s="1">
        <v>563.26</v>
      </c>
      <c r="P5915" s="1">
        <v>461.69</v>
      </c>
      <c r="Q5915">
        <v>0.48799999999999999</v>
      </c>
      <c r="R5915">
        <v>1.2432E-2</v>
      </c>
    </row>
    <row r="5916" spans="1:18" ht="13.8" outlineLevel="2" x14ac:dyDescent="0.25">
      <c r="A5916">
        <v>61107</v>
      </c>
      <c r="B5916" t="s">
        <v>8275</v>
      </c>
      <c r="C5916" t="s">
        <v>8276</v>
      </c>
      <c r="D5916" s="14" t="s">
        <v>8277</v>
      </c>
      <c r="E5916" s="12" t="s">
        <v>28</v>
      </c>
      <c r="F5916" s="13" t="s">
        <v>29</v>
      </c>
      <c r="G5916">
        <v>1</v>
      </c>
      <c r="H5916" t="s">
        <v>30</v>
      </c>
      <c r="I5916">
        <v>1</v>
      </c>
      <c r="J5916" s="15"/>
      <c r="K5916" s="16">
        <f>595.1 - (595.1 * $E$1)</f>
        <v>595.1</v>
      </c>
      <c r="L5916" s="16">
        <f>487.79 - (487.79 * $E$1)</f>
        <v>487.79</v>
      </c>
      <c r="M5916" s="1">
        <v>595.1</v>
      </c>
      <c r="N5916" s="1">
        <v>487.79</v>
      </c>
      <c r="O5916" s="1">
        <v>505.84</v>
      </c>
      <c r="P5916" s="1">
        <v>414.62</v>
      </c>
      <c r="Q5916">
        <v>0.1</v>
      </c>
      <c r="R5916">
        <v>1.44E-4</v>
      </c>
    </row>
    <row r="5917" spans="1:18" ht="13.8" outlineLevel="2" x14ac:dyDescent="0.25">
      <c r="A5917">
        <v>61108</v>
      </c>
      <c r="B5917" t="s">
        <v>8275</v>
      </c>
      <c r="C5917" t="s">
        <v>8278</v>
      </c>
      <c r="D5917" s="14" t="s">
        <v>8277</v>
      </c>
      <c r="E5917" s="12" t="s">
        <v>28</v>
      </c>
      <c r="F5917" s="13" t="s">
        <v>29</v>
      </c>
      <c r="G5917">
        <v>1</v>
      </c>
      <c r="H5917" t="s">
        <v>30</v>
      </c>
      <c r="I5917">
        <v>1</v>
      </c>
      <c r="J5917" s="15"/>
      <c r="K5917" s="16">
        <f>816.24 - (816.24 * $E$1)</f>
        <v>816.24</v>
      </c>
      <c r="L5917" s="16">
        <f>669.05 - (669.05 * $E$1)</f>
        <v>669.05</v>
      </c>
      <c r="M5917" s="1">
        <v>816.24</v>
      </c>
      <c r="N5917" s="1">
        <v>669.05</v>
      </c>
      <c r="O5917" s="1">
        <v>693.8</v>
      </c>
      <c r="P5917" s="1">
        <v>568.69000000000005</v>
      </c>
      <c r="Q5917">
        <v>0.2</v>
      </c>
      <c r="R5917">
        <v>2.7999999999999998E-4</v>
      </c>
    </row>
    <row r="5918" spans="1:18" ht="13.8" outlineLevel="2" x14ac:dyDescent="0.25">
      <c r="A5918">
        <v>61109</v>
      </c>
      <c r="B5918" t="s">
        <v>8275</v>
      </c>
      <c r="C5918" t="s">
        <v>8279</v>
      </c>
      <c r="D5918" s="14" t="s">
        <v>8277</v>
      </c>
      <c r="E5918" s="12" t="s">
        <v>28</v>
      </c>
      <c r="F5918" s="13" t="s">
        <v>29</v>
      </c>
      <c r="G5918">
        <v>1</v>
      </c>
      <c r="H5918" t="s">
        <v>30</v>
      </c>
      <c r="I5918">
        <v>1</v>
      </c>
      <c r="J5918" s="15"/>
      <c r="K5918" s="16">
        <f>1090.72 - (1090.72 * $E$1)</f>
        <v>1090.72</v>
      </c>
      <c r="L5918" s="16">
        <f>894.03 - (894.03 * $E$1)</f>
        <v>894.03</v>
      </c>
      <c r="M5918" s="1">
        <v>1090.72</v>
      </c>
      <c r="N5918" s="1">
        <v>894.03</v>
      </c>
      <c r="O5918" s="1">
        <v>927.11</v>
      </c>
      <c r="P5918" s="1">
        <v>759.93</v>
      </c>
      <c r="Q5918">
        <v>0.2</v>
      </c>
      <c r="R5918">
        <v>4.1300000000000001E-4</v>
      </c>
    </row>
    <row r="5919" spans="1:18" ht="13.8" outlineLevel="2" x14ac:dyDescent="0.25">
      <c r="A5919">
        <v>61110</v>
      </c>
      <c r="B5919" t="s">
        <v>8275</v>
      </c>
      <c r="C5919" t="s">
        <v>8280</v>
      </c>
      <c r="D5919" s="14" t="s">
        <v>8277</v>
      </c>
      <c r="E5919" s="12" t="s">
        <v>28</v>
      </c>
      <c r="F5919" s="13" t="s">
        <v>29</v>
      </c>
      <c r="G5919">
        <v>1</v>
      </c>
      <c r="H5919" t="s">
        <v>30</v>
      </c>
      <c r="I5919">
        <v>1</v>
      </c>
      <c r="J5919" s="15"/>
      <c r="K5919" s="16">
        <f>1864.79 - (1864.79 * $E$1)</f>
        <v>1864.79</v>
      </c>
      <c r="L5919" s="16">
        <f>1528.52 - (1528.52 * $E$1)</f>
        <v>1528.52</v>
      </c>
      <c r="M5919" s="1">
        <v>1864.79</v>
      </c>
      <c r="N5919" s="1">
        <v>1528.52</v>
      </c>
      <c r="O5919" s="1">
        <v>1585.08</v>
      </c>
      <c r="P5919" s="1">
        <v>1299.24</v>
      </c>
      <c r="Q5919">
        <v>0.4</v>
      </c>
      <c r="R5919">
        <v>9.7799999999999992E-4</v>
      </c>
    </row>
    <row r="5920" spans="1:18" ht="13.8" outlineLevel="2" x14ac:dyDescent="0.25">
      <c r="A5920">
        <v>61128</v>
      </c>
      <c r="B5920" t="s">
        <v>8275</v>
      </c>
      <c r="C5920" t="s">
        <v>8281</v>
      </c>
      <c r="D5920" s="14" t="s">
        <v>8282</v>
      </c>
      <c r="E5920" s="12" t="s">
        <v>28</v>
      </c>
      <c r="F5920" s="13" t="s">
        <v>29</v>
      </c>
      <c r="G5920">
        <v>1</v>
      </c>
      <c r="H5920" t="s">
        <v>30</v>
      </c>
      <c r="I5920">
        <v>1</v>
      </c>
      <c r="J5920" s="15"/>
      <c r="K5920" s="16">
        <f>616.8 - (616.8 * $E$1)</f>
        <v>616.79999999999995</v>
      </c>
      <c r="L5920" s="16">
        <f>505.57 - (505.57 * $E$1)</f>
        <v>505.57</v>
      </c>
      <c r="M5920" s="1">
        <v>616.79999999999995</v>
      </c>
      <c r="N5920" s="1">
        <v>505.57</v>
      </c>
      <c r="O5920" s="1">
        <v>524.28</v>
      </c>
      <c r="P5920" s="1">
        <v>429.73</v>
      </c>
      <c r="Q5920">
        <v>0.1</v>
      </c>
      <c r="R5920">
        <v>1.8000000000000001E-4</v>
      </c>
    </row>
    <row r="5921" spans="1:18" ht="13.8" outlineLevel="2" x14ac:dyDescent="0.25">
      <c r="A5921">
        <v>61129</v>
      </c>
      <c r="B5921" t="s">
        <v>8275</v>
      </c>
      <c r="C5921" t="s">
        <v>8283</v>
      </c>
      <c r="D5921" s="14" t="s">
        <v>8282</v>
      </c>
      <c r="E5921" s="12" t="s">
        <v>28</v>
      </c>
      <c r="F5921" s="13" t="s">
        <v>29</v>
      </c>
      <c r="G5921">
        <v>1</v>
      </c>
      <c r="H5921" t="s">
        <v>30</v>
      </c>
      <c r="I5921">
        <v>1</v>
      </c>
      <c r="J5921" s="15"/>
      <c r="K5921" s="16">
        <f>864.04 - (864.04 * $E$1)</f>
        <v>864.04</v>
      </c>
      <c r="L5921" s="16">
        <f>708.23 - (708.23 * $E$1)</f>
        <v>708.23</v>
      </c>
      <c r="M5921" s="1">
        <v>864.04</v>
      </c>
      <c r="N5921" s="1">
        <v>708.23</v>
      </c>
      <c r="O5921" s="1">
        <v>734.43</v>
      </c>
      <c r="P5921" s="1">
        <v>602</v>
      </c>
      <c r="Q5921">
        <v>0.17</v>
      </c>
      <c r="R5921">
        <v>3.5300000000000002E-4</v>
      </c>
    </row>
    <row r="5922" spans="1:18" ht="13.8" outlineLevel="2" x14ac:dyDescent="0.25">
      <c r="A5922">
        <v>61130</v>
      </c>
      <c r="B5922" t="s">
        <v>8275</v>
      </c>
      <c r="C5922" t="s">
        <v>8284</v>
      </c>
      <c r="D5922" s="14" t="s">
        <v>8282</v>
      </c>
      <c r="E5922" s="12" t="s">
        <v>28</v>
      </c>
      <c r="F5922" s="13" t="s">
        <v>29</v>
      </c>
      <c r="G5922">
        <v>1</v>
      </c>
      <c r="H5922" t="s">
        <v>30</v>
      </c>
      <c r="I5922">
        <v>1</v>
      </c>
      <c r="J5922" s="15"/>
      <c r="K5922" s="16">
        <f>1126.9 - (1126.9 * $E$1)</f>
        <v>1126.9000000000001</v>
      </c>
      <c r="L5922" s="16">
        <f>923.69 - (923.69 * $E$1)</f>
        <v>923.69</v>
      </c>
      <c r="M5922" s="1">
        <v>1126.9000000000001</v>
      </c>
      <c r="N5922" s="1">
        <v>923.69</v>
      </c>
      <c r="O5922" s="1">
        <v>957.87</v>
      </c>
      <c r="P5922" s="1">
        <v>785.14</v>
      </c>
      <c r="Q5922">
        <v>0.2</v>
      </c>
      <c r="R5922">
        <v>4.8000000000000001E-4</v>
      </c>
    </row>
    <row r="5923" spans="1:18" ht="13.8" outlineLevel="2" x14ac:dyDescent="0.25">
      <c r="A5923">
        <v>61131</v>
      </c>
      <c r="B5923" t="s">
        <v>8275</v>
      </c>
      <c r="C5923" t="s">
        <v>8285</v>
      </c>
      <c r="D5923" s="14" t="s">
        <v>8282</v>
      </c>
      <c r="E5923" s="12" t="s">
        <v>28</v>
      </c>
      <c r="F5923" s="13" t="s">
        <v>29</v>
      </c>
      <c r="G5923">
        <v>1</v>
      </c>
      <c r="H5923" t="s">
        <v>30</v>
      </c>
      <c r="I5923">
        <v>1</v>
      </c>
      <c r="J5923" s="15"/>
      <c r="K5923" s="16">
        <f>1886.77 - (1886.77 * $E$1)</f>
        <v>1886.77</v>
      </c>
      <c r="L5923" s="16">
        <f>1546.53 - (1546.53 * $E$1)</f>
        <v>1546.53</v>
      </c>
      <c r="M5923" s="1">
        <v>1886.77</v>
      </c>
      <c r="N5923" s="1">
        <v>1546.53</v>
      </c>
      <c r="O5923" s="1">
        <v>1603.75</v>
      </c>
      <c r="P5923" s="1">
        <v>1314.55</v>
      </c>
      <c r="Q5923">
        <v>0.41599999999999998</v>
      </c>
      <c r="R5923">
        <v>1.3550000000000001E-3</v>
      </c>
    </row>
    <row r="5924" spans="1:18" ht="13.8" outlineLevel="2" x14ac:dyDescent="0.25">
      <c r="A5924">
        <v>61116</v>
      </c>
      <c r="B5924" t="s">
        <v>8275</v>
      </c>
      <c r="C5924" t="s">
        <v>8286</v>
      </c>
      <c r="D5924" s="14" t="s">
        <v>8287</v>
      </c>
      <c r="E5924" s="12" t="s">
        <v>28</v>
      </c>
      <c r="F5924" s="13" t="s">
        <v>29</v>
      </c>
      <c r="G5924">
        <v>1</v>
      </c>
      <c r="H5924" t="s">
        <v>30</v>
      </c>
      <c r="I5924">
        <v>1</v>
      </c>
      <c r="J5924" s="15"/>
      <c r="K5924" s="16">
        <f>369.25 - (369.25 * $E$1)</f>
        <v>369.25</v>
      </c>
      <c r="L5924" s="16">
        <f>302.66 - (302.66 * $E$1)</f>
        <v>302.66000000000003</v>
      </c>
      <c r="M5924" s="1">
        <v>369.25</v>
      </c>
      <c r="N5924" s="1">
        <v>302.66000000000003</v>
      </c>
      <c r="O5924" s="1">
        <v>313.86</v>
      </c>
      <c r="P5924" s="1">
        <v>257.26</v>
      </c>
      <c r="Q5924">
        <v>0.21</v>
      </c>
      <c r="R5924">
        <v>5.7799999999999995E-4</v>
      </c>
    </row>
    <row r="5925" spans="1:18" ht="13.8" outlineLevel="2" x14ac:dyDescent="0.25">
      <c r="A5925">
        <v>61119</v>
      </c>
      <c r="B5925" t="s">
        <v>8275</v>
      </c>
      <c r="C5925" t="s">
        <v>8288</v>
      </c>
      <c r="D5925" s="14" t="s">
        <v>8287</v>
      </c>
      <c r="E5925" s="12" t="s">
        <v>28</v>
      </c>
      <c r="F5925" s="13" t="s">
        <v>29</v>
      </c>
      <c r="G5925">
        <v>1</v>
      </c>
      <c r="H5925" t="s">
        <v>30</v>
      </c>
      <c r="I5925">
        <v>1</v>
      </c>
      <c r="J5925" s="15"/>
      <c r="K5925" s="16">
        <f>1231.8 - (1231.8 * $E$1)</f>
        <v>1231.8</v>
      </c>
      <c r="L5925" s="16">
        <f>1009.67 - (1009.67 * $E$1)</f>
        <v>1009.67</v>
      </c>
      <c r="M5925" s="1">
        <v>1231.8</v>
      </c>
      <c r="N5925" s="1">
        <v>1009.67</v>
      </c>
      <c r="O5925" s="1">
        <v>1047.03</v>
      </c>
      <c r="P5925" s="1">
        <v>858.22</v>
      </c>
      <c r="Q5925">
        <v>0.83</v>
      </c>
      <c r="R5925">
        <v>2.3749999999999999E-3</v>
      </c>
    </row>
    <row r="5926" spans="1:18" ht="13.8" outlineLevel="2" x14ac:dyDescent="0.25">
      <c r="A5926">
        <v>61125</v>
      </c>
      <c r="B5926" t="s">
        <v>8275</v>
      </c>
      <c r="C5926" t="s">
        <v>8289</v>
      </c>
      <c r="D5926" s="14" t="s">
        <v>8290</v>
      </c>
      <c r="E5926" s="12" t="s">
        <v>28</v>
      </c>
      <c r="F5926" s="13" t="s">
        <v>29</v>
      </c>
      <c r="G5926">
        <v>1</v>
      </c>
      <c r="H5926" t="s">
        <v>30</v>
      </c>
      <c r="I5926">
        <v>1</v>
      </c>
      <c r="J5926" s="15"/>
      <c r="K5926" s="16">
        <f>729.63 - (729.63 * $E$1)</f>
        <v>729.63</v>
      </c>
      <c r="L5926" s="16">
        <f>598.06 - (598.06 * $E$1)</f>
        <v>598.05999999999995</v>
      </c>
      <c r="M5926" s="1">
        <v>729.63</v>
      </c>
      <c r="N5926" s="1">
        <v>598.05999999999995</v>
      </c>
      <c r="O5926" s="1">
        <v>620.19000000000005</v>
      </c>
      <c r="P5926" s="1">
        <v>508.35</v>
      </c>
      <c r="Q5926">
        <v>0.49</v>
      </c>
      <c r="R5926">
        <v>1.2600000000000001E-3</v>
      </c>
    </row>
    <row r="5927" spans="1:18" ht="13.8" outlineLevel="2" x14ac:dyDescent="0.25">
      <c r="A5927">
        <v>61126</v>
      </c>
      <c r="B5927" t="s">
        <v>8275</v>
      </c>
      <c r="C5927" t="s">
        <v>8291</v>
      </c>
      <c r="D5927" s="14" t="s">
        <v>8290</v>
      </c>
      <c r="E5927" s="12" t="s">
        <v>28</v>
      </c>
      <c r="F5927" s="13" t="s">
        <v>29</v>
      </c>
      <c r="G5927">
        <v>1</v>
      </c>
      <c r="H5927" t="s">
        <v>30</v>
      </c>
      <c r="I5927">
        <v>1</v>
      </c>
      <c r="J5927" s="15"/>
      <c r="K5927" s="16">
        <f>1231.8 - (1231.8 * $E$1)</f>
        <v>1231.8</v>
      </c>
      <c r="L5927" s="16">
        <f>1009.67 - (1009.67 * $E$1)</f>
        <v>1009.67</v>
      </c>
      <c r="M5927" s="1">
        <v>1231.8</v>
      </c>
      <c r="N5927" s="1">
        <v>1009.67</v>
      </c>
      <c r="O5927" s="1">
        <v>1047.03</v>
      </c>
      <c r="P5927" s="1">
        <v>858.22</v>
      </c>
      <c r="Q5927">
        <v>0.95</v>
      </c>
      <c r="R5927">
        <v>2.3749999999999999E-3</v>
      </c>
    </row>
    <row r="5928" spans="1:18" ht="33.75" customHeight="1" x14ac:dyDescent="0.35">
      <c r="A5928" s="9"/>
      <c r="B5928" s="10" t="s">
        <v>8292</v>
      </c>
      <c r="C5928" s="10"/>
      <c r="D5928" s="10"/>
      <c r="E5928" s="10"/>
      <c r="F5928" s="10"/>
      <c r="G5928" s="10"/>
      <c r="H5928" s="10"/>
      <c r="I5928" s="10"/>
      <c r="J5928" s="10"/>
      <c r="K5928" s="10"/>
      <c r="L5928" s="10"/>
      <c r="M5928" s="10"/>
      <c r="N5928" s="10"/>
      <c r="O5928" s="10"/>
      <c r="P5928" s="10"/>
      <c r="Q5928" s="10"/>
      <c r="R5928" s="11"/>
    </row>
    <row r="5929" spans="1:18" ht="13.8" outlineLevel="1" x14ac:dyDescent="0.25">
      <c r="A5929">
        <v>80973</v>
      </c>
      <c r="B5929" t="s">
        <v>8293</v>
      </c>
      <c r="C5929" t="s">
        <v>8294</v>
      </c>
      <c r="D5929" s="14" t="s">
        <v>8295</v>
      </c>
      <c r="E5929" s="12" t="s">
        <v>28</v>
      </c>
      <c r="F5929" s="13" t="s">
        <v>29</v>
      </c>
      <c r="G5929">
        <v>20</v>
      </c>
      <c r="H5929" t="s">
        <v>30</v>
      </c>
      <c r="I5929">
        <v>20</v>
      </c>
      <c r="J5929" s="15"/>
      <c r="K5929" s="16">
        <f>7.94 - (7.94 * $E$1)</f>
        <v>7.94</v>
      </c>
      <c r="L5929" s="16">
        <f>6.51 - (6.51 * $E$1)</f>
        <v>6.51</v>
      </c>
      <c r="M5929" s="1">
        <v>7.94</v>
      </c>
      <c r="N5929" s="1">
        <v>6.51</v>
      </c>
      <c r="O5929" s="1">
        <v>6.75</v>
      </c>
      <c r="P5929" s="1">
        <v>5.53</v>
      </c>
      <c r="Q5929">
        <v>1.6999999999999999E-3</v>
      </c>
      <c r="R5929">
        <v>1.0000000000000001E-5</v>
      </c>
    </row>
    <row r="5930" spans="1:18" ht="13.8" outlineLevel="1" x14ac:dyDescent="0.25">
      <c r="A5930">
        <v>80974</v>
      </c>
      <c r="B5930" t="s">
        <v>8293</v>
      </c>
      <c r="C5930" t="s">
        <v>8296</v>
      </c>
      <c r="D5930" s="14" t="s">
        <v>8295</v>
      </c>
      <c r="E5930" s="12" t="s">
        <v>28</v>
      </c>
      <c r="F5930" s="13" t="s">
        <v>29</v>
      </c>
      <c r="G5930">
        <v>20</v>
      </c>
      <c r="H5930" t="s">
        <v>30</v>
      </c>
      <c r="I5930">
        <v>20</v>
      </c>
      <c r="J5930" s="15"/>
      <c r="K5930" s="16">
        <f>9.32 - (9.32 * $E$1)</f>
        <v>9.32</v>
      </c>
      <c r="L5930" s="16">
        <f>7.64 - (7.64 * $E$1)</f>
        <v>7.64</v>
      </c>
      <c r="M5930" s="1">
        <v>9.32</v>
      </c>
      <c r="N5930" s="1">
        <v>7.64</v>
      </c>
      <c r="O5930" s="1">
        <v>7.92</v>
      </c>
      <c r="P5930" s="1">
        <v>6.49</v>
      </c>
      <c r="Q5930">
        <v>2E-3</v>
      </c>
      <c r="R5930">
        <v>6.3999999999999997E-6</v>
      </c>
    </row>
    <row r="5931" spans="1:18" ht="13.8" outlineLevel="1" x14ac:dyDescent="0.25">
      <c r="A5931">
        <v>80128</v>
      </c>
      <c r="B5931" t="s">
        <v>8293</v>
      </c>
      <c r="C5931" t="s">
        <v>8297</v>
      </c>
      <c r="D5931" s="14" t="s">
        <v>8295</v>
      </c>
      <c r="E5931" s="12" t="s">
        <v>28</v>
      </c>
      <c r="F5931" s="13" t="s">
        <v>29</v>
      </c>
      <c r="G5931">
        <v>20</v>
      </c>
      <c r="H5931" t="s">
        <v>30</v>
      </c>
      <c r="I5931">
        <v>20</v>
      </c>
      <c r="J5931" s="15"/>
      <c r="K5931" s="16">
        <f>11.35 - (11.35 * $E$1)</f>
        <v>11.35</v>
      </c>
      <c r="L5931" s="16">
        <f>9.3 - (9.3 * $E$1)</f>
        <v>9.3000000000000007</v>
      </c>
      <c r="M5931" s="1">
        <v>11.35</v>
      </c>
      <c r="N5931" s="1">
        <v>9.3000000000000007</v>
      </c>
      <c r="O5931" s="1">
        <v>9.64</v>
      </c>
      <c r="P5931" s="1">
        <v>7.91</v>
      </c>
      <c r="Q5931">
        <v>3.0000000000000001E-3</v>
      </c>
      <c r="R5931">
        <v>6.3999999999999997E-6</v>
      </c>
    </row>
    <row r="5932" spans="1:18" ht="13.8" outlineLevel="1" x14ac:dyDescent="0.25">
      <c r="A5932">
        <v>80975</v>
      </c>
      <c r="B5932" t="s">
        <v>8293</v>
      </c>
      <c r="C5932" t="s">
        <v>8298</v>
      </c>
      <c r="D5932" s="14" t="s">
        <v>8295</v>
      </c>
      <c r="E5932" s="12" t="s">
        <v>28</v>
      </c>
      <c r="F5932" s="13" t="s">
        <v>29</v>
      </c>
      <c r="G5932">
        <v>20</v>
      </c>
      <c r="H5932" t="s">
        <v>30</v>
      </c>
      <c r="I5932">
        <v>20</v>
      </c>
      <c r="J5932" s="15"/>
      <c r="K5932" s="16">
        <f>12.85 - (12.85 * $E$1)</f>
        <v>12.85</v>
      </c>
      <c r="L5932" s="16">
        <f>10.53 - (10.53 * $E$1)</f>
        <v>10.53</v>
      </c>
      <c r="M5932" s="1">
        <v>12.85</v>
      </c>
      <c r="N5932" s="1">
        <v>10.53</v>
      </c>
      <c r="O5932" s="1">
        <v>10.92</v>
      </c>
      <c r="P5932" s="1">
        <v>8.9499999999999993</v>
      </c>
      <c r="Q5932">
        <v>4.0000000000000001E-3</v>
      </c>
      <c r="R5932">
        <v>6.3999999999999997E-6</v>
      </c>
    </row>
    <row r="5933" spans="1:18" ht="13.8" outlineLevel="1" x14ac:dyDescent="0.25">
      <c r="A5933">
        <v>80129</v>
      </c>
      <c r="B5933" t="s">
        <v>8293</v>
      </c>
      <c r="C5933" t="s">
        <v>8299</v>
      </c>
      <c r="D5933" s="14" t="s">
        <v>8295</v>
      </c>
      <c r="E5933" s="12" t="s">
        <v>28</v>
      </c>
      <c r="F5933" s="13" t="s">
        <v>29</v>
      </c>
      <c r="G5933">
        <v>20</v>
      </c>
      <c r="H5933" t="s">
        <v>30</v>
      </c>
      <c r="I5933">
        <v>20</v>
      </c>
      <c r="J5933" s="15"/>
      <c r="K5933" s="16">
        <f>14.36 - (14.36 * $E$1)</f>
        <v>14.36</v>
      </c>
      <c r="L5933" s="16">
        <f>11.77 - (11.77 * $E$1)</f>
        <v>11.77</v>
      </c>
      <c r="M5933" s="1">
        <v>14.36</v>
      </c>
      <c r="N5933" s="1">
        <v>11.77</v>
      </c>
      <c r="O5933" s="1">
        <v>12.21</v>
      </c>
      <c r="P5933" s="1">
        <v>10</v>
      </c>
      <c r="Q5933">
        <v>4.4999999999999997E-3</v>
      </c>
      <c r="R5933">
        <v>9.5999999999999996E-6</v>
      </c>
    </row>
    <row r="5934" spans="1:18" ht="13.8" outlineLevel="1" x14ac:dyDescent="0.25">
      <c r="A5934">
        <v>80130</v>
      </c>
      <c r="B5934" t="s">
        <v>8293</v>
      </c>
      <c r="C5934" t="s">
        <v>8300</v>
      </c>
      <c r="D5934" s="14" t="s">
        <v>8295</v>
      </c>
      <c r="E5934" s="12" t="s">
        <v>28</v>
      </c>
      <c r="F5934" s="13" t="s">
        <v>29</v>
      </c>
      <c r="G5934">
        <v>20</v>
      </c>
      <c r="H5934" t="s">
        <v>30</v>
      </c>
      <c r="I5934">
        <v>20</v>
      </c>
      <c r="J5934" s="15"/>
      <c r="K5934" s="16">
        <f>16.63 - (16.63 * $E$1)</f>
        <v>16.63</v>
      </c>
      <c r="L5934" s="16">
        <f>13.63 - (13.63 * $E$1)</f>
        <v>13.63</v>
      </c>
      <c r="M5934" s="1">
        <v>16.63</v>
      </c>
      <c r="N5934" s="1">
        <v>13.63</v>
      </c>
      <c r="O5934" s="1">
        <v>14.13</v>
      </c>
      <c r="P5934" s="1">
        <v>11.59</v>
      </c>
      <c r="Q5934">
        <v>5.0000000000000001E-3</v>
      </c>
      <c r="R5934">
        <v>9.5999999999999996E-6</v>
      </c>
    </row>
    <row r="5935" spans="1:18" ht="13.8" outlineLevel="1" x14ac:dyDescent="0.25">
      <c r="A5935">
        <v>80131</v>
      </c>
      <c r="B5935" t="s">
        <v>8293</v>
      </c>
      <c r="C5935" t="s">
        <v>8301</v>
      </c>
      <c r="D5935" s="14" t="s">
        <v>8295</v>
      </c>
      <c r="E5935" s="12" t="s">
        <v>28</v>
      </c>
      <c r="F5935" s="13" t="s">
        <v>29</v>
      </c>
      <c r="G5935">
        <v>20</v>
      </c>
      <c r="H5935" t="s">
        <v>30</v>
      </c>
      <c r="I5935">
        <v>20</v>
      </c>
      <c r="J5935" s="15"/>
      <c r="K5935" s="16">
        <f>18.26 - (18.26 * $E$1)</f>
        <v>18.260000000000002</v>
      </c>
      <c r="L5935" s="16">
        <f>14.97 - (14.97 * $E$1)</f>
        <v>14.97</v>
      </c>
      <c r="M5935" s="1">
        <v>18.260000000000002</v>
      </c>
      <c r="N5935" s="1">
        <v>14.97</v>
      </c>
      <c r="O5935" s="1">
        <v>15.52</v>
      </c>
      <c r="P5935" s="1">
        <v>12.72</v>
      </c>
      <c r="Q5935">
        <v>6.0000000000000001E-3</v>
      </c>
      <c r="R5935">
        <v>1.2E-5</v>
      </c>
    </row>
    <row r="5936" spans="1:18" ht="13.8" outlineLevel="1" x14ac:dyDescent="0.25">
      <c r="A5936">
        <v>80132</v>
      </c>
      <c r="B5936" t="s">
        <v>8293</v>
      </c>
      <c r="C5936" t="s">
        <v>8302</v>
      </c>
      <c r="D5936" s="14" t="s">
        <v>8295</v>
      </c>
      <c r="E5936" s="12" t="s">
        <v>28</v>
      </c>
      <c r="F5936" s="13" t="s">
        <v>29</v>
      </c>
      <c r="G5936">
        <v>20</v>
      </c>
      <c r="H5936" t="s">
        <v>30</v>
      </c>
      <c r="I5936">
        <v>20</v>
      </c>
      <c r="J5936" s="15"/>
      <c r="K5936" s="16">
        <f>23.17 - (23.17 * $E$1)</f>
        <v>23.17</v>
      </c>
      <c r="L5936" s="16">
        <f>18.99 - (18.99 * $E$1)</f>
        <v>18.989999999999998</v>
      </c>
      <c r="M5936" s="1">
        <v>23.17</v>
      </c>
      <c r="N5936" s="1">
        <v>18.989999999999998</v>
      </c>
      <c r="O5936" s="1">
        <v>19.690000000000001</v>
      </c>
      <c r="P5936" s="1">
        <v>16.14</v>
      </c>
      <c r="Q5936">
        <v>8.9999999999999993E-3</v>
      </c>
      <c r="R5936">
        <v>1.5E-5</v>
      </c>
    </row>
    <row r="5937" spans="1:18" ht="13.8" outlineLevel="1" x14ac:dyDescent="0.25">
      <c r="A5937">
        <v>80976</v>
      </c>
      <c r="B5937" t="s">
        <v>8293</v>
      </c>
      <c r="C5937" t="s">
        <v>8303</v>
      </c>
      <c r="D5937" s="14" t="s">
        <v>8295</v>
      </c>
      <c r="E5937" s="12" t="s">
        <v>28</v>
      </c>
      <c r="F5937" s="13" t="s">
        <v>29</v>
      </c>
      <c r="G5937">
        <v>10</v>
      </c>
      <c r="H5937" t="s">
        <v>30</v>
      </c>
      <c r="I5937">
        <v>10</v>
      </c>
      <c r="J5937" s="15"/>
      <c r="K5937" s="16">
        <f>30.59 - (30.59 * $E$1)</f>
        <v>30.59</v>
      </c>
      <c r="L5937" s="16">
        <f>25.07 - (25.07 * $E$1)</f>
        <v>25.07</v>
      </c>
      <c r="M5937" s="1">
        <v>30.59</v>
      </c>
      <c r="N5937" s="1">
        <v>25.07</v>
      </c>
      <c r="O5937" s="1">
        <v>26</v>
      </c>
      <c r="P5937" s="1">
        <v>21.31</v>
      </c>
      <c r="Q5937">
        <v>0.01</v>
      </c>
      <c r="R5937">
        <v>2.0999999999999999E-5</v>
      </c>
    </row>
    <row r="5938" spans="1:18" ht="13.8" outlineLevel="1" x14ac:dyDescent="0.25">
      <c r="A5938">
        <v>80977</v>
      </c>
      <c r="B5938" t="s">
        <v>8293</v>
      </c>
      <c r="C5938" t="s">
        <v>8304</v>
      </c>
      <c r="D5938" s="14" t="s">
        <v>8295</v>
      </c>
      <c r="E5938" s="12" t="s">
        <v>28</v>
      </c>
      <c r="F5938" s="13" t="s">
        <v>29</v>
      </c>
      <c r="G5938">
        <v>10</v>
      </c>
      <c r="H5938" t="s">
        <v>30</v>
      </c>
      <c r="I5938">
        <v>10</v>
      </c>
      <c r="J5938" s="15"/>
      <c r="K5938" s="16">
        <f>31.24 - (31.24 * $E$1)</f>
        <v>31.24</v>
      </c>
      <c r="L5938" s="16">
        <f>25.61 - (25.61 * $E$1)</f>
        <v>25.61</v>
      </c>
      <c r="M5938" s="1">
        <v>31.24</v>
      </c>
      <c r="N5938" s="1">
        <v>25.61</v>
      </c>
      <c r="O5938" s="1">
        <v>26.56</v>
      </c>
      <c r="P5938" s="1">
        <v>21.77</v>
      </c>
      <c r="Q5938">
        <v>1.2E-2</v>
      </c>
      <c r="R5938">
        <v>2.0999999999999999E-5</v>
      </c>
    </row>
    <row r="5939" spans="1:18" ht="13.8" outlineLevel="1" x14ac:dyDescent="0.25">
      <c r="A5939">
        <v>80979</v>
      </c>
      <c r="B5939" t="s">
        <v>8293</v>
      </c>
      <c r="C5939" t="s">
        <v>8305</v>
      </c>
      <c r="D5939" s="14" t="s">
        <v>8295</v>
      </c>
      <c r="E5939" s="12" t="s">
        <v>28</v>
      </c>
      <c r="F5939" s="13" t="s">
        <v>29</v>
      </c>
      <c r="G5939">
        <v>10</v>
      </c>
      <c r="H5939" t="s">
        <v>30</v>
      </c>
      <c r="I5939">
        <v>10</v>
      </c>
      <c r="J5939" s="15"/>
      <c r="K5939" s="16">
        <f>58 - (58 * $E$1)</f>
        <v>58</v>
      </c>
      <c r="L5939" s="16">
        <f>47.54 - (47.54 * $E$1)</f>
        <v>47.54</v>
      </c>
      <c r="M5939" s="1">
        <v>58</v>
      </c>
      <c r="N5939" s="1">
        <v>47.54</v>
      </c>
      <c r="O5939" s="1">
        <v>49.3</v>
      </c>
      <c r="P5939" s="1">
        <v>40.409999999999997</v>
      </c>
      <c r="Q5939">
        <v>3.1E-2</v>
      </c>
      <c r="R5939">
        <v>4.0000000000000003E-5</v>
      </c>
    </row>
    <row r="5940" spans="1:18" ht="13.8" outlineLevel="1" x14ac:dyDescent="0.25">
      <c r="A5940">
        <v>80980</v>
      </c>
      <c r="B5940" t="s">
        <v>8293</v>
      </c>
      <c r="C5940" t="s">
        <v>8306</v>
      </c>
      <c r="D5940" s="14" t="s">
        <v>8307</v>
      </c>
      <c r="E5940" s="12" t="s">
        <v>28</v>
      </c>
      <c r="F5940" s="13" t="s">
        <v>29</v>
      </c>
      <c r="G5940">
        <v>20</v>
      </c>
      <c r="H5940" t="s">
        <v>30</v>
      </c>
      <c r="I5940">
        <v>20</v>
      </c>
      <c r="J5940" s="15"/>
      <c r="K5940" s="16">
        <f>8.85 - (8.85 * $E$1)</f>
        <v>8.85</v>
      </c>
      <c r="L5940" s="16">
        <f>7.25 - (7.25 * $E$1)</f>
        <v>7.25</v>
      </c>
      <c r="M5940" s="1">
        <v>8.85</v>
      </c>
      <c r="N5940" s="1">
        <v>7.25</v>
      </c>
      <c r="O5940" s="1">
        <v>7.52</v>
      </c>
      <c r="P5940" s="1">
        <v>6.16</v>
      </c>
      <c r="Q5940">
        <v>2.3E-3</v>
      </c>
      <c r="R5940">
        <v>1.0000000000000001E-5</v>
      </c>
    </row>
    <row r="5941" spans="1:18" ht="13.8" outlineLevel="1" x14ac:dyDescent="0.25">
      <c r="A5941">
        <v>80982</v>
      </c>
      <c r="B5941" t="s">
        <v>8293</v>
      </c>
      <c r="C5941" t="s">
        <v>8308</v>
      </c>
      <c r="D5941" s="14" t="s">
        <v>8307</v>
      </c>
      <c r="E5941" s="12" t="s">
        <v>28</v>
      </c>
      <c r="F5941" s="13" t="s">
        <v>29</v>
      </c>
      <c r="G5941">
        <v>20</v>
      </c>
      <c r="H5941" t="s">
        <v>30</v>
      </c>
      <c r="I5941">
        <v>20</v>
      </c>
      <c r="J5941" s="15"/>
      <c r="K5941" s="16">
        <f>12.48 - (12.48 * $E$1)</f>
        <v>12.48</v>
      </c>
      <c r="L5941" s="16">
        <f>10.23 - (10.23 * $E$1)</f>
        <v>10.23</v>
      </c>
      <c r="M5941" s="1">
        <v>12.48</v>
      </c>
      <c r="N5941" s="1">
        <v>10.23</v>
      </c>
      <c r="O5941" s="1">
        <v>10.61</v>
      </c>
      <c r="P5941" s="1">
        <v>8.6999999999999993</v>
      </c>
      <c r="Q5941">
        <v>3.5000000000000001E-3</v>
      </c>
      <c r="R5941">
        <v>6.3999999999999997E-6</v>
      </c>
    </row>
    <row r="5942" spans="1:18" ht="13.8" outlineLevel="1" x14ac:dyDescent="0.25">
      <c r="A5942">
        <v>80983</v>
      </c>
      <c r="B5942" t="s">
        <v>8293</v>
      </c>
      <c r="C5942" t="s">
        <v>8309</v>
      </c>
      <c r="D5942" s="14" t="s">
        <v>8307</v>
      </c>
      <c r="E5942" s="12" t="s">
        <v>28</v>
      </c>
      <c r="F5942" s="13" t="s">
        <v>29</v>
      </c>
      <c r="G5942">
        <v>20</v>
      </c>
      <c r="H5942" t="s">
        <v>30</v>
      </c>
      <c r="I5942">
        <v>20</v>
      </c>
      <c r="J5942" s="15"/>
      <c r="K5942" s="16">
        <f>14.16 - (14.16 * $E$1)</f>
        <v>14.16</v>
      </c>
      <c r="L5942" s="16">
        <f>11.61 - (11.61 * $E$1)</f>
        <v>11.61</v>
      </c>
      <c r="M5942" s="1">
        <v>14.16</v>
      </c>
      <c r="N5942" s="1">
        <v>11.61</v>
      </c>
      <c r="O5942" s="1">
        <v>12.04</v>
      </c>
      <c r="P5942" s="1">
        <v>9.8699999999999992</v>
      </c>
      <c r="Q5942">
        <v>4.0000000000000001E-3</v>
      </c>
      <c r="R5942">
        <v>9.5999999999999996E-6</v>
      </c>
    </row>
    <row r="5943" spans="1:18" ht="13.8" outlineLevel="1" x14ac:dyDescent="0.25">
      <c r="A5943">
        <v>80134</v>
      </c>
      <c r="B5943" t="s">
        <v>8293</v>
      </c>
      <c r="C5943" t="s">
        <v>8310</v>
      </c>
      <c r="D5943" s="14" t="s">
        <v>8307</v>
      </c>
      <c r="E5943" s="12" t="s">
        <v>28</v>
      </c>
      <c r="F5943" s="13" t="s">
        <v>29</v>
      </c>
      <c r="G5943">
        <v>20</v>
      </c>
      <c r="H5943" t="s">
        <v>30</v>
      </c>
      <c r="I5943">
        <v>20</v>
      </c>
      <c r="J5943" s="15"/>
      <c r="K5943" s="16">
        <f>15.84 - (15.84 * $E$1)</f>
        <v>15.84</v>
      </c>
      <c r="L5943" s="16">
        <f>12.98 - (12.98 * $E$1)</f>
        <v>12.98</v>
      </c>
      <c r="M5943" s="1">
        <v>15.84</v>
      </c>
      <c r="N5943" s="1">
        <v>12.98</v>
      </c>
      <c r="O5943" s="1">
        <v>13.46</v>
      </c>
      <c r="P5943" s="1">
        <v>11.03</v>
      </c>
      <c r="Q5943">
        <v>4.4999999999999997E-3</v>
      </c>
      <c r="R5943">
        <v>7.9999999999999996E-6</v>
      </c>
    </row>
    <row r="5944" spans="1:18" ht="13.8" outlineLevel="1" x14ac:dyDescent="0.25">
      <c r="A5944">
        <v>80135</v>
      </c>
      <c r="B5944" t="s">
        <v>8293</v>
      </c>
      <c r="C5944" t="s">
        <v>8311</v>
      </c>
      <c r="D5944" s="14" t="s">
        <v>8307</v>
      </c>
      <c r="E5944" s="12" t="s">
        <v>28</v>
      </c>
      <c r="F5944" s="13" t="s">
        <v>29</v>
      </c>
      <c r="G5944">
        <v>20</v>
      </c>
      <c r="H5944" t="s">
        <v>30</v>
      </c>
      <c r="I5944">
        <v>20</v>
      </c>
      <c r="J5944" s="15"/>
      <c r="K5944" s="16">
        <f>18.26 - (18.26 * $E$1)</f>
        <v>18.260000000000002</v>
      </c>
      <c r="L5944" s="16">
        <f>14.97 - (14.97 * $E$1)</f>
        <v>14.97</v>
      </c>
      <c r="M5944" s="1">
        <v>18.260000000000002</v>
      </c>
      <c r="N5944" s="1">
        <v>14.97</v>
      </c>
      <c r="O5944" s="1">
        <v>15.52</v>
      </c>
      <c r="P5944" s="1">
        <v>12.72</v>
      </c>
      <c r="Q5944">
        <v>6.0000000000000001E-3</v>
      </c>
      <c r="R5944">
        <v>9.4499999999999993E-6</v>
      </c>
    </row>
    <row r="5945" spans="1:18" ht="13.8" outlineLevel="1" x14ac:dyDescent="0.25">
      <c r="A5945">
        <v>80136</v>
      </c>
      <c r="B5945" t="s">
        <v>8293</v>
      </c>
      <c r="C5945" t="s">
        <v>8312</v>
      </c>
      <c r="D5945" s="14" t="s">
        <v>8307</v>
      </c>
      <c r="E5945" s="12" t="s">
        <v>28</v>
      </c>
      <c r="F5945" s="13" t="s">
        <v>29</v>
      </c>
      <c r="G5945">
        <v>20</v>
      </c>
      <c r="H5945" t="s">
        <v>30</v>
      </c>
      <c r="I5945">
        <v>20</v>
      </c>
      <c r="J5945" s="15"/>
      <c r="K5945" s="16">
        <f>20.06 - (20.06 * $E$1)</f>
        <v>20.059999999999999</v>
      </c>
      <c r="L5945" s="16">
        <f>16.44 - (16.44 * $E$1)</f>
        <v>16.440000000000001</v>
      </c>
      <c r="M5945" s="1">
        <v>20.059999999999999</v>
      </c>
      <c r="N5945" s="1">
        <v>16.440000000000001</v>
      </c>
      <c r="O5945" s="1">
        <v>17.05</v>
      </c>
      <c r="P5945" s="1">
        <v>13.97</v>
      </c>
      <c r="Q5945">
        <v>6.4999999999999997E-3</v>
      </c>
      <c r="R5945">
        <v>1.4399999999999999E-5</v>
      </c>
    </row>
    <row r="5946" spans="1:18" ht="13.8" outlineLevel="1" x14ac:dyDescent="0.25">
      <c r="A5946">
        <v>80137</v>
      </c>
      <c r="B5946" t="s">
        <v>8293</v>
      </c>
      <c r="C5946" t="s">
        <v>8313</v>
      </c>
      <c r="D5946" s="14" t="s">
        <v>8307</v>
      </c>
      <c r="E5946" s="12" t="s">
        <v>28</v>
      </c>
      <c r="F5946" s="13" t="s">
        <v>29</v>
      </c>
      <c r="G5946">
        <v>20</v>
      </c>
      <c r="H5946" t="s">
        <v>30</v>
      </c>
      <c r="I5946">
        <v>20</v>
      </c>
      <c r="J5946" s="15"/>
      <c r="K5946" s="16">
        <f>22.97 - (22.97 * $E$1)</f>
        <v>22.97</v>
      </c>
      <c r="L5946" s="16">
        <f>18.83 - (18.83 * $E$1)</f>
        <v>18.829999999999998</v>
      </c>
      <c r="M5946" s="1">
        <v>22.97</v>
      </c>
      <c r="N5946" s="1">
        <v>18.829999999999998</v>
      </c>
      <c r="O5946" s="1">
        <v>19.53</v>
      </c>
      <c r="P5946" s="1">
        <v>16.010000000000002</v>
      </c>
      <c r="Q5946">
        <v>0.01</v>
      </c>
      <c r="R5946">
        <v>2.0000000000000002E-5</v>
      </c>
    </row>
    <row r="5947" spans="1:18" ht="13.8" outlineLevel="1" x14ac:dyDescent="0.25">
      <c r="A5947">
        <v>80138</v>
      </c>
      <c r="B5947" t="s">
        <v>8293</v>
      </c>
      <c r="C5947" t="s">
        <v>8314</v>
      </c>
      <c r="D5947" s="14" t="s">
        <v>8307</v>
      </c>
      <c r="E5947" s="12" t="s">
        <v>28</v>
      </c>
      <c r="F5947" s="13" t="s">
        <v>29</v>
      </c>
      <c r="G5947">
        <v>10</v>
      </c>
      <c r="H5947" t="s">
        <v>30</v>
      </c>
      <c r="I5947">
        <v>10</v>
      </c>
      <c r="J5947" s="15"/>
      <c r="K5947" s="16">
        <f>26.71 - (26.71 * $E$1)</f>
        <v>26.71</v>
      </c>
      <c r="L5947" s="16">
        <f>21.89 - (21.89 * $E$1)</f>
        <v>21.89</v>
      </c>
      <c r="M5947" s="1">
        <v>26.71</v>
      </c>
      <c r="N5947" s="1">
        <v>21.89</v>
      </c>
      <c r="O5947" s="1">
        <v>22.7</v>
      </c>
      <c r="P5947" s="1">
        <v>18.61</v>
      </c>
      <c r="Q5947">
        <v>1.0999999999999999E-2</v>
      </c>
      <c r="R5947">
        <v>3.1999999999999999E-5</v>
      </c>
    </row>
    <row r="5948" spans="1:18" ht="13.8" outlineLevel="1" x14ac:dyDescent="0.25">
      <c r="A5948">
        <v>80984</v>
      </c>
      <c r="B5948" t="s">
        <v>8293</v>
      </c>
      <c r="C5948" t="s">
        <v>8315</v>
      </c>
      <c r="D5948" s="14" t="s">
        <v>8307</v>
      </c>
      <c r="E5948" s="12" t="s">
        <v>28</v>
      </c>
      <c r="F5948" s="13" t="s">
        <v>29</v>
      </c>
      <c r="G5948">
        <v>10</v>
      </c>
      <c r="H5948" t="s">
        <v>30</v>
      </c>
      <c r="I5948">
        <v>10</v>
      </c>
      <c r="J5948" s="15"/>
      <c r="K5948" s="16">
        <f>31.4 - (31.4 * $E$1)</f>
        <v>31.4</v>
      </c>
      <c r="L5948" s="16">
        <f>25.74 - (25.74 * $E$1)</f>
        <v>25.74</v>
      </c>
      <c r="M5948" s="1">
        <v>31.4</v>
      </c>
      <c r="N5948" s="1">
        <v>25.74</v>
      </c>
      <c r="O5948" s="1">
        <v>26.69</v>
      </c>
      <c r="P5948" s="1">
        <v>21.88</v>
      </c>
      <c r="Q5948">
        <v>1.4E-2</v>
      </c>
      <c r="R5948">
        <v>4.0000000000000003E-5</v>
      </c>
    </row>
    <row r="5949" spans="1:18" ht="13.8" outlineLevel="1" x14ac:dyDescent="0.25">
      <c r="A5949">
        <v>80985</v>
      </c>
      <c r="B5949" t="s">
        <v>8293</v>
      </c>
      <c r="C5949" t="s">
        <v>8316</v>
      </c>
      <c r="D5949" s="14" t="s">
        <v>8307</v>
      </c>
      <c r="E5949" s="12" t="s">
        <v>28</v>
      </c>
      <c r="F5949" s="13" t="s">
        <v>29</v>
      </c>
      <c r="G5949">
        <v>10</v>
      </c>
      <c r="H5949" t="s">
        <v>30</v>
      </c>
      <c r="I5949">
        <v>10</v>
      </c>
      <c r="J5949" s="15"/>
      <c r="K5949" s="16">
        <f>41.88 - (41.88 * $E$1)</f>
        <v>41.88</v>
      </c>
      <c r="L5949" s="16">
        <f>34.33 - (34.33 * $E$1)</f>
        <v>34.33</v>
      </c>
      <c r="M5949" s="1">
        <v>41.88</v>
      </c>
      <c r="N5949" s="1">
        <v>34.33</v>
      </c>
      <c r="O5949" s="1">
        <v>35.6</v>
      </c>
      <c r="P5949" s="1">
        <v>29.18</v>
      </c>
      <c r="Q5949">
        <v>1.6E-2</v>
      </c>
      <c r="R5949">
        <v>5.1999999999999997E-5</v>
      </c>
    </row>
    <row r="5950" spans="1:18" ht="13.8" outlineLevel="1" x14ac:dyDescent="0.25">
      <c r="A5950">
        <v>80986</v>
      </c>
      <c r="B5950" t="s">
        <v>8293</v>
      </c>
      <c r="C5950" t="s">
        <v>8317</v>
      </c>
      <c r="D5950" s="14" t="s">
        <v>8307</v>
      </c>
      <c r="E5950" s="12" t="s">
        <v>28</v>
      </c>
      <c r="F5950" s="13" t="s">
        <v>29</v>
      </c>
      <c r="G5950">
        <v>10</v>
      </c>
      <c r="H5950" t="s">
        <v>30</v>
      </c>
      <c r="I5950">
        <v>10</v>
      </c>
      <c r="J5950" s="15"/>
      <c r="K5950" s="16">
        <f>54.99 - (54.99 * $E$1)</f>
        <v>54.99</v>
      </c>
      <c r="L5950" s="16">
        <f>45.07 - (45.07 * $E$1)</f>
        <v>45.07</v>
      </c>
      <c r="M5950" s="1">
        <v>54.99</v>
      </c>
      <c r="N5950" s="1">
        <v>45.07</v>
      </c>
      <c r="O5950" s="1">
        <v>46.74</v>
      </c>
      <c r="P5950" s="1">
        <v>38.31</v>
      </c>
      <c r="Q5950">
        <v>3.4000000000000002E-2</v>
      </c>
      <c r="R5950">
        <v>9.0000000000000006E-5</v>
      </c>
    </row>
    <row r="5951" spans="1:18" ht="13.8" outlineLevel="1" x14ac:dyDescent="0.25">
      <c r="A5951">
        <v>49319</v>
      </c>
      <c r="B5951" t="s">
        <v>8318</v>
      </c>
      <c r="C5951" t="s">
        <v>8319</v>
      </c>
      <c r="D5951" s="14" t="s">
        <v>8320</v>
      </c>
      <c r="E5951" s="12" t="s">
        <v>28</v>
      </c>
      <c r="F5951" s="13" t="s">
        <v>29</v>
      </c>
      <c r="G5951">
        <v>100</v>
      </c>
      <c r="H5951" t="s">
        <v>30</v>
      </c>
      <c r="I5951">
        <v>100</v>
      </c>
      <c r="J5951" s="15"/>
      <c r="K5951" s="16">
        <f>1.96 - (1.96 * $E$1)</f>
        <v>1.96</v>
      </c>
      <c r="L5951" s="16">
        <f>1.61 - (1.61 * $E$1)</f>
        <v>1.61</v>
      </c>
      <c r="M5951" s="1">
        <v>1.96</v>
      </c>
      <c r="N5951" s="1">
        <v>1.61</v>
      </c>
      <c r="O5951" s="1">
        <v>1.67</v>
      </c>
      <c r="P5951" s="1">
        <v>1.37</v>
      </c>
      <c r="Q5951">
        <v>1.6000000000000001E-3</v>
      </c>
      <c r="R5951">
        <v>6.2400000000000004E-6</v>
      </c>
    </row>
    <row r="5952" spans="1:18" ht="13.8" outlineLevel="1" x14ac:dyDescent="0.25">
      <c r="A5952">
        <v>49150</v>
      </c>
      <c r="B5952" t="s">
        <v>8318</v>
      </c>
      <c r="C5952" t="s">
        <v>8321</v>
      </c>
      <c r="D5952" s="14" t="s">
        <v>8320</v>
      </c>
      <c r="E5952" s="12" t="s">
        <v>28</v>
      </c>
      <c r="F5952" s="13" t="s">
        <v>29</v>
      </c>
      <c r="G5952">
        <v>100</v>
      </c>
      <c r="H5952" t="s">
        <v>30</v>
      </c>
      <c r="I5952">
        <v>100</v>
      </c>
      <c r="J5952" s="15"/>
      <c r="K5952" s="16">
        <f>2.14 - (2.14 * $E$1)</f>
        <v>2.14</v>
      </c>
      <c r="L5952" s="16">
        <f>1.75 - (1.75 * $E$1)</f>
        <v>1.75</v>
      </c>
      <c r="M5952" s="1">
        <v>2.14</v>
      </c>
      <c r="N5952" s="1">
        <v>1.75</v>
      </c>
      <c r="O5952" s="1">
        <v>1.81</v>
      </c>
      <c r="P5952" s="1">
        <v>1.49</v>
      </c>
      <c r="Q5952">
        <v>1.8E-3</v>
      </c>
      <c r="R5952">
        <v>6.72E-6</v>
      </c>
    </row>
    <row r="5953" spans="1:18" ht="13.8" outlineLevel="1" x14ac:dyDescent="0.25">
      <c r="A5953">
        <v>49151</v>
      </c>
      <c r="B5953" t="s">
        <v>8318</v>
      </c>
      <c r="C5953" t="s">
        <v>8322</v>
      </c>
      <c r="D5953" s="14" t="s">
        <v>8320</v>
      </c>
      <c r="E5953" s="12" t="s">
        <v>28</v>
      </c>
      <c r="F5953" s="13" t="s">
        <v>29</v>
      </c>
      <c r="G5953">
        <v>100</v>
      </c>
      <c r="H5953" t="s">
        <v>30</v>
      </c>
      <c r="I5953">
        <v>100</v>
      </c>
      <c r="J5953" s="15"/>
      <c r="K5953" s="16">
        <f>2.27 - (2.27 * $E$1)</f>
        <v>2.27</v>
      </c>
      <c r="L5953" s="16">
        <f>1.86 - (1.86 * $E$1)</f>
        <v>1.86</v>
      </c>
      <c r="M5953" s="1">
        <v>2.27</v>
      </c>
      <c r="N5953" s="1">
        <v>1.86</v>
      </c>
      <c r="O5953" s="1">
        <v>1.93</v>
      </c>
      <c r="P5953" s="1">
        <v>1.58</v>
      </c>
      <c r="Q5953">
        <v>2.0999999999999999E-3</v>
      </c>
      <c r="R5953">
        <v>7.1999999999999997E-6</v>
      </c>
    </row>
    <row r="5954" spans="1:18" ht="13.8" outlineLevel="1" x14ac:dyDescent="0.25">
      <c r="A5954">
        <v>47422</v>
      </c>
      <c r="B5954" t="s">
        <v>8318</v>
      </c>
      <c r="C5954" t="s">
        <v>8323</v>
      </c>
      <c r="D5954" s="14" t="s">
        <v>8320</v>
      </c>
      <c r="E5954" s="12" t="s">
        <v>28</v>
      </c>
      <c r="F5954" s="13" t="s">
        <v>29</v>
      </c>
      <c r="G5954">
        <v>100</v>
      </c>
      <c r="H5954" t="s">
        <v>30</v>
      </c>
      <c r="I5954">
        <v>100</v>
      </c>
      <c r="J5954" s="15"/>
      <c r="K5954" s="16">
        <f>2.46 - (2.46 * $E$1)</f>
        <v>2.46</v>
      </c>
      <c r="L5954" s="16">
        <f>2.02 - (2.02 * $E$1)</f>
        <v>2.02</v>
      </c>
      <c r="M5954" s="1">
        <v>2.46</v>
      </c>
      <c r="N5954" s="1">
        <v>2.02</v>
      </c>
      <c r="O5954" s="1">
        <v>2.09</v>
      </c>
      <c r="P5954" s="1">
        <v>1.72</v>
      </c>
      <c r="Q5954">
        <v>2.5999999999999999E-3</v>
      </c>
      <c r="R5954">
        <v>7.1999999999999997E-6</v>
      </c>
    </row>
    <row r="5955" spans="1:18" ht="13.8" outlineLevel="1" x14ac:dyDescent="0.25">
      <c r="A5955">
        <v>49152</v>
      </c>
      <c r="B5955" t="s">
        <v>8318</v>
      </c>
      <c r="C5955" t="s">
        <v>8324</v>
      </c>
      <c r="D5955" s="14" t="s">
        <v>8320</v>
      </c>
      <c r="E5955" s="12" t="s">
        <v>28</v>
      </c>
      <c r="F5955" s="13" t="s">
        <v>29</v>
      </c>
      <c r="G5955">
        <v>100</v>
      </c>
      <c r="H5955" t="s">
        <v>30</v>
      </c>
      <c r="I5955">
        <v>100</v>
      </c>
      <c r="J5955" s="15"/>
      <c r="K5955" s="16">
        <f>2.64 - (2.64 * $E$1)</f>
        <v>2.64</v>
      </c>
      <c r="L5955" s="16">
        <f>2.16 - (2.16 * $E$1)</f>
        <v>2.16</v>
      </c>
      <c r="M5955" s="1">
        <v>2.64</v>
      </c>
      <c r="N5955" s="1">
        <v>2.16</v>
      </c>
      <c r="O5955" s="1">
        <v>2.2400000000000002</v>
      </c>
      <c r="P5955" s="1">
        <v>1.84</v>
      </c>
      <c r="Q5955">
        <v>2.8999999999999998E-3</v>
      </c>
      <c r="R5955">
        <v>8.1599999999999998E-6</v>
      </c>
    </row>
    <row r="5956" spans="1:18" ht="13.8" outlineLevel="1" x14ac:dyDescent="0.25">
      <c r="A5956">
        <v>49120</v>
      </c>
      <c r="B5956" t="s">
        <v>8318</v>
      </c>
      <c r="C5956" t="s">
        <v>8325</v>
      </c>
      <c r="D5956" s="14" t="s">
        <v>8320</v>
      </c>
      <c r="E5956" s="12" t="s">
        <v>28</v>
      </c>
      <c r="F5956" s="13" t="s">
        <v>29</v>
      </c>
      <c r="G5956">
        <v>100</v>
      </c>
      <c r="H5956" t="s">
        <v>30</v>
      </c>
      <c r="I5956">
        <v>100</v>
      </c>
      <c r="J5956" s="15"/>
      <c r="K5956" s="16">
        <f>3.1 - (3.1 * $E$1)</f>
        <v>3.1</v>
      </c>
      <c r="L5956" s="16">
        <f>2.54 - (2.54 * $E$1)</f>
        <v>2.54</v>
      </c>
      <c r="M5956" s="1">
        <v>3.1</v>
      </c>
      <c r="N5956" s="1">
        <v>2.54</v>
      </c>
      <c r="O5956" s="1">
        <v>2.63</v>
      </c>
      <c r="P5956" s="1">
        <v>2.16</v>
      </c>
      <c r="Q5956">
        <v>4.0000000000000001E-3</v>
      </c>
      <c r="R5956">
        <v>1.216E-5</v>
      </c>
    </row>
    <row r="5957" spans="1:18" ht="13.8" outlineLevel="1" x14ac:dyDescent="0.25">
      <c r="A5957">
        <v>49188</v>
      </c>
      <c r="B5957" t="s">
        <v>8318</v>
      </c>
      <c r="C5957" t="s">
        <v>8326</v>
      </c>
      <c r="D5957" s="14" t="s">
        <v>8320</v>
      </c>
      <c r="E5957" s="12" t="s">
        <v>28</v>
      </c>
      <c r="F5957" s="13" t="s">
        <v>29</v>
      </c>
      <c r="G5957">
        <v>100</v>
      </c>
      <c r="H5957" t="s">
        <v>30</v>
      </c>
      <c r="I5957">
        <v>100</v>
      </c>
      <c r="J5957" s="15"/>
      <c r="K5957" s="16">
        <f>3.21 - (3.21 * $E$1)</f>
        <v>3.21</v>
      </c>
      <c r="L5957" s="16">
        <f>2.63 - (2.63 * $E$1)</f>
        <v>2.63</v>
      </c>
      <c r="M5957" s="1">
        <v>3.21</v>
      </c>
      <c r="N5957" s="1">
        <v>2.63</v>
      </c>
      <c r="O5957" s="1">
        <v>2.73</v>
      </c>
      <c r="P5957" s="1">
        <v>2.2400000000000002</v>
      </c>
      <c r="Q5957">
        <v>4.3E-3</v>
      </c>
      <c r="R5957">
        <v>1.344E-5</v>
      </c>
    </row>
    <row r="5958" spans="1:18" ht="13.8" outlineLevel="1" x14ac:dyDescent="0.25">
      <c r="A5958">
        <v>49116</v>
      </c>
      <c r="B5958" t="s">
        <v>8318</v>
      </c>
      <c r="C5958" t="s">
        <v>8327</v>
      </c>
      <c r="D5958" s="14" t="s">
        <v>8320</v>
      </c>
      <c r="E5958" s="12" t="s">
        <v>28</v>
      </c>
      <c r="F5958" s="13" t="s">
        <v>29</v>
      </c>
      <c r="G5958">
        <v>100</v>
      </c>
      <c r="H5958" t="s">
        <v>30</v>
      </c>
      <c r="I5958">
        <v>100</v>
      </c>
      <c r="J5958" s="15"/>
      <c r="K5958" s="16">
        <f>3.57 - (3.57 * $E$1)</f>
        <v>3.57</v>
      </c>
      <c r="L5958" s="16">
        <f>2.93 - (2.93 * $E$1)</f>
        <v>2.93</v>
      </c>
      <c r="M5958" s="1">
        <v>3.57</v>
      </c>
      <c r="N5958" s="1">
        <v>2.93</v>
      </c>
      <c r="O5958" s="1">
        <v>3.04</v>
      </c>
      <c r="P5958" s="1">
        <v>2.4900000000000002</v>
      </c>
      <c r="Q5958">
        <v>5.1999999999999998E-3</v>
      </c>
      <c r="R5958">
        <v>1.472E-5</v>
      </c>
    </row>
    <row r="5959" spans="1:18" ht="13.8" outlineLevel="1" x14ac:dyDescent="0.25">
      <c r="A5959">
        <v>49117</v>
      </c>
      <c r="B5959" t="s">
        <v>8318</v>
      </c>
      <c r="C5959" t="s">
        <v>8328</v>
      </c>
      <c r="D5959" s="14" t="s">
        <v>8320</v>
      </c>
      <c r="E5959" s="12" t="s">
        <v>28</v>
      </c>
      <c r="F5959" s="13" t="s">
        <v>29</v>
      </c>
      <c r="G5959">
        <v>50</v>
      </c>
      <c r="H5959" t="s">
        <v>30</v>
      </c>
      <c r="I5959">
        <v>50</v>
      </c>
      <c r="J5959" s="15"/>
      <c r="K5959" s="16">
        <f>6 - (6 * $E$1)</f>
        <v>6</v>
      </c>
      <c r="L5959" s="16">
        <f>4.92 - (4.92 * $E$1)</f>
        <v>4.92</v>
      </c>
      <c r="M5959" s="1">
        <v>6</v>
      </c>
      <c r="N5959" s="1">
        <v>4.92</v>
      </c>
      <c r="O5959" s="1">
        <v>5.0999999999999996</v>
      </c>
      <c r="P5959" s="1">
        <v>4.18</v>
      </c>
      <c r="Q5959">
        <v>9.1999999999999998E-3</v>
      </c>
      <c r="R5959">
        <v>3.68E-5</v>
      </c>
    </row>
    <row r="5960" spans="1:18" ht="13.8" outlineLevel="1" x14ac:dyDescent="0.25">
      <c r="A5960">
        <v>49118</v>
      </c>
      <c r="B5960" t="s">
        <v>8318</v>
      </c>
      <c r="C5960" t="s">
        <v>8329</v>
      </c>
      <c r="D5960" s="14" t="s">
        <v>8320</v>
      </c>
      <c r="E5960" s="12" t="s">
        <v>28</v>
      </c>
      <c r="F5960" s="13" t="s">
        <v>29</v>
      </c>
      <c r="G5960">
        <v>50</v>
      </c>
      <c r="H5960" t="s">
        <v>30</v>
      </c>
      <c r="I5960">
        <v>50</v>
      </c>
      <c r="J5960" s="15"/>
      <c r="K5960" s="16">
        <f>7.16 - (7.16 * $E$1)</f>
        <v>7.16</v>
      </c>
      <c r="L5960" s="16">
        <f>5.87 - (5.87 * $E$1)</f>
        <v>5.87</v>
      </c>
      <c r="M5960" s="1">
        <v>7.16</v>
      </c>
      <c r="N5960" s="1">
        <v>5.87</v>
      </c>
      <c r="O5960" s="1">
        <v>6.09</v>
      </c>
      <c r="P5960" s="1">
        <v>4.99</v>
      </c>
      <c r="Q5960">
        <v>1.12E-2</v>
      </c>
      <c r="R5960">
        <v>5.2500000000000002E-5</v>
      </c>
    </row>
    <row r="5961" spans="1:18" ht="13.8" outlineLevel="1" x14ac:dyDescent="0.25">
      <c r="A5961">
        <v>49119</v>
      </c>
      <c r="B5961" t="s">
        <v>8318</v>
      </c>
      <c r="C5961" t="s">
        <v>8330</v>
      </c>
      <c r="D5961" s="14" t="s">
        <v>8320</v>
      </c>
      <c r="E5961" s="12" t="s">
        <v>28</v>
      </c>
      <c r="F5961" s="13" t="s">
        <v>29</v>
      </c>
      <c r="G5961">
        <v>50</v>
      </c>
      <c r="H5961" t="s">
        <v>30</v>
      </c>
      <c r="I5961">
        <v>50</v>
      </c>
      <c r="J5961" s="15"/>
      <c r="K5961" s="16">
        <f>12.03 - (12.03 * $E$1)</f>
        <v>12.03</v>
      </c>
      <c r="L5961" s="16">
        <f>9.86 - (9.86 * $E$1)</f>
        <v>9.86</v>
      </c>
      <c r="M5961" s="1">
        <v>12.03</v>
      </c>
      <c r="N5961" s="1">
        <v>9.86</v>
      </c>
      <c r="O5961" s="1">
        <v>10.220000000000001</v>
      </c>
      <c r="P5961" s="1">
        <v>8.3800000000000008</v>
      </c>
      <c r="Q5961">
        <v>2.3800000000000002E-2</v>
      </c>
      <c r="R5961">
        <v>7.7999999999999999E-5</v>
      </c>
    </row>
    <row r="5962" spans="1:18" ht="13.8" outlineLevel="1" x14ac:dyDescent="0.25">
      <c r="A5962">
        <v>69201</v>
      </c>
      <c r="B5962" t="s">
        <v>8318</v>
      </c>
      <c r="C5962" t="s">
        <v>8331</v>
      </c>
      <c r="D5962" s="14" t="s">
        <v>8320</v>
      </c>
      <c r="E5962" s="12" t="s">
        <v>28</v>
      </c>
      <c r="F5962" s="13" t="s">
        <v>29</v>
      </c>
      <c r="G5962">
        <v>50</v>
      </c>
      <c r="H5962" t="s">
        <v>30</v>
      </c>
      <c r="I5962">
        <v>50</v>
      </c>
      <c r="J5962" s="15"/>
      <c r="K5962" s="16">
        <f>14.23 - (14.23 * $E$1)</f>
        <v>14.23</v>
      </c>
      <c r="L5962" s="16">
        <f>11.66 - (11.66 * $E$1)</f>
        <v>11.66</v>
      </c>
      <c r="M5962" s="1">
        <v>14.23</v>
      </c>
      <c r="N5962" s="1">
        <v>11.66</v>
      </c>
      <c r="O5962" s="1">
        <v>12.09</v>
      </c>
      <c r="P5962" s="1">
        <v>9.91</v>
      </c>
      <c r="Q5962">
        <v>3.0200000000000001E-2</v>
      </c>
      <c r="R5962">
        <v>7.7999999999999999E-5</v>
      </c>
    </row>
    <row r="5963" spans="1:18" ht="13.8" outlineLevel="1" x14ac:dyDescent="0.25">
      <c r="A5963">
        <v>102660</v>
      </c>
      <c r="B5963" t="s">
        <v>8332</v>
      </c>
      <c r="C5963" t="s">
        <v>8333</v>
      </c>
      <c r="D5963" s="14" t="s">
        <v>8334</v>
      </c>
      <c r="E5963" s="12" t="s">
        <v>28</v>
      </c>
      <c r="F5963" s="13" t="s">
        <v>29</v>
      </c>
      <c r="G5963">
        <v>50</v>
      </c>
      <c r="H5963" t="s">
        <v>30</v>
      </c>
      <c r="I5963">
        <v>50</v>
      </c>
      <c r="J5963" s="15"/>
      <c r="K5963" s="16">
        <f>43.42 - (43.42 * $E$1)</f>
        <v>43.42</v>
      </c>
      <c r="L5963" s="16">
        <f>35.59 - (35.59 * $E$1)</f>
        <v>35.590000000000003</v>
      </c>
      <c r="M5963" s="1">
        <v>43.42</v>
      </c>
      <c r="N5963" s="1">
        <v>35.590000000000003</v>
      </c>
      <c r="O5963" s="1">
        <v>36.909999999999997</v>
      </c>
      <c r="P5963" s="1">
        <v>30.25</v>
      </c>
      <c r="Q5963">
        <v>2.5600000000000001E-2</v>
      </c>
      <c r="R5963">
        <v>4.8760000000000001E-5</v>
      </c>
    </row>
    <row r="5964" spans="1:18" ht="13.8" outlineLevel="1" x14ac:dyDescent="0.25">
      <c r="A5964">
        <v>102661</v>
      </c>
      <c r="B5964" t="s">
        <v>8332</v>
      </c>
      <c r="C5964" t="s">
        <v>8335</v>
      </c>
      <c r="D5964" s="14" t="s">
        <v>8334</v>
      </c>
      <c r="E5964" s="12" t="s">
        <v>28</v>
      </c>
      <c r="F5964" s="13" t="s">
        <v>29</v>
      </c>
      <c r="G5964">
        <v>50</v>
      </c>
      <c r="H5964" t="s">
        <v>30</v>
      </c>
      <c r="I5964">
        <v>50</v>
      </c>
      <c r="J5964" s="15"/>
      <c r="K5964" s="16">
        <f>45.68 - (45.68 * $E$1)</f>
        <v>45.68</v>
      </c>
      <c r="L5964" s="16">
        <f>37.44 - (37.44 * $E$1)</f>
        <v>37.44</v>
      </c>
      <c r="M5964" s="1">
        <v>45.68</v>
      </c>
      <c r="N5964" s="1">
        <v>37.44</v>
      </c>
      <c r="O5964" s="1">
        <v>38.83</v>
      </c>
      <c r="P5964" s="1">
        <v>31.82</v>
      </c>
      <c r="Q5964">
        <v>2.7199999999999998E-2</v>
      </c>
      <c r="R5964">
        <v>1E-4</v>
      </c>
    </row>
    <row r="5965" spans="1:18" ht="13.8" outlineLevel="1" x14ac:dyDescent="0.25">
      <c r="A5965">
        <v>102662</v>
      </c>
      <c r="B5965" t="s">
        <v>8332</v>
      </c>
      <c r="C5965" t="s">
        <v>8336</v>
      </c>
      <c r="D5965" s="14" t="s">
        <v>8334</v>
      </c>
      <c r="E5965" s="12" t="s">
        <v>28</v>
      </c>
      <c r="F5965" s="13" t="s">
        <v>29</v>
      </c>
      <c r="G5965">
        <v>28</v>
      </c>
      <c r="H5965" t="s">
        <v>30</v>
      </c>
      <c r="I5965">
        <v>28</v>
      </c>
      <c r="J5965" s="15"/>
      <c r="K5965" s="16">
        <f>47.74 - (47.74 * $E$1)</f>
        <v>47.74</v>
      </c>
      <c r="L5965" s="16">
        <f>39.13 - (39.13 * $E$1)</f>
        <v>39.130000000000003</v>
      </c>
      <c r="M5965" s="1">
        <v>47.74</v>
      </c>
      <c r="N5965" s="1">
        <v>39.130000000000003</v>
      </c>
      <c r="O5965" s="1">
        <v>40.58</v>
      </c>
      <c r="P5965" s="1">
        <v>33.26</v>
      </c>
      <c r="Q5965">
        <v>2.6785714285714E-2</v>
      </c>
      <c r="R5965">
        <v>7.7142857142857004E-5</v>
      </c>
    </row>
    <row r="5966" spans="1:18" ht="13.8" outlineLevel="1" x14ac:dyDescent="0.25">
      <c r="A5966">
        <v>102663</v>
      </c>
      <c r="B5966" t="s">
        <v>8332</v>
      </c>
      <c r="C5966" t="s">
        <v>8337</v>
      </c>
      <c r="D5966" s="14" t="s">
        <v>8334</v>
      </c>
      <c r="E5966" s="12" t="s">
        <v>28</v>
      </c>
      <c r="F5966" s="13" t="s">
        <v>29</v>
      </c>
      <c r="G5966">
        <v>25</v>
      </c>
      <c r="H5966" t="s">
        <v>30</v>
      </c>
      <c r="I5966">
        <v>25</v>
      </c>
      <c r="J5966" s="15"/>
      <c r="K5966" s="16">
        <f>49.57 - (49.57 * $E$1)</f>
        <v>49.57</v>
      </c>
      <c r="L5966" s="16">
        <f>40.63 - (40.63 * $E$1)</f>
        <v>40.630000000000003</v>
      </c>
      <c r="M5966" s="1">
        <v>49.57</v>
      </c>
      <c r="N5966" s="1">
        <v>40.630000000000003</v>
      </c>
      <c r="O5966" s="1">
        <v>42.13</v>
      </c>
      <c r="P5966" s="1">
        <v>34.54</v>
      </c>
      <c r="Q5966">
        <v>2.8400000000000002E-2</v>
      </c>
      <c r="R5966">
        <v>1.1252E-4</v>
      </c>
    </row>
    <row r="5967" spans="1:18" ht="13.8" outlineLevel="1" x14ac:dyDescent="0.25">
      <c r="A5967">
        <v>102664</v>
      </c>
      <c r="B5967" t="s">
        <v>8332</v>
      </c>
      <c r="C5967" t="s">
        <v>8338</v>
      </c>
      <c r="D5967" s="14" t="s">
        <v>8334</v>
      </c>
      <c r="E5967" s="12" t="s">
        <v>28</v>
      </c>
      <c r="F5967" s="13" t="s">
        <v>29</v>
      </c>
      <c r="G5967">
        <v>20</v>
      </c>
      <c r="H5967" t="s">
        <v>30</v>
      </c>
      <c r="I5967">
        <v>20</v>
      </c>
      <c r="J5967" s="15"/>
      <c r="K5967" s="16">
        <f>64.87 - (64.87 * $E$1)</f>
        <v>64.87</v>
      </c>
      <c r="L5967" s="16">
        <f>53.17 - (53.17 * $E$1)</f>
        <v>53.17</v>
      </c>
      <c r="M5967" s="1">
        <v>64.87</v>
      </c>
      <c r="N5967" s="1">
        <v>53.17</v>
      </c>
      <c r="O5967" s="1">
        <v>55.14</v>
      </c>
      <c r="P5967" s="1">
        <v>45.19</v>
      </c>
      <c r="Q5967">
        <v>4.1500000000000002E-2</v>
      </c>
      <c r="R5967">
        <v>9.8999999999999994E-5</v>
      </c>
    </row>
    <row r="5968" spans="1:18" ht="13.8" outlineLevel="1" x14ac:dyDescent="0.25">
      <c r="A5968">
        <v>102665</v>
      </c>
      <c r="B5968" t="s">
        <v>8332</v>
      </c>
      <c r="C5968" t="s">
        <v>8339</v>
      </c>
      <c r="D5968" s="14" t="s">
        <v>8334</v>
      </c>
      <c r="E5968" s="12" t="s">
        <v>28</v>
      </c>
      <c r="F5968" s="13" t="s">
        <v>29</v>
      </c>
      <c r="G5968">
        <v>10</v>
      </c>
      <c r="H5968" t="s">
        <v>30</v>
      </c>
      <c r="I5968">
        <v>10</v>
      </c>
      <c r="J5968" s="15"/>
      <c r="K5968" s="16">
        <f>72.68 - (72.68 * $E$1)</f>
        <v>72.680000000000007</v>
      </c>
      <c r="L5968" s="16">
        <f>59.57 - (59.57 * $E$1)</f>
        <v>59.57</v>
      </c>
      <c r="M5968" s="1">
        <v>72.680000000000007</v>
      </c>
      <c r="N5968" s="1">
        <v>59.57</v>
      </c>
      <c r="O5968" s="1">
        <v>61.77</v>
      </c>
      <c r="P5968" s="1">
        <v>50.63</v>
      </c>
      <c r="Q5968">
        <v>4.8000000000000001E-2</v>
      </c>
      <c r="R5968">
        <v>1.56E-4</v>
      </c>
    </row>
    <row r="5969" spans="1:18" ht="13.8" outlineLevel="1" x14ac:dyDescent="0.25">
      <c r="A5969">
        <v>64795</v>
      </c>
      <c r="B5969" t="s">
        <v>8318</v>
      </c>
      <c r="C5969" t="s">
        <v>8340</v>
      </c>
      <c r="D5969" s="14" t="s">
        <v>8341</v>
      </c>
      <c r="E5969" s="12" t="s">
        <v>28</v>
      </c>
      <c r="F5969" s="13" t="s">
        <v>29</v>
      </c>
      <c r="G5969">
        <v>100</v>
      </c>
      <c r="H5969" t="s">
        <v>30</v>
      </c>
      <c r="I5969">
        <v>100</v>
      </c>
      <c r="J5969" s="15"/>
      <c r="K5969" s="16">
        <f>2.35 - (2.35 * $E$1)</f>
        <v>2.35</v>
      </c>
      <c r="L5969" s="16">
        <f>1.93 - (1.93 * $E$1)</f>
        <v>1.93</v>
      </c>
      <c r="M5969" s="1">
        <v>2.35</v>
      </c>
      <c r="N5969" s="1">
        <v>1.93</v>
      </c>
      <c r="O5969" s="1">
        <v>2</v>
      </c>
      <c r="P5969" s="1">
        <v>1.64</v>
      </c>
      <c r="Q5969">
        <v>2.0999999999999999E-3</v>
      </c>
      <c r="R5969">
        <v>7.1999999999999997E-6</v>
      </c>
    </row>
    <row r="5970" spans="1:18" ht="13.8" outlineLevel="1" x14ac:dyDescent="0.25">
      <c r="A5970">
        <v>52759</v>
      </c>
      <c r="B5970" t="s">
        <v>8318</v>
      </c>
      <c r="C5970" t="s">
        <v>8342</v>
      </c>
      <c r="D5970" s="14" t="s">
        <v>8341</v>
      </c>
      <c r="E5970" s="12" t="s">
        <v>28</v>
      </c>
      <c r="F5970" s="13" t="s">
        <v>29</v>
      </c>
      <c r="G5970">
        <v>100</v>
      </c>
      <c r="H5970" t="s">
        <v>30</v>
      </c>
      <c r="I5970">
        <v>100</v>
      </c>
      <c r="J5970" s="15"/>
      <c r="K5970" s="16">
        <f>2.46 - (2.46 * $E$1)</f>
        <v>2.46</v>
      </c>
      <c r="L5970" s="16">
        <f>2.02 - (2.02 * $E$1)</f>
        <v>2.02</v>
      </c>
      <c r="M5970" s="1">
        <v>2.46</v>
      </c>
      <c r="N5970" s="1">
        <v>2.02</v>
      </c>
      <c r="O5970" s="1">
        <v>2.09</v>
      </c>
      <c r="P5970" s="1">
        <v>1.72</v>
      </c>
      <c r="Q5970">
        <v>2.3999999999999998E-3</v>
      </c>
      <c r="R5970">
        <v>7.9699999999999999E-6</v>
      </c>
    </row>
    <row r="5971" spans="1:18" ht="13.8" outlineLevel="1" x14ac:dyDescent="0.25">
      <c r="A5971">
        <v>52423</v>
      </c>
      <c r="B5971" t="s">
        <v>8318</v>
      </c>
      <c r="C5971" t="s">
        <v>8343</v>
      </c>
      <c r="D5971" s="14" t="s">
        <v>8341</v>
      </c>
      <c r="E5971" s="12" t="s">
        <v>28</v>
      </c>
      <c r="F5971" s="13" t="s">
        <v>29</v>
      </c>
      <c r="G5971">
        <v>100</v>
      </c>
      <c r="H5971" t="s">
        <v>30</v>
      </c>
      <c r="I5971">
        <v>100</v>
      </c>
      <c r="J5971" s="15"/>
      <c r="K5971" s="16">
        <f>2.57 - (2.57 * $E$1)</f>
        <v>2.57</v>
      </c>
      <c r="L5971" s="16">
        <f>2.11 - (2.11 * $E$1)</f>
        <v>2.11</v>
      </c>
      <c r="M5971" s="1">
        <v>2.57</v>
      </c>
      <c r="N5971" s="1">
        <v>2.11</v>
      </c>
      <c r="O5971" s="1">
        <v>2.19</v>
      </c>
      <c r="P5971" s="1">
        <v>1.79</v>
      </c>
      <c r="Q5971">
        <v>2.5999999999999999E-3</v>
      </c>
      <c r="R5971">
        <v>8.6400000000000003E-6</v>
      </c>
    </row>
    <row r="5972" spans="1:18" ht="13.8" outlineLevel="1" x14ac:dyDescent="0.25">
      <c r="A5972">
        <v>49373</v>
      </c>
      <c r="B5972" t="s">
        <v>8318</v>
      </c>
      <c r="C5972" t="s">
        <v>8344</v>
      </c>
      <c r="D5972" s="14" t="s">
        <v>8341</v>
      </c>
      <c r="E5972" s="12" t="s">
        <v>28</v>
      </c>
      <c r="F5972" s="13" t="s">
        <v>29</v>
      </c>
      <c r="G5972">
        <v>100</v>
      </c>
      <c r="H5972" t="s">
        <v>30</v>
      </c>
      <c r="I5972">
        <v>100</v>
      </c>
      <c r="J5972" s="15"/>
      <c r="K5972" s="16">
        <f>2.68 - (2.68 * $E$1)</f>
        <v>2.68</v>
      </c>
      <c r="L5972" s="16">
        <f>2.2 - (2.2 * $E$1)</f>
        <v>2.2000000000000002</v>
      </c>
      <c r="M5972" s="1">
        <v>2.68</v>
      </c>
      <c r="N5972" s="1">
        <v>2.2000000000000002</v>
      </c>
      <c r="O5972" s="1">
        <v>2.2799999999999998</v>
      </c>
      <c r="P5972" s="1">
        <v>1.87</v>
      </c>
      <c r="Q5972">
        <v>2.8999999999999998E-3</v>
      </c>
      <c r="R5972">
        <v>8.6400000000000003E-6</v>
      </c>
    </row>
    <row r="5973" spans="1:18" ht="13.8" outlineLevel="1" x14ac:dyDescent="0.25">
      <c r="A5973">
        <v>49374</v>
      </c>
      <c r="B5973" t="s">
        <v>8318</v>
      </c>
      <c r="C5973" t="s">
        <v>8345</v>
      </c>
      <c r="D5973" s="14" t="s">
        <v>8341</v>
      </c>
      <c r="E5973" s="12" t="s">
        <v>28</v>
      </c>
      <c r="F5973" s="13" t="s">
        <v>29</v>
      </c>
      <c r="G5973">
        <v>100</v>
      </c>
      <c r="H5973" t="s">
        <v>30</v>
      </c>
      <c r="I5973">
        <v>100</v>
      </c>
      <c r="J5973" s="15"/>
      <c r="K5973" s="16">
        <f>2.75 - (2.75 * $E$1)</f>
        <v>2.75</v>
      </c>
      <c r="L5973" s="16">
        <f>2.25 - (2.25 * $E$1)</f>
        <v>2.25</v>
      </c>
      <c r="M5973" s="1">
        <v>2.75</v>
      </c>
      <c r="N5973" s="1">
        <v>2.25</v>
      </c>
      <c r="O5973" s="1">
        <v>2.33</v>
      </c>
      <c r="P5973" s="1">
        <v>1.91</v>
      </c>
      <c r="Q5973">
        <v>3.0999999999999999E-3</v>
      </c>
      <c r="R5973">
        <v>9.7399999999999999E-6</v>
      </c>
    </row>
    <row r="5974" spans="1:18" ht="13.8" outlineLevel="1" x14ac:dyDescent="0.25">
      <c r="A5974">
        <v>49376</v>
      </c>
      <c r="B5974" t="s">
        <v>8318</v>
      </c>
      <c r="C5974" t="s">
        <v>8346</v>
      </c>
      <c r="D5974" s="14" t="s">
        <v>8341</v>
      </c>
      <c r="E5974" s="12" t="s">
        <v>28</v>
      </c>
      <c r="F5974" s="13" t="s">
        <v>29</v>
      </c>
      <c r="G5974">
        <v>100</v>
      </c>
      <c r="H5974" t="s">
        <v>30</v>
      </c>
      <c r="I5974">
        <v>100</v>
      </c>
      <c r="J5974" s="15"/>
      <c r="K5974" s="16">
        <f>3.43 - (3.43 * $E$1)</f>
        <v>3.43</v>
      </c>
      <c r="L5974" s="16">
        <f>2.81 - (2.81 * $E$1)</f>
        <v>2.81</v>
      </c>
      <c r="M5974" s="1">
        <v>3.43</v>
      </c>
      <c r="N5974" s="1">
        <v>2.81</v>
      </c>
      <c r="O5974" s="1">
        <v>2.91</v>
      </c>
      <c r="P5974" s="1">
        <v>2.39</v>
      </c>
      <c r="Q5974">
        <v>5.0000000000000001E-3</v>
      </c>
      <c r="R5974">
        <v>1.472E-5</v>
      </c>
    </row>
    <row r="5975" spans="1:18" ht="13.8" outlineLevel="1" x14ac:dyDescent="0.25">
      <c r="A5975">
        <v>49377</v>
      </c>
      <c r="B5975" t="s">
        <v>8318</v>
      </c>
      <c r="C5975" t="s">
        <v>8347</v>
      </c>
      <c r="D5975" s="14" t="s">
        <v>8341</v>
      </c>
      <c r="E5975" s="12" t="s">
        <v>28</v>
      </c>
      <c r="F5975" s="13" t="s">
        <v>29</v>
      </c>
      <c r="G5975">
        <v>100</v>
      </c>
      <c r="H5975" t="s">
        <v>30</v>
      </c>
      <c r="I5975">
        <v>100</v>
      </c>
      <c r="J5975" s="15"/>
      <c r="K5975" s="16">
        <f>3.64 - (3.64 * $E$1)</f>
        <v>3.64</v>
      </c>
      <c r="L5975" s="16">
        <f>2.98 - (2.98 * $E$1)</f>
        <v>2.98</v>
      </c>
      <c r="M5975" s="1">
        <v>3.64</v>
      </c>
      <c r="N5975" s="1">
        <v>2.98</v>
      </c>
      <c r="O5975" s="1">
        <v>3.09</v>
      </c>
      <c r="P5975" s="1">
        <v>2.5299999999999998</v>
      </c>
      <c r="Q5975">
        <v>5.4999999999999997E-3</v>
      </c>
      <c r="R5975">
        <v>1.664E-5</v>
      </c>
    </row>
    <row r="5976" spans="1:18" ht="13.8" outlineLevel="1" x14ac:dyDescent="0.25">
      <c r="A5976">
        <v>50226</v>
      </c>
      <c r="B5976" t="s">
        <v>8318</v>
      </c>
      <c r="C5976" t="s">
        <v>8348</v>
      </c>
      <c r="D5976" s="14" t="s">
        <v>8341</v>
      </c>
      <c r="E5976" s="12" t="s">
        <v>28</v>
      </c>
      <c r="F5976" s="13" t="s">
        <v>29</v>
      </c>
      <c r="G5976">
        <v>100</v>
      </c>
      <c r="H5976" t="s">
        <v>30</v>
      </c>
      <c r="I5976">
        <v>100</v>
      </c>
      <c r="J5976" s="15"/>
      <c r="K5976" s="16">
        <f>4.5 - (4.5 * $E$1)</f>
        <v>4.5</v>
      </c>
      <c r="L5976" s="16">
        <f>3.69 - (3.69 * $E$1)</f>
        <v>3.69</v>
      </c>
      <c r="M5976" s="1">
        <v>4.5</v>
      </c>
      <c r="N5976" s="1">
        <v>3.69</v>
      </c>
      <c r="O5976" s="1">
        <v>3.83</v>
      </c>
      <c r="P5976" s="1">
        <v>3.14</v>
      </c>
      <c r="Q5976">
        <v>6.4999999999999997E-3</v>
      </c>
      <c r="R5976">
        <v>2.4000000000000001E-5</v>
      </c>
    </row>
    <row r="5977" spans="1:18" ht="13.8" outlineLevel="1" x14ac:dyDescent="0.25">
      <c r="A5977">
        <v>49378</v>
      </c>
      <c r="B5977" t="s">
        <v>8318</v>
      </c>
      <c r="C5977" t="s">
        <v>8349</v>
      </c>
      <c r="D5977" s="14" t="s">
        <v>8341</v>
      </c>
      <c r="E5977" s="12" t="s">
        <v>28</v>
      </c>
      <c r="F5977" s="13" t="s">
        <v>29</v>
      </c>
      <c r="G5977">
        <v>50</v>
      </c>
      <c r="H5977" t="s">
        <v>30</v>
      </c>
      <c r="I5977">
        <v>50</v>
      </c>
      <c r="J5977" s="15"/>
      <c r="K5977" s="16">
        <f>5.84 - (5.84 * $E$1)</f>
        <v>5.84</v>
      </c>
      <c r="L5977" s="16">
        <f>4.79 - (4.79 * $E$1)</f>
        <v>4.79</v>
      </c>
      <c r="M5977" s="1">
        <v>5.84</v>
      </c>
      <c r="N5977" s="1">
        <v>4.79</v>
      </c>
      <c r="O5977" s="1">
        <v>4.97</v>
      </c>
      <c r="P5977" s="1">
        <v>4.07</v>
      </c>
      <c r="Q5977">
        <v>7.6E-3</v>
      </c>
      <c r="R5977">
        <v>4.8760000000000001E-5</v>
      </c>
    </row>
    <row r="5978" spans="1:18" ht="13.8" outlineLevel="1" x14ac:dyDescent="0.25">
      <c r="A5978">
        <v>49184</v>
      </c>
      <c r="B5978" t="s">
        <v>8318</v>
      </c>
      <c r="C5978" t="s">
        <v>8350</v>
      </c>
      <c r="D5978" s="14" t="s">
        <v>8341</v>
      </c>
      <c r="E5978" s="12" t="s">
        <v>28</v>
      </c>
      <c r="F5978" s="13" t="s">
        <v>29</v>
      </c>
      <c r="G5978">
        <v>50</v>
      </c>
      <c r="H5978" t="s">
        <v>30</v>
      </c>
      <c r="I5978">
        <v>50</v>
      </c>
      <c r="J5978" s="15"/>
      <c r="K5978" s="16">
        <f>8.05 - (8.05 * $E$1)</f>
        <v>8.0500000000000007</v>
      </c>
      <c r="L5978" s="16">
        <f>6.6 - (6.6 * $E$1)</f>
        <v>6.6</v>
      </c>
      <c r="M5978" s="1">
        <v>8.0500000000000007</v>
      </c>
      <c r="N5978" s="1">
        <v>6.6</v>
      </c>
      <c r="O5978" s="1">
        <v>6.84</v>
      </c>
      <c r="P5978" s="1">
        <v>5.61</v>
      </c>
      <c r="Q5978">
        <v>1.2800000000000001E-2</v>
      </c>
      <c r="R5978">
        <v>6.0000000000000002E-5</v>
      </c>
    </row>
    <row r="5979" spans="1:18" ht="13.8" outlineLevel="1" x14ac:dyDescent="0.25">
      <c r="A5979">
        <v>49609</v>
      </c>
      <c r="B5979" t="s">
        <v>8318</v>
      </c>
      <c r="C5979" t="s">
        <v>8351</v>
      </c>
      <c r="D5979" s="14" t="s">
        <v>8341</v>
      </c>
      <c r="E5979" s="12" t="s">
        <v>28</v>
      </c>
      <c r="F5979" s="13" t="s">
        <v>29</v>
      </c>
      <c r="G5979">
        <v>50</v>
      </c>
      <c r="H5979" t="s">
        <v>30</v>
      </c>
      <c r="I5979">
        <v>50</v>
      </c>
      <c r="J5979" s="15"/>
      <c r="K5979" s="16">
        <f>7.66 - (7.66 * $E$1)</f>
        <v>7.66</v>
      </c>
      <c r="L5979" s="16">
        <f>6.28 - (6.28 * $E$1)</f>
        <v>6.28</v>
      </c>
      <c r="M5979" s="1">
        <v>7.66</v>
      </c>
      <c r="N5979" s="1">
        <v>6.28</v>
      </c>
      <c r="O5979" s="1">
        <v>6.51</v>
      </c>
      <c r="P5979" s="1">
        <v>5.34</v>
      </c>
      <c r="Q5979">
        <v>1.5800000000000002E-2</v>
      </c>
      <c r="R5979">
        <v>7.7999999999999999E-5</v>
      </c>
    </row>
    <row r="5980" spans="1:18" ht="13.8" outlineLevel="1" x14ac:dyDescent="0.25">
      <c r="A5980">
        <v>60480</v>
      </c>
      <c r="B5980" t="s">
        <v>8318</v>
      </c>
      <c r="C5980" t="s">
        <v>8352</v>
      </c>
      <c r="D5980" s="14" t="s">
        <v>8341</v>
      </c>
      <c r="E5980" s="12" t="s">
        <v>28</v>
      </c>
      <c r="F5980" s="13" t="s">
        <v>29</v>
      </c>
      <c r="G5980">
        <v>50</v>
      </c>
      <c r="H5980" t="s">
        <v>30</v>
      </c>
      <c r="I5980">
        <v>50</v>
      </c>
      <c r="J5980" s="15"/>
      <c r="K5980" s="16">
        <f>9.17 - (9.17 * $E$1)</f>
        <v>9.17</v>
      </c>
      <c r="L5980" s="16">
        <f>7.52 - (7.52 * $E$1)</f>
        <v>7.52</v>
      </c>
      <c r="M5980" s="1">
        <v>9.17</v>
      </c>
      <c r="N5980" s="1">
        <v>7.52</v>
      </c>
      <c r="O5980" s="1">
        <v>7.8</v>
      </c>
      <c r="P5980" s="1">
        <v>6.39</v>
      </c>
      <c r="Q5980">
        <v>1.9E-2</v>
      </c>
      <c r="R5980">
        <v>7.7999999999999999E-5</v>
      </c>
    </row>
    <row r="5981" spans="1:18" ht="13.8" outlineLevel="1" x14ac:dyDescent="0.25">
      <c r="A5981">
        <v>83796</v>
      </c>
      <c r="B5981" t="s">
        <v>8353</v>
      </c>
      <c r="C5981" t="s">
        <v>8354</v>
      </c>
      <c r="D5981" s="14" t="s">
        <v>8355</v>
      </c>
      <c r="E5981" s="12" t="s">
        <v>28</v>
      </c>
      <c r="F5981" s="13" t="s">
        <v>29</v>
      </c>
      <c r="G5981">
        <v>10</v>
      </c>
      <c r="H5981" t="s">
        <v>30</v>
      </c>
      <c r="I5981">
        <v>10</v>
      </c>
      <c r="J5981" s="15"/>
      <c r="K5981" s="16">
        <f>65.54 - (65.54 * $E$1)</f>
        <v>65.540000000000006</v>
      </c>
      <c r="L5981" s="16">
        <f>53.72 - (53.72 * $E$1)</f>
        <v>53.72</v>
      </c>
      <c r="M5981" s="1">
        <v>65.540000000000006</v>
      </c>
      <c r="N5981" s="1">
        <v>53.72</v>
      </c>
      <c r="O5981" s="1">
        <v>55.71</v>
      </c>
      <c r="P5981" s="1">
        <v>45.66</v>
      </c>
      <c r="Q5981">
        <v>3.5000000000000003E-2</v>
      </c>
      <c r="R5981">
        <v>1.3689999999999999E-4</v>
      </c>
    </row>
    <row r="5982" spans="1:18" ht="13.8" outlineLevel="1" x14ac:dyDescent="0.25">
      <c r="A5982">
        <v>62968</v>
      </c>
      <c r="B5982" t="s">
        <v>8318</v>
      </c>
      <c r="C5982" t="s">
        <v>8356</v>
      </c>
      <c r="D5982" s="14" t="s">
        <v>8357</v>
      </c>
      <c r="E5982" s="12" t="s">
        <v>28</v>
      </c>
      <c r="F5982" s="13" t="s">
        <v>29</v>
      </c>
      <c r="G5982">
        <v>100</v>
      </c>
      <c r="H5982" t="s">
        <v>30</v>
      </c>
      <c r="I5982">
        <v>100</v>
      </c>
      <c r="J5982" s="15"/>
      <c r="K5982" s="16">
        <f>15.19 - (15.19 * $E$1)</f>
        <v>15.19</v>
      </c>
      <c r="L5982" s="16">
        <f>12.45 - (12.45 * $E$1)</f>
        <v>12.45</v>
      </c>
      <c r="M5982" s="1">
        <v>15.19</v>
      </c>
      <c r="N5982" s="1">
        <v>12.45</v>
      </c>
      <c r="O5982" s="1">
        <v>12.91</v>
      </c>
      <c r="P5982" s="1">
        <v>10.58</v>
      </c>
      <c r="Q5982">
        <v>2.3999999999999998E-3</v>
      </c>
      <c r="R5982">
        <v>6.9E-6</v>
      </c>
    </row>
    <row r="5983" spans="1:18" ht="13.8" outlineLevel="1" x14ac:dyDescent="0.25">
      <c r="A5983">
        <v>62969</v>
      </c>
      <c r="B5983" t="s">
        <v>8318</v>
      </c>
      <c r="C5983" t="s">
        <v>8358</v>
      </c>
      <c r="D5983" s="14" t="s">
        <v>8357</v>
      </c>
      <c r="E5983" s="12" t="s">
        <v>28</v>
      </c>
      <c r="F5983" s="13" t="s">
        <v>29</v>
      </c>
      <c r="G5983">
        <v>100</v>
      </c>
      <c r="H5983" t="s">
        <v>30</v>
      </c>
      <c r="I5983">
        <v>100</v>
      </c>
      <c r="J5983" s="15"/>
      <c r="K5983" s="16">
        <f>19.73 - (19.73 * $E$1)</f>
        <v>19.73</v>
      </c>
      <c r="L5983" s="16">
        <f>16.17 - (16.17 * $E$1)</f>
        <v>16.170000000000002</v>
      </c>
      <c r="M5983" s="1">
        <v>19.73</v>
      </c>
      <c r="N5983" s="1">
        <v>16.170000000000002</v>
      </c>
      <c r="O5983" s="1">
        <v>16.77</v>
      </c>
      <c r="P5983" s="1">
        <v>13.74</v>
      </c>
      <c r="Q5983">
        <v>4.1000000000000003E-3</v>
      </c>
      <c r="R5983">
        <v>5.4E-6</v>
      </c>
    </row>
    <row r="5984" spans="1:18" ht="13.8" outlineLevel="1" x14ac:dyDescent="0.25">
      <c r="A5984">
        <v>62970</v>
      </c>
      <c r="B5984" t="s">
        <v>8318</v>
      </c>
      <c r="C5984" t="s">
        <v>8359</v>
      </c>
      <c r="D5984" s="14" t="s">
        <v>8357</v>
      </c>
      <c r="E5984" s="12" t="s">
        <v>28</v>
      </c>
      <c r="F5984" s="13" t="s">
        <v>29</v>
      </c>
      <c r="G5984">
        <v>100</v>
      </c>
      <c r="H5984" t="s">
        <v>30</v>
      </c>
      <c r="I5984">
        <v>100</v>
      </c>
      <c r="J5984" s="15"/>
      <c r="K5984" s="16">
        <f>20.75 - (20.75 * $E$1)</f>
        <v>20.75</v>
      </c>
      <c r="L5984" s="16">
        <f>17.01 - (17.01 * $E$1)</f>
        <v>17.010000000000002</v>
      </c>
      <c r="M5984" s="1">
        <v>20.75</v>
      </c>
      <c r="N5984" s="1">
        <v>17.010000000000002</v>
      </c>
      <c r="O5984" s="1">
        <v>17.64</v>
      </c>
      <c r="P5984" s="1">
        <v>14.46</v>
      </c>
      <c r="Q5984">
        <v>4.7999999999999996E-3</v>
      </c>
      <c r="R5984">
        <v>6.72E-6</v>
      </c>
    </row>
    <row r="5985" spans="1:18" ht="13.8" outlineLevel="1" x14ac:dyDescent="0.25">
      <c r="A5985">
        <v>62971</v>
      </c>
      <c r="B5985" t="s">
        <v>8318</v>
      </c>
      <c r="C5985" t="s">
        <v>8360</v>
      </c>
      <c r="D5985" s="14" t="s">
        <v>8357</v>
      </c>
      <c r="E5985" s="12" t="s">
        <v>28</v>
      </c>
      <c r="F5985" s="13" t="s">
        <v>29</v>
      </c>
      <c r="G5985">
        <v>100</v>
      </c>
      <c r="H5985" t="s">
        <v>30</v>
      </c>
      <c r="I5985">
        <v>100</v>
      </c>
      <c r="J5985" s="15"/>
      <c r="K5985" s="16">
        <f>22.92 - (22.92 * $E$1)</f>
        <v>22.92</v>
      </c>
      <c r="L5985" s="16">
        <f>18.79 - (18.79 * $E$1)</f>
        <v>18.79</v>
      </c>
      <c r="M5985" s="1">
        <v>22.92</v>
      </c>
      <c r="N5985" s="1">
        <v>18.79</v>
      </c>
      <c r="O5985" s="1">
        <v>19.489999999999998</v>
      </c>
      <c r="P5985" s="1">
        <v>15.97</v>
      </c>
      <c r="Q5985">
        <v>6.3E-3</v>
      </c>
      <c r="R5985">
        <v>6.72E-6</v>
      </c>
    </row>
    <row r="5986" spans="1:18" ht="13.8" outlineLevel="1" x14ac:dyDescent="0.25">
      <c r="A5986">
        <v>62972</v>
      </c>
      <c r="B5986" t="s">
        <v>8318</v>
      </c>
      <c r="C5986" t="s">
        <v>8361</v>
      </c>
      <c r="D5986" s="14" t="s">
        <v>8357</v>
      </c>
      <c r="E5986" s="12" t="s">
        <v>28</v>
      </c>
      <c r="F5986" s="13" t="s">
        <v>29</v>
      </c>
      <c r="G5986">
        <v>100</v>
      </c>
      <c r="H5986" t="s">
        <v>30</v>
      </c>
      <c r="I5986">
        <v>100</v>
      </c>
      <c r="J5986" s="15"/>
      <c r="K5986" s="16">
        <f>23.4 - (23.4 * $E$1)</f>
        <v>23.4</v>
      </c>
      <c r="L5986" s="16">
        <f>19.18 - (19.18 * $E$1)</f>
        <v>19.18</v>
      </c>
      <c r="M5986" s="1">
        <v>23.4</v>
      </c>
      <c r="N5986" s="1">
        <v>19.18</v>
      </c>
      <c r="O5986" s="1">
        <v>19.89</v>
      </c>
      <c r="P5986" s="1">
        <v>16.3</v>
      </c>
      <c r="Q5986">
        <v>7.0000000000000001E-3</v>
      </c>
      <c r="R5986">
        <v>9.5999999999999996E-6</v>
      </c>
    </row>
    <row r="5987" spans="1:18" ht="13.8" outlineLevel="1" x14ac:dyDescent="0.25">
      <c r="A5987">
        <v>62973</v>
      </c>
      <c r="B5987" t="s">
        <v>8318</v>
      </c>
      <c r="C5987" t="s">
        <v>8362</v>
      </c>
      <c r="D5987" s="14" t="s">
        <v>8357</v>
      </c>
      <c r="E5987" s="12" t="s">
        <v>28</v>
      </c>
      <c r="F5987" s="13" t="s">
        <v>29</v>
      </c>
      <c r="G5987">
        <v>100</v>
      </c>
      <c r="H5987" t="s">
        <v>30</v>
      </c>
      <c r="I5987">
        <v>100</v>
      </c>
      <c r="J5987" s="15"/>
      <c r="K5987" s="16">
        <f>24.77 - (24.77 * $E$1)</f>
        <v>24.77</v>
      </c>
      <c r="L5987" s="16">
        <f>20.3 - (20.3 * $E$1)</f>
        <v>20.3</v>
      </c>
      <c r="M5987" s="1">
        <v>24.77</v>
      </c>
      <c r="N5987" s="1">
        <v>20.3</v>
      </c>
      <c r="O5987" s="1">
        <v>21.05</v>
      </c>
      <c r="P5987" s="1">
        <v>17.260000000000002</v>
      </c>
      <c r="Q5987">
        <v>7.7999999999999996E-3</v>
      </c>
      <c r="R5987">
        <v>1.5999999999999999E-5</v>
      </c>
    </row>
    <row r="5988" spans="1:18" ht="13.8" outlineLevel="1" x14ac:dyDescent="0.25">
      <c r="A5988">
        <v>62974</v>
      </c>
      <c r="B5988" t="s">
        <v>8318</v>
      </c>
      <c r="C5988" t="s">
        <v>8363</v>
      </c>
      <c r="D5988" s="14" t="s">
        <v>8357</v>
      </c>
      <c r="E5988" s="12" t="s">
        <v>28</v>
      </c>
      <c r="F5988" s="13" t="s">
        <v>29</v>
      </c>
      <c r="G5988">
        <v>50</v>
      </c>
      <c r="H5988" t="s">
        <v>30</v>
      </c>
      <c r="I5988">
        <v>50</v>
      </c>
      <c r="J5988" s="15"/>
      <c r="K5988" s="16">
        <f>29.91 - (29.91 * $E$1)</f>
        <v>29.91</v>
      </c>
      <c r="L5988" s="16">
        <f>24.52 - (24.52 * $E$1)</f>
        <v>24.52</v>
      </c>
      <c r="M5988" s="1">
        <v>29.91</v>
      </c>
      <c r="N5988" s="1">
        <v>24.52</v>
      </c>
      <c r="O5988" s="1">
        <v>25.43</v>
      </c>
      <c r="P5988" s="1">
        <v>20.84</v>
      </c>
      <c r="Q5988">
        <v>2.1000000000000001E-2</v>
      </c>
      <c r="R5988">
        <v>7.9999999999999996E-6</v>
      </c>
    </row>
    <row r="5989" spans="1:18" ht="13.8" outlineLevel="1" x14ac:dyDescent="0.25">
      <c r="A5989">
        <v>62975</v>
      </c>
      <c r="B5989" t="s">
        <v>8318</v>
      </c>
      <c r="C5989" t="s">
        <v>8364</v>
      </c>
      <c r="D5989" s="14" t="s">
        <v>8357</v>
      </c>
      <c r="E5989" s="12" t="s">
        <v>28</v>
      </c>
      <c r="F5989" s="13" t="s">
        <v>29</v>
      </c>
      <c r="G5989">
        <v>50</v>
      </c>
      <c r="H5989" t="s">
        <v>30</v>
      </c>
      <c r="I5989">
        <v>50</v>
      </c>
      <c r="J5989" s="15"/>
      <c r="K5989" s="16">
        <f>29.32 - (29.32 * $E$1)</f>
        <v>29.32</v>
      </c>
      <c r="L5989" s="16">
        <f>24.03 - (24.03 * $E$1)</f>
        <v>24.03</v>
      </c>
      <c r="M5989" s="1">
        <v>29.32</v>
      </c>
      <c r="N5989" s="1">
        <v>24.03</v>
      </c>
      <c r="O5989" s="1">
        <v>24.92</v>
      </c>
      <c r="P5989" s="1">
        <v>20.43</v>
      </c>
      <c r="Q5989">
        <v>2.46E-2</v>
      </c>
      <c r="R5989">
        <v>7.9999999999999996E-6</v>
      </c>
    </row>
    <row r="5990" spans="1:18" ht="13.8" outlineLevel="1" x14ac:dyDescent="0.25">
      <c r="A5990">
        <v>76851</v>
      </c>
      <c r="B5990" t="s">
        <v>8318</v>
      </c>
      <c r="C5990" t="s">
        <v>8365</v>
      </c>
      <c r="D5990" s="14" t="s">
        <v>8357</v>
      </c>
      <c r="E5990" s="12" t="s">
        <v>28</v>
      </c>
      <c r="F5990" s="13" t="s">
        <v>29</v>
      </c>
      <c r="G5990">
        <v>50</v>
      </c>
      <c r="H5990" t="s">
        <v>30</v>
      </c>
      <c r="I5990">
        <v>50</v>
      </c>
      <c r="J5990" s="15"/>
      <c r="K5990" s="16">
        <f>52.92 - (52.92 * $E$1)</f>
        <v>52.92</v>
      </c>
      <c r="L5990" s="16">
        <f>43.38 - (43.38 * $E$1)</f>
        <v>43.38</v>
      </c>
      <c r="M5990" s="1">
        <v>52.92</v>
      </c>
      <c r="N5990" s="1">
        <v>43.38</v>
      </c>
      <c r="O5990" s="1">
        <v>44.99</v>
      </c>
      <c r="P5990" s="1">
        <v>36.869999999999997</v>
      </c>
      <c r="Q5990">
        <v>4.1000000000000002E-2</v>
      </c>
      <c r="R5990">
        <v>1.56E-5</v>
      </c>
    </row>
    <row r="5991" spans="1:18" ht="13.8" outlineLevel="1" x14ac:dyDescent="0.25">
      <c r="A5991">
        <v>62979</v>
      </c>
      <c r="B5991" t="s">
        <v>8318</v>
      </c>
      <c r="C5991" t="s">
        <v>8366</v>
      </c>
      <c r="D5991" s="14" t="s">
        <v>8367</v>
      </c>
      <c r="E5991" s="12" t="s">
        <v>28</v>
      </c>
      <c r="F5991" s="13" t="s">
        <v>29</v>
      </c>
      <c r="G5991">
        <v>100</v>
      </c>
      <c r="H5991" t="s">
        <v>30</v>
      </c>
      <c r="I5991">
        <v>100</v>
      </c>
      <c r="J5991" s="15"/>
      <c r="K5991" s="16">
        <f>16.84 - (16.84 * $E$1)</f>
        <v>16.84</v>
      </c>
      <c r="L5991" s="16">
        <f>13.8 - (13.8 * $E$1)</f>
        <v>13.8</v>
      </c>
      <c r="M5991" s="1">
        <v>16.84</v>
      </c>
      <c r="N5991" s="1">
        <v>13.8</v>
      </c>
      <c r="O5991" s="1">
        <v>14.31</v>
      </c>
      <c r="P5991" s="1">
        <v>11.73</v>
      </c>
      <c r="Q5991">
        <v>3.48E-3</v>
      </c>
      <c r="R5991">
        <v>8.1000000000000004E-6</v>
      </c>
    </row>
    <row r="5992" spans="1:18" ht="13.8" outlineLevel="1" x14ac:dyDescent="0.25">
      <c r="A5992">
        <v>62980</v>
      </c>
      <c r="B5992" t="s">
        <v>8318</v>
      </c>
      <c r="C5992" t="s">
        <v>8368</v>
      </c>
      <c r="D5992" s="14" t="s">
        <v>8367</v>
      </c>
      <c r="E5992" s="12" t="s">
        <v>28</v>
      </c>
      <c r="F5992" s="13" t="s">
        <v>29</v>
      </c>
      <c r="G5992">
        <v>100</v>
      </c>
      <c r="H5992" t="s">
        <v>30</v>
      </c>
      <c r="I5992">
        <v>100</v>
      </c>
      <c r="J5992" s="15"/>
      <c r="K5992" s="16">
        <f>21.53 - (21.53 * $E$1)</f>
        <v>21.53</v>
      </c>
      <c r="L5992" s="16">
        <f>17.65 - (17.65 * $E$1)</f>
        <v>17.649999999999999</v>
      </c>
      <c r="M5992" s="1">
        <v>21.53</v>
      </c>
      <c r="N5992" s="1">
        <v>17.649999999999999</v>
      </c>
      <c r="O5992" s="1">
        <v>18.3</v>
      </c>
      <c r="P5992" s="1">
        <v>15</v>
      </c>
      <c r="Q5992">
        <v>5.7999999999999996E-3</v>
      </c>
      <c r="R5992">
        <v>3.1999999999999999E-6</v>
      </c>
    </row>
    <row r="5993" spans="1:18" ht="13.8" outlineLevel="1" x14ac:dyDescent="0.25">
      <c r="A5993">
        <v>62981</v>
      </c>
      <c r="B5993" t="s">
        <v>8318</v>
      </c>
      <c r="C5993" t="s">
        <v>8369</v>
      </c>
      <c r="D5993" s="14" t="s">
        <v>8367</v>
      </c>
      <c r="E5993" s="12" t="s">
        <v>28</v>
      </c>
      <c r="F5993" s="13" t="s">
        <v>29</v>
      </c>
      <c r="G5993">
        <v>100</v>
      </c>
      <c r="H5993" t="s">
        <v>30</v>
      </c>
      <c r="I5993">
        <v>100</v>
      </c>
      <c r="J5993" s="15"/>
      <c r="K5993" s="16">
        <f>23.79 - (23.79 * $E$1)</f>
        <v>23.79</v>
      </c>
      <c r="L5993" s="16">
        <f>19.5 - (19.5 * $E$1)</f>
        <v>19.5</v>
      </c>
      <c r="M5993" s="1">
        <v>23.79</v>
      </c>
      <c r="N5993" s="1">
        <v>19.5</v>
      </c>
      <c r="O5993" s="1">
        <v>20.22</v>
      </c>
      <c r="P5993" s="1">
        <v>16.579999999999998</v>
      </c>
      <c r="Q5993">
        <v>6.4000000000000003E-3</v>
      </c>
      <c r="R5993">
        <v>3.1999999999999999E-6</v>
      </c>
    </row>
    <row r="5994" spans="1:18" ht="13.8" outlineLevel="1" x14ac:dyDescent="0.25">
      <c r="A5994">
        <v>62982</v>
      </c>
      <c r="B5994" t="s">
        <v>8318</v>
      </c>
      <c r="C5994" t="s">
        <v>8370</v>
      </c>
      <c r="D5994" s="14" t="s">
        <v>8367</v>
      </c>
      <c r="E5994" s="12" t="s">
        <v>28</v>
      </c>
      <c r="F5994" s="13" t="s">
        <v>29</v>
      </c>
      <c r="G5994">
        <v>100</v>
      </c>
      <c r="H5994" t="s">
        <v>30</v>
      </c>
      <c r="I5994">
        <v>100</v>
      </c>
      <c r="J5994" s="15"/>
      <c r="K5994" s="16">
        <f>29.46 - (29.46 * $E$1)</f>
        <v>29.46</v>
      </c>
      <c r="L5994" s="16">
        <f>24.15 - (24.15 * $E$1)</f>
        <v>24.15</v>
      </c>
      <c r="M5994" s="1">
        <v>29.46</v>
      </c>
      <c r="N5994" s="1">
        <v>24.15</v>
      </c>
      <c r="O5994" s="1">
        <v>25.04</v>
      </c>
      <c r="P5994" s="1">
        <v>20.53</v>
      </c>
      <c r="Q5994">
        <v>7.6E-3</v>
      </c>
      <c r="R5994">
        <v>3.9999999999999998E-6</v>
      </c>
    </row>
    <row r="5995" spans="1:18" ht="13.8" outlineLevel="1" x14ac:dyDescent="0.25">
      <c r="A5995">
        <v>62983</v>
      </c>
      <c r="B5995" t="s">
        <v>8318</v>
      </c>
      <c r="C5995" t="s">
        <v>8371</v>
      </c>
      <c r="D5995" s="14" t="s">
        <v>8367</v>
      </c>
      <c r="E5995" s="12" t="s">
        <v>28</v>
      </c>
      <c r="F5995" s="13" t="s">
        <v>29</v>
      </c>
      <c r="G5995">
        <v>100</v>
      </c>
      <c r="H5995" t="s">
        <v>30</v>
      </c>
      <c r="I5995">
        <v>100</v>
      </c>
      <c r="J5995" s="15"/>
      <c r="K5995" s="16">
        <f>37.88 - (37.88 * $E$1)</f>
        <v>37.880000000000003</v>
      </c>
      <c r="L5995" s="16">
        <f>31.05 - (31.05 * $E$1)</f>
        <v>31.05</v>
      </c>
      <c r="M5995" s="1">
        <v>37.880000000000003</v>
      </c>
      <c r="N5995" s="1">
        <v>31.05</v>
      </c>
      <c r="O5995" s="1">
        <v>32.200000000000003</v>
      </c>
      <c r="P5995" s="1">
        <v>26.39</v>
      </c>
      <c r="Q5995">
        <v>8.5000000000000006E-3</v>
      </c>
      <c r="R5995">
        <v>3.9999999999999998E-6</v>
      </c>
    </row>
    <row r="5996" spans="1:18" ht="13.8" outlineLevel="1" x14ac:dyDescent="0.25">
      <c r="A5996">
        <v>62984</v>
      </c>
      <c r="B5996" t="s">
        <v>8318</v>
      </c>
      <c r="C5996" t="s">
        <v>8372</v>
      </c>
      <c r="D5996" s="14" t="s">
        <v>8367</v>
      </c>
      <c r="E5996" s="12" t="s">
        <v>28</v>
      </c>
      <c r="F5996" s="13" t="s">
        <v>29</v>
      </c>
      <c r="G5996">
        <v>100</v>
      </c>
      <c r="H5996" t="s">
        <v>30</v>
      </c>
      <c r="I5996">
        <v>100</v>
      </c>
      <c r="J5996" s="15"/>
      <c r="K5996" s="16">
        <f>42.07 - (42.07 * $E$1)</f>
        <v>42.07</v>
      </c>
      <c r="L5996" s="16">
        <f>34.48 - (34.48 * $E$1)</f>
        <v>34.479999999999997</v>
      </c>
      <c r="M5996" s="1">
        <v>42.07</v>
      </c>
      <c r="N5996" s="1">
        <v>34.479999999999997</v>
      </c>
      <c r="O5996" s="1">
        <v>35.76</v>
      </c>
      <c r="P5996" s="1">
        <v>29.31</v>
      </c>
      <c r="Q5996">
        <v>1.15E-2</v>
      </c>
      <c r="R5996">
        <v>5.1200000000000001E-6</v>
      </c>
    </row>
    <row r="5997" spans="1:18" ht="13.8" outlineLevel="1" x14ac:dyDescent="0.25">
      <c r="A5997">
        <v>62985</v>
      </c>
      <c r="B5997" t="s">
        <v>8318</v>
      </c>
      <c r="C5997" t="s">
        <v>8373</v>
      </c>
      <c r="D5997" s="14" t="s">
        <v>8367</v>
      </c>
      <c r="E5997" s="12" t="s">
        <v>28</v>
      </c>
      <c r="F5997" s="13" t="s">
        <v>29</v>
      </c>
      <c r="G5997">
        <v>50</v>
      </c>
      <c r="H5997" t="s">
        <v>30</v>
      </c>
      <c r="I5997">
        <v>50</v>
      </c>
      <c r="J5997" s="15"/>
      <c r="K5997" s="16">
        <f>45.57 - (45.57 * $E$1)</f>
        <v>45.57</v>
      </c>
      <c r="L5997" s="16">
        <f>37.35 - (37.35 * $E$1)</f>
        <v>37.35</v>
      </c>
      <c r="M5997" s="1">
        <v>45.57</v>
      </c>
      <c r="N5997" s="1">
        <v>37.35</v>
      </c>
      <c r="O5997" s="1">
        <v>38.729999999999997</v>
      </c>
      <c r="P5997" s="1">
        <v>31.75</v>
      </c>
      <c r="Q5997">
        <v>1.2800000000000001E-2</v>
      </c>
      <c r="R5997">
        <v>7.9999999999999996E-6</v>
      </c>
    </row>
    <row r="5998" spans="1:18" ht="13.8" outlineLevel="1" x14ac:dyDescent="0.25">
      <c r="A5998">
        <v>62986</v>
      </c>
      <c r="B5998" t="s">
        <v>8318</v>
      </c>
      <c r="C5998" t="s">
        <v>8374</v>
      </c>
      <c r="D5998" s="14" t="s">
        <v>8367</v>
      </c>
      <c r="E5998" s="12" t="s">
        <v>28</v>
      </c>
      <c r="F5998" s="13" t="s">
        <v>29</v>
      </c>
      <c r="G5998">
        <v>50</v>
      </c>
      <c r="H5998" t="s">
        <v>30</v>
      </c>
      <c r="I5998">
        <v>50</v>
      </c>
      <c r="J5998" s="15"/>
      <c r="K5998" s="16">
        <f>57.77 - (57.77 * $E$1)</f>
        <v>57.77</v>
      </c>
      <c r="L5998" s="16">
        <f>47.35 - (47.35 * $E$1)</f>
        <v>47.35</v>
      </c>
      <c r="M5998" s="1">
        <v>57.77</v>
      </c>
      <c r="N5998" s="1">
        <v>47.35</v>
      </c>
      <c r="O5998" s="1">
        <v>49.1</v>
      </c>
      <c r="P5998" s="1">
        <v>40.25</v>
      </c>
      <c r="Q5998">
        <v>1.4999999999999999E-2</v>
      </c>
      <c r="R5998">
        <v>1.04E-5</v>
      </c>
    </row>
    <row r="5999" spans="1:18" ht="13.8" outlineLevel="1" x14ac:dyDescent="0.25">
      <c r="A5999">
        <v>62987</v>
      </c>
      <c r="B5999" t="s">
        <v>8318</v>
      </c>
      <c r="C5999" t="s">
        <v>8375</v>
      </c>
      <c r="D5999" s="14" t="s">
        <v>8367</v>
      </c>
      <c r="E5999" s="12" t="s">
        <v>28</v>
      </c>
      <c r="F5999" s="13" t="s">
        <v>29</v>
      </c>
      <c r="G5999">
        <v>50</v>
      </c>
      <c r="H5999" t="s">
        <v>30</v>
      </c>
      <c r="I5999">
        <v>50</v>
      </c>
      <c r="J5999" s="15"/>
      <c r="K5999" s="16">
        <f>66.75 - (66.75 * $E$1)</f>
        <v>66.75</v>
      </c>
      <c r="L5999" s="16">
        <f>54.71 - (54.71 * $E$1)</f>
        <v>54.71</v>
      </c>
      <c r="M5999" s="1">
        <v>66.75</v>
      </c>
      <c r="N5999" s="1">
        <v>54.71</v>
      </c>
      <c r="O5999" s="1">
        <v>56.73</v>
      </c>
      <c r="P5999" s="1">
        <v>46.5</v>
      </c>
      <c r="Q5999">
        <v>1.9E-2</v>
      </c>
      <c r="R5999">
        <v>1.024E-5</v>
      </c>
    </row>
    <row r="6000" spans="1:18" ht="13.8" outlineLevel="1" x14ac:dyDescent="0.25">
      <c r="A6000">
        <v>62988</v>
      </c>
      <c r="B6000" t="s">
        <v>8318</v>
      </c>
      <c r="C6000" t="s">
        <v>8376</v>
      </c>
      <c r="D6000" s="14" t="s">
        <v>8367</v>
      </c>
      <c r="E6000" s="12" t="s">
        <v>28</v>
      </c>
      <c r="F6000" s="13" t="s">
        <v>29</v>
      </c>
      <c r="G6000">
        <v>50</v>
      </c>
      <c r="H6000" t="s">
        <v>30</v>
      </c>
      <c r="I6000">
        <v>50</v>
      </c>
      <c r="J6000" s="15"/>
      <c r="K6000" s="16">
        <f>75.86 - (75.86 * $E$1)</f>
        <v>75.86</v>
      </c>
      <c r="L6000" s="16">
        <f>62.18 - (62.18 * $E$1)</f>
        <v>62.18</v>
      </c>
      <c r="M6000" s="1">
        <v>75.86</v>
      </c>
      <c r="N6000" s="1">
        <v>62.18</v>
      </c>
      <c r="O6000" s="1">
        <v>64.48</v>
      </c>
      <c r="P6000" s="1">
        <v>52.85</v>
      </c>
      <c r="Q6000">
        <v>3.7600000000000001E-2</v>
      </c>
      <c r="R6000">
        <v>1.8199999999999999E-5</v>
      </c>
    </row>
    <row r="6001" spans="1:18" ht="13.8" outlineLevel="1" x14ac:dyDescent="0.25">
      <c r="A6001">
        <v>89325</v>
      </c>
      <c r="B6001" t="s">
        <v>8318</v>
      </c>
      <c r="C6001" t="s">
        <v>8377</v>
      </c>
      <c r="D6001" s="14" t="s">
        <v>8378</v>
      </c>
      <c r="E6001" s="12" t="s">
        <v>28</v>
      </c>
      <c r="F6001" s="13" t="s">
        <v>29</v>
      </c>
      <c r="G6001">
        <v>100</v>
      </c>
      <c r="H6001" t="s">
        <v>30</v>
      </c>
      <c r="I6001">
        <v>100</v>
      </c>
      <c r="J6001" s="15"/>
      <c r="K6001" s="16">
        <f>6.47 - (6.47 * $E$1)</f>
        <v>6.47</v>
      </c>
      <c r="L6001" s="16">
        <f>5.3 - (5.3 * $E$1)</f>
        <v>5.3</v>
      </c>
      <c r="M6001" s="1">
        <v>6.47</v>
      </c>
      <c r="N6001" s="1">
        <v>5.3</v>
      </c>
      <c r="O6001" s="1">
        <v>5.5</v>
      </c>
      <c r="P6001" s="1">
        <v>4.51</v>
      </c>
      <c r="Q6001">
        <v>3.7000000000000002E-3</v>
      </c>
      <c r="R6001">
        <v>2.016E-5</v>
      </c>
    </row>
    <row r="6002" spans="1:18" ht="13.8" outlineLevel="1" x14ac:dyDescent="0.25">
      <c r="A6002">
        <v>89326</v>
      </c>
      <c r="B6002" t="s">
        <v>8318</v>
      </c>
      <c r="C6002" t="s">
        <v>8379</v>
      </c>
      <c r="D6002" s="14" t="s">
        <v>8378</v>
      </c>
      <c r="E6002" s="12" t="s">
        <v>28</v>
      </c>
      <c r="F6002" s="13" t="s">
        <v>29</v>
      </c>
      <c r="G6002">
        <v>100</v>
      </c>
      <c r="H6002" t="s">
        <v>30</v>
      </c>
      <c r="I6002">
        <v>100</v>
      </c>
      <c r="J6002" s="15"/>
      <c r="K6002" s="16">
        <f>4.47 - (4.47 * $E$1)</f>
        <v>4.47</v>
      </c>
      <c r="L6002" s="16">
        <f>3.66 - (3.66 * $E$1)</f>
        <v>3.66</v>
      </c>
      <c r="M6002" s="1">
        <v>4.47</v>
      </c>
      <c r="N6002" s="1">
        <v>3.66</v>
      </c>
      <c r="O6002" s="1">
        <v>3.8</v>
      </c>
      <c r="P6002" s="1">
        <v>3.11</v>
      </c>
      <c r="Q6002">
        <v>4.1999999999999997E-3</v>
      </c>
      <c r="R6002">
        <v>6.0499999999999997E-6</v>
      </c>
    </row>
    <row r="6003" spans="1:18" ht="13.8" outlineLevel="1" x14ac:dyDescent="0.25">
      <c r="A6003">
        <v>89327</v>
      </c>
      <c r="B6003" t="s">
        <v>8318</v>
      </c>
      <c r="C6003" t="s">
        <v>8380</v>
      </c>
      <c r="D6003" s="14" t="s">
        <v>8378</v>
      </c>
      <c r="E6003" s="12" t="s">
        <v>28</v>
      </c>
      <c r="F6003" s="13" t="s">
        <v>29</v>
      </c>
      <c r="G6003">
        <v>100</v>
      </c>
      <c r="H6003" t="s">
        <v>30</v>
      </c>
      <c r="I6003">
        <v>100</v>
      </c>
      <c r="J6003" s="15"/>
      <c r="K6003" s="16">
        <f>7.37 - (7.37 * $E$1)</f>
        <v>7.37</v>
      </c>
      <c r="L6003" s="16">
        <f>6.04 - (6.04 * $E$1)</f>
        <v>6.04</v>
      </c>
      <c r="M6003" s="1">
        <v>7.37</v>
      </c>
      <c r="N6003" s="1">
        <v>6.04</v>
      </c>
      <c r="O6003" s="1">
        <v>6.26</v>
      </c>
      <c r="P6003" s="1">
        <v>5.13</v>
      </c>
      <c r="Q6003">
        <v>5.1000000000000004E-3</v>
      </c>
      <c r="R6003">
        <v>2.016E-5</v>
      </c>
    </row>
    <row r="6004" spans="1:18" ht="13.8" outlineLevel="1" x14ac:dyDescent="0.25">
      <c r="A6004">
        <v>86328</v>
      </c>
      <c r="B6004" t="s">
        <v>8318</v>
      </c>
      <c r="C6004" t="s">
        <v>8381</v>
      </c>
      <c r="D6004" s="14" t="s">
        <v>8378</v>
      </c>
      <c r="E6004" s="12" t="s">
        <v>28</v>
      </c>
      <c r="F6004" s="13" t="s">
        <v>29</v>
      </c>
      <c r="G6004">
        <v>100</v>
      </c>
      <c r="H6004" t="s">
        <v>30</v>
      </c>
      <c r="I6004">
        <v>100</v>
      </c>
      <c r="J6004" s="15"/>
      <c r="K6004" s="16">
        <f>4.62 - (4.62 * $E$1)</f>
        <v>4.62</v>
      </c>
      <c r="L6004" s="16">
        <f>3.79 - (3.79 * $E$1)</f>
        <v>3.79</v>
      </c>
      <c r="M6004" s="1">
        <v>4.62</v>
      </c>
      <c r="N6004" s="1">
        <v>3.79</v>
      </c>
      <c r="O6004" s="1">
        <v>3.93</v>
      </c>
      <c r="P6004" s="1">
        <v>3.22</v>
      </c>
      <c r="Q6004">
        <v>4.7999999999999996E-3</v>
      </c>
      <c r="R6004">
        <v>7.0400000000000004E-6</v>
      </c>
    </row>
    <row r="6005" spans="1:18" ht="13.8" outlineLevel="1" x14ac:dyDescent="0.25">
      <c r="A6005">
        <v>85584</v>
      </c>
      <c r="B6005" t="s">
        <v>8318</v>
      </c>
      <c r="C6005" t="s">
        <v>8382</v>
      </c>
      <c r="D6005" s="14" t="s">
        <v>8378</v>
      </c>
      <c r="E6005" s="12" t="s">
        <v>28</v>
      </c>
      <c r="F6005" s="13" t="s">
        <v>29</v>
      </c>
      <c r="G6005">
        <v>100</v>
      </c>
      <c r="H6005" t="s">
        <v>30</v>
      </c>
      <c r="I6005">
        <v>100</v>
      </c>
      <c r="J6005" s="15"/>
      <c r="K6005" s="16">
        <f>5.51 - (5.51 * $E$1)</f>
        <v>5.51</v>
      </c>
      <c r="L6005" s="16">
        <f>4.52 - (4.52 * $E$1)</f>
        <v>4.5199999999999996</v>
      </c>
      <c r="M6005" s="1">
        <v>5.51</v>
      </c>
      <c r="N6005" s="1">
        <v>4.5199999999999996</v>
      </c>
      <c r="O6005" s="1">
        <v>4.6900000000000004</v>
      </c>
      <c r="P6005" s="1">
        <v>3.84</v>
      </c>
      <c r="Q6005">
        <v>5.5999999999999999E-3</v>
      </c>
      <c r="R6005">
        <v>9.3600000000000002E-6</v>
      </c>
    </row>
    <row r="6006" spans="1:18" ht="13.8" outlineLevel="1" x14ac:dyDescent="0.25">
      <c r="A6006">
        <v>85585</v>
      </c>
      <c r="B6006" t="s">
        <v>8318</v>
      </c>
      <c r="C6006" t="s">
        <v>8383</v>
      </c>
      <c r="D6006" s="14" t="s">
        <v>8378</v>
      </c>
      <c r="E6006" s="12" t="s">
        <v>28</v>
      </c>
      <c r="F6006" s="13" t="s">
        <v>29</v>
      </c>
      <c r="G6006">
        <v>100</v>
      </c>
      <c r="H6006" t="s">
        <v>30</v>
      </c>
      <c r="I6006">
        <v>100</v>
      </c>
      <c r="J6006" s="15"/>
      <c r="K6006" s="16">
        <f>6.43 - (6.43 * $E$1)</f>
        <v>6.43</v>
      </c>
      <c r="L6006" s="16">
        <f>5.27 - (5.27 * $E$1)</f>
        <v>5.27</v>
      </c>
      <c r="M6006" s="1">
        <v>6.43</v>
      </c>
      <c r="N6006" s="1">
        <v>5.27</v>
      </c>
      <c r="O6006" s="1">
        <v>5.46</v>
      </c>
      <c r="P6006" s="1">
        <v>4.4800000000000004</v>
      </c>
      <c r="Q6006">
        <v>7.7000000000000002E-3</v>
      </c>
      <c r="R6006">
        <v>1.061E-5</v>
      </c>
    </row>
    <row r="6007" spans="1:18" ht="13.8" outlineLevel="1" x14ac:dyDescent="0.25">
      <c r="A6007">
        <v>85587</v>
      </c>
      <c r="B6007" t="s">
        <v>8318</v>
      </c>
      <c r="C6007" t="s">
        <v>8384</v>
      </c>
      <c r="D6007" s="14" t="s">
        <v>8378</v>
      </c>
      <c r="E6007" s="12" t="s">
        <v>28</v>
      </c>
      <c r="F6007" s="13" t="s">
        <v>29</v>
      </c>
      <c r="G6007">
        <v>100</v>
      </c>
      <c r="H6007" t="s">
        <v>30</v>
      </c>
      <c r="I6007">
        <v>100</v>
      </c>
      <c r="J6007" s="15"/>
      <c r="K6007" s="16">
        <f>7.91 - (7.91 * $E$1)</f>
        <v>7.91</v>
      </c>
      <c r="L6007" s="16">
        <f>6.48 - (6.48 * $E$1)</f>
        <v>6.48</v>
      </c>
      <c r="M6007" s="1">
        <v>7.91</v>
      </c>
      <c r="N6007" s="1">
        <v>6.48</v>
      </c>
      <c r="O6007" s="1">
        <v>6.72</v>
      </c>
      <c r="P6007" s="1">
        <v>5.51</v>
      </c>
      <c r="Q6007">
        <v>9.4000000000000004E-3</v>
      </c>
      <c r="R6007">
        <v>1.4949999999999999E-5</v>
      </c>
    </row>
    <row r="6008" spans="1:18" ht="13.8" outlineLevel="1" x14ac:dyDescent="0.25">
      <c r="A6008">
        <v>85586</v>
      </c>
      <c r="B6008" t="s">
        <v>8318</v>
      </c>
      <c r="C6008" t="s">
        <v>8385</v>
      </c>
      <c r="D6008" s="14" t="s">
        <v>8378</v>
      </c>
      <c r="E6008" s="12" t="s">
        <v>28</v>
      </c>
      <c r="F6008" s="13" t="s">
        <v>29</v>
      </c>
      <c r="G6008">
        <v>100</v>
      </c>
      <c r="H6008" t="s">
        <v>30</v>
      </c>
      <c r="I6008">
        <v>100</v>
      </c>
      <c r="J6008" s="15"/>
      <c r="K6008" s="16">
        <f>7 - (7 * $E$1)</f>
        <v>7</v>
      </c>
      <c r="L6008" s="16">
        <f>5.74 - (5.74 * $E$1)</f>
        <v>5.74</v>
      </c>
      <c r="M6008" s="1">
        <v>7</v>
      </c>
      <c r="N6008" s="1">
        <v>5.74</v>
      </c>
      <c r="O6008" s="1">
        <v>5.95</v>
      </c>
      <c r="P6008" s="1">
        <v>4.88</v>
      </c>
      <c r="Q6008">
        <v>8.0999999999999996E-3</v>
      </c>
      <c r="R6008">
        <v>1.2480000000000001E-5</v>
      </c>
    </row>
    <row r="6009" spans="1:18" ht="13.8" outlineLevel="1" x14ac:dyDescent="0.25">
      <c r="A6009">
        <v>85588</v>
      </c>
      <c r="B6009" t="s">
        <v>8318</v>
      </c>
      <c r="C6009" t="s">
        <v>8386</v>
      </c>
      <c r="D6009" s="14" t="s">
        <v>8378</v>
      </c>
      <c r="E6009" s="12" t="s">
        <v>28</v>
      </c>
      <c r="F6009" s="13" t="s">
        <v>29</v>
      </c>
      <c r="G6009">
        <v>50</v>
      </c>
      <c r="H6009" t="s">
        <v>30</v>
      </c>
      <c r="I6009">
        <v>50</v>
      </c>
      <c r="J6009" s="15"/>
      <c r="K6009" s="16">
        <f>10.53 - (10.53 * $E$1)</f>
        <v>10.53</v>
      </c>
      <c r="L6009" s="16">
        <f>8.63 - (8.63 * $E$1)</f>
        <v>8.6300000000000008</v>
      </c>
      <c r="M6009" s="1">
        <v>10.53</v>
      </c>
      <c r="N6009" s="1">
        <v>8.6300000000000008</v>
      </c>
      <c r="O6009" s="1">
        <v>8.9499999999999993</v>
      </c>
      <c r="P6009" s="1">
        <v>7.34</v>
      </c>
      <c r="Q6009">
        <v>1.14E-2</v>
      </c>
      <c r="R6009">
        <v>2.16E-5</v>
      </c>
    </row>
    <row r="6010" spans="1:18" ht="13.8" outlineLevel="1" x14ac:dyDescent="0.25">
      <c r="A6010">
        <v>89328</v>
      </c>
      <c r="B6010" t="s">
        <v>8318</v>
      </c>
      <c r="C6010" t="s">
        <v>8387</v>
      </c>
      <c r="D6010" s="14" t="s">
        <v>8378</v>
      </c>
      <c r="E6010" s="12" t="s">
        <v>28</v>
      </c>
      <c r="F6010" s="13" t="s">
        <v>29</v>
      </c>
      <c r="G6010">
        <v>50</v>
      </c>
      <c r="H6010" t="s">
        <v>30</v>
      </c>
      <c r="I6010">
        <v>50</v>
      </c>
      <c r="J6010" s="15"/>
      <c r="K6010" s="16">
        <f>14.62 - (14.62 * $E$1)</f>
        <v>14.62</v>
      </c>
      <c r="L6010" s="16">
        <f>11.98 - (11.98 * $E$1)</f>
        <v>11.98</v>
      </c>
      <c r="M6010" s="1">
        <v>14.62</v>
      </c>
      <c r="N6010" s="1">
        <v>11.98</v>
      </c>
      <c r="O6010" s="1">
        <v>12.42</v>
      </c>
      <c r="P6010" s="1">
        <v>10.18</v>
      </c>
      <c r="Q6010">
        <v>2.0400000000000001E-2</v>
      </c>
      <c r="R6010">
        <v>2.9899999999999998E-5</v>
      </c>
    </row>
    <row r="6011" spans="1:18" ht="13.8" outlineLevel="1" x14ac:dyDescent="0.25">
      <c r="A6011">
        <v>89329</v>
      </c>
      <c r="B6011" t="s">
        <v>8318</v>
      </c>
      <c r="C6011" t="s">
        <v>8388</v>
      </c>
      <c r="D6011" s="14" t="s">
        <v>8378</v>
      </c>
      <c r="E6011" s="12" t="s">
        <v>28</v>
      </c>
      <c r="F6011" s="13" t="s">
        <v>29</v>
      </c>
      <c r="G6011">
        <v>50</v>
      </c>
      <c r="H6011" t="s">
        <v>30</v>
      </c>
      <c r="I6011">
        <v>50</v>
      </c>
      <c r="J6011" s="15"/>
      <c r="K6011" s="16">
        <f>19.62 - (19.62 * $E$1)</f>
        <v>19.62</v>
      </c>
      <c r="L6011" s="16">
        <f>16.08 - (16.08 * $E$1)</f>
        <v>16.079999999999998</v>
      </c>
      <c r="M6011" s="1">
        <v>19.62</v>
      </c>
      <c r="N6011" s="1">
        <v>16.079999999999998</v>
      </c>
      <c r="O6011" s="1">
        <v>16.670000000000002</v>
      </c>
      <c r="P6011" s="1">
        <v>13.67</v>
      </c>
      <c r="Q6011">
        <v>2.3E-2</v>
      </c>
      <c r="R6011">
        <v>1.2144E-4</v>
      </c>
    </row>
    <row r="6012" spans="1:18" ht="13.8" outlineLevel="1" x14ac:dyDescent="0.25">
      <c r="A6012">
        <v>60426</v>
      </c>
      <c r="B6012" t="s">
        <v>8318</v>
      </c>
      <c r="C6012" t="s">
        <v>8389</v>
      </c>
      <c r="D6012" s="14" t="s">
        <v>8390</v>
      </c>
      <c r="E6012" s="12" t="s">
        <v>28</v>
      </c>
      <c r="F6012" s="13" t="s">
        <v>29</v>
      </c>
      <c r="G6012">
        <v>10</v>
      </c>
      <c r="H6012" t="s">
        <v>30</v>
      </c>
      <c r="I6012">
        <v>10</v>
      </c>
      <c r="J6012" s="15"/>
      <c r="K6012" s="16">
        <f>62.74 - (62.74 * $E$1)</f>
        <v>62.74</v>
      </c>
      <c r="L6012" s="16">
        <f>51.43 - (51.43 * $E$1)</f>
        <v>51.43</v>
      </c>
      <c r="M6012" s="1">
        <v>62.74</v>
      </c>
      <c r="N6012" s="1">
        <v>51.43</v>
      </c>
      <c r="O6012" s="1">
        <v>53.33</v>
      </c>
      <c r="P6012" s="1">
        <v>43.72</v>
      </c>
      <c r="Q6012">
        <v>2.8000000000000001E-2</v>
      </c>
      <c r="R6012">
        <v>1.02E-4</v>
      </c>
    </row>
    <row r="6013" spans="1:18" ht="13.8" outlineLevel="1" x14ac:dyDescent="0.25">
      <c r="A6013">
        <v>60427</v>
      </c>
      <c r="B6013" t="s">
        <v>8318</v>
      </c>
      <c r="C6013" t="s">
        <v>8391</v>
      </c>
      <c r="D6013" s="14" t="s">
        <v>8390</v>
      </c>
      <c r="E6013" s="12" t="s">
        <v>28</v>
      </c>
      <c r="F6013" s="13" t="s">
        <v>29</v>
      </c>
      <c r="G6013">
        <v>10</v>
      </c>
      <c r="H6013" t="s">
        <v>30</v>
      </c>
      <c r="I6013">
        <v>10</v>
      </c>
      <c r="J6013" s="15"/>
      <c r="K6013" s="16">
        <f>65.03 - (65.03 * $E$1)</f>
        <v>65.03</v>
      </c>
      <c r="L6013" s="16">
        <f>53.3 - (53.3 * $E$1)</f>
        <v>53.3</v>
      </c>
      <c r="M6013" s="1">
        <v>65.03</v>
      </c>
      <c r="N6013" s="1">
        <v>53.3</v>
      </c>
      <c r="O6013" s="1">
        <v>55.27</v>
      </c>
      <c r="P6013" s="1">
        <v>45.31</v>
      </c>
      <c r="Q6013">
        <v>2.6800000000000001E-2</v>
      </c>
      <c r="R6013">
        <v>1.1730000000000001E-4</v>
      </c>
    </row>
    <row r="6014" spans="1:18" ht="13.8" outlineLevel="1" x14ac:dyDescent="0.25">
      <c r="A6014">
        <v>60428</v>
      </c>
      <c r="B6014" t="s">
        <v>8318</v>
      </c>
      <c r="C6014" t="s">
        <v>8392</v>
      </c>
      <c r="D6014" s="14" t="s">
        <v>8390</v>
      </c>
      <c r="E6014" s="12" t="s">
        <v>28</v>
      </c>
      <c r="F6014" s="13" t="s">
        <v>29</v>
      </c>
      <c r="G6014">
        <v>10</v>
      </c>
      <c r="H6014" t="s">
        <v>30</v>
      </c>
      <c r="I6014">
        <v>10</v>
      </c>
      <c r="J6014" s="15"/>
      <c r="K6014" s="16">
        <f>66.65 - (66.65 * $E$1)</f>
        <v>66.650000000000006</v>
      </c>
      <c r="L6014" s="16">
        <f>54.63 - (54.63 * $E$1)</f>
        <v>54.63</v>
      </c>
      <c r="M6014" s="1">
        <v>66.650000000000006</v>
      </c>
      <c r="N6014" s="1">
        <v>54.63</v>
      </c>
      <c r="O6014" s="1">
        <v>56.65</v>
      </c>
      <c r="P6014" s="1">
        <v>46.44</v>
      </c>
      <c r="Q6014">
        <v>3.6999999999999998E-2</v>
      </c>
      <c r="R6014">
        <v>7.9200000000000001E-5</v>
      </c>
    </row>
    <row r="6015" spans="1:18" ht="13.8" outlineLevel="1" x14ac:dyDescent="0.25">
      <c r="A6015">
        <v>81735</v>
      </c>
      <c r="B6015" t="s">
        <v>8318</v>
      </c>
      <c r="C6015" t="s">
        <v>8393</v>
      </c>
      <c r="D6015" s="14" t="s">
        <v>8394</v>
      </c>
      <c r="E6015" s="12" t="s">
        <v>28</v>
      </c>
      <c r="F6015" s="13" t="s">
        <v>29</v>
      </c>
      <c r="G6015">
        <v>50</v>
      </c>
      <c r="H6015" t="s">
        <v>30</v>
      </c>
      <c r="I6015">
        <v>50</v>
      </c>
      <c r="J6015" s="15"/>
      <c r="K6015" s="16">
        <f>16.96 - (16.96 * $E$1)</f>
        <v>16.96</v>
      </c>
      <c r="L6015" s="16">
        <f>13.9 - (13.9 * $E$1)</f>
        <v>13.9</v>
      </c>
      <c r="M6015" s="1">
        <v>16.96</v>
      </c>
      <c r="N6015" s="1">
        <v>13.9</v>
      </c>
      <c r="O6015" s="1">
        <v>14.41</v>
      </c>
      <c r="P6015" s="1">
        <v>11.82</v>
      </c>
      <c r="Q6015">
        <v>8.8400000000000006E-3</v>
      </c>
      <c r="R6015">
        <v>2.0000000000000002E-5</v>
      </c>
    </row>
    <row r="6016" spans="1:18" ht="13.8" outlineLevel="1" x14ac:dyDescent="0.25">
      <c r="A6016">
        <v>81736</v>
      </c>
      <c r="B6016" t="s">
        <v>8318</v>
      </c>
      <c r="C6016" t="s">
        <v>8395</v>
      </c>
      <c r="D6016" s="14" t="s">
        <v>8394</v>
      </c>
      <c r="E6016" s="12" t="s">
        <v>28</v>
      </c>
      <c r="F6016" s="13" t="s">
        <v>29</v>
      </c>
      <c r="G6016">
        <v>50</v>
      </c>
      <c r="H6016" t="s">
        <v>30</v>
      </c>
      <c r="I6016">
        <v>50</v>
      </c>
      <c r="J6016" s="15"/>
      <c r="K6016" s="16">
        <f>17.12 - (17.12 * $E$1)</f>
        <v>17.12</v>
      </c>
      <c r="L6016" s="16">
        <f>14.03 - (14.03 * $E$1)</f>
        <v>14.03</v>
      </c>
      <c r="M6016" s="1">
        <v>17.12</v>
      </c>
      <c r="N6016" s="1">
        <v>14.03</v>
      </c>
      <c r="O6016" s="1">
        <v>14.55</v>
      </c>
      <c r="P6016" s="1">
        <v>11.93</v>
      </c>
      <c r="Q6016">
        <v>9.4800000000000006E-3</v>
      </c>
      <c r="R6016">
        <v>2.2500000000000001E-5</v>
      </c>
    </row>
    <row r="6017" spans="1:18" ht="13.8" outlineLevel="1" x14ac:dyDescent="0.25">
      <c r="A6017">
        <v>81737</v>
      </c>
      <c r="B6017" t="s">
        <v>8318</v>
      </c>
      <c r="C6017" t="s">
        <v>8396</v>
      </c>
      <c r="D6017" s="14" t="s">
        <v>8394</v>
      </c>
      <c r="E6017" s="12" t="s">
        <v>28</v>
      </c>
      <c r="F6017" s="13" t="s">
        <v>29</v>
      </c>
      <c r="G6017">
        <v>50</v>
      </c>
      <c r="H6017" t="s">
        <v>30</v>
      </c>
      <c r="I6017">
        <v>50</v>
      </c>
      <c r="J6017" s="15"/>
      <c r="K6017" s="16">
        <f>18.48 - (18.48 * $E$1)</f>
        <v>18.48</v>
      </c>
      <c r="L6017" s="16">
        <f>15.15 - (15.15 * $E$1)</f>
        <v>15.15</v>
      </c>
      <c r="M6017" s="1">
        <v>18.48</v>
      </c>
      <c r="N6017" s="1">
        <v>15.15</v>
      </c>
      <c r="O6017" s="1">
        <v>15.71</v>
      </c>
      <c r="P6017" s="1">
        <v>12.88</v>
      </c>
      <c r="Q6017">
        <v>1.04E-2</v>
      </c>
      <c r="R6017">
        <v>2.2500000000000001E-5</v>
      </c>
    </row>
    <row r="6018" spans="1:18" ht="13.8" outlineLevel="1" x14ac:dyDescent="0.25">
      <c r="A6018">
        <v>81738</v>
      </c>
      <c r="B6018" t="s">
        <v>8318</v>
      </c>
      <c r="C6018" t="s">
        <v>8397</v>
      </c>
      <c r="D6018" s="14" t="s">
        <v>8394</v>
      </c>
      <c r="E6018" s="12" t="s">
        <v>28</v>
      </c>
      <c r="F6018" s="13" t="s">
        <v>29</v>
      </c>
      <c r="G6018">
        <v>50</v>
      </c>
      <c r="H6018" t="s">
        <v>30</v>
      </c>
      <c r="I6018">
        <v>50</v>
      </c>
      <c r="J6018" s="15"/>
      <c r="K6018" s="16">
        <f>20.06 - (20.06 * $E$1)</f>
        <v>20.059999999999999</v>
      </c>
      <c r="L6018" s="16">
        <f>16.44 - (16.44 * $E$1)</f>
        <v>16.440000000000001</v>
      </c>
      <c r="M6018" s="1">
        <v>20.059999999999999</v>
      </c>
      <c r="N6018" s="1">
        <v>16.440000000000001</v>
      </c>
      <c r="O6018" s="1">
        <v>17.05</v>
      </c>
      <c r="P6018" s="1">
        <v>13.97</v>
      </c>
      <c r="Q6018">
        <v>1.196E-2</v>
      </c>
      <c r="R6018">
        <v>2.2500000000000001E-5</v>
      </c>
    </row>
    <row r="6019" spans="1:18" ht="13.8" outlineLevel="1" x14ac:dyDescent="0.25">
      <c r="A6019">
        <v>81739</v>
      </c>
      <c r="B6019" t="s">
        <v>8318</v>
      </c>
      <c r="C6019" t="s">
        <v>8398</v>
      </c>
      <c r="D6019" s="14" t="s">
        <v>8394</v>
      </c>
      <c r="E6019" s="12" t="s">
        <v>28</v>
      </c>
      <c r="F6019" s="13" t="s">
        <v>29</v>
      </c>
      <c r="G6019">
        <v>50</v>
      </c>
      <c r="H6019" t="s">
        <v>30</v>
      </c>
      <c r="I6019">
        <v>50</v>
      </c>
      <c r="J6019" s="15"/>
      <c r="K6019" s="16">
        <f>21.11 - (21.11 * $E$1)</f>
        <v>21.11</v>
      </c>
      <c r="L6019" s="16">
        <f>17.3 - (17.3 * $E$1)</f>
        <v>17.3</v>
      </c>
      <c r="M6019" s="1">
        <v>21.11</v>
      </c>
      <c r="N6019" s="1">
        <v>17.3</v>
      </c>
      <c r="O6019" s="1">
        <v>17.940000000000001</v>
      </c>
      <c r="P6019" s="1">
        <v>14.71</v>
      </c>
      <c r="Q6019">
        <v>1.2999999999999999E-2</v>
      </c>
      <c r="R6019">
        <v>3.0000000000000001E-5</v>
      </c>
    </row>
    <row r="6020" spans="1:18" ht="13.8" outlineLevel="1" x14ac:dyDescent="0.25">
      <c r="A6020">
        <v>103925</v>
      </c>
      <c r="B6020" t="s">
        <v>8318</v>
      </c>
      <c r="C6020" t="s">
        <v>8399</v>
      </c>
      <c r="D6020" s="14" t="s">
        <v>8394</v>
      </c>
      <c r="E6020" s="12" t="s">
        <v>28</v>
      </c>
      <c r="F6020" s="13" t="s">
        <v>29</v>
      </c>
      <c r="G6020">
        <v>50</v>
      </c>
      <c r="H6020" t="s">
        <v>30</v>
      </c>
      <c r="I6020">
        <v>50</v>
      </c>
      <c r="J6020" s="15"/>
      <c r="K6020" s="16">
        <f>21.87 - (21.87 * $E$1)</f>
        <v>21.87</v>
      </c>
      <c r="L6020" s="16">
        <f>17.93 - (17.93 * $E$1)</f>
        <v>17.93</v>
      </c>
      <c r="M6020" s="1">
        <v>21.87</v>
      </c>
      <c r="N6020" s="1">
        <v>17.93</v>
      </c>
      <c r="O6020" s="1">
        <v>18.59</v>
      </c>
      <c r="P6020" s="1">
        <v>15.24</v>
      </c>
      <c r="Q6020">
        <v>1.4200000000000001E-2</v>
      </c>
      <c r="R6020">
        <v>4.2320000000000001E-5</v>
      </c>
    </row>
    <row r="6021" spans="1:18" ht="13.8" outlineLevel="1" x14ac:dyDescent="0.25">
      <c r="A6021">
        <v>81740</v>
      </c>
      <c r="B6021" t="s">
        <v>8318</v>
      </c>
      <c r="C6021" t="s">
        <v>8400</v>
      </c>
      <c r="D6021" s="14" t="s">
        <v>8394</v>
      </c>
      <c r="E6021" s="12" t="s">
        <v>28</v>
      </c>
      <c r="F6021" s="13" t="s">
        <v>29</v>
      </c>
      <c r="G6021">
        <v>50</v>
      </c>
      <c r="H6021" t="s">
        <v>30</v>
      </c>
      <c r="I6021">
        <v>50</v>
      </c>
      <c r="J6021" s="15"/>
      <c r="K6021" s="16">
        <f>22.61 - (22.61 * $E$1)</f>
        <v>22.61</v>
      </c>
      <c r="L6021" s="16">
        <f>18.53 - (18.53 * $E$1)</f>
        <v>18.53</v>
      </c>
      <c r="M6021" s="1">
        <v>22.61</v>
      </c>
      <c r="N6021" s="1">
        <v>18.53</v>
      </c>
      <c r="O6021" s="1">
        <v>19.22</v>
      </c>
      <c r="P6021" s="1">
        <v>15.75</v>
      </c>
      <c r="Q6021">
        <v>1.4120000000000001E-2</v>
      </c>
      <c r="R6021">
        <v>4.0000000000000003E-5</v>
      </c>
    </row>
    <row r="6022" spans="1:18" ht="13.8" outlineLevel="1" x14ac:dyDescent="0.25">
      <c r="A6022">
        <v>81741</v>
      </c>
      <c r="B6022" t="s">
        <v>8318</v>
      </c>
      <c r="C6022" t="s">
        <v>8401</v>
      </c>
      <c r="D6022" s="14" t="s">
        <v>8394</v>
      </c>
      <c r="E6022" s="12" t="s">
        <v>28</v>
      </c>
      <c r="F6022" s="13" t="s">
        <v>29</v>
      </c>
      <c r="G6022">
        <v>50</v>
      </c>
      <c r="H6022" t="s">
        <v>30</v>
      </c>
      <c r="I6022">
        <v>50</v>
      </c>
      <c r="J6022" s="15"/>
      <c r="K6022" s="16">
        <f>23.59 - (23.59 * $E$1)</f>
        <v>23.59</v>
      </c>
      <c r="L6022" s="16">
        <f>19.34 - (19.34 * $E$1)</f>
        <v>19.34</v>
      </c>
      <c r="M6022" s="1">
        <v>23.59</v>
      </c>
      <c r="N6022" s="1">
        <v>19.34</v>
      </c>
      <c r="O6022" s="1">
        <v>20.059999999999999</v>
      </c>
      <c r="P6022" s="1">
        <v>16.440000000000001</v>
      </c>
      <c r="Q6022">
        <v>1.52E-2</v>
      </c>
      <c r="R6022">
        <v>4.0000000000000003E-5</v>
      </c>
    </row>
    <row r="6023" spans="1:18" ht="13.8" outlineLevel="1" x14ac:dyDescent="0.25">
      <c r="A6023">
        <v>81742</v>
      </c>
      <c r="B6023" t="s">
        <v>8318</v>
      </c>
      <c r="C6023" t="s">
        <v>8402</v>
      </c>
      <c r="D6023" s="14" t="s">
        <v>8394</v>
      </c>
      <c r="E6023" s="12" t="s">
        <v>28</v>
      </c>
      <c r="F6023" s="13" t="s">
        <v>29</v>
      </c>
      <c r="G6023">
        <v>50</v>
      </c>
      <c r="H6023" t="s">
        <v>30</v>
      </c>
      <c r="I6023">
        <v>50</v>
      </c>
      <c r="J6023" s="15"/>
      <c r="K6023" s="16">
        <f>24.58 - (24.58 * $E$1)</f>
        <v>24.58</v>
      </c>
      <c r="L6023" s="16">
        <f>20.15 - (20.15 * $E$1)</f>
        <v>20.149999999999999</v>
      </c>
      <c r="M6023" s="1">
        <v>24.58</v>
      </c>
      <c r="N6023" s="1">
        <v>20.149999999999999</v>
      </c>
      <c r="O6023" s="1">
        <v>20.9</v>
      </c>
      <c r="P6023" s="1">
        <v>17.13</v>
      </c>
      <c r="Q6023">
        <v>1.668E-2</v>
      </c>
      <c r="R6023">
        <v>4.0000000000000003E-5</v>
      </c>
    </row>
    <row r="6024" spans="1:18" ht="13.8" outlineLevel="1" x14ac:dyDescent="0.25">
      <c r="A6024">
        <v>81743</v>
      </c>
      <c r="B6024" t="s">
        <v>8318</v>
      </c>
      <c r="C6024" t="s">
        <v>8403</v>
      </c>
      <c r="D6024" s="14" t="s">
        <v>8394</v>
      </c>
      <c r="E6024" s="12" t="s">
        <v>28</v>
      </c>
      <c r="F6024" s="13" t="s">
        <v>29</v>
      </c>
      <c r="G6024">
        <v>25</v>
      </c>
      <c r="H6024" t="s">
        <v>30</v>
      </c>
      <c r="I6024">
        <v>25</v>
      </c>
      <c r="J6024" s="15"/>
      <c r="K6024" s="16">
        <f>25.86 - (25.86 * $E$1)</f>
        <v>25.86</v>
      </c>
      <c r="L6024" s="16">
        <f>21.2 - (21.2 * $E$1)</f>
        <v>21.2</v>
      </c>
      <c r="M6024" s="1">
        <v>25.86</v>
      </c>
      <c r="N6024" s="1">
        <v>21.2</v>
      </c>
      <c r="O6024" s="1">
        <v>21.98</v>
      </c>
      <c r="P6024" s="1">
        <v>18.02</v>
      </c>
      <c r="Q6024">
        <v>1.7440000000000001E-2</v>
      </c>
      <c r="R6024">
        <v>8.0000000000000007E-5</v>
      </c>
    </row>
    <row r="6025" spans="1:18" ht="13.8" outlineLevel="1" x14ac:dyDescent="0.25">
      <c r="A6025">
        <v>81744</v>
      </c>
      <c r="B6025" t="s">
        <v>8318</v>
      </c>
      <c r="C6025" t="s">
        <v>8404</v>
      </c>
      <c r="D6025" s="14" t="s">
        <v>8394</v>
      </c>
      <c r="E6025" s="12" t="s">
        <v>28</v>
      </c>
      <c r="F6025" s="13" t="s">
        <v>29</v>
      </c>
      <c r="G6025">
        <v>25</v>
      </c>
      <c r="H6025" t="s">
        <v>30</v>
      </c>
      <c r="I6025">
        <v>25</v>
      </c>
      <c r="J6025" s="15"/>
      <c r="K6025" s="16">
        <f>27.23 - (27.23 * $E$1)</f>
        <v>27.23</v>
      </c>
      <c r="L6025" s="16">
        <f>22.32 - (22.32 * $E$1)</f>
        <v>22.32</v>
      </c>
      <c r="M6025" s="1">
        <v>27.23</v>
      </c>
      <c r="N6025" s="1">
        <v>22.32</v>
      </c>
      <c r="O6025" s="1">
        <v>23.15</v>
      </c>
      <c r="P6025" s="1">
        <v>18.97</v>
      </c>
      <c r="Q6025">
        <v>1.804E-2</v>
      </c>
      <c r="R6025">
        <v>8.0000000000000007E-5</v>
      </c>
    </row>
    <row r="6026" spans="1:18" ht="13.8" outlineLevel="1" x14ac:dyDescent="0.25">
      <c r="A6026">
        <v>103926</v>
      </c>
      <c r="B6026" t="s">
        <v>8318</v>
      </c>
      <c r="C6026" t="s">
        <v>8405</v>
      </c>
      <c r="D6026" s="14" t="s">
        <v>8394</v>
      </c>
      <c r="E6026" s="12" t="s">
        <v>28</v>
      </c>
      <c r="F6026" s="13" t="s">
        <v>29</v>
      </c>
      <c r="G6026">
        <v>25</v>
      </c>
      <c r="H6026" t="s">
        <v>30</v>
      </c>
      <c r="I6026">
        <v>25</v>
      </c>
      <c r="J6026" s="15"/>
      <c r="K6026" s="16">
        <f>27.97 - (27.97 * $E$1)</f>
        <v>27.97</v>
      </c>
      <c r="L6026" s="16">
        <f>22.93 - (22.93 * $E$1)</f>
        <v>22.93</v>
      </c>
      <c r="M6026" s="1">
        <v>27.97</v>
      </c>
      <c r="N6026" s="1">
        <v>22.93</v>
      </c>
      <c r="O6026" s="1">
        <v>23.78</v>
      </c>
      <c r="P6026" s="1">
        <v>19.489999999999998</v>
      </c>
      <c r="Q6026">
        <v>0.02</v>
      </c>
      <c r="R6026">
        <v>7.8720000000000005E-5</v>
      </c>
    </row>
    <row r="6027" spans="1:18" ht="13.8" outlineLevel="1" x14ac:dyDescent="0.25">
      <c r="A6027">
        <v>81745</v>
      </c>
      <c r="B6027" t="s">
        <v>8318</v>
      </c>
      <c r="C6027" t="s">
        <v>8406</v>
      </c>
      <c r="D6027" s="14" t="s">
        <v>8394</v>
      </c>
      <c r="E6027" s="12" t="s">
        <v>28</v>
      </c>
      <c r="F6027" s="13" t="s">
        <v>29</v>
      </c>
      <c r="G6027">
        <v>25</v>
      </c>
      <c r="H6027" t="s">
        <v>30</v>
      </c>
      <c r="I6027">
        <v>25</v>
      </c>
      <c r="J6027" s="15"/>
      <c r="K6027" s="16">
        <f>27.89 - (27.89 * $E$1)</f>
        <v>27.89</v>
      </c>
      <c r="L6027" s="16">
        <f>22.86 - (22.86 * $E$1)</f>
        <v>22.86</v>
      </c>
      <c r="M6027" s="1">
        <v>27.89</v>
      </c>
      <c r="N6027" s="1">
        <v>22.86</v>
      </c>
      <c r="O6027" s="1">
        <v>23.71</v>
      </c>
      <c r="P6027" s="1">
        <v>19.43</v>
      </c>
      <c r="Q6027">
        <v>1.9599999999999999E-2</v>
      </c>
      <c r="R6027">
        <v>9.0000000000000006E-5</v>
      </c>
    </row>
    <row r="6028" spans="1:18" ht="13.8" outlineLevel="1" x14ac:dyDescent="0.25">
      <c r="A6028">
        <v>81746</v>
      </c>
      <c r="B6028" t="s">
        <v>8318</v>
      </c>
      <c r="C6028" t="s">
        <v>8407</v>
      </c>
      <c r="D6028" s="14" t="s">
        <v>8394</v>
      </c>
      <c r="E6028" s="12" t="s">
        <v>28</v>
      </c>
      <c r="F6028" s="13" t="s">
        <v>29</v>
      </c>
      <c r="G6028">
        <v>25</v>
      </c>
      <c r="H6028" t="s">
        <v>30</v>
      </c>
      <c r="I6028">
        <v>25</v>
      </c>
      <c r="J6028" s="15"/>
      <c r="K6028" s="16">
        <f>28.62 - (28.62 * $E$1)</f>
        <v>28.62</v>
      </c>
      <c r="L6028" s="16">
        <f>23.46 - (23.46 * $E$1)</f>
        <v>23.46</v>
      </c>
      <c r="M6028" s="1">
        <v>28.62</v>
      </c>
      <c r="N6028" s="1">
        <v>23.46</v>
      </c>
      <c r="O6028" s="1">
        <v>24.33</v>
      </c>
      <c r="P6028" s="1">
        <v>19.940000000000001</v>
      </c>
      <c r="Q6028">
        <v>2.104E-2</v>
      </c>
      <c r="R6028">
        <v>8.0000000000000007E-5</v>
      </c>
    </row>
    <row r="6029" spans="1:18" ht="13.8" outlineLevel="1" x14ac:dyDescent="0.25">
      <c r="A6029">
        <v>81747</v>
      </c>
      <c r="B6029" t="s">
        <v>8318</v>
      </c>
      <c r="C6029" t="s">
        <v>8408</v>
      </c>
      <c r="D6029" s="14" t="s">
        <v>8394</v>
      </c>
      <c r="E6029" s="12" t="s">
        <v>28</v>
      </c>
      <c r="F6029" s="13" t="s">
        <v>29</v>
      </c>
      <c r="G6029">
        <v>25</v>
      </c>
      <c r="H6029" t="s">
        <v>30</v>
      </c>
      <c r="I6029">
        <v>25</v>
      </c>
      <c r="J6029" s="15"/>
      <c r="K6029" s="16">
        <f>30.59 - (30.59 * $E$1)</f>
        <v>30.59</v>
      </c>
      <c r="L6029" s="16">
        <f>25.07 - (25.07 * $E$1)</f>
        <v>25.07</v>
      </c>
      <c r="M6029" s="1">
        <v>30.59</v>
      </c>
      <c r="N6029" s="1">
        <v>25.07</v>
      </c>
      <c r="O6029" s="1">
        <v>26</v>
      </c>
      <c r="P6029" s="1">
        <v>21.31</v>
      </c>
      <c r="Q6029">
        <v>2.4559999999999998E-2</v>
      </c>
      <c r="R6029">
        <v>8.0000000000000007E-5</v>
      </c>
    </row>
    <row r="6030" spans="1:18" ht="13.8" outlineLevel="1" x14ac:dyDescent="0.25">
      <c r="A6030">
        <v>81748</v>
      </c>
      <c r="B6030" t="s">
        <v>8318</v>
      </c>
      <c r="C6030" t="s">
        <v>8409</v>
      </c>
      <c r="D6030" s="14" t="s">
        <v>8394</v>
      </c>
      <c r="E6030" s="12" t="s">
        <v>28</v>
      </c>
      <c r="F6030" s="13" t="s">
        <v>29</v>
      </c>
      <c r="G6030">
        <v>25</v>
      </c>
      <c r="H6030" t="s">
        <v>30</v>
      </c>
      <c r="I6030">
        <v>25</v>
      </c>
      <c r="J6030" s="15"/>
      <c r="K6030" s="16">
        <f>32.57 - (32.57 * $E$1)</f>
        <v>32.57</v>
      </c>
      <c r="L6030" s="16">
        <f>26.7 - (26.7 * $E$1)</f>
        <v>26.7</v>
      </c>
      <c r="M6030" s="1">
        <v>32.57</v>
      </c>
      <c r="N6030" s="1">
        <v>26.7</v>
      </c>
      <c r="O6030" s="1">
        <v>27.69</v>
      </c>
      <c r="P6030" s="1">
        <v>22.7</v>
      </c>
      <c r="Q6030">
        <v>2.664E-2</v>
      </c>
      <c r="R6030">
        <v>8.0000000000000007E-5</v>
      </c>
    </row>
    <row r="6031" spans="1:18" ht="13.8" outlineLevel="1" x14ac:dyDescent="0.25">
      <c r="A6031">
        <v>81750</v>
      </c>
      <c r="B6031" t="s">
        <v>8318</v>
      </c>
      <c r="C6031" t="s">
        <v>8410</v>
      </c>
      <c r="D6031" s="14" t="s">
        <v>8394</v>
      </c>
      <c r="E6031" s="12" t="s">
        <v>28</v>
      </c>
      <c r="F6031" s="13" t="s">
        <v>29</v>
      </c>
      <c r="G6031">
        <v>25</v>
      </c>
      <c r="H6031" t="s">
        <v>30</v>
      </c>
      <c r="I6031">
        <v>25</v>
      </c>
      <c r="J6031" s="15"/>
      <c r="K6031" s="16">
        <f>38.19 - (38.19 * $E$1)</f>
        <v>38.19</v>
      </c>
      <c r="L6031" s="16">
        <f>31.3 - (31.3 * $E$1)</f>
        <v>31.3</v>
      </c>
      <c r="M6031" s="1">
        <v>38.19</v>
      </c>
      <c r="N6031" s="1">
        <v>31.3</v>
      </c>
      <c r="O6031" s="1">
        <v>32.46</v>
      </c>
      <c r="P6031" s="1">
        <v>26.61</v>
      </c>
      <c r="Q6031">
        <v>2.8559999999999999E-2</v>
      </c>
      <c r="R6031">
        <v>8.0000000000000007E-5</v>
      </c>
    </row>
    <row r="6032" spans="1:18" ht="13.8" outlineLevel="1" x14ac:dyDescent="0.25">
      <c r="A6032">
        <v>81752</v>
      </c>
      <c r="B6032" t="s">
        <v>8318</v>
      </c>
      <c r="C6032" t="s">
        <v>8411</v>
      </c>
      <c r="D6032" s="14" t="s">
        <v>8394</v>
      </c>
      <c r="E6032" s="12" t="s">
        <v>28</v>
      </c>
      <c r="F6032" s="13" t="s">
        <v>29</v>
      </c>
      <c r="G6032">
        <v>20</v>
      </c>
      <c r="H6032" t="s">
        <v>30</v>
      </c>
      <c r="I6032">
        <v>20</v>
      </c>
      <c r="J6032" s="15"/>
      <c r="K6032" s="16">
        <f>41.82 - (41.82 * $E$1)</f>
        <v>41.82</v>
      </c>
      <c r="L6032" s="16">
        <f>34.28 - (34.28 * $E$1)</f>
        <v>34.28</v>
      </c>
      <c r="M6032" s="1">
        <v>41.82</v>
      </c>
      <c r="N6032" s="1">
        <v>34.28</v>
      </c>
      <c r="O6032" s="1">
        <v>35.549999999999997</v>
      </c>
      <c r="P6032" s="1">
        <v>29.14</v>
      </c>
      <c r="Q6032">
        <v>3.0499999999999999E-2</v>
      </c>
      <c r="R6032">
        <v>1E-4</v>
      </c>
    </row>
    <row r="6033" spans="1:18" ht="13.8" outlineLevel="1" x14ac:dyDescent="0.25">
      <c r="A6033">
        <v>81756</v>
      </c>
      <c r="B6033" t="s">
        <v>8318</v>
      </c>
      <c r="C6033" t="s">
        <v>8412</v>
      </c>
      <c r="D6033" s="14" t="s">
        <v>8394</v>
      </c>
      <c r="E6033" s="12" t="s">
        <v>28</v>
      </c>
      <c r="F6033" s="13" t="s">
        <v>29</v>
      </c>
      <c r="G6033">
        <v>20</v>
      </c>
      <c r="H6033" t="s">
        <v>30</v>
      </c>
      <c r="I6033">
        <v>20</v>
      </c>
      <c r="J6033" s="15"/>
      <c r="K6033" s="16">
        <f>43.01 - (43.01 * $E$1)</f>
        <v>43.01</v>
      </c>
      <c r="L6033" s="16">
        <f>35.25 - (35.25 * $E$1)</f>
        <v>35.25</v>
      </c>
      <c r="M6033" s="1">
        <v>43.01</v>
      </c>
      <c r="N6033" s="1">
        <v>35.25</v>
      </c>
      <c r="O6033" s="1">
        <v>36.549999999999997</v>
      </c>
      <c r="P6033" s="1">
        <v>29.96</v>
      </c>
      <c r="Q6033">
        <v>3.6499999999999998E-2</v>
      </c>
      <c r="R6033">
        <v>2.5000000000000001E-4</v>
      </c>
    </row>
    <row r="6034" spans="1:18" ht="13.8" outlineLevel="1" x14ac:dyDescent="0.25">
      <c r="A6034">
        <v>81757</v>
      </c>
      <c r="B6034" t="s">
        <v>8318</v>
      </c>
      <c r="C6034" t="s">
        <v>8413</v>
      </c>
      <c r="D6034" s="14" t="s">
        <v>8394</v>
      </c>
      <c r="E6034" s="12" t="s">
        <v>28</v>
      </c>
      <c r="F6034" s="13" t="s">
        <v>29</v>
      </c>
      <c r="G6034">
        <v>10</v>
      </c>
      <c r="H6034" t="s">
        <v>30</v>
      </c>
      <c r="I6034">
        <v>10</v>
      </c>
      <c r="J6034" s="15"/>
      <c r="K6034" s="16">
        <f>50.11 - (50.11 * $E$1)</f>
        <v>50.11</v>
      </c>
      <c r="L6034" s="16">
        <f>41.07 - (41.07 * $E$1)</f>
        <v>41.07</v>
      </c>
      <c r="M6034" s="1">
        <v>50.11</v>
      </c>
      <c r="N6034" s="1">
        <v>41.07</v>
      </c>
      <c r="O6034" s="1">
        <v>42.59</v>
      </c>
      <c r="P6034" s="1">
        <v>34.909999999999997</v>
      </c>
      <c r="Q6034">
        <v>6.8199999999999997E-2</v>
      </c>
      <c r="R6034">
        <v>5.0000000000000001E-4</v>
      </c>
    </row>
    <row r="6035" spans="1:18" ht="13.8" outlineLevel="1" x14ac:dyDescent="0.25">
      <c r="A6035">
        <v>81758</v>
      </c>
      <c r="B6035" t="s">
        <v>8318</v>
      </c>
      <c r="C6035" t="s">
        <v>8414</v>
      </c>
      <c r="D6035" s="14" t="s">
        <v>8394</v>
      </c>
      <c r="E6035" s="12" t="s">
        <v>28</v>
      </c>
      <c r="F6035" s="13" t="s">
        <v>29</v>
      </c>
      <c r="G6035">
        <v>10</v>
      </c>
      <c r="H6035" t="s">
        <v>30</v>
      </c>
      <c r="I6035">
        <v>10</v>
      </c>
      <c r="J6035" s="15"/>
      <c r="K6035" s="16">
        <f>46.74 - (46.74 * $E$1)</f>
        <v>46.74</v>
      </c>
      <c r="L6035" s="16">
        <f>38.31 - (38.31 * $E$1)</f>
        <v>38.31</v>
      </c>
      <c r="M6035" s="1">
        <v>46.74</v>
      </c>
      <c r="N6035" s="1">
        <v>38.31</v>
      </c>
      <c r="O6035" s="1">
        <v>39.729999999999997</v>
      </c>
      <c r="P6035" s="1">
        <v>32.56</v>
      </c>
      <c r="Q6035">
        <v>7.0800000000000002E-2</v>
      </c>
      <c r="R6035">
        <v>5.0000000000000001E-4</v>
      </c>
    </row>
    <row r="6036" spans="1:18" ht="13.8" outlineLevel="1" x14ac:dyDescent="0.25">
      <c r="A6036">
        <v>81759</v>
      </c>
      <c r="B6036" t="s">
        <v>8318</v>
      </c>
      <c r="C6036" t="s">
        <v>8415</v>
      </c>
      <c r="D6036" s="14" t="s">
        <v>8394</v>
      </c>
      <c r="E6036" s="12" t="s">
        <v>28</v>
      </c>
      <c r="F6036" s="13" t="s">
        <v>29</v>
      </c>
      <c r="G6036">
        <v>10</v>
      </c>
      <c r="H6036" t="s">
        <v>30</v>
      </c>
      <c r="I6036">
        <v>10</v>
      </c>
      <c r="J6036" s="15"/>
      <c r="K6036" s="16">
        <f>47.63 - (47.63 * $E$1)</f>
        <v>47.63</v>
      </c>
      <c r="L6036" s="16">
        <f>39.04 - (39.04 * $E$1)</f>
        <v>39.04</v>
      </c>
      <c r="M6036" s="1">
        <v>47.63</v>
      </c>
      <c r="N6036" s="1">
        <v>39.04</v>
      </c>
      <c r="O6036" s="1">
        <v>40.479999999999997</v>
      </c>
      <c r="P6036" s="1">
        <v>33.18</v>
      </c>
      <c r="Q6036">
        <v>4.4999999999999998E-2</v>
      </c>
      <c r="R6036">
        <v>2.0000000000000001E-4</v>
      </c>
    </row>
    <row r="6037" spans="1:18" ht="13.8" outlineLevel="1" x14ac:dyDescent="0.25">
      <c r="A6037">
        <v>81760</v>
      </c>
      <c r="B6037" t="s">
        <v>8318</v>
      </c>
      <c r="C6037" t="s">
        <v>8416</v>
      </c>
      <c r="D6037" s="14" t="s">
        <v>8394</v>
      </c>
      <c r="E6037" s="12" t="s">
        <v>28</v>
      </c>
      <c r="F6037" s="13" t="s">
        <v>29</v>
      </c>
      <c r="G6037">
        <v>10</v>
      </c>
      <c r="H6037" t="s">
        <v>30</v>
      </c>
      <c r="I6037">
        <v>10</v>
      </c>
      <c r="J6037" s="15"/>
      <c r="K6037" s="16">
        <f>49.63 - (49.63 * $E$1)</f>
        <v>49.63</v>
      </c>
      <c r="L6037" s="16">
        <f>40.68 - (40.68 * $E$1)</f>
        <v>40.68</v>
      </c>
      <c r="M6037" s="1">
        <v>49.63</v>
      </c>
      <c r="N6037" s="1">
        <v>40.68</v>
      </c>
      <c r="O6037" s="1">
        <v>42.19</v>
      </c>
      <c r="P6037" s="1">
        <v>34.58</v>
      </c>
      <c r="Q6037">
        <v>4.9299999999999997E-2</v>
      </c>
      <c r="R6037">
        <v>2.0000000000000001E-4</v>
      </c>
    </row>
    <row r="6038" spans="1:18" ht="13.8" outlineLevel="1" x14ac:dyDescent="0.25">
      <c r="A6038">
        <v>82199</v>
      </c>
      <c r="B6038" t="s">
        <v>8293</v>
      </c>
      <c r="C6038" t="s">
        <v>8417</v>
      </c>
      <c r="D6038" s="14" t="s">
        <v>8418</v>
      </c>
      <c r="E6038" s="12" t="s">
        <v>28</v>
      </c>
      <c r="F6038" s="13" t="s">
        <v>29</v>
      </c>
      <c r="G6038">
        <v>50</v>
      </c>
      <c r="H6038" t="s">
        <v>30</v>
      </c>
      <c r="I6038">
        <v>50</v>
      </c>
      <c r="J6038" s="15"/>
      <c r="K6038" s="16">
        <f>19.4 - (19.4 * $E$1)</f>
        <v>19.399999999999999</v>
      </c>
      <c r="L6038" s="16">
        <f>15.9 - (15.9 * $E$1)</f>
        <v>15.9</v>
      </c>
      <c r="M6038" s="1">
        <v>19.399999999999999</v>
      </c>
      <c r="N6038" s="1">
        <v>15.9</v>
      </c>
      <c r="O6038" s="1">
        <v>16.489999999999998</v>
      </c>
      <c r="P6038" s="1">
        <v>13.52</v>
      </c>
      <c r="Q6038">
        <v>8.6E-3</v>
      </c>
      <c r="R6038">
        <v>2.2500000000000001E-5</v>
      </c>
    </row>
    <row r="6039" spans="1:18" ht="13.8" outlineLevel="1" x14ac:dyDescent="0.25">
      <c r="A6039">
        <v>82201</v>
      </c>
      <c r="B6039" t="s">
        <v>8293</v>
      </c>
      <c r="C6039" t="s">
        <v>8419</v>
      </c>
      <c r="D6039" s="14" t="s">
        <v>8418</v>
      </c>
      <c r="E6039" s="12" t="s">
        <v>28</v>
      </c>
      <c r="F6039" s="17" t="s">
        <v>549</v>
      </c>
      <c r="G6039">
        <v>50</v>
      </c>
      <c r="H6039" t="s">
        <v>30</v>
      </c>
      <c r="I6039">
        <v>50</v>
      </c>
      <c r="J6039" s="15"/>
      <c r="K6039" s="16">
        <f>21.67 - (21.67 * $E$1)</f>
        <v>21.67</v>
      </c>
      <c r="L6039" s="16">
        <f>17.76 - (17.76 * $E$1)</f>
        <v>17.760000000000002</v>
      </c>
      <c r="M6039" s="1">
        <v>21.67</v>
      </c>
      <c r="N6039" s="1">
        <v>17.760000000000002</v>
      </c>
      <c r="O6039" s="1">
        <v>18.420000000000002</v>
      </c>
      <c r="P6039" s="1">
        <v>15.1</v>
      </c>
      <c r="Q6039">
        <v>1.116E-2</v>
      </c>
      <c r="R6039">
        <v>4.0000000000000003E-5</v>
      </c>
    </row>
    <row r="6040" spans="1:18" ht="13.8" outlineLevel="1" x14ac:dyDescent="0.25">
      <c r="A6040">
        <v>82202</v>
      </c>
      <c r="B6040" t="s">
        <v>8293</v>
      </c>
      <c r="C6040" t="s">
        <v>8420</v>
      </c>
      <c r="D6040" s="14" t="s">
        <v>8418</v>
      </c>
      <c r="E6040" s="12" t="s">
        <v>28</v>
      </c>
      <c r="F6040" s="13" t="s">
        <v>29</v>
      </c>
      <c r="G6040">
        <v>50</v>
      </c>
      <c r="H6040" t="s">
        <v>30</v>
      </c>
      <c r="I6040">
        <v>50</v>
      </c>
      <c r="J6040" s="15"/>
      <c r="K6040" s="16">
        <f>24.29 - (24.29 * $E$1)</f>
        <v>24.29</v>
      </c>
      <c r="L6040" s="16">
        <f>19.91 - (19.91 * $E$1)</f>
        <v>19.91</v>
      </c>
      <c r="M6040" s="1">
        <v>24.29</v>
      </c>
      <c r="N6040" s="1">
        <v>19.91</v>
      </c>
      <c r="O6040" s="1">
        <v>20.65</v>
      </c>
      <c r="P6040" s="1">
        <v>16.920000000000002</v>
      </c>
      <c r="Q6040">
        <v>1.208E-2</v>
      </c>
      <c r="R6040">
        <v>4.0000000000000003E-5</v>
      </c>
    </row>
    <row r="6041" spans="1:18" ht="13.8" outlineLevel="1" x14ac:dyDescent="0.25">
      <c r="A6041">
        <v>82203</v>
      </c>
      <c r="B6041" t="s">
        <v>8293</v>
      </c>
      <c r="C6041" t="s">
        <v>8421</v>
      </c>
      <c r="D6041" s="14" t="s">
        <v>8418</v>
      </c>
      <c r="E6041" s="12" t="s">
        <v>28</v>
      </c>
      <c r="F6041" s="13" t="s">
        <v>29</v>
      </c>
      <c r="G6041">
        <v>50</v>
      </c>
      <c r="H6041" t="s">
        <v>30</v>
      </c>
      <c r="I6041">
        <v>50</v>
      </c>
      <c r="J6041" s="15"/>
      <c r="K6041" s="16">
        <f>26.63 - (26.63 * $E$1)</f>
        <v>26.63</v>
      </c>
      <c r="L6041" s="16">
        <f>21.83 - (21.83 * $E$1)</f>
        <v>21.83</v>
      </c>
      <c r="M6041" s="1">
        <v>26.63</v>
      </c>
      <c r="N6041" s="1">
        <v>21.83</v>
      </c>
      <c r="O6041" s="1">
        <v>22.64</v>
      </c>
      <c r="P6041" s="1">
        <v>18.559999999999999</v>
      </c>
      <c r="Q6041">
        <v>1.472E-2</v>
      </c>
      <c r="R6041">
        <v>4.0000000000000003E-5</v>
      </c>
    </row>
    <row r="6042" spans="1:18" ht="13.8" outlineLevel="1" x14ac:dyDescent="0.25">
      <c r="A6042">
        <v>103927</v>
      </c>
      <c r="B6042" t="s">
        <v>8318</v>
      </c>
      <c r="C6042" t="s">
        <v>8422</v>
      </c>
      <c r="D6042" s="14" t="s">
        <v>8418</v>
      </c>
      <c r="E6042" s="12" t="s">
        <v>28</v>
      </c>
      <c r="F6042" s="13" t="s">
        <v>29</v>
      </c>
      <c r="G6042">
        <v>25</v>
      </c>
      <c r="H6042" t="s">
        <v>30</v>
      </c>
      <c r="I6042">
        <v>25</v>
      </c>
      <c r="J6042" s="15"/>
      <c r="K6042" s="16">
        <f>30.6 - (30.6 * $E$1)</f>
        <v>30.6</v>
      </c>
      <c r="L6042" s="16">
        <f>25.08 - (25.08 * $E$1)</f>
        <v>25.08</v>
      </c>
      <c r="M6042" s="1">
        <v>30.6</v>
      </c>
      <c r="N6042" s="1">
        <v>25.08</v>
      </c>
      <c r="O6042" s="1">
        <v>26.01</v>
      </c>
      <c r="P6042" s="1">
        <v>21.32</v>
      </c>
      <c r="Q6042">
        <v>1.5599999999999999E-2</v>
      </c>
      <c r="R6042">
        <v>9.1160000000000001E-5</v>
      </c>
    </row>
    <row r="6043" spans="1:18" ht="13.8" outlineLevel="1" x14ac:dyDescent="0.25">
      <c r="A6043">
        <v>82207</v>
      </c>
      <c r="B6043" t="s">
        <v>8293</v>
      </c>
      <c r="C6043" t="s">
        <v>8423</v>
      </c>
      <c r="D6043" s="14" t="s">
        <v>8418</v>
      </c>
      <c r="E6043" s="12" t="s">
        <v>28</v>
      </c>
      <c r="F6043" s="13" t="s">
        <v>29</v>
      </c>
      <c r="G6043">
        <v>25</v>
      </c>
      <c r="H6043" t="s">
        <v>30</v>
      </c>
      <c r="I6043">
        <v>25</v>
      </c>
      <c r="J6043" s="15"/>
      <c r="K6043" s="16">
        <f>35.22 - (35.22 * $E$1)</f>
        <v>35.22</v>
      </c>
      <c r="L6043" s="16">
        <f>28.87 - (28.87 * $E$1)</f>
        <v>28.87</v>
      </c>
      <c r="M6043" s="1">
        <v>35.22</v>
      </c>
      <c r="N6043" s="1">
        <v>28.87</v>
      </c>
      <c r="O6043" s="1">
        <v>29.94</v>
      </c>
      <c r="P6043" s="1">
        <v>24.54</v>
      </c>
      <c r="Q6043">
        <v>2.3599999999999999E-2</v>
      </c>
      <c r="R6043">
        <v>8.0000000000000007E-5</v>
      </c>
    </row>
    <row r="6044" spans="1:18" ht="13.8" outlineLevel="1" x14ac:dyDescent="0.25">
      <c r="A6044">
        <v>82208</v>
      </c>
      <c r="B6044" t="s">
        <v>8293</v>
      </c>
      <c r="C6044" t="s">
        <v>8424</v>
      </c>
      <c r="D6044" s="14" t="s">
        <v>8418</v>
      </c>
      <c r="E6044" s="12" t="s">
        <v>28</v>
      </c>
      <c r="F6044" s="17" t="s">
        <v>549</v>
      </c>
      <c r="G6044">
        <v>25</v>
      </c>
      <c r="H6044" t="s">
        <v>30</v>
      </c>
      <c r="I6044">
        <v>25</v>
      </c>
      <c r="J6044" s="15"/>
      <c r="K6044" s="16">
        <f>41.68 - (41.68 * $E$1)</f>
        <v>41.68</v>
      </c>
      <c r="L6044" s="16">
        <f>34.16 - (34.16 * $E$1)</f>
        <v>34.159999999999997</v>
      </c>
      <c r="M6044" s="1">
        <v>41.68</v>
      </c>
      <c r="N6044" s="1">
        <v>34.159999999999997</v>
      </c>
      <c r="O6044" s="1">
        <v>35.42</v>
      </c>
      <c r="P6044" s="1">
        <v>29.04</v>
      </c>
      <c r="Q6044">
        <v>2.8320000000000001E-2</v>
      </c>
      <c r="R6044">
        <v>1.4999999999999999E-4</v>
      </c>
    </row>
    <row r="6045" spans="1:18" ht="13.8" outlineLevel="1" x14ac:dyDescent="0.25">
      <c r="A6045">
        <v>82209</v>
      </c>
      <c r="B6045" t="s">
        <v>8293</v>
      </c>
      <c r="C6045" t="s">
        <v>8425</v>
      </c>
      <c r="D6045" s="14" t="s">
        <v>8418</v>
      </c>
      <c r="E6045" s="12" t="s">
        <v>28</v>
      </c>
      <c r="F6045" s="13" t="s">
        <v>29</v>
      </c>
      <c r="G6045">
        <v>20</v>
      </c>
      <c r="H6045" t="s">
        <v>30</v>
      </c>
      <c r="I6045">
        <v>20</v>
      </c>
      <c r="J6045" s="15"/>
      <c r="K6045" s="16">
        <f>43.98 - (43.98 * $E$1)</f>
        <v>43.98</v>
      </c>
      <c r="L6045" s="16">
        <f>36.05 - (36.05 * $E$1)</f>
        <v>36.049999999999997</v>
      </c>
      <c r="M6045" s="1">
        <v>43.98</v>
      </c>
      <c r="N6045" s="1">
        <v>36.049999999999997</v>
      </c>
      <c r="O6045" s="1">
        <v>37.380000000000003</v>
      </c>
      <c r="P6045" s="1">
        <v>30.64</v>
      </c>
      <c r="Q6045">
        <v>2.9000000000000001E-2</v>
      </c>
      <c r="R6045">
        <v>2.0000000000000001E-4</v>
      </c>
    </row>
    <row r="6046" spans="1:18" ht="13.8" outlineLevel="1" x14ac:dyDescent="0.25">
      <c r="A6046">
        <v>82211</v>
      </c>
      <c r="B6046" t="s">
        <v>8293</v>
      </c>
      <c r="C6046" t="s">
        <v>8426</v>
      </c>
      <c r="D6046" s="14" t="s">
        <v>8418</v>
      </c>
      <c r="E6046" s="12" t="s">
        <v>28</v>
      </c>
      <c r="F6046" s="13" t="s">
        <v>29</v>
      </c>
      <c r="G6046">
        <v>10</v>
      </c>
      <c r="H6046" t="s">
        <v>30</v>
      </c>
      <c r="I6046">
        <v>10</v>
      </c>
      <c r="J6046" s="15"/>
      <c r="K6046" s="16">
        <f>51.79 - (51.79 * $E$1)</f>
        <v>51.79</v>
      </c>
      <c r="L6046" s="16">
        <f>42.45 - (42.45 * $E$1)</f>
        <v>42.45</v>
      </c>
      <c r="M6046" s="1">
        <v>51.79</v>
      </c>
      <c r="N6046" s="1">
        <v>42.45</v>
      </c>
      <c r="O6046" s="1">
        <v>44.02</v>
      </c>
      <c r="P6046" s="1">
        <v>36.08</v>
      </c>
      <c r="Q6046">
        <v>3.7400000000000003E-2</v>
      </c>
      <c r="R6046">
        <v>2.9999999999999997E-4</v>
      </c>
    </row>
    <row r="6047" spans="1:18" ht="13.8" outlineLevel="1" x14ac:dyDescent="0.25">
      <c r="A6047">
        <v>82212</v>
      </c>
      <c r="B6047" t="s">
        <v>8293</v>
      </c>
      <c r="C6047" t="s">
        <v>8427</v>
      </c>
      <c r="D6047" s="14" t="s">
        <v>8418</v>
      </c>
      <c r="E6047" s="12" t="s">
        <v>28</v>
      </c>
      <c r="F6047" s="13" t="s">
        <v>29</v>
      </c>
      <c r="G6047">
        <v>10</v>
      </c>
      <c r="H6047" t="s">
        <v>30</v>
      </c>
      <c r="I6047">
        <v>10</v>
      </c>
      <c r="J6047" s="15"/>
      <c r="K6047" s="16">
        <f>55.66 - (55.66 * $E$1)</f>
        <v>55.66</v>
      </c>
      <c r="L6047" s="16">
        <f>45.62 - (45.62 * $E$1)</f>
        <v>45.62</v>
      </c>
      <c r="M6047" s="1">
        <v>55.66</v>
      </c>
      <c r="N6047" s="1">
        <v>45.62</v>
      </c>
      <c r="O6047" s="1">
        <v>47.31</v>
      </c>
      <c r="P6047" s="1">
        <v>38.78</v>
      </c>
      <c r="Q6047">
        <v>4.2599999999999999E-2</v>
      </c>
      <c r="R6047">
        <v>2.0000000000000001E-4</v>
      </c>
    </row>
    <row r="6048" spans="1:18" ht="13.8" outlineLevel="1" x14ac:dyDescent="0.25">
      <c r="A6048">
        <v>55357</v>
      </c>
      <c r="B6048" t="s">
        <v>8428</v>
      </c>
      <c r="C6048" t="s">
        <v>8429</v>
      </c>
      <c r="D6048" s="14" t="s">
        <v>8430</v>
      </c>
      <c r="E6048" s="12" t="s">
        <v>28</v>
      </c>
      <c r="F6048" s="13" t="s">
        <v>29</v>
      </c>
      <c r="G6048">
        <v>5</v>
      </c>
      <c r="H6048" t="s">
        <v>2364</v>
      </c>
      <c r="I6048">
        <v>5</v>
      </c>
      <c r="J6048" s="15"/>
      <c r="K6048" s="16">
        <f>578.94 - (578.94 * $E$1)</f>
        <v>578.94000000000005</v>
      </c>
      <c r="L6048" s="16">
        <f>474.54 - (474.54 * $E$1)</f>
        <v>474.54</v>
      </c>
      <c r="M6048" s="1">
        <v>578.94000000000005</v>
      </c>
      <c r="N6048" s="1">
        <v>474.54</v>
      </c>
      <c r="O6048" s="1">
        <v>492.1</v>
      </c>
      <c r="P6048" s="1">
        <v>403.36</v>
      </c>
      <c r="Q6048">
        <v>0.68</v>
      </c>
      <c r="R6048">
        <v>4.192E-4</v>
      </c>
    </row>
    <row r="6049" spans="1:18" ht="13.8" outlineLevel="1" x14ac:dyDescent="0.25">
      <c r="A6049">
        <v>55358</v>
      </c>
      <c r="B6049" t="s">
        <v>8428</v>
      </c>
      <c r="C6049" t="s">
        <v>8431</v>
      </c>
      <c r="D6049" s="14" t="s">
        <v>8430</v>
      </c>
      <c r="E6049" s="12" t="s">
        <v>28</v>
      </c>
      <c r="F6049" s="13" t="s">
        <v>29</v>
      </c>
      <c r="G6049">
        <v>5</v>
      </c>
      <c r="H6049" t="s">
        <v>2364</v>
      </c>
      <c r="I6049">
        <v>5</v>
      </c>
      <c r="J6049" s="15"/>
      <c r="K6049" s="16">
        <f>936.72 - (936.72 * $E$1)</f>
        <v>936.72</v>
      </c>
      <c r="L6049" s="16">
        <f>767.8 - (767.8 * $E$1)</f>
        <v>767.8</v>
      </c>
      <c r="M6049" s="1">
        <v>936.72</v>
      </c>
      <c r="N6049" s="1">
        <v>767.8</v>
      </c>
      <c r="O6049" s="1">
        <v>796.21</v>
      </c>
      <c r="P6049" s="1">
        <v>652.63</v>
      </c>
      <c r="Q6049">
        <v>1.32</v>
      </c>
      <c r="R6049">
        <v>7.1060000000000003E-4</v>
      </c>
    </row>
    <row r="6050" spans="1:18" ht="13.8" outlineLevel="1" x14ac:dyDescent="0.25">
      <c r="A6050">
        <v>55355</v>
      </c>
      <c r="B6050" t="s">
        <v>8428</v>
      </c>
      <c r="C6050" t="s">
        <v>8432</v>
      </c>
      <c r="D6050" s="14" t="s">
        <v>8430</v>
      </c>
      <c r="E6050" s="12" t="s">
        <v>28</v>
      </c>
      <c r="F6050" s="13" t="s">
        <v>29</v>
      </c>
      <c r="G6050">
        <v>5</v>
      </c>
      <c r="H6050" t="s">
        <v>2364</v>
      </c>
      <c r="I6050">
        <v>5</v>
      </c>
      <c r="J6050" s="15"/>
      <c r="K6050" s="16">
        <f>563.15 - (563.15 * $E$1)</f>
        <v>563.15</v>
      </c>
      <c r="L6050" s="16">
        <f>461.6 - (461.6 * $E$1)</f>
        <v>461.6</v>
      </c>
      <c r="M6050" s="1">
        <v>563.15</v>
      </c>
      <c r="N6050" s="1">
        <v>461.6</v>
      </c>
      <c r="O6050" s="1">
        <v>478.68</v>
      </c>
      <c r="P6050" s="1">
        <v>392.36</v>
      </c>
      <c r="Q6050">
        <v>0.7</v>
      </c>
      <c r="R6050">
        <v>5.04E-4</v>
      </c>
    </row>
    <row r="6051" spans="1:18" ht="13.8" outlineLevel="1" x14ac:dyDescent="0.25">
      <c r="A6051">
        <v>55356</v>
      </c>
      <c r="B6051" t="s">
        <v>8428</v>
      </c>
      <c r="C6051" t="s">
        <v>8433</v>
      </c>
      <c r="D6051" s="14" t="s">
        <v>8430</v>
      </c>
      <c r="E6051" s="12" t="s">
        <v>28</v>
      </c>
      <c r="F6051" s="13" t="s">
        <v>29</v>
      </c>
      <c r="G6051">
        <v>5</v>
      </c>
      <c r="H6051" t="s">
        <v>2364</v>
      </c>
      <c r="I6051">
        <v>5</v>
      </c>
      <c r="J6051" s="15"/>
      <c r="K6051" s="16">
        <f>797.73 - (797.73 * $E$1)</f>
        <v>797.73</v>
      </c>
      <c r="L6051" s="16">
        <f>653.88 - (653.88 * $E$1)</f>
        <v>653.88</v>
      </c>
      <c r="M6051" s="1">
        <v>797.73</v>
      </c>
      <c r="N6051" s="1">
        <v>653.88</v>
      </c>
      <c r="O6051" s="1">
        <v>678.07</v>
      </c>
      <c r="P6051" s="1">
        <v>555.79999999999995</v>
      </c>
      <c r="Q6051">
        <v>1.1200000000000001</v>
      </c>
      <c r="R6051">
        <v>6.8440000000000005E-4</v>
      </c>
    </row>
    <row r="6052" spans="1:18" ht="13.8" outlineLevel="1" x14ac:dyDescent="0.25">
      <c r="A6052">
        <v>106596</v>
      </c>
      <c r="B6052" t="s">
        <v>8428</v>
      </c>
      <c r="C6052" t="s">
        <v>8434</v>
      </c>
      <c r="D6052" s="14" t="s">
        <v>8430</v>
      </c>
      <c r="E6052" s="12" t="s">
        <v>28</v>
      </c>
      <c r="F6052" s="13" t="s">
        <v>29</v>
      </c>
      <c r="G6052">
        <v>5</v>
      </c>
      <c r="H6052" t="s">
        <v>2364</v>
      </c>
      <c r="I6052">
        <v>5</v>
      </c>
      <c r="J6052" s="15"/>
      <c r="K6052" s="16">
        <f>1276.6 - (1276.6 * $E$1)</f>
        <v>1276.5999999999999</v>
      </c>
      <c r="L6052" s="16">
        <f>1046.39 - (1046.39 * $E$1)</f>
        <v>1046.3900000000001</v>
      </c>
      <c r="M6052" s="1">
        <v>1276.5999999999999</v>
      </c>
      <c r="N6052" s="1">
        <v>1046.3900000000001</v>
      </c>
      <c r="O6052" s="1">
        <v>1085.1099999999999</v>
      </c>
      <c r="P6052" s="1">
        <v>889.43</v>
      </c>
      <c r="Q6052">
        <v>2.38</v>
      </c>
      <c r="R6052">
        <v>7.1060000000000003E-4</v>
      </c>
    </row>
    <row r="6053" spans="1:18" ht="13.8" outlineLevel="1" x14ac:dyDescent="0.25">
      <c r="A6053">
        <v>49457</v>
      </c>
      <c r="B6053" t="s">
        <v>8435</v>
      </c>
      <c r="C6053" t="s">
        <v>8436</v>
      </c>
      <c r="D6053" s="14" t="s">
        <v>8437</v>
      </c>
      <c r="E6053" s="12" t="s">
        <v>28</v>
      </c>
      <c r="F6053" s="13" t="s">
        <v>29</v>
      </c>
      <c r="G6053">
        <v>1</v>
      </c>
      <c r="H6053" t="s">
        <v>420</v>
      </c>
      <c r="I6053">
        <v>1</v>
      </c>
      <c r="J6053" s="15"/>
      <c r="K6053" s="16">
        <f>29.67 - (29.67 * $E$1)</f>
        <v>29.67</v>
      </c>
      <c r="L6053" s="16">
        <f>24.32 - (24.32 * $E$1)</f>
        <v>24.32</v>
      </c>
      <c r="M6053" s="1">
        <v>29.67</v>
      </c>
      <c r="N6053" s="1">
        <v>24.32</v>
      </c>
      <c r="O6053" s="1">
        <v>25.22</v>
      </c>
      <c r="P6053" s="1">
        <v>20.67</v>
      </c>
      <c r="Q6053">
        <v>0.02</v>
      </c>
      <c r="R6053">
        <v>1.4999999999999999E-4</v>
      </c>
    </row>
    <row r="6054" spans="1:18" ht="13.8" outlineLevel="1" x14ac:dyDescent="0.25">
      <c r="A6054">
        <v>49459</v>
      </c>
      <c r="B6054" t="s">
        <v>8435</v>
      </c>
      <c r="C6054" t="s">
        <v>8438</v>
      </c>
      <c r="D6054" s="14" t="s">
        <v>8437</v>
      </c>
      <c r="E6054" s="12" t="s">
        <v>28</v>
      </c>
      <c r="F6054" s="13" t="s">
        <v>29</v>
      </c>
      <c r="G6054">
        <v>1</v>
      </c>
      <c r="H6054" t="s">
        <v>420</v>
      </c>
      <c r="I6054">
        <v>1</v>
      </c>
      <c r="J6054" s="15"/>
      <c r="K6054" s="16">
        <f>31.59 - (31.59 * $E$1)</f>
        <v>31.59</v>
      </c>
      <c r="L6054" s="16">
        <f>25.89 - (25.89 * $E$1)</f>
        <v>25.89</v>
      </c>
      <c r="M6054" s="1">
        <v>31.59</v>
      </c>
      <c r="N6054" s="1">
        <v>25.89</v>
      </c>
      <c r="O6054" s="1">
        <v>26.85</v>
      </c>
      <c r="P6054" s="1">
        <v>22.01</v>
      </c>
      <c r="Q6054">
        <v>2.3E-2</v>
      </c>
      <c r="R6054">
        <v>1.4999999999999999E-4</v>
      </c>
    </row>
    <row r="6055" spans="1:18" ht="13.8" outlineLevel="1" x14ac:dyDescent="0.25">
      <c r="A6055">
        <v>49458</v>
      </c>
      <c r="B6055" t="s">
        <v>8435</v>
      </c>
      <c r="C6055" t="s">
        <v>8439</v>
      </c>
      <c r="D6055" s="14" t="s">
        <v>8437</v>
      </c>
      <c r="E6055" s="12" t="s">
        <v>28</v>
      </c>
      <c r="F6055" s="13" t="s">
        <v>29</v>
      </c>
      <c r="G6055">
        <v>1</v>
      </c>
      <c r="H6055" t="s">
        <v>420</v>
      </c>
      <c r="I6055">
        <v>1</v>
      </c>
      <c r="J6055" s="15"/>
      <c r="K6055" s="16">
        <f>38.28 - (38.28 * $E$1)</f>
        <v>38.28</v>
      </c>
      <c r="L6055" s="16">
        <f>31.38 - (31.38 * $E$1)</f>
        <v>31.38</v>
      </c>
      <c r="M6055" s="1">
        <v>38.28</v>
      </c>
      <c r="N6055" s="1">
        <v>31.38</v>
      </c>
      <c r="O6055" s="1">
        <v>32.54</v>
      </c>
      <c r="P6055" s="1">
        <v>26.67</v>
      </c>
      <c r="Q6055">
        <v>3.3000000000000002E-2</v>
      </c>
      <c r="R6055">
        <v>1.4999999999999999E-4</v>
      </c>
    </row>
    <row r="6056" spans="1:18" ht="13.8" outlineLevel="1" x14ac:dyDescent="0.25">
      <c r="A6056">
        <v>50025</v>
      </c>
      <c r="B6056" t="s">
        <v>8435</v>
      </c>
      <c r="C6056" t="s">
        <v>8440</v>
      </c>
      <c r="D6056" s="14" t="s">
        <v>8437</v>
      </c>
      <c r="E6056" s="12" t="s">
        <v>28</v>
      </c>
      <c r="F6056" s="13" t="s">
        <v>29</v>
      </c>
      <c r="G6056">
        <v>1</v>
      </c>
      <c r="H6056" t="s">
        <v>420</v>
      </c>
      <c r="I6056">
        <v>1</v>
      </c>
      <c r="J6056" s="15"/>
      <c r="K6056" s="16">
        <f>42.77 - (42.77 * $E$1)</f>
        <v>42.77</v>
      </c>
      <c r="L6056" s="16">
        <f>35.06 - (35.06 * $E$1)</f>
        <v>35.06</v>
      </c>
      <c r="M6056" s="1">
        <v>42.77</v>
      </c>
      <c r="N6056" s="1">
        <v>35.06</v>
      </c>
      <c r="O6056" s="1">
        <v>36.36</v>
      </c>
      <c r="P6056" s="1">
        <v>29.8</v>
      </c>
      <c r="Q6056">
        <v>3.3000000000000002E-2</v>
      </c>
      <c r="R6056">
        <v>1.4999999999999999E-4</v>
      </c>
    </row>
    <row r="6057" spans="1:18" ht="13.8" outlineLevel="1" x14ac:dyDescent="0.25">
      <c r="A6057">
        <v>103935</v>
      </c>
      <c r="B6057" t="s">
        <v>8435</v>
      </c>
      <c r="C6057" t="s">
        <v>8441</v>
      </c>
      <c r="D6057" s="14" t="s">
        <v>8437</v>
      </c>
      <c r="E6057" s="12" t="s">
        <v>28</v>
      </c>
      <c r="F6057" s="13" t="s">
        <v>29</v>
      </c>
      <c r="G6057">
        <v>1</v>
      </c>
      <c r="H6057" t="s">
        <v>420</v>
      </c>
      <c r="I6057">
        <v>1</v>
      </c>
      <c r="J6057" s="15"/>
      <c r="K6057" s="16">
        <f>48.21 - (48.21 * $E$1)</f>
        <v>48.21</v>
      </c>
      <c r="L6057" s="16">
        <f>39.52 - (39.52 * $E$1)</f>
        <v>39.520000000000003</v>
      </c>
      <c r="M6057" s="1">
        <v>48.21</v>
      </c>
      <c r="N6057" s="1">
        <v>39.520000000000003</v>
      </c>
      <c r="O6057" s="1">
        <v>40.98</v>
      </c>
      <c r="P6057" s="1">
        <v>33.590000000000003</v>
      </c>
      <c r="Q6057">
        <v>4.2000000000000003E-2</v>
      </c>
      <c r="R6057">
        <v>2.0000000000000001E-4</v>
      </c>
    </row>
    <row r="6058" spans="1:18" ht="13.8" outlineLevel="1" x14ac:dyDescent="0.25">
      <c r="A6058">
        <v>103936</v>
      </c>
      <c r="B6058" t="s">
        <v>8435</v>
      </c>
      <c r="C6058" t="s">
        <v>8442</v>
      </c>
      <c r="D6058" s="14" t="s">
        <v>8437</v>
      </c>
      <c r="E6058" s="12" t="s">
        <v>28</v>
      </c>
      <c r="F6058" s="13" t="s">
        <v>29</v>
      </c>
      <c r="G6058">
        <v>1</v>
      </c>
      <c r="H6058" t="s">
        <v>420</v>
      </c>
      <c r="I6058">
        <v>1</v>
      </c>
      <c r="J6058" s="15"/>
      <c r="K6058" s="16">
        <f>56.14 - (56.14 * $E$1)</f>
        <v>56.14</v>
      </c>
      <c r="L6058" s="16">
        <f>46.02 - (46.02 * $E$1)</f>
        <v>46.02</v>
      </c>
      <c r="M6058" s="1">
        <v>56.14</v>
      </c>
      <c r="N6058" s="1">
        <v>46.02</v>
      </c>
      <c r="O6058" s="1">
        <v>47.72</v>
      </c>
      <c r="P6058" s="1">
        <v>39.119999999999997</v>
      </c>
      <c r="Q6058">
        <v>5.3999999999999999E-2</v>
      </c>
      <c r="R6058">
        <v>1.4999999999999999E-4</v>
      </c>
    </row>
    <row r="6059" spans="1:18" ht="13.8" outlineLevel="1" x14ac:dyDescent="0.25">
      <c r="A6059">
        <v>103937</v>
      </c>
      <c r="B6059" t="s">
        <v>8435</v>
      </c>
      <c r="C6059" t="s">
        <v>8443</v>
      </c>
      <c r="D6059" s="14" t="s">
        <v>8437</v>
      </c>
      <c r="E6059" s="12" t="s">
        <v>28</v>
      </c>
      <c r="F6059" s="13" t="s">
        <v>29</v>
      </c>
      <c r="G6059">
        <v>1</v>
      </c>
      <c r="H6059" t="s">
        <v>420</v>
      </c>
      <c r="I6059">
        <v>1</v>
      </c>
      <c r="J6059" s="15"/>
      <c r="K6059" s="16">
        <f>64.06 - (64.06 * $E$1)</f>
        <v>64.06</v>
      </c>
      <c r="L6059" s="16">
        <f>52.51 - (52.51 * $E$1)</f>
        <v>52.51</v>
      </c>
      <c r="M6059" s="1">
        <v>64.06</v>
      </c>
      <c r="N6059" s="1">
        <v>52.51</v>
      </c>
      <c r="O6059" s="1">
        <v>54.45</v>
      </c>
      <c r="P6059" s="1">
        <v>44.63</v>
      </c>
      <c r="Q6059">
        <v>6.2E-2</v>
      </c>
      <c r="R6059">
        <v>3.0299999999999999E-4</v>
      </c>
    </row>
    <row r="6060" spans="1:18" ht="13.8" outlineLevel="1" x14ac:dyDescent="0.25">
      <c r="A6060">
        <v>103938</v>
      </c>
      <c r="B6060" t="s">
        <v>8435</v>
      </c>
      <c r="C6060" t="s">
        <v>8444</v>
      </c>
      <c r="D6060" s="14" t="s">
        <v>8437</v>
      </c>
      <c r="E6060" s="12" t="s">
        <v>28</v>
      </c>
      <c r="F6060" s="13" t="s">
        <v>29</v>
      </c>
      <c r="G6060">
        <v>1</v>
      </c>
      <c r="H6060" t="s">
        <v>420</v>
      </c>
      <c r="I6060">
        <v>1</v>
      </c>
      <c r="J6060" s="15"/>
      <c r="K6060" s="16">
        <f>91.41 - (91.41 * $E$1)</f>
        <v>91.41</v>
      </c>
      <c r="L6060" s="16">
        <f>74.93 - (74.93 * $E$1)</f>
        <v>74.930000000000007</v>
      </c>
      <c r="M6060" s="1">
        <v>91.41</v>
      </c>
      <c r="N6060" s="1">
        <v>74.930000000000007</v>
      </c>
      <c r="O6060" s="1">
        <v>77.7</v>
      </c>
      <c r="P6060" s="1">
        <v>63.69</v>
      </c>
      <c r="Q6060">
        <v>8.5999999999999993E-2</v>
      </c>
      <c r="R6060">
        <v>2.9700000000000001E-4</v>
      </c>
    </row>
    <row r="6061" spans="1:18" ht="13.8" outlineLevel="1" x14ac:dyDescent="0.25">
      <c r="A6061">
        <v>49464</v>
      </c>
      <c r="B6061" t="s">
        <v>8435</v>
      </c>
      <c r="C6061" t="s">
        <v>8445</v>
      </c>
      <c r="D6061" s="14" t="s">
        <v>8437</v>
      </c>
      <c r="E6061" s="12" t="s">
        <v>28</v>
      </c>
      <c r="F6061" s="13" t="s">
        <v>29</v>
      </c>
      <c r="G6061">
        <v>1</v>
      </c>
      <c r="H6061" t="s">
        <v>420</v>
      </c>
      <c r="I6061">
        <v>1</v>
      </c>
      <c r="J6061" s="15"/>
      <c r="K6061" s="16">
        <f>26.89 - (26.89 * $E$1)</f>
        <v>26.89</v>
      </c>
      <c r="L6061" s="16">
        <f>22.04 - (22.04 * $E$1)</f>
        <v>22.04</v>
      </c>
      <c r="M6061" s="1">
        <v>26.89</v>
      </c>
      <c r="N6061" s="1">
        <v>22.04</v>
      </c>
      <c r="O6061" s="1">
        <v>22.86</v>
      </c>
      <c r="P6061" s="1">
        <v>18.73</v>
      </c>
      <c r="Q6061">
        <v>3.7999999999999999E-2</v>
      </c>
      <c r="R6061">
        <v>1.4999999999999999E-4</v>
      </c>
    </row>
    <row r="6062" spans="1:18" ht="13.8" outlineLevel="1" x14ac:dyDescent="0.25">
      <c r="A6062">
        <v>103940</v>
      </c>
      <c r="B6062" t="s">
        <v>8435</v>
      </c>
      <c r="C6062" t="s">
        <v>8446</v>
      </c>
      <c r="D6062" s="14" t="s">
        <v>8437</v>
      </c>
      <c r="E6062" s="12" t="s">
        <v>28</v>
      </c>
      <c r="F6062" s="13" t="s">
        <v>29</v>
      </c>
      <c r="G6062">
        <v>1</v>
      </c>
      <c r="H6062" t="s">
        <v>420</v>
      </c>
      <c r="I6062">
        <v>1</v>
      </c>
      <c r="J6062" s="15"/>
      <c r="K6062" s="16">
        <f>154.65 - (154.65 * $E$1)</f>
        <v>154.65</v>
      </c>
      <c r="L6062" s="16">
        <f>126.76 - (126.76 * $E$1)</f>
        <v>126.76</v>
      </c>
      <c r="M6062" s="1">
        <v>154.65</v>
      </c>
      <c r="N6062" s="1">
        <v>126.76</v>
      </c>
      <c r="O6062" s="1">
        <v>131.44999999999999</v>
      </c>
      <c r="P6062" s="1">
        <v>107.75</v>
      </c>
      <c r="Q6062">
        <v>0.14000000000000001</v>
      </c>
      <c r="R6062">
        <v>8.4000000000000003E-4</v>
      </c>
    </row>
    <row r="6063" spans="1:18" ht="13.8" outlineLevel="1" x14ac:dyDescent="0.25">
      <c r="A6063">
        <v>103941</v>
      </c>
      <c r="B6063" t="s">
        <v>8435</v>
      </c>
      <c r="C6063" t="s">
        <v>8447</v>
      </c>
      <c r="D6063" s="14" t="s">
        <v>8437</v>
      </c>
      <c r="E6063" s="12" t="s">
        <v>28</v>
      </c>
      <c r="F6063" s="13" t="s">
        <v>29</v>
      </c>
      <c r="G6063">
        <v>1</v>
      </c>
      <c r="H6063" t="s">
        <v>420</v>
      </c>
      <c r="I6063">
        <v>1</v>
      </c>
      <c r="J6063" s="15"/>
      <c r="K6063" s="16">
        <f>251.27 - (251.27 * $E$1)</f>
        <v>251.27</v>
      </c>
      <c r="L6063" s="16">
        <f>205.96 - (205.96 * $E$1)</f>
        <v>205.96</v>
      </c>
      <c r="M6063" s="1">
        <v>251.27</v>
      </c>
      <c r="N6063" s="1">
        <v>205.96</v>
      </c>
      <c r="O6063" s="1">
        <v>213.58</v>
      </c>
      <c r="P6063" s="1">
        <v>175.07</v>
      </c>
      <c r="Q6063">
        <v>0.22</v>
      </c>
      <c r="R6063">
        <v>1.1969999999999999E-3</v>
      </c>
    </row>
    <row r="6064" spans="1:18" ht="13.8" outlineLevel="1" x14ac:dyDescent="0.25">
      <c r="A6064">
        <v>49448</v>
      </c>
      <c r="B6064" t="s">
        <v>8435</v>
      </c>
      <c r="C6064" t="s">
        <v>8448</v>
      </c>
      <c r="D6064" s="14" t="s">
        <v>8449</v>
      </c>
      <c r="E6064" s="12" t="s">
        <v>28</v>
      </c>
      <c r="F6064" s="13" t="s">
        <v>29</v>
      </c>
      <c r="G6064">
        <v>1</v>
      </c>
      <c r="H6064" t="s">
        <v>420</v>
      </c>
      <c r="I6064">
        <v>1</v>
      </c>
      <c r="J6064" s="15"/>
      <c r="K6064" s="16">
        <f>30.02 - (30.02 * $E$1)</f>
        <v>30.02</v>
      </c>
      <c r="L6064" s="16">
        <f>24.61 - (24.61 * $E$1)</f>
        <v>24.61</v>
      </c>
      <c r="M6064" s="1">
        <v>30.02</v>
      </c>
      <c r="N6064" s="1">
        <v>24.61</v>
      </c>
      <c r="O6064" s="1">
        <v>25.52</v>
      </c>
      <c r="P6064" s="1">
        <v>20.92</v>
      </c>
      <c r="Q6064">
        <v>2.3E-2</v>
      </c>
      <c r="R6064">
        <v>1.4999999999999999E-4</v>
      </c>
    </row>
    <row r="6065" spans="1:18" ht="13.8" outlineLevel="1" x14ac:dyDescent="0.25">
      <c r="A6065">
        <v>49449</v>
      </c>
      <c r="B6065" t="s">
        <v>8435</v>
      </c>
      <c r="C6065" t="s">
        <v>8450</v>
      </c>
      <c r="D6065" s="14" t="s">
        <v>8449</v>
      </c>
      <c r="E6065" s="12" t="s">
        <v>28</v>
      </c>
      <c r="F6065" s="13" t="s">
        <v>29</v>
      </c>
      <c r="G6065">
        <v>1</v>
      </c>
      <c r="H6065" t="s">
        <v>420</v>
      </c>
      <c r="I6065">
        <v>1</v>
      </c>
      <c r="J6065" s="15"/>
      <c r="K6065" s="16">
        <f>32.04 - (32.04 * $E$1)</f>
        <v>32.04</v>
      </c>
      <c r="L6065" s="16">
        <f>26.26 - (26.26 * $E$1)</f>
        <v>26.26</v>
      </c>
      <c r="M6065" s="1">
        <v>32.04</v>
      </c>
      <c r="N6065" s="1">
        <v>26.26</v>
      </c>
      <c r="O6065" s="1">
        <v>27.23</v>
      </c>
      <c r="P6065" s="1">
        <v>22.32</v>
      </c>
      <c r="Q6065">
        <v>2.4E-2</v>
      </c>
      <c r="R6065">
        <v>1.4999999999999999E-4</v>
      </c>
    </row>
    <row r="6066" spans="1:18" ht="13.8" outlineLevel="1" x14ac:dyDescent="0.25">
      <c r="A6066">
        <v>49450</v>
      </c>
      <c r="B6066" t="s">
        <v>8435</v>
      </c>
      <c r="C6066" t="s">
        <v>8451</v>
      </c>
      <c r="D6066" s="14" t="s">
        <v>8449</v>
      </c>
      <c r="E6066" s="12" t="s">
        <v>28</v>
      </c>
      <c r="F6066" s="13" t="s">
        <v>29</v>
      </c>
      <c r="G6066">
        <v>1</v>
      </c>
      <c r="H6066" t="s">
        <v>420</v>
      </c>
      <c r="I6066">
        <v>1</v>
      </c>
      <c r="J6066" s="15"/>
      <c r="K6066" s="16">
        <f>33.92 - (33.92 * $E$1)</f>
        <v>33.92</v>
      </c>
      <c r="L6066" s="16">
        <f>27.8 - (27.8 * $E$1)</f>
        <v>27.8</v>
      </c>
      <c r="M6066" s="1">
        <v>33.92</v>
      </c>
      <c r="N6066" s="1">
        <v>27.8</v>
      </c>
      <c r="O6066" s="1">
        <v>28.83</v>
      </c>
      <c r="P6066" s="1">
        <v>23.63</v>
      </c>
      <c r="Q6066">
        <v>2.7E-2</v>
      </c>
      <c r="R6066">
        <v>1.4999999999999999E-4</v>
      </c>
    </row>
    <row r="6067" spans="1:18" ht="13.8" outlineLevel="1" x14ac:dyDescent="0.25">
      <c r="A6067">
        <v>49451</v>
      </c>
      <c r="B6067" t="s">
        <v>8435</v>
      </c>
      <c r="C6067" t="s">
        <v>8452</v>
      </c>
      <c r="D6067" s="14" t="s">
        <v>8449</v>
      </c>
      <c r="E6067" s="12" t="s">
        <v>28</v>
      </c>
      <c r="F6067" s="13" t="s">
        <v>29</v>
      </c>
      <c r="G6067">
        <v>1</v>
      </c>
      <c r="H6067" t="s">
        <v>420</v>
      </c>
      <c r="I6067">
        <v>1</v>
      </c>
      <c r="J6067" s="15"/>
      <c r="K6067" s="16">
        <f>40.61 - (40.61 * $E$1)</f>
        <v>40.61</v>
      </c>
      <c r="L6067" s="16">
        <f>33.29 - (33.29 * $E$1)</f>
        <v>33.29</v>
      </c>
      <c r="M6067" s="1">
        <v>40.61</v>
      </c>
      <c r="N6067" s="1">
        <v>33.29</v>
      </c>
      <c r="O6067" s="1">
        <v>34.520000000000003</v>
      </c>
      <c r="P6067" s="1">
        <v>28.3</v>
      </c>
      <c r="Q6067">
        <v>3.2000000000000001E-2</v>
      </c>
      <c r="R6067">
        <v>1.4999999999999999E-4</v>
      </c>
    </row>
    <row r="6068" spans="1:18" ht="13.8" outlineLevel="1" x14ac:dyDescent="0.25">
      <c r="A6068">
        <v>103942</v>
      </c>
      <c r="B6068" t="s">
        <v>8435</v>
      </c>
      <c r="C6068" t="s">
        <v>8453</v>
      </c>
      <c r="D6068" s="14" t="s">
        <v>8449</v>
      </c>
      <c r="E6068" s="12" t="s">
        <v>28</v>
      </c>
      <c r="F6068" s="13" t="s">
        <v>29</v>
      </c>
      <c r="G6068">
        <v>1</v>
      </c>
      <c r="H6068" t="s">
        <v>420</v>
      </c>
      <c r="I6068">
        <v>1</v>
      </c>
      <c r="J6068" s="15"/>
      <c r="K6068" s="16">
        <f>35.9 - (35.9 * $E$1)</f>
        <v>35.9</v>
      </c>
      <c r="L6068" s="16">
        <f>29.43 - (29.43 * $E$1)</f>
        <v>29.43</v>
      </c>
      <c r="M6068" s="1">
        <v>35.9</v>
      </c>
      <c r="N6068" s="1">
        <v>29.43</v>
      </c>
      <c r="O6068" s="1">
        <v>30.52</v>
      </c>
      <c r="P6068" s="1">
        <v>25.02</v>
      </c>
      <c r="Q6068">
        <v>0.04</v>
      </c>
      <c r="R6068">
        <v>2.0000000000000001E-4</v>
      </c>
    </row>
    <row r="6069" spans="1:18" ht="13.8" outlineLevel="1" x14ac:dyDescent="0.25">
      <c r="A6069">
        <v>103943</v>
      </c>
      <c r="B6069" t="s">
        <v>8435</v>
      </c>
      <c r="C6069" t="s">
        <v>8454</v>
      </c>
      <c r="D6069" s="14" t="s">
        <v>8449</v>
      </c>
      <c r="E6069" s="12" t="s">
        <v>28</v>
      </c>
      <c r="F6069" s="18" t="s">
        <v>1467</v>
      </c>
      <c r="G6069">
        <v>1</v>
      </c>
      <c r="H6069" t="s">
        <v>420</v>
      </c>
      <c r="I6069">
        <v>1</v>
      </c>
      <c r="J6069" s="15"/>
      <c r="K6069" s="16">
        <f>38.7 - (38.7 * $E$1)</f>
        <v>38.700000000000003</v>
      </c>
      <c r="L6069" s="16">
        <f>31.72 - (31.72 * $E$1)</f>
        <v>31.72</v>
      </c>
      <c r="M6069" s="1">
        <v>38.700000000000003</v>
      </c>
      <c r="N6069" s="1">
        <v>31.72</v>
      </c>
      <c r="O6069" s="1">
        <v>32.89</v>
      </c>
      <c r="P6069" s="1">
        <v>26.96</v>
      </c>
      <c r="Q6069">
        <v>4.6667E-2</v>
      </c>
      <c r="R6069">
        <v>1.4999999999999999E-4</v>
      </c>
    </row>
    <row r="6070" spans="1:18" ht="13.8" outlineLevel="1" x14ac:dyDescent="0.25">
      <c r="A6070">
        <v>103944</v>
      </c>
      <c r="B6070" t="s">
        <v>8435</v>
      </c>
      <c r="C6070" t="s">
        <v>8455</v>
      </c>
      <c r="D6070" s="14" t="s">
        <v>8449</v>
      </c>
      <c r="E6070" s="12" t="s">
        <v>28</v>
      </c>
      <c r="F6070" s="13" t="s">
        <v>29</v>
      </c>
      <c r="G6070">
        <v>1</v>
      </c>
      <c r="H6070" t="s">
        <v>420</v>
      </c>
      <c r="I6070">
        <v>1</v>
      </c>
      <c r="J6070" s="15"/>
      <c r="K6070" s="16">
        <f>48.21 - (48.21 * $E$1)</f>
        <v>48.21</v>
      </c>
      <c r="L6070" s="16">
        <f>39.52 - (39.52 * $E$1)</f>
        <v>39.520000000000003</v>
      </c>
      <c r="M6070" s="1">
        <v>48.21</v>
      </c>
      <c r="N6070" s="1">
        <v>39.520000000000003</v>
      </c>
      <c r="O6070" s="1">
        <v>40.98</v>
      </c>
      <c r="P6070" s="1">
        <v>33.590000000000003</v>
      </c>
      <c r="Q6070">
        <v>5.6667000000000002E-2</v>
      </c>
      <c r="R6070">
        <v>2.0000000000000001E-4</v>
      </c>
    </row>
    <row r="6071" spans="1:18" ht="13.8" outlineLevel="1" x14ac:dyDescent="0.25">
      <c r="A6071">
        <v>103945</v>
      </c>
      <c r="B6071" t="s">
        <v>8435</v>
      </c>
      <c r="C6071" t="s">
        <v>8456</v>
      </c>
      <c r="D6071" s="14" t="s">
        <v>8449</v>
      </c>
      <c r="E6071" s="12" t="s">
        <v>28</v>
      </c>
      <c r="F6071" s="13" t="s">
        <v>29</v>
      </c>
      <c r="G6071">
        <v>1</v>
      </c>
      <c r="H6071" t="s">
        <v>420</v>
      </c>
      <c r="I6071">
        <v>1</v>
      </c>
      <c r="J6071" s="15"/>
      <c r="K6071" s="16">
        <f>56.14 - (56.14 * $E$1)</f>
        <v>56.14</v>
      </c>
      <c r="L6071" s="16">
        <f>46.02 - (46.02 * $E$1)</f>
        <v>46.02</v>
      </c>
      <c r="M6071" s="1">
        <v>56.14</v>
      </c>
      <c r="N6071" s="1">
        <v>46.02</v>
      </c>
      <c r="O6071" s="1">
        <v>47.72</v>
      </c>
      <c r="P6071" s="1">
        <v>39.119999999999997</v>
      </c>
      <c r="Q6071">
        <v>6.2082999999999999E-2</v>
      </c>
      <c r="R6071">
        <v>2.9999999999999997E-4</v>
      </c>
    </row>
    <row r="6072" spans="1:18" ht="13.8" outlineLevel="1" x14ac:dyDescent="0.25">
      <c r="A6072">
        <v>49456</v>
      </c>
      <c r="B6072" t="s">
        <v>8435</v>
      </c>
      <c r="C6072" t="s">
        <v>8457</v>
      </c>
      <c r="D6072" s="14" t="s">
        <v>8449</v>
      </c>
      <c r="E6072" s="12" t="s">
        <v>28</v>
      </c>
      <c r="F6072" s="13" t="s">
        <v>29</v>
      </c>
      <c r="G6072">
        <v>1</v>
      </c>
      <c r="H6072" t="s">
        <v>420</v>
      </c>
      <c r="I6072">
        <v>1</v>
      </c>
      <c r="J6072" s="15"/>
      <c r="K6072" s="16">
        <f>26.89 - (26.89 * $E$1)</f>
        <v>26.89</v>
      </c>
      <c r="L6072" s="16">
        <f>22.04 - (22.04 * $E$1)</f>
        <v>22.04</v>
      </c>
      <c r="M6072" s="1">
        <v>26.89</v>
      </c>
      <c r="N6072" s="1">
        <v>22.04</v>
      </c>
      <c r="O6072" s="1">
        <v>22.86</v>
      </c>
      <c r="P6072" s="1">
        <v>18.73</v>
      </c>
      <c r="Q6072">
        <v>2.4E-2</v>
      </c>
      <c r="R6072">
        <v>1.22E-4</v>
      </c>
    </row>
    <row r="6073" spans="1:18" ht="13.8" outlineLevel="1" x14ac:dyDescent="0.25">
      <c r="A6073">
        <v>66444</v>
      </c>
      <c r="B6073" t="s">
        <v>8435</v>
      </c>
      <c r="C6073" t="s">
        <v>8458</v>
      </c>
      <c r="D6073" s="14" t="s">
        <v>8459</v>
      </c>
      <c r="E6073" s="12" t="s">
        <v>28</v>
      </c>
      <c r="F6073" s="13" t="s">
        <v>29</v>
      </c>
      <c r="G6073">
        <v>1</v>
      </c>
      <c r="H6073" t="s">
        <v>420</v>
      </c>
      <c r="I6073">
        <v>1</v>
      </c>
      <c r="J6073" s="15"/>
      <c r="K6073" s="16">
        <f>125.07 - (125.07 * $E$1)</f>
        <v>125.07</v>
      </c>
      <c r="L6073" s="16">
        <f>102.52 - (102.52 * $E$1)</f>
        <v>102.52</v>
      </c>
      <c r="M6073" s="1">
        <v>125.07</v>
      </c>
      <c r="N6073" s="1">
        <v>102.52</v>
      </c>
      <c r="O6073" s="1">
        <v>106.31</v>
      </c>
      <c r="P6073" s="1">
        <v>87.14</v>
      </c>
      <c r="Q6073">
        <v>3.4000000000000002E-2</v>
      </c>
      <c r="R6073">
        <v>2.8800000000000001E-4</v>
      </c>
    </row>
    <row r="6074" spans="1:18" ht="13.8" outlineLevel="1" x14ac:dyDescent="0.25">
      <c r="A6074">
        <v>66445</v>
      </c>
      <c r="B6074" t="s">
        <v>8435</v>
      </c>
      <c r="C6074" t="s">
        <v>8460</v>
      </c>
      <c r="D6074" s="14" t="s">
        <v>8459</v>
      </c>
      <c r="E6074" s="12" t="s">
        <v>28</v>
      </c>
      <c r="F6074" s="13" t="s">
        <v>29</v>
      </c>
      <c r="G6074">
        <v>1</v>
      </c>
      <c r="H6074" t="s">
        <v>420</v>
      </c>
      <c r="I6074">
        <v>1</v>
      </c>
      <c r="J6074" s="15"/>
      <c r="K6074" s="16">
        <f>144.24 - (144.24 * $E$1)</f>
        <v>144.24</v>
      </c>
      <c r="L6074" s="16">
        <f>118.23 - (118.23 * $E$1)</f>
        <v>118.23</v>
      </c>
      <c r="M6074" s="1">
        <v>144.24</v>
      </c>
      <c r="N6074" s="1">
        <v>118.23</v>
      </c>
      <c r="O6074" s="1">
        <v>122.6</v>
      </c>
      <c r="P6074" s="1">
        <v>100.5</v>
      </c>
      <c r="Q6074">
        <v>0.04</v>
      </c>
      <c r="R6074">
        <v>1.8200000000000001E-4</v>
      </c>
    </row>
    <row r="6075" spans="1:18" ht="13.8" outlineLevel="1" x14ac:dyDescent="0.25">
      <c r="A6075">
        <v>66446</v>
      </c>
      <c r="B6075" t="s">
        <v>8435</v>
      </c>
      <c r="C6075" t="s">
        <v>8461</v>
      </c>
      <c r="D6075" s="14" t="s">
        <v>8459</v>
      </c>
      <c r="E6075" s="12" t="s">
        <v>28</v>
      </c>
      <c r="F6075" s="13" t="s">
        <v>29</v>
      </c>
      <c r="G6075">
        <v>1</v>
      </c>
      <c r="H6075" t="s">
        <v>420</v>
      </c>
      <c r="I6075">
        <v>1</v>
      </c>
      <c r="J6075" s="15"/>
      <c r="K6075" s="16">
        <f>186.23 - (186.23 * $E$1)</f>
        <v>186.23</v>
      </c>
      <c r="L6075" s="16">
        <f>152.65 - (152.65 * $E$1)</f>
        <v>152.65</v>
      </c>
      <c r="M6075" s="1">
        <v>186.23</v>
      </c>
      <c r="N6075" s="1">
        <v>152.65</v>
      </c>
      <c r="O6075" s="1">
        <v>158.30000000000001</v>
      </c>
      <c r="P6075" s="1">
        <v>129.75</v>
      </c>
      <c r="Q6075">
        <v>7.0000000000000007E-2</v>
      </c>
      <c r="R6075">
        <v>3.7399999999999998E-4</v>
      </c>
    </row>
    <row r="6076" spans="1:18" ht="13.8" outlineLevel="1" x14ac:dyDescent="0.25">
      <c r="A6076">
        <v>66447</v>
      </c>
      <c r="B6076" t="s">
        <v>8435</v>
      </c>
      <c r="C6076" t="s">
        <v>8462</v>
      </c>
      <c r="D6076" s="14" t="s">
        <v>8459</v>
      </c>
      <c r="E6076" s="12" t="s">
        <v>28</v>
      </c>
      <c r="F6076" s="13" t="s">
        <v>29</v>
      </c>
      <c r="G6076">
        <v>1</v>
      </c>
      <c r="H6076" t="s">
        <v>420</v>
      </c>
      <c r="I6076">
        <v>1</v>
      </c>
      <c r="J6076" s="15"/>
      <c r="K6076" s="16">
        <f>225.02 - (225.02 * $E$1)</f>
        <v>225.02</v>
      </c>
      <c r="L6076" s="16">
        <f>184.44 - (184.44 * $E$1)</f>
        <v>184.44</v>
      </c>
      <c r="M6076" s="1">
        <v>225.02</v>
      </c>
      <c r="N6076" s="1">
        <v>184.44</v>
      </c>
      <c r="O6076" s="1">
        <v>191.26</v>
      </c>
      <c r="P6076" s="1">
        <v>156.77000000000001</v>
      </c>
      <c r="Q6076">
        <v>0.112</v>
      </c>
      <c r="R6076">
        <v>6.7500000000000004E-4</v>
      </c>
    </row>
    <row r="6077" spans="1:18" ht="13.8" outlineLevel="1" x14ac:dyDescent="0.25">
      <c r="A6077">
        <v>74358</v>
      </c>
      <c r="B6077" t="s">
        <v>8435</v>
      </c>
      <c r="C6077" t="s">
        <v>8463</v>
      </c>
      <c r="D6077" s="14" t="s">
        <v>8459</v>
      </c>
      <c r="E6077" s="12" t="s">
        <v>28</v>
      </c>
      <c r="F6077" s="13" t="s">
        <v>29</v>
      </c>
      <c r="G6077">
        <v>1</v>
      </c>
      <c r="H6077" t="s">
        <v>420</v>
      </c>
      <c r="I6077">
        <v>1</v>
      </c>
      <c r="J6077" s="15"/>
      <c r="K6077" s="16">
        <f>318.66 - (318.66 * $E$1)</f>
        <v>318.66000000000003</v>
      </c>
      <c r="L6077" s="16">
        <f>261.2 - (261.2 * $E$1)</f>
        <v>261.2</v>
      </c>
      <c r="M6077" s="1">
        <v>318.66000000000003</v>
      </c>
      <c r="N6077" s="1">
        <v>261.2</v>
      </c>
      <c r="O6077" s="1">
        <v>270.86</v>
      </c>
      <c r="P6077" s="1">
        <v>222.02</v>
      </c>
      <c r="Q6077">
        <v>0.13</v>
      </c>
      <c r="R6077">
        <v>6.8400000000000004E-4</v>
      </c>
    </row>
    <row r="6078" spans="1:18" ht="13.8" outlineLevel="1" x14ac:dyDescent="0.25">
      <c r="A6078">
        <v>66449</v>
      </c>
      <c r="B6078" t="s">
        <v>8435</v>
      </c>
      <c r="C6078" t="s">
        <v>8464</v>
      </c>
      <c r="D6078" s="14" t="s">
        <v>8459</v>
      </c>
      <c r="E6078" s="12" t="s">
        <v>28</v>
      </c>
      <c r="F6078" s="13" t="s">
        <v>29</v>
      </c>
      <c r="G6078">
        <v>1</v>
      </c>
      <c r="H6078" t="s">
        <v>420</v>
      </c>
      <c r="I6078">
        <v>1</v>
      </c>
      <c r="J6078" s="15"/>
      <c r="K6078" s="16">
        <f>414.21 - (414.21 * $E$1)</f>
        <v>414.21</v>
      </c>
      <c r="L6078" s="16">
        <f>339.52 - (339.52 * $E$1)</f>
        <v>339.52</v>
      </c>
      <c r="M6078" s="1">
        <v>414.21</v>
      </c>
      <c r="N6078" s="1">
        <v>339.52</v>
      </c>
      <c r="O6078" s="1">
        <v>352.08</v>
      </c>
      <c r="P6078" s="1">
        <v>288.58999999999997</v>
      </c>
      <c r="Q6078">
        <v>0.17</v>
      </c>
      <c r="R6078">
        <v>9.6000000000000002E-4</v>
      </c>
    </row>
    <row r="6079" spans="1:18" ht="13.8" outlineLevel="1" x14ac:dyDescent="0.25">
      <c r="A6079">
        <v>103928</v>
      </c>
      <c r="B6079" t="s">
        <v>8435</v>
      </c>
      <c r="C6079" t="s">
        <v>8465</v>
      </c>
      <c r="D6079" s="14" t="s">
        <v>8466</v>
      </c>
      <c r="E6079" s="12" t="s">
        <v>28</v>
      </c>
      <c r="F6079" s="13" t="s">
        <v>29</v>
      </c>
      <c r="G6079">
        <v>1</v>
      </c>
      <c r="H6079" t="s">
        <v>420</v>
      </c>
      <c r="I6079">
        <v>1</v>
      </c>
      <c r="J6079" s="15"/>
      <c r="K6079" s="16">
        <f>125.07 - (125.07 * $E$1)</f>
        <v>125.07</v>
      </c>
      <c r="L6079" s="16">
        <f>102.52 - (102.52 * $E$1)</f>
        <v>102.52</v>
      </c>
      <c r="M6079" s="1">
        <v>125.07</v>
      </c>
      <c r="N6079" s="1">
        <v>102.52</v>
      </c>
      <c r="O6079" s="1">
        <v>106.31</v>
      </c>
      <c r="P6079" s="1">
        <v>87.14</v>
      </c>
      <c r="Q6079">
        <v>0.03</v>
      </c>
      <c r="R6079">
        <v>2.2000000000000001E-4</v>
      </c>
    </row>
    <row r="6080" spans="1:18" ht="13.8" outlineLevel="1" x14ac:dyDescent="0.25">
      <c r="A6080">
        <v>103929</v>
      </c>
      <c r="B6080" t="s">
        <v>8435</v>
      </c>
      <c r="C6080" t="s">
        <v>8467</v>
      </c>
      <c r="D6080" s="14" t="s">
        <v>8466</v>
      </c>
      <c r="E6080" s="12" t="s">
        <v>28</v>
      </c>
      <c r="F6080" s="13" t="s">
        <v>29</v>
      </c>
      <c r="G6080">
        <v>1</v>
      </c>
      <c r="H6080" t="s">
        <v>420</v>
      </c>
      <c r="I6080">
        <v>1</v>
      </c>
      <c r="J6080" s="15"/>
      <c r="K6080" s="16">
        <f>144.24 - (144.24 * $E$1)</f>
        <v>144.24</v>
      </c>
      <c r="L6080" s="16">
        <f>118.23 - (118.23 * $E$1)</f>
        <v>118.23</v>
      </c>
      <c r="M6080" s="1">
        <v>144.24</v>
      </c>
      <c r="N6080" s="1">
        <v>118.23</v>
      </c>
      <c r="O6080" s="1">
        <v>122.6</v>
      </c>
      <c r="P6080" s="1">
        <v>100.5</v>
      </c>
      <c r="Q6080">
        <v>3.7999999999999999E-2</v>
      </c>
      <c r="R6080">
        <v>3.0299999999999999E-4</v>
      </c>
    </row>
    <row r="6081" spans="1:18" ht="13.8" outlineLevel="1" x14ac:dyDescent="0.25">
      <c r="A6081">
        <v>103930</v>
      </c>
      <c r="B6081" t="s">
        <v>8435</v>
      </c>
      <c r="C6081" t="s">
        <v>8468</v>
      </c>
      <c r="D6081" s="14" t="s">
        <v>8466</v>
      </c>
      <c r="E6081" s="12" t="s">
        <v>28</v>
      </c>
      <c r="F6081" s="13" t="s">
        <v>29</v>
      </c>
      <c r="G6081">
        <v>1</v>
      </c>
      <c r="H6081" t="s">
        <v>420</v>
      </c>
      <c r="I6081">
        <v>1</v>
      </c>
      <c r="J6081" s="15"/>
      <c r="K6081" s="16">
        <f>186.23 - (186.23 * $E$1)</f>
        <v>186.23</v>
      </c>
      <c r="L6081" s="16">
        <f>152.65 - (152.65 * $E$1)</f>
        <v>152.65</v>
      </c>
      <c r="M6081" s="1">
        <v>186.23</v>
      </c>
      <c r="N6081" s="1">
        <v>152.65</v>
      </c>
      <c r="O6081" s="1">
        <v>158.30000000000001</v>
      </c>
      <c r="P6081" s="1">
        <v>129.75</v>
      </c>
      <c r="Q6081">
        <v>4.5999999999999999E-2</v>
      </c>
      <c r="R6081">
        <v>3.5E-4</v>
      </c>
    </row>
    <row r="6082" spans="1:18" ht="13.8" outlineLevel="1" x14ac:dyDescent="0.25">
      <c r="A6082">
        <v>103931</v>
      </c>
      <c r="B6082" t="s">
        <v>8435</v>
      </c>
      <c r="C6082" t="s">
        <v>8469</v>
      </c>
      <c r="D6082" s="14" t="s">
        <v>8466</v>
      </c>
      <c r="E6082" s="12" t="s">
        <v>28</v>
      </c>
      <c r="F6082" s="13" t="s">
        <v>29</v>
      </c>
      <c r="G6082">
        <v>1</v>
      </c>
      <c r="H6082" t="s">
        <v>420</v>
      </c>
      <c r="I6082">
        <v>1</v>
      </c>
      <c r="J6082" s="15"/>
      <c r="K6082" s="16">
        <f>225.02 - (225.02 * $E$1)</f>
        <v>225.02</v>
      </c>
      <c r="L6082" s="16">
        <f>184.44 - (184.44 * $E$1)</f>
        <v>184.44</v>
      </c>
      <c r="M6082" s="1">
        <v>225.02</v>
      </c>
      <c r="N6082" s="1">
        <v>184.44</v>
      </c>
      <c r="O6082" s="1">
        <v>191.26</v>
      </c>
      <c r="P6082" s="1">
        <v>156.77000000000001</v>
      </c>
      <c r="Q6082">
        <v>5.6000000000000001E-2</v>
      </c>
      <c r="R6082">
        <v>4.4999999999999999E-4</v>
      </c>
    </row>
    <row r="6083" spans="1:18" ht="13.8" outlineLevel="1" x14ac:dyDescent="0.25">
      <c r="A6083">
        <v>103932</v>
      </c>
      <c r="B6083" t="s">
        <v>8435</v>
      </c>
      <c r="C6083" t="s">
        <v>8470</v>
      </c>
      <c r="D6083" s="14" t="s">
        <v>8466</v>
      </c>
      <c r="E6083" s="12" t="s">
        <v>28</v>
      </c>
      <c r="F6083" s="13" t="s">
        <v>29</v>
      </c>
      <c r="G6083">
        <v>1</v>
      </c>
      <c r="H6083" t="s">
        <v>420</v>
      </c>
      <c r="I6083">
        <v>1</v>
      </c>
      <c r="J6083" s="15"/>
      <c r="K6083" s="16">
        <f>318.66 - (318.66 * $E$1)</f>
        <v>318.66000000000003</v>
      </c>
      <c r="L6083" s="16">
        <f>261.2 - (261.2 * $E$1)</f>
        <v>261.2</v>
      </c>
      <c r="M6083" s="1">
        <v>318.66000000000003</v>
      </c>
      <c r="N6083" s="1">
        <v>261.2</v>
      </c>
      <c r="O6083" s="1">
        <v>270.86</v>
      </c>
      <c r="P6083" s="1">
        <v>222.02</v>
      </c>
      <c r="Q6083">
        <v>7.8E-2</v>
      </c>
      <c r="R6083">
        <v>8.5499999999999997E-4</v>
      </c>
    </row>
    <row r="6084" spans="1:18" ht="13.8" outlineLevel="1" x14ac:dyDescent="0.25">
      <c r="A6084">
        <v>103933</v>
      </c>
      <c r="B6084" t="s">
        <v>8435</v>
      </c>
      <c r="C6084" t="s">
        <v>8471</v>
      </c>
      <c r="D6084" s="14" t="s">
        <v>8466</v>
      </c>
      <c r="E6084" s="12" t="s">
        <v>28</v>
      </c>
      <c r="F6084" s="13" t="s">
        <v>29</v>
      </c>
      <c r="G6084">
        <v>1</v>
      </c>
      <c r="H6084" t="s">
        <v>420</v>
      </c>
      <c r="I6084">
        <v>1</v>
      </c>
      <c r="J6084" s="15"/>
      <c r="K6084" s="16">
        <f>414.21 - (414.21 * $E$1)</f>
        <v>414.21</v>
      </c>
      <c r="L6084" s="16">
        <f>339.52 - (339.52 * $E$1)</f>
        <v>339.52</v>
      </c>
      <c r="M6084" s="1">
        <v>414.21</v>
      </c>
      <c r="N6084" s="1">
        <v>339.52</v>
      </c>
      <c r="O6084" s="1">
        <v>352.08</v>
      </c>
      <c r="P6084" s="1">
        <v>288.58999999999997</v>
      </c>
      <c r="Q6084">
        <v>0.15</v>
      </c>
      <c r="R6084">
        <v>1.2960000000000001E-3</v>
      </c>
    </row>
    <row r="6085" spans="1:18" ht="13.8" outlineLevel="1" x14ac:dyDescent="0.25">
      <c r="A6085">
        <v>74359</v>
      </c>
      <c r="C6085" t="s">
        <v>8472</v>
      </c>
      <c r="D6085" s="14" t="s">
        <v>8473</v>
      </c>
      <c r="E6085" s="12" t="s">
        <v>28</v>
      </c>
      <c r="F6085" s="13" t="s">
        <v>29</v>
      </c>
      <c r="G6085">
        <v>1</v>
      </c>
      <c r="H6085" t="s">
        <v>420</v>
      </c>
      <c r="I6085">
        <v>1</v>
      </c>
      <c r="J6085" s="15"/>
      <c r="K6085" s="16">
        <f>2226.78 - (2226.78 * $E$1)</f>
        <v>2226.7800000000002</v>
      </c>
      <c r="L6085" s="16">
        <f>1825.23 - (1825.23 * $E$1)</f>
        <v>1825.23</v>
      </c>
      <c r="M6085" s="1">
        <v>2226.7800000000002</v>
      </c>
      <c r="N6085" s="1">
        <v>1825.23</v>
      </c>
      <c r="O6085" s="1">
        <v>1892.76</v>
      </c>
      <c r="P6085" s="1">
        <v>1551.45</v>
      </c>
      <c r="Q6085">
        <v>0.87</v>
      </c>
      <c r="R6085">
        <v>5.5999999999999999E-3</v>
      </c>
    </row>
    <row r="6086" spans="1:18" ht="13.8" outlineLevel="1" x14ac:dyDescent="0.25">
      <c r="A6086">
        <v>74360</v>
      </c>
      <c r="C6086" t="s">
        <v>8474</v>
      </c>
      <c r="D6086" s="14" t="s">
        <v>8473</v>
      </c>
      <c r="E6086" s="12" t="s">
        <v>28</v>
      </c>
      <c r="F6086" s="13" t="s">
        <v>29</v>
      </c>
      <c r="G6086">
        <v>1</v>
      </c>
      <c r="H6086" t="s">
        <v>420</v>
      </c>
      <c r="I6086">
        <v>1</v>
      </c>
      <c r="J6086" s="15"/>
      <c r="K6086" s="16">
        <f>2041.43 - (2041.43 * $E$1)</f>
        <v>2041.43</v>
      </c>
      <c r="L6086" s="16">
        <f>1673.3 - (1673.3 * $E$1)</f>
        <v>1673.3</v>
      </c>
      <c r="M6086" s="1">
        <v>2041.43</v>
      </c>
      <c r="N6086" s="1">
        <v>1673.3</v>
      </c>
      <c r="O6086" s="1">
        <v>1735.21</v>
      </c>
      <c r="P6086" s="1">
        <v>1422.31</v>
      </c>
      <c r="Q6086">
        <v>0.78800000000000003</v>
      </c>
      <c r="R6086">
        <v>5.5999999999999999E-3</v>
      </c>
    </row>
    <row r="6087" spans="1:18" ht="13.8" outlineLevel="1" x14ac:dyDescent="0.25">
      <c r="A6087">
        <v>74361</v>
      </c>
      <c r="C6087" t="s">
        <v>8475</v>
      </c>
      <c r="D6087" s="14" t="s">
        <v>8473</v>
      </c>
      <c r="E6087" s="12" t="s">
        <v>28</v>
      </c>
      <c r="F6087" s="13" t="s">
        <v>29</v>
      </c>
      <c r="G6087">
        <v>1</v>
      </c>
      <c r="H6087" t="s">
        <v>420</v>
      </c>
      <c r="I6087">
        <v>1</v>
      </c>
      <c r="J6087" s="15"/>
      <c r="K6087" s="16">
        <f>2474.26 - (2474.26 * $E$1)</f>
        <v>2474.2600000000002</v>
      </c>
      <c r="L6087" s="16">
        <f>2028.08 - (2028.08 * $E$1)</f>
        <v>2028.08</v>
      </c>
      <c r="M6087" s="1">
        <v>2474.2600000000002</v>
      </c>
      <c r="N6087" s="1">
        <v>2028.08</v>
      </c>
      <c r="O6087" s="1">
        <v>2103.12</v>
      </c>
      <c r="P6087" s="1">
        <v>1723.87</v>
      </c>
      <c r="Q6087">
        <v>0.95199999999999996</v>
      </c>
      <c r="R6087">
        <v>6.4000000000000003E-3</v>
      </c>
    </row>
    <row r="6088" spans="1:18" ht="13.8" outlineLevel="1" x14ac:dyDescent="0.25">
      <c r="A6088">
        <v>74362</v>
      </c>
      <c r="C6088" t="s">
        <v>8476</v>
      </c>
      <c r="D6088" s="14" t="s">
        <v>8473</v>
      </c>
      <c r="E6088" s="12" t="s">
        <v>28</v>
      </c>
      <c r="F6088" s="13" t="s">
        <v>29</v>
      </c>
      <c r="G6088">
        <v>1</v>
      </c>
      <c r="H6088" t="s">
        <v>420</v>
      </c>
      <c r="I6088">
        <v>1</v>
      </c>
      <c r="J6088" s="15"/>
      <c r="K6088" s="16">
        <f>2177.54 - (2177.54 * $E$1)</f>
        <v>2177.54</v>
      </c>
      <c r="L6088" s="16">
        <f>1784.87 - (1784.87 * $E$1)</f>
        <v>1784.87</v>
      </c>
      <c r="M6088" s="1">
        <v>2177.54</v>
      </c>
      <c r="N6088" s="1">
        <v>1784.87</v>
      </c>
      <c r="O6088" s="1">
        <v>1850.91</v>
      </c>
      <c r="P6088" s="1">
        <v>1517.14</v>
      </c>
      <c r="Q6088">
        <v>0.88600000000000001</v>
      </c>
      <c r="R6088">
        <v>6.4000000000000003E-3</v>
      </c>
    </row>
    <row r="6089" spans="1:18" ht="13.8" outlineLevel="1" x14ac:dyDescent="0.25">
      <c r="A6089">
        <v>43518</v>
      </c>
      <c r="C6089" t="s">
        <v>8477</v>
      </c>
      <c r="D6089" s="14" t="s">
        <v>8478</v>
      </c>
      <c r="E6089" s="12" t="s">
        <v>28</v>
      </c>
      <c r="F6089" s="13" t="s">
        <v>29</v>
      </c>
      <c r="G6089">
        <v>100</v>
      </c>
      <c r="H6089" t="s">
        <v>30</v>
      </c>
      <c r="I6089">
        <v>100</v>
      </c>
      <c r="J6089" s="15"/>
      <c r="K6089" s="16">
        <f>2.16 - (2.16 * $E$1)</f>
        <v>2.16</v>
      </c>
      <c r="L6089" s="16">
        <f>1.77 - (1.77 * $E$1)</f>
        <v>1.77</v>
      </c>
      <c r="M6089" s="1">
        <v>2.16</v>
      </c>
      <c r="N6089" s="1">
        <v>1.77</v>
      </c>
      <c r="O6089" s="1">
        <v>1.84</v>
      </c>
      <c r="P6089" s="1">
        <v>1.5</v>
      </c>
      <c r="Q6089">
        <v>2.2000000000000001E-3</v>
      </c>
      <c r="R6089">
        <v>1.296E-5</v>
      </c>
    </row>
    <row r="6090" spans="1:18" ht="13.8" outlineLevel="1" x14ac:dyDescent="0.25">
      <c r="A6090">
        <v>43525</v>
      </c>
      <c r="C6090" t="s">
        <v>8479</v>
      </c>
      <c r="D6090" s="14" t="s">
        <v>8478</v>
      </c>
      <c r="E6090" s="12" t="s">
        <v>28</v>
      </c>
      <c r="F6090" s="13" t="s">
        <v>29</v>
      </c>
      <c r="G6090">
        <v>100</v>
      </c>
      <c r="H6090" t="s">
        <v>30</v>
      </c>
      <c r="I6090">
        <v>100</v>
      </c>
      <c r="J6090" s="15"/>
      <c r="K6090" s="16">
        <f>2.29 - (2.29 * $E$1)</f>
        <v>2.29</v>
      </c>
      <c r="L6090" s="16">
        <f>1.88 - (1.88 * $E$1)</f>
        <v>1.88</v>
      </c>
      <c r="M6090" s="1">
        <v>2.29</v>
      </c>
      <c r="N6090" s="1">
        <v>1.88</v>
      </c>
      <c r="O6090" s="1">
        <v>1.95</v>
      </c>
      <c r="P6090" s="1">
        <v>1.6</v>
      </c>
      <c r="Q6090">
        <v>2.8E-3</v>
      </c>
      <c r="R6090">
        <v>1.5299999999999999E-5</v>
      </c>
    </row>
    <row r="6091" spans="1:18" ht="13.8" outlineLevel="1" x14ac:dyDescent="0.25">
      <c r="A6091">
        <v>43526</v>
      </c>
      <c r="C6091" t="s">
        <v>8480</v>
      </c>
      <c r="D6091" s="14" t="s">
        <v>8478</v>
      </c>
      <c r="E6091" s="12" t="s">
        <v>28</v>
      </c>
      <c r="F6091" s="13" t="s">
        <v>29</v>
      </c>
      <c r="G6091">
        <v>100</v>
      </c>
      <c r="H6091" t="s">
        <v>30</v>
      </c>
      <c r="I6091">
        <v>100</v>
      </c>
      <c r="J6091" s="15"/>
      <c r="K6091" s="16">
        <f>3.1 - (3.1 * $E$1)</f>
        <v>3.1</v>
      </c>
      <c r="L6091" s="16">
        <f>2.54 - (2.54 * $E$1)</f>
        <v>2.54</v>
      </c>
      <c r="M6091" s="1">
        <v>3.1</v>
      </c>
      <c r="N6091" s="1">
        <v>2.54</v>
      </c>
      <c r="O6091" s="1">
        <v>2.63</v>
      </c>
      <c r="P6091" s="1">
        <v>2.16</v>
      </c>
      <c r="Q6091">
        <v>3.3E-3</v>
      </c>
      <c r="R6091">
        <v>1.7940000000000001E-5</v>
      </c>
    </row>
    <row r="6092" spans="1:18" ht="13.8" outlineLevel="1" x14ac:dyDescent="0.25">
      <c r="A6092">
        <v>44243</v>
      </c>
      <c r="C6092" t="s">
        <v>8481</v>
      </c>
      <c r="D6092" s="14" t="s">
        <v>8478</v>
      </c>
      <c r="E6092" s="12" t="s">
        <v>28</v>
      </c>
      <c r="F6092" s="13" t="s">
        <v>29</v>
      </c>
      <c r="G6092">
        <v>50</v>
      </c>
      <c r="H6092" t="s">
        <v>30</v>
      </c>
      <c r="I6092">
        <v>50</v>
      </c>
      <c r="J6092" s="15"/>
      <c r="K6092" s="16">
        <f>5.72 - (5.72 * $E$1)</f>
        <v>5.72</v>
      </c>
      <c r="L6092" s="16">
        <f>4.69 - (4.69 * $E$1)</f>
        <v>4.6900000000000004</v>
      </c>
      <c r="M6092" s="1">
        <v>5.72</v>
      </c>
      <c r="N6092" s="1">
        <v>4.6900000000000004</v>
      </c>
      <c r="O6092" s="1">
        <v>4.8600000000000003</v>
      </c>
      <c r="P6092" s="1">
        <v>3.99</v>
      </c>
      <c r="Q6092">
        <v>5.5999999999999999E-3</v>
      </c>
      <c r="R6092">
        <v>3.6000000000000001E-5</v>
      </c>
    </row>
    <row r="6093" spans="1:18" ht="13.8" outlineLevel="1" x14ac:dyDescent="0.25">
      <c r="A6093">
        <v>91050</v>
      </c>
      <c r="C6093" t="s">
        <v>8482</v>
      </c>
      <c r="D6093" s="14" t="s">
        <v>8483</v>
      </c>
      <c r="E6093" s="12" t="s">
        <v>28</v>
      </c>
      <c r="F6093" s="13" t="s">
        <v>29</v>
      </c>
      <c r="G6093">
        <v>100</v>
      </c>
      <c r="H6093" t="s">
        <v>30</v>
      </c>
      <c r="I6093">
        <v>100</v>
      </c>
      <c r="J6093" s="15"/>
      <c r="K6093" s="16">
        <f>2.16 - (2.16 * $E$1)</f>
        <v>2.16</v>
      </c>
      <c r="L6093" s="16">
        <f>1.77 - (1.77 * $E$1)</f>
        <v>1.77</v>
      </c>
      <c r="M6093" s="1">
        <v>2.16</v>
      </c>
      <c r="N6093" s="1">
        <v>1.77</v>
      </c>
      <c r="O6093" s="1">
        <v>1.84</v>
      </c>
      <c r="P6093" s="1">
        <v>1.5</v>
      </c>
      <c r="Q6093">
        <v>2.2000000000000001E-3</v>
      </c>
      <c r="R6093">
        <v>1.296E-5</v>
      </c>
    </row>
    <row r="6094" spans="1:18" ht="13.8" outlineLevel="1" x14ac:dyDescent="0.25">
      <c r="A6094">
        <v>91051</v>
      </c>
      <c r="C6094" t="s">
        <v>8484</v>
      </c>
      <c r="D6094" s="14" t="s">
        <v>8483</v>
      </c>
      <c r="E6094" s="12" t="s">
        <v>28</v>
      </c>
      <c r="F6094" s="13" t="s">
        <v>29</v>
      </c>
      <c r="G6094">
        <v>100</v>
      </c>
      <c r="H6094" t="s">
        <v>30</v>
      </c>
      <c r="I6094">
        <v>100</v>
      </c>
      <c r="J6094" s="15"/>
      <c r="K6094" s="16">
        <f>2.29 - (2.29 * $E$1)</f>
        <v>2.29</v>
      </c>
      <c r="L6094" s="16">
        <f>1.88 - (1.88 * $E$1)</f>
        <v>1.88</v>
      </c>
      <c r="M6094" s="1">
        <v>2.29</v>
      </c>
      <c r="N6094" s="1">
        <v>1.88</v>
      </c>
      <c r="O6094" s="1">
        <v>1.95</v>
      </c>
      <c r="P6094" s="1">
        <v>1.6</v>
      </c>
      <c r="Q6094">
        <v>2.7000000000000001E-3</v>
      </c>
      <c r="R6094">
        <v>1.5299999999999999E-5</v>
      </c>
    </row>
    <row r="6095" spans="1:18" ht="13.8" outlineLevel="1" x14ac:dyDescent="0.25">
      <c r="A6095">
        <v>91052</v>
      </c>
      <c r="C6095" t="s">
        <v>8485</v>
      </c>
      <c r="D6095" s="14" t="s">
        <v>8483</v>
      </c>
      <c r="E6095" s="12" t="s">
        <v>28</v>
      </c>
      <c r="F6095" s="13" t="s">
        <v>29</v>
      </c>
      <c r="G6095">
        <v>100</v>
      </c>
      <c r="H6095" t="s">
        <v>30</v>
      </c>
      <c r="I6095">
        <v>100</v>
      </c>
      <c r="J6095" s="15"/>
      <c r="K6095" s="16">
        <f>3.1 - (3.1 * $E$1)</f>
        <v>3.1</v>
      </c>
      <c r="L6095" s="16">
        <f>2.54 - (2.54 * $E$1)</f>
        <v>2.54</v>
      </c>
      <c r="M6095" s="1">
        <v>3.1</v>
      </c>
      <c r="N6095" s="1">
        <v>2.54</v>
      </c>
      <c r="O6095" s="1">
        <v>2.63</v>
      </c>
      <c r="P6095" s="1">
        <v>2.16</v>
      </c>
      <c r="Q6095">
        <v>3.3E-3</v>
      </c>
      <c r="R6095">
        <v>1.7940000000000001E-5</v>
      </c>
    </row>
    <row r="6096" spans="1:18" ht="13.8" outlineLevel="1" x14ac:dyDescent="0.25">
      <c r="A6096">
        <v>91053</v>
      </c>
      <c r="C6096" t="s">
        <v>8486</v>
      </c>
      <c r="D6096" s="14" t="s">
        <v>8483</v>
      </c>
      <c r="E6096" s="12" t="s">
        <v>28</v>
      </c>
      <c r="F6096" s="13" t="s">
        <v>29</v>
      </c>
      <c r="G6096">
        <v>50</v>
      </c>
      <c r="H6096" t="s">
        <v>30</v>
      </c>
      <c r="I6096">
        <v>50</v>
      </c>
      <c r="J6096" s="15"/>
      <c r="K6096" s="16">
        <f>5.72 - (5.72 * $E$1)</f>
        <v>5.72</v>
      </c>
      <c r="L6096" s="16">
        <f>4.69 - (4.69 * $E$1)</f>
        <v>4.6900000000000004</v>
      </c>
      <c r="M6096" s="1">
        <v>5.72</v>
      </c>
      <c r="N6096" s="1">
        <v>4.6900000000000004</v>
      </c>
      <c r="O6096" s="1">
        <v>4.8600000000000003</v>
      </c>
      <c r="P6096" s="1">
        <v>3.99</v>
      </c>
      <c r="Q6096">
        <v>5.1999999999999998E-3</v>
      </c>
      <c r="R6096">
        <v>3.6000000000000001E-5</v>
      </c>
    </row>
    <row r="6097" spans="1:18" ht="13.8" outlineLevel="1" x14ac:dyDescent="0.25">
      <c r="A6097">
        <v>89341</v>
      </c>
      <c r="B6097" t="s">
        <v>8487</v>
      </c>
      <c r="C6097" t="s">
        <v>8488</v>
      </c>
      <c r="D6097" s="14" t="s">
        <v>8489</v>
      </c>
      <c r="E6097" s="12" t="s">
        <v>28</v>
      </c>
      <c r="F6097" s="13" t="s">
        <v>29</v>
      </c>
      <c r="G6097">
        <v>100</v>
      </c>
      <c r="H6097" t="s">
        <v>30</v>
      </c>
      <c r="I6097">
        <v>100</v>
      </c>
      <c r="J6097" s="15"/>
      <c r="K6097" s="16">
        <f>5.48 - (5.48 * $E$1)</f>
        <v>5.48</v>
      </c>
      <c r="L6097" s="16">
        <f>4.49 - (4.49 * $E$1)</f>
        <v>4.49</v>
      </c>
      <c r="M6097" s="1">
        <v>5.48</v>
      </c>
      <c r="N6097" s="1">
        <v>4.49</v>
      </c>
      <c r="O6097" s="1">
        <v>4.66</v>
      </c>
      <c r="P6097" s="1">
        <v>3.82</v>
      </c>
      <c r="Q6097">
        <v>3.1199999999999999E-3</v>
      </c>
      <c r="R6097">
        <v>1.632E-5</v>
      </c>
    </row>
    <row r="6098" spans="1:18" ht="13.8" outlineLevel="1" x14ac:dyDescent="0.25">
      <c r="A6098">
        <v>89342</v>
      </c>
      <c r="B6098" t="s">
        <v>8487</v>
      </c>
      <c r="C6098" t="s">
        <v>8490</v>
      </c>
      <c r="D6098" s="14" t="s">
        <v>8489</v>
      </c>
      <c r="E6098" s="12" t="s">
        <v>28</v>
      </c>
      <c r="F6098" s="13" t="s">
        <v>29</v>
      </c>
      <c r="G6098">
        <v>100</v>
      </c>
      <c r="H6098" t="s">
        <v>30</v>
      </c>
      <c r="I6098">
        <v>100</v>
      </c>
      <c r="J6098" s="15"/>
      <c r="K6098" s="16">
        <f>5.93 - (5.93 * $E$1)</f>
        <v>5.93</v>
      </c>
      <c r="L6098" s="16">
        <f>4.86 - (4.86 * $E$1)</f>
        <v>4.8600000000000003</v>
      </c>
      <c r="M6098" s="1">
        <v>5.93</v>
      </c>
      <c r="N6098" s="1">
        <v>4.8600000000000003</v>
      </c>
      <c r="O6098" s="1">
        <v>5.04</v>
      </c>
      <c r="P6098" s="1">
        <v>4.13</v>
      </c>
      <c r="Q6098">
        <v>3.5200000000000001E-3</v>
      </c>
      <c r="R6098">
        <v>1.6840000000000001E-5</v>
      </c>
    </row>
    <row r="6099" spans="1:18" ht="13.8" outlineLevel="1" x14ac:dyDescent="0.25">
      <c r="A6099">
        <v>89343</v>
      </c>
      <c r="B6099" t="s">
        <v>8487</v>
      </c>
      <c r="C6099" t="s">
        <v>8491</v>
      </c>
      <c r="D6099" s="14" t="s">
        <v>8489</v>
      </c>
      <c r="E6099" s="12" t="s">
        <v>28</v>
      </c>
      <c r="F6099" s="13" t="s">
        <v>29</v>
      </c>
      <c r="G6099">
        <v>50</v>
      </c>
      <c r="H6099" t="s">
        <v>30</v>
      </c>
      <c r="I6099">
        <v>50</v>
      </c>
      <c r="J6099" s="15"/>
      <c r="K6099" s="16">
        <f>8.45 - (8.45 * $E$1)</f>
        <v>8.4499999999999993</v>
      </c>
      <c r="L6099" s="16">
        <f>6.93 - (6.93 * $E$1)</f>
        <v>6.93</v>
      </c>
      <c r="M6099" s="1">
        <v>8.4499999999999993</v>
      </c>
      <c r="N6099" s="1">
        <v>6.93</v>
      </c>
      <c r="O6099" s="1">
        <v>7.19</v>
      </c>
      <c r="P6099" s="1">
        <v>5.89</v>
      </c>
      <c r="Q6099">
        <v>4.7600000000000003E-3</v>
      </c>
      <c r="R6099">
        <v>3.3259999999999997E-5</v>
      </c>
    </row>
    <row r="6100" spans="1:18" ht="13.8" outlineLevel="1" x14ac:dyDescent="0.25">
      <c r="A6100">
        <v>89345</v>
      </c>
      <c r="B6100" t="s">
        <v>8487</v>
      </c>
      <c r="C6100" t="s">
        <v>8492</v>
      </c>
      <c r="D6100" s="14" t="s">
        <v>8489</v>
      </c>
      <c r="E6100" s="12" t="s">
        <v>28</v>
      </c>
      <c r="F6100" s="13" t="s">
        <v>29</v>
      </c>
      <c r="G6100">
        <v>25</v>
      </c>
      <c r="H6100" t="s">
        <v>30</v>
      </c>
      <c r="I6100">
        <v>25</v>
      </c>
      <c r="J6100" s="15"/>
      <c r="K6100" s="16">
        <f>21.55 - (21.55 * $E$1)</f>
        <v>21.55</v>
      </c>
      <c r="L6100" s="16">
        <f>17.66 - (17.66 * $E$1)</f>
        <v>17.66</v>
      </c>
      <c r="M6100" s="1">
        <v>21.55</v>
      </c>
      <c r="N6100" s="1">
        <v>17.66</v>
      </c>
      <c r="O6100" s="1">
        <v>18.309999999999999</v>
      </c>
      <c r="P6100" s="1">
        <v>15.01</v>
      </c>
      <c r="Q6100">
        <v>1.32E-2</v>
      </c>
      <c r="R6100">
        <v>1.2E-4</v>
      </c>
    </row>
    <row r="6101" spans="1:18" ht="13.8" outlineLevel="1" x14ac:dyDescent="0.25">
      <c r="A6101">
        <v>89372</v>
      </c>
      <c r="B6101" t="s">
        <v>8487</v>
      </c>
      <c r="C6101" t="s">
        <v>8493</v>
      </c>
      <c r="D6101" s="14" t="s">
        <v>8489</v>
      </c>
      <c r="E6101" s="12" t="s">
        <v>28</v>
      </c>
      <c r="F6101" s="13" t="s">
        <v>29</v>
      </c>
      <c r="G6101">
        <v>25</v>
      </c>
      <c r="H6101" t="s">
        <v>30</v>
      </c>
      <c r="I6101">
        <v>25</v>
      </c>
      <c r="J6101" s="15"/>
      <c r="K6101" s="16">
        <f>28.01 - (28.01 * $E$1)</f>
        <v>28.01</v>
      </c>
      <c r="L6101" s="16">
        <f>22.96 - (22.96 * $E$1)</f>
        <v>22.96</v>
      </c>
      <c r="M6101" s="1">
        <v>28.01</v>
      </c>
      <c r="N6101" s="1">
        <v>22.96</v>
      </c>
      <c r="O6101" s="1">
        <v>23.81</v>
      </c>
      <c r="P6101" s="1">
        <v>19.52</v>
      </c>
      <c r="Q6101">
        <v>1.5599999999999999E-2</v>
      </c>
      <c r="R6101">
        <v>1.2E-4</v>
      </c>
    </row>
    <row r="6102" spans="1:18" ht="13.8" outlineLevel="1" x14ac:dyDescent="0.25">
      <c r="A6102">
        <v>89336</v>
      </c>
      <c r="B6102" t="s">
        <v>8487</v>
      </c>
      <c r="C6102" t="s">
        <v>8494</v>
      </c>
      <c r="D6102" s="14" t="s">
        <v>8495</v>
      </c>
      <c r="E6102" s="12" t="s">
        <v>28</v>
      </c>
      <c r="F6102" s="13" t="s">
        <v>29</v>
      </c>
      <c r="G6102">
        <v>100</v>
      </c>
      <c r="H6102" t="s">
        <v>30</v>
      </c>
      <c r="I6102">
        <v>100</v>
      </c>
      <c r="J6102" s="15"/>
      <c r="K6102" s="16">
        <f>5.48 - (5.48 * $E$1)</f>
        <v>5.48</v>
      </c>
      <c r="L6102" s="16">
        <f>4.49 - (4.49 * $E$1)</f>
        <v>4.49</v>
      </c>
      <c r="M6102" s="1">
        <v>5.48</v>
      </c>
      <c r="N6102" s="1">
        <v>4.49</v>
      </c>
      <c r="O6102" s="1">
        <v>4.66</v>
      </c>
      <c r="P6102" s="1">
        <v>3.82</v>
      </c>
      <c r="Q6102">
        <v>3.1199999999999999E-3</v>
      </c>
      <c r="R6102">
        <v>1.632E-5</v>
      </c>
    </row>
    <row r="6103" spans="1:18" ht="13.8" outlineLevel="1" x14ac:dyDescent="0.25">
      <c r="A6103">
        <v>89337</v>
      </c>
      <c r="B6103" t="s">
        <v>8487</v>
      </c>
      <c r="C6103" t="s">
        <v>8496</v>
      </c>
      <c r="D6103" s="14" t="s">
        <v>8495</v>
      </c>
      <c r="E6103" s="12" t="s">
        <v>28</v>
      </c>
      <c r="F6103" s="13" t="s">
        <v>29</v>
      </c>
      <c r="G6103">
        <v>100</v>
      </c>
      <c r="H6103" t="s">
        <v>30</v>
      </c>
      <c r="I6103">
        <v>100</v>
      </c>
      <c r="J6103" s="15"/>
      <c r="K6103" s="16">
        <f>5.93 - (5.93 * $E$1)</f>
        <v>5.93</v>
      </c>
      <c r="L6103" s="16">
        <f>4.86 - (4.86 * $E$1)</f>
        <v>4.8600000000000003</v>
      </c>
      <c r="M6103" s="1">
        <v>5.93</v>
      </c>
      <c r="N6103" s="1">
        <v>4.8600000000000003</v>
      </c>
      <c r="O6103" s="1">
        <v>5.04</v>
      </c>
      <c r="P6103" s="1">
        <v>4.13</v>
      </c>
      <c r="Q6103">
        <v>3.5200000000000001E-3</v>
      </c>
      <c r="R6103">
        <v>1.6840000000000001E-5</v>
      </c>
    </row>
    <row r="6104" spans="1:18" ht="13.8" outlineLevel="1" x14ac:dyDescent="0.25">
      <c r="A6104">
        <v>89338</v>
      </c>
      <c r="B6104" t="s">
        <v>8487</v>
      </c>
      <c r="C6104" t="s">
        <v>8497</v>
      </c>
      <c r="D6104" s="14" t="s">
        <v>8495</v>
      </c>
      <c r="E6104" s="12" t="s">
        <v>28</v>
      </c>
      <c r="F6104" s="13" t="s">
        <v>29</v>
      </c>
      <c r="G6104">
        <v>50</v>
      </c>
      <c r="H6104" t="s">
        <v>30</v>
      </c>
      <c r="I6104">
        <v>50</v>
      </c>
      <c r="J6104" s="15"/>
      <c r="K6104" s="16">
        <f>8.45 - (8.45 * $E$1)</f>
        <v>8.4499999999999993</v>
      </c>
      <c r="L6104" s="16">
        <f>6.93 - (6.93 * $E$1)</f>
        <v>6.93</v>
      </c>
      <c r="M6104" s="1">
        <v>8.4499999999999993</v>
      </c>
      <c r="N6104" s="1">
        <v>6.93</v>
      </c>
      <c r="O6104" s="1">
        <v>7.19</v>
      </c>
      <c r="P6104" s="1">
        <v>5.89</v>
      </c>
      <c r="Q6104">
        <v>4.7600000000000003E-3</v>
      </c>
      <c r="R6104">
        <v>3.3259999999999997E-5</v>
      </c>
    </row>
    <row r="6105" spans="1:18" ht="13.8" outlineLevel="1" x14ac:dyDescent="0.25">
      <c r="A6105">
        <v>89340</v>
      </c>
      <c r="B6105" t="s">
        <v>8487</v>
      </c>
      <c r="C6105" t="s">
        <v>8498</v>
      </c>
      <c r="D6105" s="14" t="s">
        <v>8495</v>
      </c>
      <c r="E6105" s="12" t="s">
        <v>28</v>
      </c>
      <c r="F6105" s="13" t="s">
        <v>29</v>
      </c>
      <c r="G6105">
        <v>25</v>
      </c>
      <c r="H6105" t="s">
        <v>30</v>
      </c>
      <c r="I6105">
        <v>25</v>
      </c>
      <c r="J6105" s="15"/>
      <c r="K6105" s="16">
        <f>21.55 - (21.55 * $E$1)</f>
        <v>21.55</v>
      </c>
      <c r="L6105" s="16">
        <f>17.66 - (17.66 * $E$1)</f>
        <v>17.66</v>
      </c>
      <c r="M6105" s="1">
        <v>21.55</v>
      </c>
      <c r="N6105" s="1">
        <v>17.66</v>
      </c>
      <c r="O6105" s="1">
        <v>18.309999999999999</v>
      </c>
      <c r="P6105" s="1">
        <v>15.01</v>
      </c>
      <c r="Q6105">
        <v>1.32E-2</v>
      </c>
      <c r="R6105">
        <v>1.2E-4</v>
      </c>
    </row>
    <row r="6106" spans="1:18" ht="13.8" outlineLevel="1" x14ac:dyDescent="0.25">
      <c r="A6106">
        <v>89371</v>
      </c>
      <c r="B6106" t="s">
        <v>8487</v>
      </c>
      <c r="C6106" t="s">
        <v>8499</v>
      </c>
      <c r="D6106" s="14" t="s">
        <v>8495</v>
      </c>
      <c r="E6106" s="12" t="s">
        <v>28</v>
      </c>
      <c r="F6106" s="13" t="s">
        <v>29</v>
      </c>
      <c r="G6106">
        <v>25</v>
      </c>
      <c r="H6106" t="s">
        <v>30</v>
      </c>
      <c r="I6106">
        <v>25</v>
      </c>
      <c r="J6106" s="15"/>
      <c r="K6106" s="16">
        <f>28.01 - (28.01 * $E$1)</f>
        <v>28.01</v>
      </c>
      <c r="L6106" s="16">
        <f>22.96 - (22.96 * $E$1)</f>
        <v>22.96</v>
      </c>
      <c r="M6106" s="1">
        <v>28.01</v>
      </c>
      <c r="N6106" s="1">
        <v>22.96</v>
      </c>
      <c r="O6106" s="1">
        <v>23.81</v>
      </c>
      <c r="P6106" s="1">
        <v>19.52</v>
      </c>
      <c r="Q6106">
        <v>1.5599999999999999E-2</v>
      </c>
      <c r="R6106">
        <v>1.2E-4</v>
      </c>
    </row>
    <row r="6107" spans="1:18" ht="13.8" outlineLevel="1" x14ac:dyDescent="0.25">
      <c r="A6107">
        <v>103950</v>
      </c>
      <c r="B6107" t="s">
        <v>8487</v>
      </c>
      <c r="C6107" t="s">
        <v>8500</v>
      </c>
      <c r="D6107" s="14" t="s">
        <v>8501</v>
      </c>
      <c r="E6107" s="12" t="s">
        <v>28</v>
      </c>
      <c r="F6107" s="13" t="s">
        <v>29</v>
      </c>
      <c r="G6107">
        <v>100</v>
      </c>
      <c r="H6107" t="s">
        <v>30</v>
      </c>
      <c r="I6107">
        <v>100</v>
      </c>
      <c r="J6107" s="15"/>
      <c r="K6107" s="16">
        <f>5.48 - (5.48 * $E$1)</f>
        <v>5.48</v>
      </c>
      <c r="L6107" s="16">
        <f>4.49 - (4.49 * $E$1)</f>
        <v>4.49</v>
      </c>
      <c r="M6107" s="1">
        <v>5.48</v>
      </c>
      <c r="N6107" s="1">
        <v>4.49</v>
      </c>
      <c r="O6107" s="1">
        <v>4.66</v>
      </c>
      <c r="P6107" s="1">
        <v>3.82</v>
      </c>
      <c r="Q6107">
        <v>2.2000000000000001E-3</v>
      </c>
      <c r="R6107">
        <v>1.296E-5</v>
      </c>
    </row>
    <row r="6108" spans="1:18" ht="13.8" outlineLevel="1" x14ac:dyDescent="0.25">
      <c r="A6108">
        <v>103951</v>
      </c>
      <c r="B6108" t="s">
        <v>8487</v>
      </c>
      <c r="C6108" t="s">
        <v>8502</v>
      </c>
      <c r="D6108" s="14" t="s">
        <v>8501</v>
      </c>
      <c r="E6108" s="12" t="s">
        <v>28</v>
      </c>
      <c r="F6108" s="13" t="s">
        <v>29</v>
      </c>
      <c r="G6108">
        <v>100</v>
      </c>
      <c r="H6108" t="s">
        <v>30</v>
      </c>
      <c r="I6108">
        <v>100</v>
      </c>
      <c r="J6108" s="15"/>
      <c r="K6108" s="16">
        <f>5.93 - (5.93 * $E$1)</f>
        <v>5.93</v>
      </c>
      <c r="L6108" s="16">
        <f>4.86 - (4.86 * $E$1)</f>
        <v>4.8600000000000003</v>
      </c>
      <c r="M6108" s="1">
        <v>5.93</v>
      </c>
      <c r="N6108" s="1">
        <v>4.8600000000000003</v>
      </c>
      <c r="O6108" s="1">
        <v>5.04</v>
      </c>
      <c r="P6108" s="1">
        <v>4.13</v>
      </c>
      <c r="Q6108">
        <v>2.5999999999999999E-3</v>
      </c>
      <c r="R6108">
        <v>1.4E-5</v>
      </c>
    </row>
    <row r="6109" spans="1:18" ht="13.8" outlineLevel="1" x14ac:dyDescent="0.25">
      <c r="A6109">
        <v>69161</v>
      </c>
      <c r="C6109" t="s">
        <v>8503</v>
      </c>
      <c r="D6109" s="14" t="s">
        <v>8504</v>
      </c>
      <c r="E6109" s="12" t="s">
        <v>28</v>
      </c>
      <c r="F6109" s="13" t="s">
        <v>29</v>
      </c>
      <c r="G6109">
        <v>1</v>
      </c>
      <c r="H6109" t="s">
        <v>420</v>
      </c>
      <c r="I6109">
        <v>1</v>
      </c>
      <c r="J6109" s="15"/>
      <c r="K6109" s="16">
        <f>621.94 - (621.94 * $E$1)</f>
        <v>621.94000000000005</v>
      </c>
      <c r="L6109" s="16">
        <f>509.79 - (509.79 * $E$1)</f>
        <v>509.79</v>
      </c>
      <c r="M6109" s="1">
        <v>621.94000000000005</v>
      </c>
      <c r="N6109" s="1">
        <v>509.79</v>
      </c>
      <c r="O6109" s="1">
        <v>528.65</v>
      </c>
      <c r="P6109" s="1">
        <v>433.32</v>
      </c>
      <c r="Q6109">
        <v>0.3</v>
      </c>
      <c r="R6109">
        <v>1.3799999999999999E-3</v>
      </c>
    </row>
    <row r="6110" spans="1:18" ht="13.8" outlineLevel="1" x14ac:dyDescent="0.25">
      <c r="A6110">
        <v>69162</v>
      </c>
      <c r="C6110" t="s">
        <v>8505</v>
      </c>
      <c r="D6110" s="14" t="s">
        <v>8504</v>
      </c>
      <c r="E6110" s="12" t="s">
        <v>28</v>
      </c>
      <c r="F6110" s="13" t="s">
        <v>29</v>
      </c>
      <c r="G6110">
        <v>1</v>
      </c>
      <c r="H6110" t="s">
        <v>420</v>
      </c>
      <c r="I6110">
        <v>1</v>
      </c>
      <c r="J6110" s="15"/>
      <c r="K6110" s="16">
        <f>781.9 - (781.9 * $E$1)</f>
        <v>781.9</v>
      </c>
      <c r="L6110" s="16">
        <f>640.9 - (640.9 * $E$1)</f>
        <v>640.9</v>
      </c>
      <c r="M6110" s="1">
        <v>781.9</v>
      </c>
      <c r="N6110" s="1">
        <v>640.9</v>
      </c>
      <c r="O6110" s="1">
        <v>664.61</v>
      </c>
      <c r="P6110" s="1">
        <v>544.77</v>
      </c>
      <c r="Q6110">
        <v>0.33</v>
      </c>
      <c r="R6110">
        <v>1.6100000000000001E-3</v>
      </c>
    </row>
    <row r="6111" spans="1:18" ht="13.8" outlineLevel="1" x14ac:dyDescent="0.25">
      <c r="A6111">
        <v>69163</v>
      </c>
      <c r="C6111" t="s">
        <v>8506</v>
      </c>
      <c r="D6111" s="14" t="s">
        <v>8504</v>
      </c>
      <c r="E6111" s="12" t="s">
        <v>28</v>
      </c>
      <c r="F6111" s="13" t="s">
        <v>29</v>
      </c>
      <c r="G6111">
        <v>1</v>
      </c>
      <c r="H6111" t="s">
        <v>420</v>
      </c>
      <c r="I6111">
        <v>1</v>
      </c>
      <c r="J6111" s="15"/>
      <c r="K6111" s="16">
        <f>532.54 - (532.54 * $E$1)</f>
        <v>532.54</v>
      </c>
      <c r="L6111" s="16">
        <f>436.51 - (436.51 * $E$1)</f>
        <v>436.51</v>
      </c>
      <c r="M6111" s="1">
        <v>532.54</v>
      </c>
      <c r="N6111" s="1">
        <v>436.51</v>
      </c>
      <c r="O6111" s="1">
        <v>452.66</v>
      </c>
      <c r="P6111" s="1">
        <v>371.03</v>
      </c>
      <c r="Q6111">
        <v>0.31</v>
      </c>
      <c r="R6111">
        <v>2.2079999999999999E-3</v>
      </c>
    </row>
    <row r="6112" spans="1:18" ht="13.8" outlineLevel="1" x14ac:dyDescent="0.25">
      <c r="A6112">
        <v>69164</v>
      </c>
      <c r="C6112" t="s">
        <v>8507</v>
      </c>
      <c r="D6112" s="14" t="s">
        <v>8504</v>
      </c>
      <c r="E6112" s="12" t="s">
        <v>28</v>
      </c>
      <c r="F6112" s="13" t="s">
        <v>29</v>
      </c>
      <c r="G6112">
        <v>1</v>
      </c>
      <c r="H6112" t="s">
        <v>420</v>
      </c>
      <c r="I6112">
        <v>1</v>
      </c>
      <c r="J6112" s="15"/>
      <c r="K6112" s="16">
        <f>657.4 - (657.4 * $E$1)</f>
        <v>657.4</v>
      </c>
      <c r="L6112" s="16">
        <f>538.85 - (538.85 * $E$1)</f>
        <v>538.85</v>
      </c>
      <c r="M6112" s="1">
        <v>657.4</v>
      </c>
      <c r="N6112" s="1">
        <v>538.85</v>
      </c>
      <c r="O6112" s="1">
        <v>558.79</v>
      </c>
      <c r="P6112" s="1">
        <v>458.02</v>
      </c>
      <c r="Q6112">
        <v>0.32</v>
      </c>
      <c r="R6112">
        <v>2.2880000000000001E-3</v>
      </c>
    </row>
    <row r="6113" spans="1:18" ht="13.8" outlineLevel="1" x14ac:dyDescent="0.25">
      <c r="A6113">
        <v>63120</v>
      </c>
      <c r="B6113" t="s">
        <v>8508</v>
      </c>
      <c r="C6113" t="s">
        <v>8509</v>
      </c>
      <c r="D6113" s="14" t="s">
        <v>8510</v>
      </c>
      <c r="E6113" s="12" t="s">
        <v>28</v>
      </c>
      <c r="F6113" s="13" t="s">
        <v>29</v>
      </c>
      <c r="G6113">
        <v>100</v>
      </c>
      <c r="H6113" t="s">
        <v>30</v>
      </c>
      <c r="I6113">
        <v>100</v>
      </c>
      <c r="J6113" s="15"/>
      <c r="K6113" s="16">
        <f>29.67 - (29.67 * $E$1)</f>
        <v>29.67</v>
      </c>
      <c r="L6113" s="16">
        <f>24.32 - (24.32 * $E$1)</f>
        <v>24.32</v>
      </c>
      <c r="M6113" s="1">
        <v>29.67</v>
      </c>
      <c r="N6113" s="1">
        <v>24.32</v>
      </c>
      <c r="O6113" s="1">
        <v>25.22</v>
      </c>
      <c r="P6113" s="1">
        <v>20.67</v>
      </c>
      <c r="Q6113">
        <v>1.6E-2</v>
      </c>
      <c r="R6113">
        <v>1.288E-5</v>
      </c>
    </row>
    <row r="6114" spans="1:18" ht="13.8" outlineLevel="1" x14ac:dyDescent="0.25">
      <c r="A6114">
        <v>63121</v>
      </c>
      <c r="B6114" t="s">
        <v>8508</v>
      </c>
      <c r="C6114" t="s">
        <v>8511</v>
      </c>
      <c r="D6114" s="14" t="s">
        <v>8510</v>
      </c>
      <c r="E6114" s="12" t="s">
        <v>28</v>
      </c>
      <c r="F6114" s="13" t="s">
        <v>29</v>
      </c>
      <c r="G6114">
        <v>100</v>
      </c>
      <c r="H6114" t="s">
        <v>30</v>
      </c>
      <c r="I6114">
        <v>100</v>
      </c>
      <c r="J6114" s="15"/>
      <c r="K6114" s="16">
        <f>33.04 - (33.04 * $E$1)</f>
        <v>33.04</v>
      </c>
      <c r="L6114" s="16">
        <f>27.08 - (27.08 * $E$1)</f>
        <v>27.08</v>
      </c>
      <c r="M6114" s="1">
        <v>33.04</v>
      </c>
      <c r="N6114" s="1">
        <v>27.08</v>
      </c>
      <c r="O6114" s="1">
        <v>28.08</v>
      </c>
      <c r="P6114" s="1">
        <v>23.02</v>
      </c>
      <c r="Q6114">
        <v>0.02</v>
      </c>
      <c r="R6114">
        <v>1.628E-5</v>
      </c>
    </row>
    <row r="6115" spans="1:18" ht="13.8" outlineLevel="1" x14ac:dyDescent="0.25">
      <c r="A6115">
        <v>63122</v>
      </c>
      <c r="B6115" t="s">
        <v>8508</v>
      </c>
      <c r="C6115" t="s">
        <v>8512</v>
      </c>
      <c r="D6115" s="14" t="s">
        <v>8510</v>
      </c>
      <c r="E6115" s="12" t="s">
        <v>28</v>
      </c>
      <c r="F6115" s="13" t="s">
        <v>29</v>
      </c>
      <c r="G6115">
        <v>100</v>
      </c>
      <c r="H6115" t="s">
        <v>30</v>
      </c>
      <c r="I6115">
        <v>100</v>
      </c>
      <c r="J6115" s="15"/>
      <c r="K6115" s="16">
        <f>42.57 - (42.57 * $E$1)</f>
        <v>42.57</v>
      </c>
      <c r="L6115" s="16">
        <f>34.89 - (34.89 * $E$1)</f>
        <v>34.89</v>
      </c>
      <c r="M6115" s="1">
        <v>42.57</v>
      </c>
      <c r="N6115" s="1">
        <v>34.89</v>
      </c>
      <c r="O6115" s="1">
        <v>36.18</v>
      </c>
      <c r="P6115" s="1">
        <v>29.66</v>
      </c>
      <c r="Q6115">
        <v>4.8000000000000001E-2</v>
      </c>
      <c r="R6115">
        <v>3.6959999999999998E-5</v>
      </c>
    </row>
    <row r="6116" spans="1:18" ht="13.8" outlineLevel="1" x14ac:dyDescent="0.25">
      <c r="A6116">
        <v>63123</v>
      </c>
      <c r="B6116" t="s">
        <v>8508</v>
      </c>
      <c r="C6116" t="s">
        <v>8513</v>
      </c>
      <c r="D6116" s="14" t="s">
        <v>8510</v>
      </c>
      <c r="E6116" s="12" t="s">
        <v>28</v>
      </c>
      <c r="F6116" s="13" t="s">
        <v>29</v>
      </c>
      <c r="G6116">
        <v>100</v>
      </c>
      <c r="H6116" t="s">
        <v>30</v>
      </c>
      <c r="I6116">
        <v>100</v>
      </c>
      <c r="J6116" s="15"/>
      <c r="K6116" s="16">
        <f>46.59 - (46.59 * $E$1)</f>
        <v>46.59</v>
      </c>
      <c r="L6116" s="16">
        <f>38.19 - (38.19 * $E$1)</f>
        <v>38.19</v>
      </c>
      <c r="M6116" s="1">
        <v>46.59</v>
      </c>
      <c r="N6116" s="1">
        <v>38.19</v>
      </c>
      <c r="O6116" s="1">
        <v>39.6</v>
      </c>
      <c r="P6116" s="1">
        <v>32.46</v>
      </c>
      <c r="Q6116">
        <v>5.2999999999999999E-2</v>
      </c>
      <c r="R6116">
        <v>4.4100000000000001E-5</v>
      </c>
    </row>
    <row r="6117" spans="1:18" ht="13.8" outlineLevel="1" x14ac:dyDescent="0.25">
      <c r="A6117">
        <v>63124</v>
      </c>
      <c r="B6117" t="s">
        <v>8508</v>
      </c>
      <c r="C6117" t="s">
        <v>8514</v>
      </c>
      <c r="D6117" s="14" t="s">
        <v>8510</v>
      </c>
      <c r="E6117" s="12" t="s">
        <v>28</v>
      </c>
      <c r="F6117" s="13" t="s">
        <v>29</v>
      </c>
      <c r="G6117">
        <v>100</v>
      </c>
      <c r="H6117" t="s">
        <v>30</v>
      </c>
      <c r="I6117">
        <v>100</v>
      </c>
      <c r="J6117" s="15"/>
      <c r="K6117" s="16">
        <f>53.08 - (53.08 * $E$1)</f>
        <v>53.08</v>
      </c>
      <c r="L6117" s="16">
        <f>43.51 - (43.51 * $E$1)</f>
        <v>43.51</v>
      </c>
      <c r="M6117" s="1">
        <v>53.08</v>
      </c>
      <c r="N6117" s="1">
        <v>43.51</v>
      </c>
      <c r="O6117" s="1">
        <v>45.12</v>
      </c>
      <c r="P6117" s="1">
        <v>36.979999999999997</v>
      </c>
      <c r="Q6117">
        <v>5.8999999999999997E-2</v>
      </c>
      <c r="R6117">
        <v>5.0819999999999998E-5</v>
      </c>
    </row>
    <row r="6118" spans="1:18" ht="13.8" outlineLevel="1" x14ac:dyDescent="0.25">
      <c r="A6118">
        <v>63125</v>
      </c>
      <c r="B6118" t="s">
        <v>8508</v>
      </c>
      <c r="C6118" t="s">
        <v>8515</v>
      </c>
      <c r="D6118" s="14" t="s">
        <v>8510</v>
      </c>
      <c r="E6118" s="12" t="s">
        <v>28</v>
      </c>
      <c r="F6118" s="13" t="s">
        <v>29</v>
      </c>
      <c r="G6118">
        <v>50</v>
      </c>
      <c r="H6118" t="s">
        <v>30</v>
      </c>
      <c r="I6118">
        <v>50</v>
      </c>
      <c r="J6118" s="15"/>
      <c r="K6118" s="16">
        <f>97.4 - (97.4 * $E$1)</f>
        <v>97.4</v>
      </c>
      <c r="L6118" s="16">
        <f>79.84 - (79.84 * $E$1)</f>
        <v>79.84</v>
      </c>
      <c r="M6118" s="1">
        <v>97.4</v>
      </c>
      <c r="N6118" s="1">
        <v>79.84</v>
      </c>
      <c r="O6118" s="1">
        <v>82.79</v>
      </c>
      <c r="P6118" s="1">
        <v>67.86</v>
      </c>
      <c r="Q6118">
        <v>0.11</v>
      </c>
      <c r="R6118">
        <v>9.0000000000000006E-5</v>
      </c>
    </row>
    <row r="6119" spans="1:18" ht="13.8" outlineLevel="1" x14ac:dyDescent="0.25">
      <c r="A6119">
        <v>63126</v>
      </c>
      <c r="B6119" t="s">
        <v>8508</v>
      </c>
      <c r="C6119" t="s">
        <v>8516</v>
      </c>
      <c r="D6119" s="14" t="s">
        <v>8510</v>
      </c>
      <c r="E6119" s="12" t="s">
        <v>28</v>
      </c>
      <c r="F6119" s="13" t="s">
        <v>29</v>
      </c>
      <c r="G6119">
        <v>50</v>
      </c>
      <c r="H6119" t="s">
        <v>30</v>
      </c>
      <c r="I6119">
        <v>50</v>
      </c>
      <c r="J6119" s="15"/>
      <c r="K6119" s="16">
        <f>110.82 - (110.82 * $E$1)</f>
        <v>110.82</v>
      </c>
      <c r="L6119" s="16">
        <f>90.84 - (90.84 * $E$1)</f>
        <v>90.84</v>
      </c>
      <c r="M6119" s="1">
        <v>110.82</v>
      </c>
      <c r="N6119" s="1">
        <v>90.84</v>
      </c>
      <c r="O6119" s="1">
        <v>94.2</v>
      </c>
      <c r="P6119" s="1">
        <v>77.209999999999994</v>
      </c>
      <c r="Q6119">
        <v>0.13</v>
      </c>
      <c r="R6119">
        <v>1.26E-4</v>
      </c>
    </row>
    <row r="6120" spans="1:18" ht="13.8" outlineLevel="1" x14ac:dyDescent="0.25">
      <c r="A6120">
        <v>63127</v>
      </c>
      <c r="B6120" t="s">
        <v>8508</v>
      </c>
      <c r="C6120" t="s">
        <v>8517</v>
      </c>
      <c r="D6120" s="14" t="s">
        <v>8510</v>
      </c>
      <c r="E6120" s="12" t="s">
        <v>28</v>
      </c>
      <c r="F6120" s="13" t="s">
        <v>29</v>
      </c>
      <c r="G6120">
        <v>25</v>
      </c>
      <c r="H6120" t="s">
        <v>30</v>
      </c>
      <c r="I6120">
        <v>25</v>
      </c>
      <c r="J6120" s="15"/>
      <c r="K6120" s="16">
        <f>139.81 - (139.81 * $E$1)</f>
        <v>139.81</v>
      </c>
      <c r="L6120" s="16">
        <f>114.6 - (114.6 * $E$1)</f>
        <v>114.6</v>
      </c>
      <c r="M6120" s="1">
        <v>139.81</v>
      </c>
      <c r="N6120" s="1">
        <v>114.6</v>
      </c>
      <c r="O6120" s="1">
        <v>118.84</v>
      </c>
      <c r="P6120" s="1">
        <v>97.41</v>
      </c>
      <c r="Q6120">
        <v>0.1356</v>
      </c>
      <c r="R6120">
        <v>1.8479999999999999E-4</v>
      </c>
    </row>
    <row r="6121" spans="1:18" ht="13.8" outlineLevel="1" x14ac:dyDescent="0.25">
      <c r="A6121">
        <v>63128</v>
      </c>
      <c r="B6121" t="s">
        <v>8508</v>
      </c>
      <c r="C6121" t="s">
        <v>8518</v>
      </c>
      <c r="D6121" s="14" t="s">
        <v>8510</v>
      </c>
      <c r="E6121" s="12" t="s">
        <v>28</v>
      </c>
      <c r="F6121" s="13" t="s">
        <v>29</v>
      </c>
      <c r="G6121">
        <v>10</v>
      </c>
      <c r="H6121" t="s">
        <v>30</v>
      </c>
      <c r="I6121">
        <v>10</v>
      </c>
      <c r="J6121" s="15"/>
      <c r="K6121" s="16">
        <f>274.73 - (274.73 * $E$1)</f>
        <v>274.73</v>
      </c>
      <c r="L6121" s="16">
        <f>225.19 - (225.19 * $E$1)</f>
        <v>225.19</v>
      </c>
      <c r="M6121" s="1">
        <v>274.73</v>
      </c>
      <c r="N6121" s="1">
        <v>225.19</v>
      </c>
      <c r="O6121" s="1">
        <v>233.52</v>
      </c>
      <c r="P6121" s="1">
        <v>191.41</v>
      </c>
      <c r="Q6121">
        <v>0.28000000000000003</v>
      </c>
      <c r="R6121">
        <v>1.5119999999999999E-4</v>
      </c>
    </row>
    <row r="6122" spans="1:18" ht="13.8" outlineLevel="1" x14ac:dyDescent="0.25">
      <c r="A6122">
        <v>63129</v>
      </c>
      <c r="B6122" t="s">
        <v>8508</v>
      </c>
      <c r="C6122" t="s">
        <v>8519</v>
      </c>
      <c r="D6122" s="14" t="s">
        <v>8510</v>
      </c>
      <c r="E6122" s="12" t="s">
        <v>28</v>
      </c>
      <c r="F6122" s="13" t="s">
        <v>29</v>
      </c>
      <c r="G6122">
        <v>5</v>
      </c>
      <c r="H6122" t="s">
        <v>30</v>
      </c>
      <c r="I6122">
        <v>5</v>
      </c>
      <c r="J6122" s="15"/>
      <c r="K6122" s="16">
        <f>325.83 - (325.83 * $E$1)</f>
        <v>325.83</v>
      </c>
      <c r="L6122" s="16">
        <f>267.07 - (267.07 * $E$1)</f>
        <v>267.07</v>
      </c>
      <c r="M6122" s="1">
        <v>325.83</v>
      </c>
      <c r="N6122" s="1">
        <v>267.07</v>
      </c>
      <c r="O6122" s="1">
        <v>276.95</v>
      </c>
      <c r="P6122" s="1">
        <v>227.01</v>
      </c>
      <c r="Q6122">
        <v>0.33600000000000002</v>
      </c>
      <c r="R6122">
        <v>2.6400000000000002E-4</v>
      </c>
    </row>
    <row r="6123" spans="1:18" ht="13.8" outlineLevel="1" x14ac:dyDescent="0.25">
      <c r="A6123">
        <v>63130</v>
      </c>
      <c r="B6123" t="s">
        <v>8508</v>
      </c>
      <c r="C6123" t="s">
        <v>8520</v>
      </c>
      <c r="D6123" s="14" t="s">
        <v>8510</v>
      </c>
      <c r="E6123" s="12" t="s">
        <v>28</v>
      </c>
      <c r="F6123" s="13" t="s">
        <v>29</v>
      </c>
      <c r="G6123">
        <v>5</v>
      </c>
      <c r="H6123" t="s">
        <v>30</v>
      </c>
      <c r="I6123">
        <v>5</v>
      </c>
      <c r="J6123" s="15"/>
      <c r="K6123" s="16">
        <f>482.68 - (482.68 * $E$1)</f>
        <v>482.68</v>
      </c>
      <c r="L6123" s="16">
        <f>395.64 - (395.64 * $E$1)</f>
        <v>395.64</v>
      </c>
      <c r="M6123" s="1">
        <v>482.68</v>
      </c>
      <c r="N6123" s="1">
        <v>395.64</v>
      </c>
      <c r="O6123" s="1">
        <v>410.28</v>
      </c>
      <c r="P6123" s="1">
        <v>336.29</v>
      </c>
      <c r="Q6123">
        <v>0.13800000000000001</v>
      </c>
      <c r="R6123">
        <v>1.3799999999999999E-4</v>
      </c>
    </row>
    <row r="6124" spans="1:18" ht="33.75" customHeight="1" x14ac:dyDescent="0.35">
      <c r="A6124" s="9"/>
      <c r="B6124" s="10" t="s">
        <v>8521</v>
      </c>
      <c r="C6124" s="10"/>
      <c r="D6124" s="10"/>
      <c r="E6124" s="10"/>
      <c r="F6124" s="10"/>
      <c r="G6124" s="10"/>
      <c r="H6124" s="10"/>
      <c r="I6124" s="10"/>
      <c r="J6124" s="10"/>
      <c r="K6124" s="10"/>
      <c r="L6124" s="10"/>
      <c r="M6124" s="10"/>
      <c r="N6124" s="10"/>
      <c r="O6124" s="10"/>
      <c r="P6124" s="10"/>
      <c r="Q6124" s="10"/>
      <c r="R6124" s="11"/>
    </row>
    <row r="6125" spans="1:18" ht="13.8" outlineLevel="1" x14ac:dyDescent="0.25">
      <c r="A6125">
        <v>59140</v>
      </c>
      <c r="B6125" t="s">
        <v>8522</v>
      </c>
      <c r="C6125" t="s">
        <v>8523</v>
      </c>
      <c r="D6125" s="14" t="s">
        <v>8524</v>
      </c>
      <c r="E6125" s="12" t="s">
        <v>28</v>
      </c>
      <c r="F6125" s="13" t="s">
        <v>29</v>
      </c>
      <c r="G6125">
        <v>10</v>
      </c>
      <c r="H6125" t="s">
        <v>30</v>
      </c>
      <c r="I6125">
        <v>10</v>
      </c>
      <c r="J6125" s="15"/>
      <c r="K6125" s="16">
        <f>353.35 - (353.35 * $E$1)</f>
        <v>353.35</v>
      </c>
      <c r="L6125" s="16">
        <f>289.63 - (289.63 * $E$1)</f>
        <v>289.63</v>
      </c>
      <c r="M6125" s="1">
        <v>353.35</v>
      </c>
      <c r="N6125" s="1">
        <v>289.63</v>
      </c>
      <c r="O6125" s="1">
        <v>300.35000000000002</v>
      </c>
      <c r="P6125" s="1">
        <v>246.19</v>
      </c>
      <c r="Q6125">
        <v>2.12E-2</v>
      </c>
      <c r="R6125">
        <v>3.7499999999999997E-5</v>
      </c>
    </row>
    <row r="6126" spans="1:18" ht="13.8" outlineLevel="1" x14ac:dyDescent="0.25">
      <c r="A6126">
        <v>59142</v>
      </c>
      <c r="B6126" t="s">
        <v>8522</v>
      </c>
      <c r="C6126" t="s">
        <v>8525</v>
      </c>
      <c r="D6126" s="14" t="s">
        <v>8524</v>
      </c>
      <c r="E6126" s="12" t="s">
        <v>28</v>
      </c>
      <c r="F6126" s="13" t="s">
        <v>29</v>
      </c>
      <c r="G6126">
        <v>10</v>
      </c>
      <c r="H6126" t="s">
        <v>30</v>
      </c>
      <c r="I6126">
        <v>10</v>
      </c>
      <c r="J6126" s="15"/>
      <c r="K6126" s="16">
        <f>389.17 - (389.17 * $E$1)</f>
        <v>389.17</v>
      </c>
      <c r="L6126" s="16">
        <f>318.99 - (318.99 * $E$1)</f>
        <v>318.99</v>
      </c>
      <c r="M6126" s="1">
        <v>389.17</v>
      </c>
      <c r="N6126" s="1">
        <v>318.99</v>
      </c>
      <c r="O6126" s="1">
        <v>330.79</v>
      </c>
      <c r="P6126" s="1">
        <v>271.14</v>
      </c>
      <c r="Q6126">
        <v>2.5600000000000001E-2</v>
      </c>
      <c r="R6126">
        <v>3.7499999999999997E-5</v>
      </c>
    </row>
    <row r="6127" spans="1:18" ht="13.8" outlineLevel="1" x14ac:dyDescent="0.25">
      <c r="A6127">
        <v>88940</v>
      </c>
      <c r="B6127" t="s">
        <v>2343</v>
      </c>
      <c r="C6127" t="s">
        <v>8526</v>
      </c>
      <c r="D6127" s="14" t="s">
        <v>8524</v>
      </c>
      <c r="E6127" s="12" t="s">
        <v>28</v>
      </c>
      <c r="F6127" s="13" t="s">
        <v>29</v>
      </c>
      <c r="G6127">
        <v>10</v>
      </c>
      <c r="H6127" t="s">
        <v>30</v>
      </c>
      <c r="I6127">
        <v>10</v>
      </c>
      <c r="J6127" s="15"/>
      <c r="K6127" s="16">
        <f>416.22 - (416.22 * $E$1)</f>
        <v>416.22</v>
      </c>
      <c r="L6127" s="16">
        <f>341.16 - (341.16 * $E$1)</f>
        <v>341.16</v>
      </c>
      <c r="M6127" s="1">
        <v>416.22</v>
      </c>
      <c r="N6127" s="1">
        <v>341.16</v>
      </c>
      <c r="O6127" s="1">
        <v>353.78</v>
      </c>
      <c r="P6127" s="1">
        <v>289.99</v>
      </c>
      <c r="Q6127">
        <v>3.1E-2</v>
      </c>
      <c r="R6127">
        <v>2.8399999999999999E-5</v>
      </c>
    </row>
    <row r="6128" spans="1:18" ht="13.8" outlineLevel="1" x14ac:dyDescent="0.25">
      <c r="A6128">
        <v>59143</v>
      </c>
      <c r="B6128" t="s">
        <v>8522</v>
      </c>
      <c r="C6128" t="s">
        <v>8527</v>
      </c>
      <c r="D6128" s="14" t="s">
        <v>8524</v>
      </c>
      <c r="E6128" s="12" t="s">
        <v>28</v>
      </c>
      <c r="F6128" s="13" t="s">
        <v>29</v>
      </c>
      <c r="G6128">
        <v>10</v>
      </c>
      <c r="H6128" t="s">
        <v>30</v>
      </c>
      <c r="I6128">
        <v>10</v>
      </c>
      <c r="J6128" s="15"/>
      <c r="K6128" s="16">
        <f>476.2 - (476.2 * $E$1)</f>
        <v>476.2</v>
      </c>
      <c r="L6128" s="16">
        <f>390.33 - (390.33 * $E$1)</f>
        <v>390.33</v>
      </c>
      <c r="M6128" s="1">
        <v>476.2</v>
      </c>
      <c r="N6128" s="1">
        <v>390.33</v>
      </c>
      <c r="O6128" s="1">
        <v>404.77</v>
      </c>
      <c r="P6128" s="1">
        <v>331.78</v>
      </c>
      <c r="Q6128">
        <v>3.5200000000000002E-2</v>
      </c>
      <c r="R6128">
        <v>3.7499999999999997E-5</v>
      </c>
    </row>
    <row r="6129" spans="1:18" ht="13.8" outlineLevel="1" x14ac:dyDescent="0.25">
      <c r="A6129">
        <v>88941</v>
      </c>
      <c r="B6129" t="s">
        <v>2343</v>
      </c>
      <c r="C6129" t="s">
        <v>8528</v>
      </c>
      <c r="D6129" s="14" t="s">
        <v>8524</v>
      </c>
      <c r="E6129" s="12" t="s">
        <v>28</v>
      </c>
      <c r="F6129" s="13" t="s">
        <v>29</v>
      </c>
      <c r="G6129">
        <v>10</v>
      </c>
      <c r="H6129" t="s">
        <v>30</v>
      </c>
      <c r="I6129">
        <v>10</v>
      </c>
      <c r="J6129" s="15"/>
      <c r="K6129" s="16">
        <f>502.46 - (502.46 * $E$1)</f>
        <v>502.46</v>
      </c>
      <c r="L6129" s="16">
        <f>411.85 - (411.85 * $E$1)</f>
        <v>411.85</v>
      </c>
      <c r="M6129" s="1">
        <v>502.46</v>
      </c>
      <c r="N6129" s="1">
        <v>411.85</v>
      </c>
      <c r="O6129" s="1">
        <v>427.09</v>
      </c>
      <c r="P6129" s="1">
        <v>350.07</v>
      </c>
      <c r="Q6129">
        <v>0.04</v>
      </c>
      <c r="R6129">
        <v>2.4899999999999999E-5</v>
      </c>
    </row>
    <row r="6130" spans="1:18" ht="13.8" outlineLevel="1" x14ac:dyDescent="0.25">
      <c r="A6130">
        <v>82180</v>
      </c>
      <c r="B6130" t="s">
        <v>8522</v>
      </c>
      <c r="C6130" t="s">
        <v>8529</v>
      </c>
      <c r="D6130" s="14" t="s">
        <v>8524</v>
      </c>
      <c r="E6130" s="12" t="s">
        <v>28</v>
      </c>
      <c r="F6130" s="13" t="s">
        <v>29</v>
      </c>
      <c r="G6130">
        <v>10</v>
      </c>
      <c r="H6130" t="s">
        <v>30</v>
      </c>
      <c r="I6130">
        <v>10</v>
      </c>
      <c r="J6130" s="15"/>
      <c r="K6130" s="16">
        <f>566.3 - (566.3 * $E$1)</f>
        <v>566.29999999999995</v>
      </c>
      <c r="L6130" s="16">
        <f>464.18 - (464.18 * $E$1)</f>
        <v>464.18</v>
      </c>
      <c r="M6130" s="1">
        <v>566.29999999999995</v>
      </c>
      <c r="N6130" s="1">
        <v>464.18</v>
      </c>
      <c r="O6130" s="1">
        <v>481.35</v>
      </c>
      <c r="P6130" s="1">
        <v>394.55</v>
      </c>
      <c r="Q6130">
        <v>4.4999999999999998E-2</v>
      </c>
      <c r="R6130">
        <v>4.3999999999999999E-5</v>
      </c>
    </row>
    <row r="6131" spans="1:18" ht="13.8" outlineLevel="1" x14ac:dyDescent="0.25">
      <c r="A6131">
        <v>82181</v>
      </c>
      <c r="B6131" t="s">
        <v>8522</v>
      </c>
      <c r="C6131" t="s">
        <v>8530</v>
      </c>
      <c r="D6131" s="14" t="s">
        <v>8524</v>
      </c>
      <c r="E6131" s="12" t="s">
        <v>28</v>
      </c>
      <c r="F6131" s="13" t="s">
        <v>29</v>
      </c>
      <c r="G6131">
        <v>10</v>
      </c>
      <c r="H6131" t="s">
        <v>30</v>
      </c>
      <c r="I6131">
        <v>10</v>
      </c>
      <c r="J6131" s="15"/>
      <c r="K6131" s="16">
        <f>638.85 - (638.85 * $E$1)</f>
        <v>638.85</v>
      </c>
      <c r="L6131" s="16">
        <f>523.65 - (523.65 * $E$1)</f>
        <v>523.65</v>
      </c>
      <c r="M6131" s="1">
        <v>638.85</v>
      </c>
      <c r="N6131" s="1">
        <v>523.65</v>
      </c>
      <c r="O6131" s="1">
        <v>543.03</v>
      </c>
      <c r="P6131" s="1">
        <v>445.1</v>
      </c>
      <c r="Q6131">
        <v>5.4699999999999999E-2</v>
      </c>
      <c r="R6131">
        <v>5.3999999999999998E-5</v>
      </c>
    </row>
    <row r="6132" spans="1:18" ht="13.8" outlineLevel="1" x14ac:dyDescent="0.25">
      <c r="A6132">
        <v>82182</v>
      </c>
      <c r="B6132" t="s">
        <v>8522</v>
      </c>
      <c r="C6132" t="s">
        <v>8531</v>
      </c>
      <c r="D6132" s="14" t="s">
        <v>8524</v>
      </c>
      <c r="E6132" s="12" t="s">
        <v>28</v>
      </c>
      <c r="F6132" s="13" t="s">
        <v>29</v>
      </c>
      <c r="G6132">
        <v>10</v>
      </c>
      <c r="H6132" t="s">
        <v>30</v>
      </c>
      <c r="I6132">
        <v>10</v>
      </c>
      <c r="J6132" s="15"/>
      <c r="K6132" s="16">
        <f>718.38 - (718.38 * $E$1)</f>
        <v>718.38</v>
      </c>
      <c r="L6132" s="16">
        <f>588.84 - (588.84 * $E$1)</f>
        <v>588.84</v>
      </c>
      <c r="M6132" s="1">
        <v>718.38</v>
      </c>
      <c r="N6132" s="1">
        <v>588.84</v>
      </c>
      <c r="O6132" s="1">
        <v>610.63</v>
      </c>
      <c r="P6132" s="1">
        <v>500.51</v>
      </c>
      <c r="Q6132">
        <v>6.4000000000000001E-2</v>
      </c>
      <c r="R6132">
        <v>6.6000000000000005E-5</v>
      </c>
    </row>
    <row r="6133" spans="1:18" ht="13.8" outlineLevel="1" x14ac:dyDescent="0.25">
      <c r="A6133">
        <v>82183</v>
      </c>
      <c r="B6133" t="s">
        <v>8522</v>
      </c>
      <c r="C6133" t="s">
        <v>8532</v>
      </c>
      <c r="D6133" s="14" t="s">
        <v>8524</v>
      </c>
      <c r="E6133" s="12" t="s">
        <v>28</v>
      </c>
      <c r="F6133" s="13" t="s">
        <v>29</v>
      </c>
      <c r="G6133">
        <v>10</v>
      </c>
      <c r="H6133" t="s">
        <v>30</v>
      </c>
      <c r="I6133">
        <v>10</v>
      </c>
      <c r="J6133" s="15"/>
      <c r="K6133" s="16">
        <f>874.61 - (874.61 * $E$1)</f>
        <v>874.61</v>
      </c>
      <c r="L6133" s="16">
        <f>716.89 - (716.89 * $E$1)</f>
        <v>716.89</v>
      </c>
      <c r="M6133" s="1">
        <v>874.61</v>
      </c>
      <c r="N6133" s="1">
        <v>716.89</v>
      </c>
      <c r="O6133" s="1">
        <v>743.41</v>
      </c>
      <c r="P6133" s="1">
        <v>609.36</v>
      </c>
      <c r="Q6133">
        <v>8.2799999999999999E-2</v>
      </c>
      <c r="R6133">
        <v>5.8799999999999999E-5</v>
      </c>
    </row>
    <row r="6134" spans="1:18" ht="13.8" outlineLevel="1" x14ac:dyDescent="0.25">
      <c r="A6134">
        <v>88368</v>
      </c>
      <c r="B6134" t="s">
        <v>2343</v>
      </c>
      <c r="C6134" t="s">
        <v>8533</v>
      </c>
      <c r="D6134" s="14" t="s">
        <v>8524</v>
      </c>
      <c r="E6134" s="12" t="s">
        <v>28</v>
      </c>
      <c r="F6134" s="13" t="s">
        <v>29</v>
      </c>
      <c r="G6134">
        <v>10</v>
      </c>
      <c r="H6134" t="s">
        <v>30</v>
      </c>
      <c r="I6134">
        <v>10</v>
      </c>
      <c r="J6134" s="15"/>
      <c r="K6134" s="16">
        <f>1014.69 - (1014.69 * $E$1)</f>
        <v>1014.69</v>
      </c>
      <c r="L6134" s="16">
        <f>831.71 - (831.71 * $E$1)</f>
        <v>831.71</v>
      </c>
      <c r="M6134" s="1">
        <v>1014.69</v>
      </c>
      <c r="N6134" s="1">
        <v>831.71</v>
      </c>
      <c r="O6134" s="1">
        <v>862.48</v>
      </c>
      <c r="P6134" s="1">
        <v>706.95</v>
      </c>
      <c r="Q6134">
        <v>9.9000000000000005E-2</v>
      </c>
      <c r="R6134">
        <v>6.7500000000000001E-5</v>
      </c>
    </row>
    <row r="6135" spans="1:18" ht="13.8" outlineLevel="1" x14ac:dyDescent="0.25">
      <c r="A6135">
        <v>59144</v>
      </c>
      <c r="B6135" t="s">
        <v>8522</v>
      </c>
      <c r="C6135" t="s">
        <v>8534</v>
      </c>
      <c r="D6135" s="14" t="s">
        <v>8524</v>
      </c>
      <c r="E6135" s="12" t="s">
        <v>28</v>
      </c>
      <c r="F6135" s="13" t="s">
        <v>29</v>
      </c>
      <c r="G6135">
        <v>10</v>
      </c>
      <c r="H6135" t="s">
        <v>30</v>
      </c>
      <c r="I6135">
        <v>10</v>
      </c>
      <c r="J6135" s="15"/>
      <c r="K6135" s="16">
        <f>417.74 - (417.74 * $E$1)</f>
        <v>417.74</v>
      </c>
      <c r="L6135" s="16">
        <f>342.41 - (342.41 * $E$1)</f>
        <v>342.41</v>
      </c>
      <c r="M6135" s="1">
        <v>417.74</v>
      </c>
      <c r="N6135" s="1">
        <v>342.41</v>
      </c>
      <c r="O6135" s="1">
        <v>355.08</v>
      </c>
      <c r="P6135" s="1">
        <v>291.05</v>
      </c>
      <c r="Q6135">
        <v>3.0599999999999999E-2</v>
      </c>
      <c r="R6135">
        <v>3.7499999999999997E-5</v>
      </c>
    </row>
    <row r="6136" spans="1:18" ht="13.8" outlineLevel="1" x14ac:dyDescent="0.25">
      <c r="A6136">
        <v>59145</v>
      </c>
      <c r="B6136" t="s">
        <v>8522</v>
      </c>
      <c r="C6136" t="s">
        <v>8535</v>
      </c>
      <c r="D6136" s="14" t="s">
        <v>8524</v>
      </c>
      <c r="E6136" s="12" t="s">
        <v>28</v>
      </c>
      <c r="F6136" s="13" t="s">
        <v>29</v>
      </c>
      <c r="G6136">
        <v>10</v>
      </c>
      <c r="H6136" t="s">
        <v>30</v>
      </c>
      <c r="I6136">
        <v>10</v>
      </c>
      <c r="J6136" s="15"/>
      <c r="K6136" s="16">
        <f>467.58 - (467.58 * $E$1)</f>
        <v>467.58</v>
      </c>
      <c r="L6136" s="16">
        <f>383.26 - (383.26 * $E$1)</f>
        <v>383.26</v>
      </c>
      <c r="M6136" s="1">
        <v>467.58</v>
      </c>
      <c r="N6136" s="1">
        <v>383.26</v>
      </c>
      <c r="O6136" s="1">
        <v>397.44</v>
      </c>
      <c r="P6136" s="1">
        <v>325.77</v>
      </c>
      <c r="Q6136">
        <v>3.6700000000000001E-3</v>
      </c>
      <c r="R6136">
        <v>3.7499999999999997E-5</v>
      </c>
    </row>
    <row r="6137" spans="1:18" ht="13.8" outlineLevel="1" x14ac:dyDescent="0.25">
      <c r="A6137">
        <v>88942</v>
      </c>
      <c r="B6137" t="s">
        <v>2343</v>
      </c>
      <c r="C6137" t="s">
        <v>8536</v>
      </c>
      <c r="D6137" s="14" t="s">
        <v>8524</v>
      </c>
      <c r="E6137" s="12" t="s">
        <v>28</v>
      </c>
      <c r="F6137" s="13" t="s">
        <v>29</v>
      </c>
      <c r="G6137">
        <v>10</v>
      </c>
      <c r="H6137" t="s">
        <v>30</v>
      </c>
      <c r="I6137">
        <v>10</v>
      </c>
      <c r="J6137" s="15"/>
      <c r="K6137" s="16">
        <f>515.47 - (515.47 * $E$1)</f>
        <v>515.47</v>
      </c>
      <c r="L6137" s="16">
        <f>422.52 - (422.52 * $E$1)</f>
        <v>422.52</v>
      </c>
      <c r="M6137" s="1">
        <v>515.47</v>
      </c>
      <c r="N6137" s="1">
        <v>422.52</v>
      </c>
      <c r="O6137" s="1">
        <v>438.15</v>
      </c>
      <c r="P6137" s="1">
        <v>359.14</v>
      </c>
      <c r="Q6137">
        <v>0.04</v>
      </c>
      <c r="R6137">
        <v>3.1199999999999999E-5</v>
      </c>
    </row>
    <row r="6138" spans="1:18" ht="13.8" outlineLevel="1" x14ac:dyDescent="0.25">
      <c r="A6138">
        <v>59146</v>
      </c>
      <c r="B6138" t="s">
        <v>8522</v>
      </c>
      <c r="C6138" t="s">
        <v>8537</v>
      </c>
      <c r="D6138" s="14" t="s">
        <v>8524</v>
      </c>
      <c r="E6138" s="12" t="s">
        <v>28</v>
      </c>
      <c r="F6138" s="13" t="s">
        <v>29</v>
      </c>
      <c r="G6138">
        <v>10</v>
      </c>
      <c r="H6138" t="s">
        <v>30</v>
      </c>
      <c r="I6138">
        <v>10</v>
      </c>
      <c r="J6138" s="15"/>
      <c r="K6138" s="16">
        <f>582.18 - (582.18 * $E$1)</f>
        <v>582.17999999999995</v>
      </c>
      <c r="L6138" s="16">
        <f>477.2 - (477.2 * $E$1)</f>
        <v>477.2</v>
      </c>
      <c r="M6138" s="1">
        <v>582.17999999999995</v>
      </c>
      <c r="N6138" s="1">
        <v>477.2</v>
      </c>
      <c r="O6138" s="1">
        <v>494.86</v>
      </c>
      <c r="P6138" s="1">
        <v>405.62</v>
      </c>
      <c r="Q6138">
        <v>5.0599999999999999E-2</v>
      </c>
      <c r="R6138">
        <v>3.7499999999999997E-5</v>
      </c>
    </row>
    <row r="6139" spans="1:18" ht="13.8" outlineLevel="1" x14ac:dyDescent="0.25">
      <c r="A6139">
        <v>88943</v>
      </c>
      <c r="B6139" t="s">
        <v>2343</v>
      </c>
      <c r="C6139" t="s">
        <v>8538</v>
      </c>
      <c r="D6139" s="14" t="s">
        <v>8524</v>
      </c>
      <c r="E6139" s="12" t="s">
        <v>28</v>
      </c>
      <c r="F6139" s="13" t="s">
        <v>29</v>
      </c>
      <c r="G6139">
        <v>10</v>
      </c>
      <c r="H6139" t="s">
        <v>30</v>
      </c>
      <c r="I6139">
        <v>10</v>
      </c>
      <c r="J6139" s="15"/>
      <c r="K6139" s="16">
        <f>627.06 - (627.06 * $E$1)</f>
        <v>627.05999999999995</v>
      </c>
      <c r="L6139" s="16">
        <f>513.98 - (513.98 * $E$1)</f>
        <v>513.98</v>
      </c>
      <c r="M6139" s="1">
        <v>627.05999999999995</v>
      </c>
      <c r="N6139" s="1">
        <v>513.98</v>
      </c>
      <c r="O6139" s="1">
        <v>533</v>
      </c>
      <c r="P6139" s="1">
        <v>436.88</v>
      </c>
      <c r="Q6139">
        <v>6.2E-2</v>
      </c>
      <c r="R6139">
        <v>4.9499999999999997E-5</v>
      </c>
    </row>
    <row r="6140" spans="1:18" ht="13.8" outlineLevel="1" x14ac:dyDescent="0.25">
      <c r="A6140">
        <v>82184</v>
      </c>
      <c r="B6140" t="s">
        <v>8522</v>
      </c>
      <c r="C6140" t="s">
        <v>8539</v>
      </c>
      <c r="D6140" s="14" t="s">
        <v>8524</v>
      </c>
      <c r="E6140" s="12" t="s">
        <v>28</v>
      </c>
      <c r="F6140" s="13" t="s">
        <v>29</v>
      </c>
      <c r="G6140">
        <v>10</v>
      </c>
      <c r="H6140" t="s">
        <v>30</v>
      </c>
      <c r="I6140">
        <v>10</v>
      </c>
      <c r="J6140" s="15"/>
      <c r="K6140" s="16">
        <f>698.82 - (698.82 * $E$1)</f>
        <v>698.82</v>
      </c>
      <c r="L6140" s="16">
        <f>572.8 - (572.8 * $E$1)</f>
        <v>572.79999999999995</v>
      </c>
      <c r="M6140" s="1">
        <v>698.82</v>
      </c>
      <c r="N6140" s="1">
        <v>572.79999999999995</v>
      </c>
      <c r="O6140" s="1">
        <v>593.99</v>
      </c>
      <c r="P6140" s="1">
        <v>486.88</v>
      </c>
      <c r="Q6140">
        <v>6.6000000000000003E-2</v>
      </c>
      <c r="R6140">
        <v>3.7499999999999997E-5</v>
      </c>
    </row>
    <row r="6141" spans="1:18" ht="13.8" outlineLevel="1" x14ac:dyDescent="0.25">
      <c r="A6141">
        <v>63880</v>
      </c>
      <c r="B6141" t="s">
        <v>8522</v>
      </c>
      <c r="C6141" t="s">
        <v>8540</v>
      </c>
      <c r="D6141" s="14" t="s">
        <v>8524</v>
      </c>
      <c r="E6141" s="12" t="s">
        <v>28</v>
      </c>
      <c r="F6141" s="13" t="s">
        <v>29</v>
      </c>
      <c r="G6141">
        <v>10</v>
      </c>
      <c r="H6141" t="s">
        <v>30</v>
      </c>
      <c r="I6141">
        <v>10</v>
      </c>
      <c r="J6141" s="15"/>
      <c r="K6141" s="16">
        <f>798.45 - (798.45 * $E$1)</f>
        <v>798.45</v>
      </c>
      <c r="L6141" s="16">
        <f>654.47 - (654.47 * $E$1)</f>
        <v>654.47</v>
      </c>
      <c r="M6141" s="1">
        <v>798.45</v>
      </c>
      <c r="N6141" s="1">
        <v>654.47</v>
      </c>
      <c r="O6141" s="1">
        <v>678.69</v>
      </c>
      <c r="P6141" s="1">
        <v>556.29999999999995</v>
      </c>
      <c r="Q6141">
        <v>8.1000000000000003E-2</v>
      </c>
      <c r="R6141">
        <v>3.7499999999999997E-5</v>
      </c>
    </row>
    <row r="6142" spans="1:18" ht="13.8" outlineLevel="1" x14ac:dyDescent="0.25">
      <c r="A6142">
        <v>82185</v>
      </c>
      <c r="B6142" t="s">
        <v>8522</v>
      </c>
      <c r="C6142" t="s">
        <v>8541</v>
      </c>
      <c r="D6142" s="14" t="s">
        <v>8524</v>
      </c>
      <c r="E6142" s="12" t="s">
        <v>28</v>
      </c>
      <c r="F6142" s="13" t="s">
        <v>29</v>
      </c>
      <c r="G6142">
        <v>10</v>
      </c>
      <c r="H6142" t="s">
        <v>30</v>
      </c>
      <c r="I6142">
        <v>10</v>
      </c>
      <c r="J6142" s="15"/>
      <c r="K6142" s="16">
        <f>905.92 - (905.92 * $E$1)</f>
        <v>905.92</v>
      </c>
      <c r="L6142" s="16">
        <f>742.56 - (742.56 * $E$1)</f>
        <v>742.56</v>
      </c>
      <c r="M6142" s="1">
        <v>905.92</v>
      </c>
      <c r="N6142" s="1">
        <v>742.56</v>
      </c>
      <c r="O6142" s="1">
        <v>770.03</v>
      </c>
      <c r="P6142" s="1">
        <v>631.17999999999995</v>
      </c>
      <c r="Q6142">
        <v>9.6000000000000002E-2</v>
      </c>
      <c r="R6142">
        <v>3.7499999999999997E-5</v>
      </c>
    </row>
    <row r="6143" spans="1:18" ht="13.8" outlineLevel="1" x14ac:dyDescent="0.25">
      <c r="A6143">
        <v>82186</v>
      </c>
      <c r="B6143" t="s">
        <v>8522</v>
      </c>
      <c r="C6143" t="s">
        <v>8542</v>
      </c>
      <c r="D6143" s="14" t="s">
        <v>8524</v>
      </c>
      <c r="E6143" s="12" t="s">
        <v>28</v>
      </c>
      <c r="F6143" s="13" t="s">
        <v>29</v>
      </c>
      <c r="G6143">
        <v>10</v>
      </c>
      <c r="H6143" t="s">
        <v>30</v>
      </c>
      <c r="I6143">
        <v>10</v>
      </c>
      <c r="J6143" s="15"/>
      <c r="K6143" s="16">
        <f>1113.92 - (1113.92 * $E$1)</f>
        <v>1113.92</v>
      </c>
      <c r="L6143" s="16">
        <f>913.05 - (913.05 * $E$1)</f>
        <v>913.05</v>
      </c>
      <c r="M6143" s="1">
        <v>1113.92</v>
      </c>
      <c r="N6143" s="1">
        <v>913.05</v>
      </c>
      <c r="O6143" s="1">
        <v>946.83</v>
      </c>
      <c r="P6143" s="1">
        <v>776.09</v>
      </c>
      <c r="Q6143">
        <v>0.1245</v>
      </c>
      <c r="R6143">
        <v>3.7499999999999997E-5</v>
      </c>
    </row>
    <row r="6144" spans="1:18" ht="13.8" outlineLevel="1" x14ac:dyDescent="0.25">
      <c r="A6144">
        <v>88369</v>
      </c>
      <c r="B6144" t="s">
        <v>2343</v>
      </c>
      <c r="C6144" t="s">
        <v>8543</v>
      </c>
      <c r="D6144" s="14" t="s">
        <v>8524</v>
      </c>
      <c r="E6144" s="12" t="s">
        <v>28</v>
      </c>
      <c r="F6144" s="13" t="s">
        <v>29</v>
      </c>
      <c r="G6144">
        <v>10</v>
      </c>
      <c r="H6144" t="s">
        <v>30</v>
      </c>
      <c r="I6144">
        <v>10</v>
      </c>
      <c r="J6144" s="15"/>
      <c r="K6144" s="16">
        <f>1310.21 - (1310.21 * $E$1)</f>
        <v>1310.21</v>
      </c>
      <c r="L6144" s="16">
        <f>1073.94 - (1073.94 * $E$1)</f>
        <v>1073.94</v>
      </c>
      <c r="M6144" s="1">
        <v>1310.21</v>
      </c>
      <c r="N6144" s="1">
        <v>1073.94</v>
      </c>
      <c r="O6144" s="1">
        <v>1113.68</v>
      </c>
      <c r="P6144" s="1">
        <v>912.85</v>
      </c>
      <c r="Q6144">
        <v>0.14699999999999999</v>
      </c>
      <c r="R6144">
        <v>8.3999999999999995E-5</v>
      </c>
    </row>
    <row r="6145" spans="1:18" ht="13.8" outlineLevel="1" x14ac:dyDescent="0.25">
      <c r="A6145">
        <v>59147</v>
      </c>
      <c r="B6145" t="s">
        <v>8522</v>
      </c>
      <c r="C6145" t="s">
        <v>8544</v>
      </c>
      <c r="D6145" s="14" t="s">
        <v>8524</v>
      </c>
      <c r="E6145" s="12" t="s">
        <v>28</v>
      </c>
      <c r="F6145" s="13" t="s">
        <v>29</v>
      </c>
      <c r="G6145">
        <v>10</v>
      </c>
      <c r="H6145" t="s">
        <v>30</v>
      </c>
      <c r="I6145">
        <v>10</v>
      </c>
      <c r="J6145" s="15"/>
      <c r="K6145" s="16">
        <f>524.43 - (524.43 * $E$1)</f>
        <v>524.42999999999995</v>
      </c>
      <c r="L6145" s="16">
        <f>429.86 - (429.86 * $E$1)</f>
        <v>429.86</v>
      </c>
      <c r="M6145" s="1">
        <v>524.42999999999995</v>
      </c>
      <c r="N6145" s="1">
        <v>429.86</v>
      </c>
      <c r="O6145" s="1">
        <v>445.76</v>
      </c>
      <c r="P6145" s="1">
        <v>365.38</v>
      </c>
      <c r="Q6145">
        <v>5.2999999999999999E-2</v>
      </c>
      <c r="R6145">
        <v>3.7499999999999997E-5</v>
      </c>
    </row>
    <row r="6146" spans="1:18" ht="13.8" outlineLevel="1" x14ac:dyDescent="0.25">
      <c r="A6146">
        <v>59148</v>
      </c>
      <c r="B6146" t="s">
        <v>8522</v>
      </c>
      <c r="C6146" t="s">
        <v>8545</v>
      </c>
      <c r="D6146" s="14" t="s">
        <v>8524</v>
      </c>
      <c r="E6146" s="12" t="s">
        <v>28</v>
      </c>
      <c r="F6146" s="13" t="s">
        <v>29</v>
      </c>
      <c r="G6146">
        <v>10</v>
      </c>
      <c r="H6146" t="s">
        <v>30</v>
      </c>
      <c r="I6146">
        <v>10</v>
      </c>
      <c r="J6146" s="15"/>
      <c r="K6146" s="16">
        <f>595.49 - (595.49 * $E$1)</f>
        <v>595.49</v>
      </c>
      <c r="L6146" s="16">
        <f>488.11 - (488.11 * $E$1)</f>
        <v>488.11</v>
      </c>
      <c r="M6146" s="1">
        <v>595.49</v>
      </c>
      <c r="N6146" s="1">
        <v>488.11</v>
      </c>
      <c r="O6146" s="1">
        <v>506.17</v>
      </c>
      <c r="P6146" s="1">
        <v>414.89</v>
      </c>
      <c r="Q6146">
        <v>6.5000000000000002E-2</v>
      </c>
      <c r="R6146">
        <v>3.7499999999999997E-5</v>
      </c>
    </row>
    <row r="6147" spans="1:18" ht="13.8" outlineLevel="1" x14ac:dyDescent="0.25">
      <c r="A6147">
        <v>59149</v>
      </c>
      <c r="B6147" t="s">
        <v>8522</v>
      </c>
      <c r="C6147" t="s">
        <v>8546</v>
      </c>
      <c r="D6147" s="14" t="s">
        <v>8524</v>
      </c>
      <c r="E6147" s="12" t="s">
        <v>28</v>
      </c>
      <c r="F6147" s="13" t="s">
        <v>29</v>
      </c>
      <c r="G6147">
        <v>10</v>
      </c>
      <c r="H6147" t="s">
        <v>30</v>
      </c>
      <c r="I6147">
        <v>10</v>
      </c>
      <c r="J6147" s="15"/>
      <c r="K6147" s="16">
        <f>753.97 - (753.97 * $E$1)</f>
        <v>753.97</v>
      </c>
      <c r="L6147" s="16">
        <f>618.01 - (618.01 * $E$1)</f>
        <v>618.01</v>
      </c>
      <c r="M6147" s="1">
        <v>753.97</v>
      </c>
      <c r="N6147" s="1">
        <v>618.01</v>
      </c>
      <c r="O6147" s="1">
        <v>640.88</v>
      </c>
      <c r="P6147" s="1">
        <v>525.30999999999995</v>
      </c>
      <c r="Q6147">
        <v>9.1999999999999998E-2</v>
      </c>
      <c r="R6147">
        <v>3.7499999999999997E-5</v>
      </c>
    </row>
    <row r="6148" spans="1:18" ht="13.8" outlineLevel="1" x14ac:dyDescent="0.25">
      <c r="A6148">
        <v>82187</v>
      </c>
      <c r="B6148" t="s">
        <v>8522</v>
      </c>
      <c r="C6148" t="s">
        <v>8547</v>
      </c>
      <c r="D6148" s="14" t="s">
        <v>8524</v>
      </c>
      <c r="E6148" s="12" t="s">
        <v>28</v>
      </c>
      <c r="F6148" s="13" t="s">
        <v>29</v>
      </c>
      <c r="G6148">
        <v>10</v>
      </c>
      <c r="H6148" t="s">
        <v>30</v>
      </c>
      <c r="I6148">
        <v>10</v>
      </c>
      <c r="J6148" s="15"/>
      <c r="K6148" s="16">
        <f>910.36 - (910.36 * $E$1)</f>
        <v>910.36</v>
      </c>
      <c r="L6148" s="16">
        <f>746.2 - (746.2 * $E$1)</f>
        <v>746.2</v>
      </c>
      <c r="M6148" s="1">
        <v>910.36</v>
      </c>
      <c r="N6148" s="1">
        <v>746.2</v>
      </c>
      <c r="O6148" s="1">
        <v>773.81</v>
      </c>
      <c r="P6148" s="1">
        <v>634.27</v>
      </c>
      <c r="Q6148">
        <v>0.1133</v>
      </c>
      <c r="R6148">
        <v>3.7499999999999997E-5</v>
      </c>
    </row>
    <row r="6149" spans="1:18" ht="13.8" outlineLevel="1" x14ac:dyDescent="0.25">
      <c r="A6149">
        <v>63881</v>
      </c>
      <c r="B6149" t="s">
        <v>8522</v>
      </c>
      <c r="C6149" t="s">
        <v>8548</v>
      </c>
      <c r="D6149" s="14" t="s">
        <v>8524</v>
      </c>
      <c r="E6149" s="12" t="s">
        <v>28</v>
      </c>
      <c r="F6149" s="13" t="s">
        <v>29</v>
      </c>
      <c r="G6149">
        <v>10</v>
      </c>
      <c r="H6149" t="s">
        <v>30</v>
      </c>
      <c r="I6149">
        <v>10</v>
      </c>
      <c r="J6149" s="15"/>
      <c r="K6149" s="16">
        <f>1049.92 - (1049.92 * $E$1)</f>
        <v>1049.92</v>
      </c>
      <c r="L6149" s="16">
        <f>860.59 - (860.59 * $E$1)</f>
        <v>860.59</v>
      </c>
      <c r="M6149" s="1">
        <v>1049.92</v>
      </c>
      <c r="N6149" s="1">
        <v>860.59</v>
      </c>
      <c r="O6149" s="1">
        <v>892.43</v>
      </c>
      <c r="P6149" s="1">
        <v>731.5</v>
      </c>
      <c r="Q6149">
        <v>0.152</v>
      </c>
      <c r="R6149">
        <v>3.7499999999999997E-5</v>
      </c>
    </row>
    <row r="6150" spans="1:18" ht="13.8" outlineLevel="1" x14ac:dyDescent="0.25">
      <c r="A6150">
        <v>82188</v>
      </c>
      <c r="B6150" t="s">
        <v>8522</v>
      </c>
      <c r="C6150" t="s">
        <v>8549</v>
      </c>
      <c r="D6150" s="14" t="s">
        <v>8524</v>
      </c>
      <c r="E6150" s="12" t="s">
        <v>28</v>
      </c>
      <c r="F6150" s="13" t="s">
        <v>29</v>
      </c>
      <c r="G6150">
        <v>10</v>
      </c>
      <c r="H6150" t="s">
        <v>30</v>
      </c>
      <c r="I6150">
        <v>10</v>
      </c>
      <c r="J6150" s="15"/>
      <c r="K6150" s="16">
        <f>1207.59 - (1207.59 * $E$1)</f>
        <v>1207.5899999999999</v>
      </c>
      <c r="L6150" s="16">
        <f>989.83 - (989.83 * $E$1)</f>
        <v>989.83</v>
      </c>
      <c r="M6150" s="1">
        <v>1207.5899999999999</v>
      </c>
      <c r="N6150" s="1">
        <v>989.83</v>
      </c>
      <c r="O6150" s="1">
        <v>1026.45</v>
      </c>
      <c r="P6150" s="1">
        <v>841.36</v>
      </c>
      <c r="Q6150">
        <v>0.16800000000000001</v>
      </c>
      <c r="R6150">
        <v>3.7499999999999997E-5</v>
      </c>
    </row>
    <row r="6151" spans="1:18" ht="13.8" outlineLevel="1" x14ac:dyDescent="0.25">
      <c r="A6151">
        <v>82189</v>
      </c>
      <c r="B6151" t="s">
        <v>8522</v>
      </c>
      <c r="C6151" t="s">
        <v>8550</v>
      </c>
      <c r="D6151" s="14" t="s">
        <v>8524</v>
      </c>
      <c r="E6151" s="12" t="s">
        <v>28</v>
      </c>
      <c r="F6151" s="13" t="s">
        <v>29</v>
      </c>
      <c r="G6151">
        <v>5</v>
      </c>
      <c r="H6151" t="s">
        <v>30</v>
      </c>
      <c r="I6151">
        <v>5</v>
      </c>
      <c r="J6151" s="15"/>
      <c r="K6151" s="16">
        <f>1502.08 - (1502.08 * $E$1)</f>
        <v>1502.08</v>
      </c>
      <c r="L6151" s="16">
        <f>1231.21 - (1231.21 * $E$1)</f>
        <v>1231.21</v>
      </c>
      <c r="M6151" s="1">
        <v>1502.08</v>
      </c>
      <c r="N6151" s="1">
        <v>1231.21</v>
      </c>
      <c r="O6151" s="1">
        <v>1276.76</v>
      </c>
      <c r="P6151" s="1">
        <v>1046.53</v>
      </c>
      <c r="Q6151">
        <v>0.39140000000000003</v>
      </c>
      <c r="R6151">
        <v>7.4999999999999993E-5</v>
      </c>
    </row>
    <row r="6152" spans="1:18" ht="13.8" outlineLevel="1" x14ac:dyDescent="0.25">
      <c r="A6152">
        <v>88370</v>
      </c>
      <c r="B6152" t="s">
        <v>2343</v>
      </c>
      <c r="C6152" t="s">
        <v>8551</v>
      </c>
      <c r="D6152" s="14" t="s">
        <v>8524</v>
      </c>
      <c r="E6152" s="12" t="s">
        <v>28</v>
      </c>
      <c r="F6152" s="13" t="s">
        <v>29</v>
      </c>
      <c r="G6152">
        <v>5</v>
      </c>
      <c r="H6152" t="s">
        <v>30</v>
      </c>
      <c r="I6152">
        <v>5</v>
      </c>
      <c r="J6152" s="15"/>
      <c r="K6152" s="16">
        <f>1802.7 - (1802.7 * $E$1)</f>
        <v>1802.7</v>
      </c>
      <c r="L6152" s="16">
        <f>1477.62 - (1477.62 * $E$1)</f>
        <v>1477.62</v>
      </c>
      <c r="M6152" s="1">
        <v>1802.7</v>
      </c>
      <c r="N6152" s="1">
        <v>1477.62</v>
      </c>
      <c r="O6152" s="1">
        <v>1532.29</v>
      </c>
      <c r="P6152" s="1">
        <v>1255.98</v>
      </c>
      <c r="Q6152">
        <v>0.2</v>
      </c>
      <c r="R6152">
        <v>9.1799999999999995E-5</v>
      </c>
    </row>
    <row r="6153" spans="1:18" ht="13.8" outlineLevel="1" x14ac:dyDescent="0.25">
      <c r="A6153">
        <v>82190</v>
      </c>
      <c r="B6153" t="s">
        <v>2343</v>
      </c>
      <c r="C6153" t="s">
        <v>8552</v>
      </c>
      <c r="D6153" s="14" t="s">
        <v>8524</v>
      </c>
      <c r="E6153" s="12" t="s">
        <v>28</v>
      </c>
      <c r="F6153" s="13" t="s">
        <v>29</v>
      </c>
      <c r="G6153">
        <v>10</v>
      </c>
      <c r="H6153" t="s">
        <v>30</v>
      </c>
      <c r="I6153">
        <v>10</v>
      </c>
      <c r="J6153" s="15"/>
      <c r="K6153" s="16">
        <f>733.16 - (733.16 * $E$1)</f>
        <v>733.16</v>
      </c>
      <c r="L6153" s="16">
        <f>600.95 - (600.95 * $E$1)</f>
        <v>600.95000000000005</v>
      </c>
      <c r="M6153" s="1">
        <v>733.16</v>
      </c>
      <c r="N6153" s="1">
        <v>600.95000000000005</v>
      </c>
      <c r="O6153" s="1">
        <v>623.19000000000005</v>
      </c>
      <c r="P6153" s="1">
        <v>510.81</v>
      </c>
      <c r="Q6153">
        <v>0.06</v>
      </c>
      <c r="R6153">
        <v>5.7599999999999997E-5</v>
      </c>
    </row>
    <row r="6154" spans="1:18" ht="13.8" outlineLevel="1" x14ac:dyDescent="0.25">
      <c r="A6154">
        <v>82191</v>
      </c>
      <c r="B6154" t="s">
        <v>8522</v>
      </c>
      <c r="C6154" t="s">
        <v>8553</v>
      </c>
      <c r="D6154" s="14" t="s">
        <v>8524</v>
      </c>
      <c r="E6154" s="12" t="s">
        <v>28</v>
      </c>
      <c r="F6154" s="13" t="s">
        <v>29</v>
      </c>
      <c r="G6154">
        <v>10</v>
      </c>
      <c r="H6154" t="s">
        <v>30</v>
      </c>
      <c r="I6154">
        <v>10</v>
      </c>
      <c r="J6154" s="15"/>
      <c r="K6154" s="16">
        <f>851.54 - (851.54 * $E$1)</f>
        <v>851.54</v>
      </c>
      <c r="L6154" s="16">
        <f>697.98 - (697.98 * $E$1)</f>
        <v>697.98</v>
      </c>
      <c r="M6154" s="1">
        <v>851.54</v>
      </c>
      <c r="N6154" s="1">
        <v>697.98</v>
      </c>
      <c r="O6154" s="1">
        <v>723.81</v>
      </c>
      <c r="P6154" s="1">
        <v>593.28</v>
      </c>
      <c r="Q6154">
        <v>7.3400000000000007E-2</v>
      </c>
      <c r="R6154">
        <v>5.7599999999999997E-5</v>
      </c>
    </row>
    <row r="6155" spans="1:18" ht="13.8" outlineLevel="1" x14ac:dyDescent="0.25">
      <c r="A6155">
        <v>82192</v>
      </c>
      <c r="B6155" t="s">
        <v>8522</v>
      </c>
      <c r="C6155" t="s">
        <v>8554</v>
      </c>
      <c r="D6155" s="14" t="s">
        <v>8524</v>
      </c>
      <c r="E6155" s="12" t="s">
        <v>28</v>
      </c>
      <c r="F6155" s="13" t="s">
        <v>29</v>
      </c>
      <c r="G6155">
        <v>10</v>
      </c>
      <c r="H6155" t="s">
        <v>30</v>
      </c>
      <c r="I6155">
        <v>10</v>
      </c>
      <c r="J6155" s="15"/>
      <c r="K6155" s="16">
        <f>1107.46 - (1107.46 * $E$1)</f>
        <v>1107.46</v>
      </c>
      <c r="L6155" s="16">
        <f>907.75 - (907.75 * $E$1)</f>
        <v>907.75</v>
      </c>
      <c r="M6155" s="1">
        <v>1107.46</v>
      </c>
      <c r="N6155" s="1">
        <v>907.75</v>
      </c>
      <c r="O6155" s="1">
        <v>941.34</v>
      </c>
      <c r="P6155" s="1">
        <v>771.59</v>
      </c>
      <c r="Q6155">
        <v>0.107</v>
      </c>
      <c r="R6155">
        <v>5.7599999999999997E-5</v>
      </c>
    </row>
    <row r="6156" spans="1:18" ht="13.8" outlineLevel="1" x14ac:dyDescent="0.25">
      <c r="A6156">
        <v>82193</v>
      </c>
      <c r="B6156" t="s">
        <v>8522</v>
      </c>
      <c r="C6156" t="s">
        <v>8555</v>
      </c>
      <c r="D6156" s="14" t="s">
        <v>8524</v>
      </c>
      <c r="E6156" s="12" t="s">
        <v>28</v>
      </c>
      <c r="F6156" s="13" t="s">
        <v>29</v>
      </c>
      <c r="G6156">
        <v>10</v>
      </c>
      <c r="H6156" t="s">
        <v>30</v>
      </c>
      <c r="I6156">
        <v>10</v>
      </c>
      <c r="J6156" s="15"/>
      <c r="K6156" s="16">
        <f>1368.36 - (1368.36 * $E$1)</f>
        <v>1368.36</v>
      </c>
      <c r="L6156" s="16">
        <f>1121.61 - (1121.61 * $E$1)</f>
        <v>1121.6099999999999</v>
      </c>
      <c r="M6156" s="1">
        <v>1368.36</v>
      </c>
      <c r="N6156" s="1">
        <v>1121.6099999999999</v>
      </c>
      <c r="O6156" s="1">
        <v>1163.1099999999999</v>
      </c>
      <c r="P6156" s="1">
        <v>953.37</v>
      </c>
      <c r="Q6156">
        <v>0.13400000000000001</v>
      </c>
      <c r="R6156">
        <v>5.7599999999999997E-5</v>
      </c>
    </row>
    <row r="6157" spans="1:18" ht="13.8" outlineLevel="1" x14ac:dyDescent="0.25">
      <c r="A6157">
        <v>82194</v>
      </c>
      <c r="B6157" t="s">
        <v>8522</v>
      </c>
      <c r="C6157" t="s">
        <v>8556</v>
      </c>
      <c r="D6157" s="14" t="s">
        <v>8524</v>
      </c>
      <c r="E6157" s="12" t="s">
        <v>28</v>
      </c>
      <c r="F6157" s="13" t="s">
        <v>29</v>
      </c>
      <c r="G6157">
        <v>5</v>
      </c>
      <c r="H6157" t="s">
        <v>30</v>
      </c>
      <c r="I6157">
        <v>5</v>
      </c>
      <c r="J6157" s="15"/>
      <c r="K6157" s="16">
        <f>1615.79 - (1615.79 * $E$1)</f>
        <v>1615.79</v>
      </c>
      <c r="L6157" s="16">
        <f>1324.42 - (1324.42 * $E$1)</f>
        <v>1324.42</v>
      </c>
      <c r="M6157" s="1">
        <v>1615.79</v>
      </c>
      <c r="N6157" s="1">
        <v>1324.42</v>
      </c>
      <c r="O6157" s="1">
        <v>1373.42</v>
      </c>
      <c r="P6157" s="1">
        <v>1125.76</v>
      </c>
      <c r="Q6157">
        <v>0.16800000000000001</v>
      </c>
      <c r="R6157">
        <v>1.1519999999999999E-4</v>
      </c>
    </row>
    <row r="6158" spans="1:18" ht="13.8" outlineLevel="1" x14ac:dyDescent="0.25">
      <c r="A6158">
        <v>82195</v>
      </c>
      <c r="B6158" t="s">
        <v>8522</v>
      </c>
      <c r="C6158" t="s">
        <v>8557</v>
      </c>
      <c r="D6158" s="14" t="s">
        <v>8524</v>
      </c>
      <c r="E6158" s="12" t="s">
        <v>28</v>
      </c>
      <c r="F6158" s="13" t="s">
        <v>29</v>
      </c>
      <c r="G6158">
        <v>5</v>
      </c>
      <c r="H6158" t="s">
        <v>30</v>
      </c>
      <c r="I6158">
        <v>5</v>
      </c>
      <c r="J6158" s="15"/>
      <c r="K6158" s="16">
        <f>1862.35 - (1862.35 * $E$1)</f>
        <v>1862.35</v>
      </c>
      <c r="L6158" s="16">
        <f>1526.52 - (1526.52 * $E$1)</f>
        <v>1526.52</v>
      </c>
      <c r="M6158" s="1">
        <v>1862.35</v>
      </c>
      <c r="N6158" s="1">
        <v>1526.52</v>
      </c>
      <c r="O6158" s="1">
        <v>1583</v>
      </c>
      <c r="P6158" s="1">
        <v>1297.54</v>
      </c>
      <c r="Q6158">
        <v>0.1976</v>
      </c>
      <c r="R6158">
        <v>1.1519999999999999E-4</v>
      </c>
    </row>
    <row r="6159" spans="1:18" ht="13.8" outlineLevel="1" x14ac:dyDescent="0.25">
      <c r="A6159">
        <v>82196</v>
      </c>
      <c r="B6159" t="s">
        <v>8522</v>
      </c>
      <c r="C6159" t="s">
        <v>8558</v>
      </c>
      <c r="D6159" s="14" t="s">
        <v>8524</v>
      </c>
      <c r="E6159" s="12" t="s">
        <v>28</v>
      </c>
      <c r="F6159" s="13" t="s">
        <v>29</v>
      </c>
      <c r="G6159">
        <v>5</v>
      </c>
      <c r="H6159" t="s">
        <v>30</v>
      </c>
      <c r="I6159">
        <v>5</v>
      </c>
      <c r="J6159" s="15"/>
      <c r="K6159" s="16">
        <f>2351.32 - (2351.32 * $E$1)</f>
        <v>2351.3200000000002</v>
      </c>
      <c r="L6159" s="16">
        <f>1927.31 - (1927.31 * $E$1)</f>
        <v>1927.31</v>
      </c>
      <c r="M6159" s="1">
        <v>2351.3200000000002</v>
      </c>
      <c r="N6159" s="1">
        <v>1927.31</v>
      </c>
      <c r="O6159" s="1">
        <v>1998.62</v>
      </c>
      <c r="P6159" s="1">
        <v>1638.21</v>
      </c>
      <c r="Q6159">
        <v>0.25879999999999997</v>
      </c>
      <c r="R6159">
        <v>1.1519999999999999E-4</v>
      </c>
    </row>
    <row r="6160" spans="1:18" ht="13.8" outlineLevel="1" x14ac:dyDescent="0.25">
      <c r="A6160">
        <v>88371</v>
      </c>
      <c r="B6160" t="s">
        <v>2343</v>
      </c>
      <c r="C6160" t="s">
        <v>8559</v>
      </c>
      <c r="D6160" s="14" t="s">
        <v>8524</v>
      </c>
      <c r="E6160" s="12" t="s">
        <v>28</v>
      </c>
      <c r="F6160" s="13" t="s">
        <v>29</v>
      </c>
      <c r="G6160">
        <v>5</v>
      </c>
      <c r="H6160" t="s">
        <v>30</v>
      </c>
      <c r="I6160">
        <v>5</v>
      </c>
      <c r="J6160" s="15"/>
      <c r="K6160" s="16">
        <f>2888.52 - (2888.52 * $E$1)</f>
        <v>2888.52</v>
      </c>
      <c r="L6160" s="16">
        <f>2367.64 - (2367.64 * $E$1)</f>
        <v>2367.64</v>
      </c>
      <c r="M6160" s="1">
        <v>2888.52</v>
      </c>
      <c r="N6160" s="1">
        <v>2367.64</v>
      </c>
      <c r="O6160" s="1">
        <v>2455.2399999999998</v>
      </c>
      <c r="P6160" s="1">
        <v>2012.49</v>
      </c>
      <c r="Q6160">
        <v>0.35799999999999998</v>
      </c>
      <c r="R6160">
        <v>2.2499999999999999E-4</v>
      </c>
    </row>
    <row r="6161" spans="1:18" ht="13.8" outlineLevel="1" x14ac:dyDescent="0.25">
      <c r="A6161">
        <v>82287</v>
      </c>
      <c r="B6161" t="s">
        <v>8560</v>
      </c>
      <c r="C6161" t="s">
        <v>8561</v>
      </c>
      <c r="D6161" s="14" t="s">
        <v>8562</v>
      </c>
      <c r="E6161" s="12" t="s">
        <v>28</v>
      </c>
      <c r="F6161" s="13" t="s">
        <v>29</v>
      </c>
      <c r="G6161">
        <v>5</v>
      </c>
      <c r="H6161" t="s">
        <v>30</v>
      </c>
      <c r="I6161">
        <v>5</v>
      </c>
      <c r="J6161" s="15"/>
      <c r="K6161" s="16">
        <f>816.73 - (816.73 * $E$1)</f>
        <v>816.73</v>
      </c>
      <c r="L6161" s="16">
        <f>669.45 - (669.45 * $E$1)</f>
        <v>669.45</v>
      </c>
      <c r="M6161" s="1">
        <v>816.73</v>
      </c>
      <c r="N6161" s="1">
        <v>669.45</v>
      </c>
      <c r="O6161" s="1">
        <v>694.22</v>
      </c>
      <c r="P6161" s="1">
        <v>569.03</v>
      </c>
      <c r="Q6161">
        <v>0.06</v>
      </c>
      <c r="R6161">
        <v>2.8799999999999999E-5</v>
      </c>
    </row>
    <row r="6162" spans="1:18" ht="13.8" outlineLevel="1" x14ac:dyDescent="0.25">
      <c r="A6162">
        <v>82727</v>
      </c>
      <c r="B6162" t="s">
        <v>8560</v>
      </c>
      <c r="C6162" t="s">
        <v>8563</v>
      </c>
      <c r="D6162" s="14" t="s">
        <v>8562</v>
      </c>
      <c r="E6162" s="12" t="s">
        <v>28</v>
      </c>
      <c r="F6162" s="13" t="s">
        <v>29</v>
      </c>
      <c r="G6162">
        <v>5</v>
      </c>
      <c r="H6162" t="s">
        <v>30</v>
      </c>
      <c r="I6162">
        <v>5</v>
      </c>
      <c r="J6162" s="15"/>
      <c r="K6162" s="16">
        <f>923.06 - (923.06 * $E$1)</f>
        <v>923.06</v>
      </c>
      <c r="L6162" s="16">
        <f>756.61 - (756.61 * $E$1)</f>
        <v>756.61</v>
      </c>
      <c r="M6162" s="1">
        <v>923.06</v>
      </c>
      <c r="N6162" s="1">
        <v>756.61</v>
      </c>
      <c r="O6162" s="1">
        <v>784.6</v>
      </c>
      <c r="P6162" s="1">
        <v>643.12</v>
      </c>
      <c r="Q6162">
        <v>0.08</v>
      </c>
      <c r="R6162">
        <v>3.6399999999999997E-5</v>
      </c>
    </row>
    <row r="6163" spans="1:18" ht="13.8" outlineLevel="1" x14ac:dyDescent="0.25">
      <c r="A6163">
        <v>82728</v>
      </c>
      <c r="B6163" t="s">
        <v>8560</v>
      </c>
      <c r="C6163" t="s">
        <v>8564</v>
      </c>
      <c r="D6163" s="14" t="s">
        <v>8562</v>
      </c>
      <c r="E6163" s="12" t="s">
        <v>28</v>
      </c>
      <c r="F6163" s="13" t="s">
        <v>29</v>
      </c>
      <c r="G6163">
        <v>5</v>
      </c>
      <c r="H6163" t="s">
        <v>30</v>
      </c>
      <c r="I6163">
        <v>5</v>
      </c>
      <c r="J6163" s="15"/>
      <c r="K6163" s="16">
        <f>1009.03 - (1009.03 * $E$1)</f>
        <v>1009.03</v>
      </c>
      <c r="L6163" s="16">
        <f>827.07 - (827.07 * $E$1)</f>
        <v>827.07</v>
      </c>
      <c r="M6163" s="1">
        <v>1009.03</v>
      </c>
      <c r="N6163" s="1">
        <v>827.07</v>
      </c>
      <c r="O6163" s="1">
        <v>857.67</v>
      </c>
      <c r="P6163" s="1">
        <v>703.01</v>
      </c>
      <c r="Q6163">
        <v>0.1</v>
      </c>
      <c r="R6163">
        <v>4.6999999999999997E-5</v>
      </c>
    </row>
    <row r="6164" spans="1:18" ht="13.8" outlineLevel="1" x14ac:dyDescent="0.25">
      <c r="A6164">
        <v>82729</v>
      </c>
      <c r="B6164" t="s">
        <v>8560</v>
      </c>
      <c r="C6164" t="s">
        <v>8565</v>
      </c>
      <c r="D6164" s="14" t="s">
        <v>8562</v>
      </c>
      <c r="E6164" s="12" t="s">
        <v>28</v>
      </c>
      <c r="F6164" s="13" t="s">
        <v>29</v>
      </c>
      <c r="G6164">
        <v>5</v>
      </c>
      <c r="H6164" t="s">
        <v>30</v>
      </c>
      <c r="I6164">
        <v>5</v>
      </c>
      <c r="J6164" s="15"/>
      <c r="K6164" s="16">
        <f>1144.34 - (1144.34 * $E$1)</f>
        <v>1144.3399999999999</v>
      </c>
      <c r="L6164" s="16">
        <f>937.98 - (937.98 * $E$1)</f>
        <v>937.98</v>
      </c>
      <c r="M6164" s="1">
        <v>1144.3399999999999</v>
      </c>
      <c r="N6164" s="1">
        <v>937.98</v>
      </c>
      <c r="O6164" s="1">
        <v>972.69</v>
      </c>
      <c r="P6164" s="1">
        <v>797.28</v>
      </c>
      <c r="Q6164">
        <v>0.12</v>
      </c>
      <c r="R6164">
        <v>1.5660000000000001E-4</v>
      </c>
    </row>
    <row r="6165" spans="1:18" ht="13.8" outlineLevel="1" x14ac:dyDescent="0.25">
      <c r="A6165">
        <v>82288</v>
      </c>
      <c r="B6165" t="s">
        <v>8560</v>
      </c>
      <c r="C6165" t="s">
        <v>8566</v>
      </c>
      <c r="D6165" s="14" t="s">
        <v>8562</v>
      </c>
      <c r="E6165" s="12" t="s">
        <v>28</v>
      </c>
      <c r="F6165" s="13" t="s">
        <v>29</v>
      </c>
      <c r="G6165">
        <v>5</v>
      </c>
      <c r="H6165" t="s">
        <v>30</v>
      </c>
      <c r="I6165">
        <v>5</v>
      </c>
      <c r="J6165" s="15"/>
      <c r="K6165" s="16">
        <f>1270.46 - (1270.46 * $E$1)</f>
        <v>1270.46</v>
      </c>
      <c r="L6165" s="16">
        <f>1041.36 - (1041.36 * $E$1)</f>
        <v>1041.3599999999999</v>
      </c>
      <c r="M6165" s="1">
        <v>1270.46</v>
      </c>
      <c r="N6165" s="1">
        <v>1041.3599999999999</v>
      </c>
      <c r="O6165" s="1">
        <v>1079.8900000000001</v>
      </c>
      <c r="P6165" s="1">
        <v>885.16</v>
      </c>
      <c r="Q6165">
        <v>0.14000000000000001</v>
      </c>
      <c r="R6165">
        <v>1.8799999999999999E-4</v>
      </c>
    </row>
    <row r="6166" spans="1:18" ht="13.8" outlineLevel="1" x14ac:dyDescent="0.25">
      <c r="A6166">
        <v>82289</v>
      </c>
      <c r="B6166" t="s">
        <v>8560</v>
      </c>
      <c r="C6166" t="s">
        <v>8567</v>
      </c>
      <c r="D6166" s="14" t="s">
        <v>8562</v>
      </c>
      <c r="E6166" s="12" t="s">
        <v>28</v>
      </c>
      <c r="F6166" s="13" t="s">
        <v>29</v>
      </c>
      <c r="G6166">
        <v>5</v>
      </c>
      <c r="H6166" t="s">
        <v>30</v>
      </c>
      <c r="I6166">
        <v>5</v>
      </c>
      <c r="J6166" s="15"/>
      <c r="K6166" s="16">
        <f>1555.66 - (1555.66 * $E$1)</f>
        <v>1555.66</v>
      </c>
      <c r="L6166" s="16">
        <f>1275.13 - (1275.13 * $E$1)</f>
        <v>1275.1300000000001</v>
      </c>
      <c r="M6166" s="1">
        <v>1555.66</v>
      </c>
      <c r="N6166" s="1">
        <v>1275.1300000000001</v>
      </c>
      <c r="O6166" s="1">
        <v>1322.31</v>
      </c>
      <c r="P6166" s="1">
        <v>1083.8599999999999</v>
      </c>
      <c r="Q6166">
        <v>0.18</v>
      </c>
      <c r="R6166">
        <v>2.3499999999999999E-4</v>
      </c>
    </row>
    <row r="6167" spans="1:18" ht="13.8" outlineLevel="1" x14ac:dyDescent="0.25">
      <c r="A6167">
        <v>82292</v>
      </c>
      <c r="B6167" t="s">
        <v>8560</v>
      </c>
      <c r="C6167" t="s">
        <v>8568</v>
      </c>
      <c r="D6167" s="14" t="s">
        <v>8562</v>
      </c>
      <c r="E6167" s="12" t="s">
        <v>28</v>
      </c>
      <c r="F6167" s="13" t="s">
        <v>29</v>
      </c>
      <c r="G6167">
        <v>5</v>
      </c>
      <c r="H6167" t="s">
        <v>30</v>
      </c>
      <c r="I6167">
        <v>5</v>
      </c>
      <c r="J6167" s="15"/>
      <c r="K6167" s="16">
        <f>640.01 - (640.01 * $E$1)</f>
        <v>640.01</v>
      </c>
      <c r="L6167" s="16">
        <f>524.6 - (524.6 * $E$1)</f>
        <v>524.6</v>
      </c>
      <c r="M6167" s="1">
        <v>640.01</v>
      </c>
      <c r="N6167" s="1">
        <v>524.6</v>
      </c>
      <c r="O6167" s="1">
        <v>544.01</v>
      </c>
      <c r="P6167" s="1">
        <v>445.91</v>
      </c>
      <c r="Q6167">
        <v>0.14000000000000001</v>
      </c>
      <c r="R6167">
        <v>4.6999999999999997E-5</v>
      </c>
    </row>
    <row r="6168" spans="1:18" ht="13.8" outlineLevel="1" x14ac:dyDescent="0.25">
      <c r="A6168">
        <v>79694</v>
      </c>
      <c r="B6168" t="s">
        <v>8569</v>
      </c>
      <c r="C6168" t="s">
        <v>8570</v>
      </c>
      <c r="D6168" s="14" t="s">
        <v>8571</v>
      </c>
      <c r="E6168" s="12" t="s">
        <v>28</v>
      </c>
      <c r="F6168" s="13" t="s">
        <v>29</v>
      </c>
      <c r="G6168">
        <v>5</v>
      </c>
      <c r="H6168" t="s">
        <v>30</v>
      </c>
      <c r="I6168">
        <v>5</v>
      </c>
      <c r="J6168" s="15"/>
      <c r="K6168" s="16">
        <f>227.42 - (227.42 * $E$1)</f>
        <v>227.42</v>
      </c>
      <c r="L6168" s="16">
        <f>186.41 - (186.41 * $E$1)</f>
        <v>186.41</v>
      </c>
      <c r="M6168" s="1">
        <v>227.42</v>
      </c>
      <c r="N6168" s="1">
        <v>186.41</v>
      </c>
      <c r="O6168" s="1">
        <v>193.31</v>
      </c>
      <c r="P6168" s="1">
        <v>158.44999999999999</v>
      </c>
      <c r="Q6168">
        <v>2.5999999999999999E-2</v>
      </c>
      <c r="R6168">
        <v>4.6199999999999998E-5</v>
      </c>
    </row>
    <row r="6169" spans="1:18" ht="13.8" outlineLevel="1" x14ac:dyDescent="0.25">
      <c r="A6169">
        <v>79690</v>
      </c>
      <c r="B6169" t="s">
        <v>8569</v>
      </c>
      <c r="C6169" t="s">
        <v>8572</v>
      </c>
      <c r="D6169" s="14" t="s">
        <v>8571</v>
      </c>
      <c r="E6169" s="12" t="s">
        <v>28</v>
      </c>
      <c r="F6169" s="13" t="s">
        <v>29</v>
      </c>
      <c r="G6169">
        <v>5</v>
      </c>
      <c r="H6169" t="s">
        <v>30</v>
      </c>
      <c r="I6169">
        <v>5</v>
      </c>
      <c r="J6169" s="15"/>
      <c r="K6169" s="16">
        <f>186.03 - (186.03 * $E$1)</f>
        <v>186.03</v>
      </c>
      <c r="L6169" s="16">
        <f>152.48 - (152.48 * $E$1)</f>
        <v>152.47999999999999</v>
      </c>
      <c r="M6169" s="1">
        <v>186.03</v>
      </c>
      <c r="N6169" s="1">
        <v>152.47999999999999</v>
      </c>
      <c r="O6169" s="1">
        <v>158.12</v>
      </c>
      <c r="P6169" s="1">
        <v>129.61000000000001</v>
      </c>
      <c r="Q6169">
        <v>1.4E-2</v>
      </c>
      <c r="R6169">
        <v>2.8200000000000001E-5</v>
      </c>
    </row>
    <row r="6170" spans="1:18" ht="13.8" outlineLevel="1" x14ac:dyDescent="0.25">
      <c r="A6170">
        <v>79691</v>
      </c>
      <c r="B6170" t="s">
        <v>8569</v>
      </c>
      <c r="C6170" t="s">
        <v>8573</v>
      </c>
      <c r="D6170" s="14" t="s">
        <v>8571</v>
      </c>
      <c r="E6170" s="12" t="s">
        <v>28</v>
      </c>
      <c r="F6170" s="13" t="s">
        <v>29</v>
      </c>
      <c r="G6170">
        <v>5</v>
      </c>
      <c r="H6170" t="s">
        <v>30</v>
      </c>
      <c r="I6170">
        <v>5</v>
      </c>
      <c r="J6170" s="15"/>
      <c r="K6170" s="16">
        <f>199.45 - (199.45 * $E$1)</f>
        <v>199.45</v>
      </c>
      <c r="L6170" s="16">
        <f>163.48 - (163.48 * $E$1)</f>
        <v>163.47999999999999</v>
      </c>
      <c r="M6170" s="1">
        <v>199.45</v>
      </c>
      <c r="N6170" s="1">
        <v>163.47999999999999</v>
      </c>
      <c r="O6170" s="1">
        <v>169.53</v>
      </c>
      <c r="P6170" s="1">
        <v>138.96</v>
      </c>
      <c r="Q6170">
        <v>1.7999999999999999E-2</v>
      </c>
      <c r="R6170">
        <v>3.4199999999999998E-5</v>
      </c>
    </row>
    <row r="6171" spans="1:18" ht="13.8" outlineLevel="1" x14ac:dyDescent="0.25">
      <c r="A6171">
        <v>79692</v>
      </c>
      <c r="B6171" t="s">
        <v>8569</v>
      </c>
      <c r="C6171" t="s">
        <v>8574</v>
      </c>
      <c r="D6171" s="14" t="s">
        <v>8571</v>
      </c>
      <c r="E6171" s="12" t="s">
        <v>28</v>
      </c>
      <c r="F6171" s="13" t="s">
        <v>29</v>
      </c>
      <c r="G6171">
        <v>5</v>
      </c>
      <c r="H6171" t="s">
        <v>30</v>
      </c>
      <c r="I6171">
        <v>5</v>
      </c>
      <c r="J6171" s="15"/>
      <c r="K6171" s="16">
        <f>211.44 - (211.44 * $E$1)</f>
        <v>211.44</v>
      </c>
      <c r="L6171" s="16">
        <f>173.31 - (173.31 * $E$1)</f>
        <v>173.31</v>
      </c>
      <c r="M6171" s="1">
        <v>211.44</v>
      </c>
      <c r="N6171" s="1">
        <v>173.31</v>
      </c>
      <c r="O6171" s="1">
        <v>179.72</v>
      </c>
      <c r="P6171" s="1">
        <v>147.31</v>
      </c>
      <c r="Q6171">
        <v>2.1999999999999999E-2</v>
      </c>
      <c r="R6171">
        <v>4.0200000000000001E-5</v>
      </c>
    </row>
    <row r="6172" spans="1:18" ht="13.8" outlineLevel="1" x14ac:dyDescent="0.25">
      <c r="A6172">
        <v>79693</v>
      </c>
      <c r="B6172" t="s">
        <v>8569</v>
      </c>
      <c r="C6172" t="s">
        <v>8575</v>
      </c>
      <c r="D6172" s="14" t="s">
        <v>8571</v>
      </c>
      <c r="E6172" s="12" t="s">
        <v>28</v>
      </c>
      <c r="F6172" s="13" t="s">
        <v>29</v>
      </c>
      <c r="G6172">
        <v>5</v>
      </c>
      <c r="H6172" t="s">
        <v>30</v>
      </c>
      <c r="I6172">
        <v>5</v>
      </c>
      <c r="J6172" s="15"/>
      <c r="K6172" s="16">
        <f>225.33 - (225.33 * $E$1)</f>
        <v>225.33</v>
      </c>
      <c r="L6172" s="16">
        <f>184.7 - (184.7 * $E$1)</f>
        <v>184.7</v>
      </c>
      <c r="M6172" s="1">
        <v>225.33</v>
      </c>
      <c r="N6172" s="1">
        <v>184.7</v>
      </c>
      <c r="O6172" s="1">
        <v>191.53</v>
      </c>
      <c r="P6172" s="1">
        <v>157</v>
      </c>
      <c r="Q6172">
        <v>2.4E-2</v>
      </c>
      <c r="R6172">
        <v>4.6199999999999998E-5</v>
      </c>
    </row>
    <row r="6173" spans="1:18" ht="13.8" outlineLevel="1" x14ac:dyDescent="0.25">
      <c r="A6173">
        <v>79695</v>
      </c>
      <c r="B6173" t="s">
        <v>8569</v>
      </c>
      <c r="C6173" t="s">
        <v>8576</v>
      </c>
      <c r="D6173" s="14" t="s">
        <v>8571</v>
      </c>
      <c r="E6173" s="12" t="s">
        <v>28</v>
      </c>
      <c r="F6173" s="13" t="s">
        <v>29</v>
      </c>
      <c r="G6173">
        <v>5</v>
      </c>
      <c r="H6173" t="s">
        <v>30</v>
      </c>
      <c r="I6173">
        <v>5</v>
      </c>
      <c r="J6173" s="15"/>
      <c r="K6173" s="16">
        <f>245.96 - (245.96 * $E$1)</f>
        <v>245.96</v>
      </c>
      <c r="L6173" s="16">
        <f>201.61 - (201.61 * $E$1)</f>
        <v>201.61</v>
      </c>
      <c r="M6173" s="1">
        <v>245.96</v>
      </c>
      <c r="N6173" s="1">
        <v>201.61</v>
      </c>
      <c r="O6173" s="1">
        <v>209.07</v>
      </c>
      <c r="P6173" s="1">
        <v>171.37</v>
      </c>
      <c r="Q6173">
        <v>0.03</v>
      </c>
      <c r="R6173">
        <v>9.2200000000000005E-5</v>
      </c>
    </row>
    <row r="6174" spans="1:18" ht="13.8" outlineLevel="1" x14ac:dyDescent="0.25">
      <c r="A6174">
        <v>79696</v>
      </c>
      <c r="B6174" t="s">
        <v>8569</v>
      </c>
      <c r="C6174" t="s">
        <v>8577</v>
      </c>
      <c r="D6174" s="14" t="s">
        <v>8571</v>
      </c>
      <c r="E6174" s="12" t="s">
        <v>28</v>
      </c>
      <c r="F6174" s="13" t="s">
        <v>29</v>
      </c>
      <c r="G6174">
        <v>5</v>
      </c>
      <c r="H6174" t="s">
        <v>30</v>
      </c>
      <c r="I6174">
        <v>5</v>
      </c>
      <c r="J6174" s="15"/>
      <c r="K6174" s="16">
        <f>259.75 - (259.75 * $E$1)</f>
        <v>259.75</v>
      </c>
      <c r="L6174" s="16">
        <f>212.91 - (212.91 * $E$1)</f>
        <v>212.91</v>
      </c>
      <c r="M6174" s="1">
        <v>259.75</v>
      </c>
      <c r="N6174" s="1">
        <v>212.91</v>
      </c>
      <c r="O6174" s="1">
        <v>220.79</v>
      </c>
      <c r="P6174" s="1">
        <v>180.97</v>
      </c>
      <c r="Q6174">
        <v>3.2000000000000001E-2</v>
      </c>
      <c r="R6174">
        <v>9.2200000000000005E-5</v>
      </c>
    </row>
    <row r="6175" spans="1:18" ht="13.8" outlineLevel="1" x14ac:dyDescent="0.25">
      <c r="A6175">
        <v>79698</v>
      </c>
      <c r="B6175" t="s">
        <v>8569</v>
      </c>
      <c r="C6175" t="s">
        <v>8578</v>
      </c>
      <c r="D6175" s="14" t="s">
        <v>8571</v>
      </c>
      <c r="E6175" s="12" t="s">
        <v>28</v>
      </c>
      <c r="F6175" s="13" t="s">
        <v>29</v>
      </c>
      <c r="G6175">
        <v>5</v>
      </c>
      <c r="H6175" t="s">
        <v>30</v>
      </c>
      <c r="I6175">
        <v>5</v>
      </c>
      <c r="J6175" s="15"/>
      <c r="K6175" s="16">
        <f>290.6 - (290.6 * $E$1)</f>
        <v>290.60000000000002</v>
      </c>
      <c r="L6175" s="16">
        <f>238.2 - (238.2 * $E$1)</f>
        <v>238.2</v>
      </c>
      <c r="M6175" s="1">
        <v>290.60000000000002</v>
      </c>
      <c r="N6175" s="1">
        <v>238.2</v>
      </c>
      <c r="O6175" s="1">
        <v>247.01</v>
      </c>
      <c r="P6175" s="1">
        <v>202.47</v>
      </c>
      <c r="Q6175">
        <v>0.04</v>
      </c>
      <c r="R6175">
        <v>9.2200000000000005E-5</v>
      </c>
    </row>
    <row r="6176" spans="1:18" ht="13.8" outlineLevel="1" x14ac:dyDescent="0.25">
      <c r="A6176">
        <v>79700</v>
      </c>
      <c r="B6176" t="s">
        <v>8569</v>
      </c>
      <c r="C6176" t="s">
        <v>8579</v>
      </c>
      <c r="D6176" s="14" t="s">
        <v>8571</v>
      </c>
      <c r="E6176" s="12" t="s">
        <v>28</v>
      </c>
      <c r="F6176" s="13" t="s">
        <v>29</v>
      </c>
      <c r="G6176">
        <v>5</v>
      </c>
      <c r="H6176" t="s">
        <v>30</v>
      </c>
      <c r="I6176">
        <v>5</v>
      </c>
      <c r="J6176" s="15"/>
      <c r="K6176" s="16">
        <f>316.96 - (316.96 * $E$1)</f>
        <v>316.95999999999998</v>
      </c>
      <c r="L6176" s="16">
        <f>259.8 - (259.8 * $E$1)</f>
        <v>259.8</v>
      </c>
      <c r="M6176" s="1">
        <v>316.95999999999998</v>
      </c>
      <c r="N6176" s="1">
        <v>259.8</v>
      </c>
      <c r="O6176" s="1">
        <v>269.41000000000003</v>
      </c>
      <c r="P6176" s="1">
        <v>220.83</v>
      </c>
      <c r="Q6176">
        <v>4.5999999999999999E-2</v>
      </c>
      <c r="R6176">
        <v>1.5359999999999999E-4</v>
      </c>
    </row>
    <row r="6177" spans="1:18" ht="13.8" outlineLevel="1" x14ac:dyDescent="0.25">
      <c r="A6177">
        <v>79701</v>
      </c>
      <c r="B6177" t="s">
        <v>8569</v>
      </c>
      <c r="C6177" t="s">
        <v>8580</v>
      </c>
      <c r="D6177" s="14" t="s">
        <v>8571</v>
      </c>
      <c r="E6177" s="12" t="s">
        <v>28</v>
      </c>
      <c r="F6177" s="13" t="s">
        <v>29</v>
      </c>
      <c r="G6177">
        <v>5</v>
      </c>
      <c r="H6177" t="s">
        <v>30</v>
      </c>
      <c r="I6177">
        <v>5</v>
      </c>
      <c r="J6177" s="15"/>
      <c r="K6177" s="16">
        <f>187.98 - (187.98 * $E$1)</f>
        <v>187.98</v>
      </c>
      <c r="L6177" s="16">
        <f>154.08 - (154.08 * $E$1)</f>
        <v>154.08000000000001</v>
      </c>
      <c r="M6177" s="1">
        <v>187.98</v>
      </c>
      <c r="N6177" s="1">
        <v>154.08000000000001</v>
      </c>
      <c r="O6177" s="1">
        <v>159.78</v>
      </c>
      <c r="P6177" s="1">
        <v>130.97</v>
      </c>
      <c r="Q6177">
        <v>0.05</v>
      </c>
      <c r="R6177">
        <v>1.5359999999999999E-4</v>
      </c>
    </row>
    <row r="6178" spans="1:18" ht="13.8" outlineLevel="1" x14ac:dyDescent="0.25">
      <c r="A6178">
        <v>79702</v>
      </c>
      <c r="B6178" t="s">
        <v>8569</v>
      </c>
      <c r="C6178" t="s">
        <v>8581</v>
      </c>
      <c r="D6178" s="14" t="s">
        <v>8571</v>
      </c>
      <c r="E6178" s="12" t="s">
        <v>28</v>
      </c>
      <c r="F6178" s="13" t="s">
        <v>29</v>
      </c>
      <c r="G6178">
        <v>5</v>
      </c>
      <c r="H6178" t="s">
        <v>30</v>
      </c>
      <c r="I6178">
        <v>5</v>
      </c>
      <c r="J6178" s="15"/>
      <c r="K6178" s="16">
        <f>345.21 - (345.21 * $E$1)</f>
        <v>345.21</v>
      </c>
      <c r="L6178" s="16">
        <f>282.96 - (282.96 * $E$1)</f>
        <v>282.95999999999998</v>
      </c>
      <c r="M6178" s="1">
        <v>345.21</v>
      </c>
      <c r="N6178" s="1">
        <v>282.95999999999998</v>
      </c>
      <c r="O6178" s="1">
        <v>293.43</v>
      </c>
      <c r="P6178" s="1">
        <v>240.52</v>
      </c>
      <c r="Q6178">
        <v>5.3999999999999999E-2</v>
      </c>
      <c r="R6178">
        <v>1.5359999999999999E-4</v>
      </c>
    </row>
    <row r="6179" spans="1:18" ht="13.8" outlineLevel="1" x14ac:dyDescent="0.25">
      <c r="A6179">
        <v>79705</v>
      </c>
      <c r="B6179" t="s">
        <v>8569</v>
      </c>
      <c r="C6179" t="s">
        <v>8582</v>
      </c>
      <c r="D6179" s="14" t="s">
        <v>8571</v>
      </c>
      <c r="E6179" s="12" t="s">
        <v>28</v>
      </c>
      <c r="F6179" s="13" t="s">
        <v>29</v>
      </c>
      <c r="G6179">
        <v>5</v>
      </c>
      <c r="H6179" t="s">
        <v>30</v>
      </c>
      <c r="I6179">
        <v>5</v>
      </c>
      <c r="J6179" s="15"/>
      <c r="K6179" s="16">
        <f>371.36 - (371.36 * $E$1)</f>
        <v>371.36</v>
      </c>
      <c r="L6179" s="16">
        <f>304.39 - (304.39 * $E$1)</f>
        <v>304.39</v>
      </c>
      <c r="M6179" s="1">
        <v>371.36</v>
      </c>
      <c r="N6179" s="1">
        <v>304.39</v>
      </c>
      <c r="O6179" s="1">
        <v>315.64999999999998</v>
      </c>
      <c r="P6179" s="1">
        <v>258.73</v>
      </c>
      <c r="Q6179">
        <v>6.2E-2</v>
      </c>
      <c r="R6179">
        <v>1.5359999999999999E-4</v>
      </c>
    </row>
    <row r="6180" spans="1:18" ht="13.8" outlineLevel="1" x14ac:dyDescent="0.25">
      <c r="A6180">
        <v>79708</v>
      </c>
      <c r="B6180" t="s">
        <v>8569</v>
      </c>
      <c r="C6180" t="s">
        <v>8583</v>
      </c>
      <c r="D6180" s="14" t="s">
        <v>8571</v>
      </c>
      <c r="E6180" s="12" t="s">
        <v>28</v>
      </c>
      <c r="F6180" s="13" t="s">
        <v>29</v>
      </c>
      <c r="G6180">
        <v>5</v>
      </c>
      <c r="H6180" t="s">
        <v>30</v>
      </c>
      <c r="I6180">
        <v>5</v>
      </c>
      <c r="J6180" s="15"/>
      <c r="K6180" s="16">
        <f>223.16 - (223.16 * $E$1)</f>
        <v>223.16</v>
      </c>
      <c r="L6180" s="16">
        <f>182.92 - (182.92 * $E$1)</f>
        <v>182.92</v>
      </c>
      <c r="M6180" s="1">
        <v>223.16</v>
      </c>
      <c r="N6180" s="1">
        <v>182.92</v>
      </c>
      <c r="O6180" s="1">
        <v>189.69</v>
      </c>
      <c r="P6180" s="1">
        <v>155.47999999999999</v>
      </c>
      <c r="Q6180">
        <v>6.8000000000000005E-2</v>
      </c>
      <c r="R6180">
        <v>1.92E-4</v>
      </c>
    </row>
    <row r="6181" spans="1:18" ht="13.8" outlineLevel="1" x14ac:dyDescent="0.25">
      <c r="A6181">
        <v>79710</v>
      </c>
      <c r="B6181" t="s">
        <v>8569</v>
      </c>
      <c r="C6181" t="s">
        <v>8584</v>
      </c>
      <c r="D6181" s="14" t="s">
        <v>8571</v>
      </c>
      <c r="E6181" s="12" t="s">
        <v>28</v>
      </c>
      <c r="F6181" s="13" t="s">
        <v>29</v>
      </c>
      <c r="G6181">
        <v>5</v>
      </c>
      <c r="H6181" t="s">
        <v>30</v>
      </c>
      <c r="I6181">
        <v>5</v>
      </c>
      <c r="J6181" s="15"/>
      <c r="K6181" s="16">
        <f>427.85 - (427.85 * $E$1)</f>
        <v>427.85</v>
      </c>
      <c r="L6181" s="16">
        <f>350.7 - (350.7 * $E$1)</f>
        <v>350.7</v>
      </c>
      <c r="M6181" s="1">
        <v>427.85</v>
      </c>
      <c r="N6181" s="1">
        <v>350.7</v>
      </c>
      <c r="O6181" s="1">
        <v>363.68</v>
      </c>
      <c r="P6181" s="1">
        <v>298.10000000000002</v>
      </c>
      <c r="Q6181">
        <v>7.5999999999999998E-2</v>
      </c>
      <c r="R6181">
        <v>1.92E-4</v>
      </c>
    </row>
    <row r="6182" spans="1:18" ht="13.8" outlineLevel="1" x14ac:dyDescent="0.25">
      <c r="A6182">
        <v>80736</v>
      </c>
      <c r="B6182" t="s">
        <v>8569</v>
      </c>
      <c r="C6182" t="s">
        <v>8585</v>
      </c>
      <c r="D6182" s="14" t="s">
        <v>8571</v>
      </c>
      <c r="E6182" s="12" t="s">
        <v>28</v>
      </c>
      <c r="F6182" s="13" t="s">
        <v>29</v>
      </c>
      <c r="G6182">
        <v>5</v>
      </c>
      <c r="H6182" t="s">
        <v>30</v>
      </c>
      <c r="I6182">
        <v>5</v>
      </c>
      <c r="J6182" s="15"/>
      <c r="K6182" s="16">
        <f>434.76 - (434.76 * $E$1)</f>
        <v>434.76</v>
      </c>
      <c r="L6182" s="16">
        <f>356.36 - (356.36 * $E$1)</f>
        <v>356.36</v>
      </c>
      <c r="M6182" s="1">
        <v>434.76</v>
      </c>
      <c r="N6182" s="1">
        <v>356.36</v>
      </c>
      <c r="O6182" s="1">
        <v>369.55</v>
      </c>
      <c r="P6182" s="1">
        <v>302.91000000000003</v>
      </c>
      <c r="Q6182">
        <v>2.8000000000000001E-2</v>
      </c>
      <c r="R6182">
        <v>1.36E-5</v>
      </c>
    </row>
    <row r="6183" spans="1:18" ht="13.8" outlineLevel="1" x14ac:dyDescent="0.25">
      <c r="A6183">
        <v>80737</v>
      </c>
      <c r="B6183" t="s">
        <v>8569</v>
      </c>
      <c r="C6183" t="s">
        <v>8586</v>
      </c>
      <c r="D6183" s="14" t="s">
        <v>8571</v>
      </c>
      <c r="E6183" s="12" t="s">
        <v>28</v>
      </c>
      <c r="F6183" s="13" t="s">
        <v>29</v>
      </c>
      <c r="G6183">
        <v>5</v>
      </c>
      <c r="H6183" t="s">
        <v>30</v>
      </c>
      <c r="I6183">
        <v>5</v>
      </c>
      <c r="J6183" s="15"/>
      <c r="K6183" s="16">
        <f>455.51 - (455.51 * $E$1)</f>
        <v>455.51</v>
      </c>
      <c r="L6183" s="16">
        <f>373.37 - (373.37 * $E$1)</f>
        <v>373.37</v>
      </c>
      <c r="M6183" s="1">
        <v>455.51</v>
      </c>
      <c r="N6183" s="1">
        <v>373.37</v>
      </c>
      <c r="O6183" s="1">
        <v>387.18</v>
      </c>
      <c r="P6183" s="1">
        <v>317.36</v>
      </c>
      <c r="Q6183">
        <v>3.4000000000000002E-2</v>
      </c>
      <c r="R6183">
        <v>1.7600000000000001E-5</v>
      </c>
    </row>
    <row r="6184" spans="1:18" ht="13.8" outlineLevel="1" x14ac:dyDescent="0.25">
      <c r="A6184">
        <v>80738</v>
      </c>
      <c r="B6184" t="s">
        <v>8569</v>
      </c>
      <c r="C6184" t="s">
        <v>8587</v>
      </c>
      <c r="D6184" s="14" t="s">
        <v>8571</v>
      </c>
      <c r="E6184" s="12" t="s">
        <v>28</v>
      </c>
      <c r="F6184" s="13" t="s">
        <v>29</v>
      </c>
      <c r="G6184">
        <v>5</v>
      </c>
      <c r="H6184" t="s">
        <v>30</v>
      </c>
      <c r="I6184">
        <v>5</v>
      </c>
      <c r="J6184" s="15"/>
      <c r="K6184" s="16">
        <f>493.16 - (493.16 * $E$1)</f>
        <v>493.16</v>
      </c>
      <c r="L6184" s="16">
        <f>404.23 - (404.23 * $E$1)</f>
        <v>404.23</v>
      </c>
      <c r="M6184" s="1">
        <v>493.16</v>
      </c>
      <c r="N6184" s="1">
        <v>404.23</v>
      </c>
      <c r="O6184" s="1">
        <v>419.19</v>
      </c>
      <c r="P6184" s="1">
        <v>343.6</v>
      </c>
      <c r="Q6184">
        <v>4.3999999999999997E-2</v>
      </c>
      <c r="R6184">
        <v>2.5599999999999999E-5</v>
      </c>
    </row>
    <row r="6185" spans="1:18" ht="13.8" outlineLevel="1" x14ac:dyDescent="0.25">
      <c r="A6185">
        <v>80739</v>
      </c>
      <c r="B6185" t="s">
        <v>8569</v>
      </c>
      <c r="C6185" t="s">
        <v>8588</v>
      </c>
      <c r="D6185" s="14" t="s">
        <v>8571</v>
      </c>
      <c r="E6185" s="12" t="s">
        <v>28</v>
      </c>
      <c r="F6185" s="13" t="s">
        <v>29</v>
      </c>
      <c r="G6185">
        <v>5</v>
      </c>
      <c r="H6185" t="s">
        <v>30</v>
      </c>
      <c r="I6185">
        <v>5</v>
      </c>
      <c r="J6185" s="15"/>
      <c r="K6185" s="16">
        <f>516.99 - (516.99 * $E$1)</f>
        <v>516.99</v>
      </c>
      <c r="L6185" s="16">
        <f>423.76 - (423.76 * $E$1)</f>
        <v>423.76</v>
      </c>
      <c r="M6185" s="1">
        <v>516.99</v>
      </c>
      <c r="N6185" s="1">
        <v>423.76</v>
      </c>
      <c r="O6185" s="1">
        <v>439.44</v>
      </c>
      <c r="P6185" s="1">
        <v>360.2</v>
      </c>
      <c r="Q6185">
        <v>0.05</v>
      </c>
      <c r="R6185">
        <v>2.9600000000000001E-5</v>
      </c>
    </row>
    <row r="6186" spans="1:18" ht="13.8" outlineLevel="1" x14ac:dyDescent="0.25">
      <c r="A6186">
        <v>80740</v>
      </c>
      <c r="B6186" t="s">
        <v>8569</v>
      </c>
      <c r="C6186" t="s">
        <v>8589</v>
      </c>
      <c r="D6186" s="14" t="s">
        <v>8571</v>
      </c>
      <c r="E6186" s="12" t="s">
        <v>28</v>
      </c>
      <c r="F6186" s="13" t="s">
        <v>29</v>
      </c>
      <c r="G6186">
        <v>5</v>
      </c>
      <c r="H6186" t="s">
        <v>30</v>
      </c>
      <c r="I6186">
        <v>5</v>
      </c>
      <c r="J6186" s="15"/>
      <c r="K6186" s="16">
        <f>539.75 - (539.75 * $E$1)</f>
        <v>539.75</v>
      </c>
      <c r="L6186" s="16">
        <f>442.42 - (442.42 * $E$1)</f>
        <v>442.42</v>
      </c>
      <c r="M6186" s="1">
        <v>539.75</v>
      </c>
      <c r="N6186" s="1">
        <v>442.42</v>
      </c>
      <c r="O6186" s="1">
        <v>458.79</v>
      </c>
      <c r="P6186" s="1">
        <v>376.06</v>
      </c>
      <c r="Q6186">
        <v>5.6000000000000001E-2</v>
      </c>
      <c r="R6186">
        <v>3.3599999999999997E-5</v>
      </c>
    </row>
    <row r="6187" spans="1:18" ht="13.8" outlineLevel="1" x14ac:dyDescent="0.25">
      <c r="A6187">
        <v>80741</v>
      </c>
      <c r="B6187" t="s">
        <v>8569</v>
      </c>
      <c r="C6187" t="s">
        <v>8590</v>
      </c>
      <c r="D6187" s="14" t="s">
        <v>8571</v>
      </c>
      <c r="E6187" s="12" t="s">
        <v>28</v>
      </c>
      <c r="F6187" s="13" t="s">
        <v>29</v>
      </c>
      <c r="G6187">
        <v>5</v>
      </c>
      <c r="H6187" t="s">
        <v>30</v>
      </c>
      <c r="I6187">
        <v>5</v>
      </c>
      <c r="J6187" s="15"/>
      <c r="K6187" s="16">
        <f>577.54 - (577.54 * $E$1)</f>
        <v>577.54</v>
      </c>
      <c r="L6187" s="16">
        <f>473.39 - (473.39 * $E$1)</f>
        <v>473.39</v>
      </c>
      <c r="M6187" s="1">
        <v>577.54</v>
      </c>
      <c r="N6187" s="1">
        <v>473.39</v>
      </c>
      <c r="O6187" s="1">
        <v>490.91</v>
      </c>
      <c r="P6187" s="1">
        <v>402.38</v>
      </c>
      <c r="Q6187">
        <v>6.8000000000000005E-2</v>
      </c>
      <c r="R6187">
        <v>4.1600000000000002E-5</v>
      </c>
    </row>
    <row r="6188" spans="1:18" ht="13.8" outlineLevel="1" x14ac:dyDescent="0.25">
      <c r="A6188">
        <v>82275</v>
      </c>
      <c r="B6188" t="s">
        <v>8569</v>
      </c>
      <c r="C6188" t="s">
        <v>8591</v>
      </c>
      <c r="D6188" s="14" t="s">
        <v>8571</v>
      </c>
      <c r="E6188" s="12" t="s">
        <v>28</v>
      </c>
      <c r="F6188" s="13" t="s">
        <v>29</v>
      </c>
      <c r="G6188">
        <v>5</v>
      </c>
      <c r="H6188" t="s">
        <v>30</v>
      </c>
      <c r="I6188">
        <v>5</v>
      </c>
      <c r="J6188" s="15"/>
      <c r="K6188" s="16">
        <f>636.03 - (636.03 * $E$1)</f>
        <v>636.03</v>
      </c>
      <c r="L6188" s="16">
        <f>521.34 - (521.34 * $E$1)</f>
        <v>521.34</v>
      </c>
      <c r="M6188" s="1">
        <v>636.03</v>
      </c>
      <c r="N6188" s="1">
        <v>521.34</v>
      </c>
      <c r="O6188" s="1">
        <v>540.63</v>
      </c>
      <c r="P6188" s="1">
        <v>443.14</v>
      </c>
      <c r="Q6188">
        <v>0.08</v>
      </c>
      <c r="R6188">
        <v>9.6000000000000002E-5</v>
      </c>
    </row>
    <row r="6189" spans="1:18" ht="13.8" outlineLevel="1" x14ac:dyDescent="0.25">
      <c r="A6189">
        <v>80749</v>
      </c>
      <c r="B6189" t="s">
        <v>8569</v>
      </c>
      <c r="C6189" t="s">
        <v>8592</v>
      </c>
      <c r="D6189" s="14" t="s">
        <v>8571</v>
      </c>
      <c r="E6189" s="12" t="s">
        <v>28</v>
      </c>
      <c r="F6189" s="13" t="s">
        <v>29</v>
      </c>
      <c r="G6189">
        <v>5</v>
      </c>
      <c r="H6189" t="s">
        <v>30</v>
      </c>
      <c r="I6189">
        <v>5</v>
      </c>
      <c r="J6189" s="15"/>
      <c r="K6189" s="16">
        <f>683.16 - (683.16 * $E$1)</f>
        <v>683.16</v>
      </c>
      <c r="L6189" s="16">
        <f>559.97 - (559.97 * $E$1)</f>
        <v>559.97</v>
      </c>
      <c r="M6189" s="1">
        <v>683.16</v>
      </c>
      <c r="N6189" s="1">
        <v>559.97</v>
      </c>
      <c r="O6189" s="1">
        <v>580.69000000000005</v>
      </c>
      <c r="P6189" s="1">
        <v>475.97</v>
      </c>
      <c r="Q6189">
        <v>9.1999999999999998E-2</v>
      </c>
      <c r="R6189">
        <v>1.0560000000000001E-4</v>
      </c>
    </row>
    <row r="6190" spans="1:18" ht="13.8" outlineLevel="1" x14ac:dyDescent="0.25">
      <c r="A6190">
        <v>82276</v>
      </c>
      <c r="B6190" t="s">
        <v>8569</v>
      </c>
      <c r="C6190" t="s">
        <v>8593</v>
      </c>
      <c r="D6190" s="14" t="s">
        <v>8571</v>
      </c>
      <c r="E6190" s="12" t="s">
        <v>28</v>
      </c>
      <c r="F6190" s="13" t="s">
        <v>29</v>
      </c>
      <c r="G6190">
        <v>5</v>
      </c>
      <c r="H6190" t="s">
        <v>30</v>
      </c>
      <c r="I6190">
        <v>5</v>
      </c>
      <c r="J6190" s="15"/>
      <c r="K6190" s="16">
        <f>729.69 - (729.69 * $E$1)</f>
        <v>729.69</v>
      </c>
      <c r="L6190" s="16">
        <f>598.11 - (598.11 * $E$1)</f>
        <v>598.11</v>
      </c>
      <c r="M6190" s="1">
        <v>729.69</v>
      </c>
      <c r="N6190" s="1">
        <v>598.11</v>
      </c>
      <c r="O6190" s="1">
        <v>620.24</v>
      </c>
      <c r="P6190" s="1">
        <v>508.39</v>
      </c>
      <c r="Q6190">
        <v>0.104</v>
      </c>
      <c r="R6190">
        <v>1.0560000000000001E-4</v>
      </c>
    </row>
    <row r="6191" spans="1:18" ht="13.8" outlineLevel="1" x14ac:dyDescent="0.25">
      <c r="A6191">
        <v>80742</v>
      </c>
      <c r="B6191" t="s">
        <v>8569</v>
      </c>
      <c r="C6191" t="s">
        <v>8594</v>
      </c>
      <c r="D6191" s="14" t="s">
        <v>8571</v>
      </c>
      <c r="E6191" s="12" t="s">
        <v>28</v>
      </c>
      <c r="F6191" s="13" t="s">
        <v>29</v>
      </c>
      <c r="G6191">
        <v>5</v>
      </c>
      <c r="H6191" t="s">
        <v>30</v>
      </c>
      <c r="I6191">
        <v>5</v>
      </c>
      <c r="J6191" s="15"/>
      <c r="K6191" s="16">
        <f>328.84 - (328.84 * $E$1)</f>
        <v>328.84</v>
      </c>
      <c r="L6191" s="16">
        <f>269.54 - (269.54 * $E$1)</f>
        <v>269.54000000000002</v>
      </c>
      <c r="M6191" s="1">
        <v>328.84</v>
      </c>
      <c r="N6191" s="1">
        <v>269.54000000000002</v>
      </c>
      <c r="O6191" s="1">
        <v>279.51</v>
      </c>
      <c r="P6191" s="1">
        <v>229.11</v>
      </c>
      <c r="Q6191">
        <v>3.7999999999999999E-2</v>
      </c>
      <c r="R6191">
        <v>1.7E-5</v>
      </c>
    </row>
    <row r="6192" spans="1:18" ht="13.8" outlineLevel="1" x14ac:dyDescent="0.25">
      <c r="A6192">
        <v>80745</v>
      </c>
      <c r="B6192" t="s">
        <v>8569</v>
      </c>
      <c r="C6192" t="s">
        <v>8595</v>
      </c>
      <c r="D6192" s="14" t="s">
        <v>8571</v>
      </c>
      <c r="E6192" s="12" t="s">
        <v>28</v>
      </c>
      <c r="F6192" s="13" t="s">
        <v>29</v>
      </c>
      <c r="G6192">
        <v>5</v>
      </c>
      <c r="H6192" t="s">
        <v>30</v>
      </c>
      <c r="I6192">
        <v>5</v>
      </c>
      <c r="J6192" s="15"/>
      <c r="K6192" s="16">
        <f>400.75 - (400.75 * $E$1)</f>
        <v>400.75</v>
      </c>
      <c r="L6192" s="16">
        <f>328.48 - (328.48 * $E$1)</f>
        <v>328.48</v>
      </c>
      <c r="M6192" s="1">
        <v>400.75</v>
      </c>
      <c r="N6192" s="1">
        <v>328.48</v>
      </c>
      <c r="O6192" s="1">
        <v>340.63</v>
      </c>
      <c r="P6192" s="1">
        <v>279.20999999999998</v>
      </c>
      <c r="Q6192">
        <v>8.4000000000000005E-2</v>
      </c>
      <c r="R6192">
        <v>4.1999999999999998E-5</v>
      </c>
    </row>
    <row r="6193" spans="1:18" ht="13.8" outlineLevel="1" x14ac:dyDescent="0.25">
      <c r="A6193">
        <v>80748</v>
      </c>
      <c r="B6193" t="s">
        <v>8569</v>
      </c>
      <c r="C6193" t="s">
        <v>8596</v>
      </c>
      <c r="D6193" s="14" t="s">
        <v>8571</v>
      </c>
      <c r="E6193" s="12" t="s">
        <v>28</v>
      </c>
      <c r="F6193" s="13" t="s">
        <v>29</v>
      </c>
      <c r="G6193">
        <v>5</v>
      </c>
      <c r="H6193" t="s">
        <v>30</v>
      </c>
      <c r="I6193">
        <v>5</v>
      </c>
      <c r="J6193" s="15"/>
      <c r="K6193" s="16">
        <f>491.17 - (491.17 * $E$1)</f>
        <v>491.17</v>
      </c>
      <c r="L6193" s="16">
        <f>402.6 - (402.6 * $E$1)</f>
        <v>402.6</v>
      </c>
      <c r="M6193" s="1">
        <v>491.17</v>
      </c>
      <c r="N6193" s="1">
        <v>402.6</v>
      </c>
      <c r="O6193" s="1">
        <v>417.5</v>
      </c>
      <c r="P6193" s="1">
        <v>342.21</v>
      </c>
      <c r="Q6193">
        <v>0.13800000000000001</v>
      </c>
      <c r="R6193">
        <v>2.1159999999999999E-4</v>
      </c>
    </row>
    <row r="6194" spans="1:18" ht="13.8" outlineLevel="1" x14ac:dyDescent="0.25">
      <c r="A6194">
        <v>82279</v>
      </c>
      <c r="B6194" t="s">
        <v>8569</v>
      </c>
      <c r="C6194" t="s">
        <v>8597</v>
      </c>
      <c r="D6194" s="14" t="s">
        <v>8571</v>
      </c>
      <c r="E6194" s="12" t="s">
        <v>28</v>
      </c>
      <c r="F6194" s="13" t="s">
        <v>29</v>
      </c>
      <c r="G6194">
        <v>5</v>
      </c>
      <c r="H6194" t="s">
        <v>30</v>
      </c>
      <c r="I6194">
        <v>5</v>
      </c>
      <c r="J6194" s="15"/>
      <c r="K6194" s="16">
        <f>396.89 - (396.89 * $E$1)</f>
        <v>396.89</v>
      </c>
      <c r="L6194" s="16">
        <f>325.32 - (325.32 * $E$1)</f>
        <v>325.32</v>
      </c>
      <c r="M6194" s="1">
        <v>396.89</v>
      </c>
      <c r="N6194" s="1">
        <v>325.32</v>
      </c>
      <c r="O6194" s="1">
        <v>337.36</v>
      </c>
      <c r="P6194" s="1">
        <v>276.52</v>
      </c>
      <c r="Q6194">
        <v>8.7999999999999995E-2</v>
      </c>
      <c r="R6194">
        <v>4.6E-5</v>
      </c>
    </row>
    <row r="6195" spans="1:18" ht="13.8" outlineLevel="1" x14ac:dyDescent="0.25">
      <c r="A6195">
        <v>82280</v>
      </c>
      <c r="B6195" t="s">
        <v>8569</v>
      </c>
      <c r="C6195" t="s">
        <v>8598</v>
      </c>
      <c r="D6195" s="14" t="s">
        <v>8571</v>
      </c>
      <c r="E6195" s="12" t="s">
        <v>28</v>
      </c>
      <c r="F6195" s="13" t="s">
        <v>29</v>
      </c>
      <c r="G6195">
        <v>5</v>
      </c>
      <c r="H6195" t="s">
        <v>30</v>
      </c>
      <c r="I6195">
        <v>5</v>
      </c>
      <c r="J6195" s="15"/>
      <c r="K6195" s="16">
        <f>446.34 - (446.34 * $E$1)</f>
        <v>446.34</v>
      </c>
      <c r="L6195" s="16">
        <f>365.85 - (365.85 * $E$1)</f>
        <v>365.85</v>
      </c>
      <c r="M6195" s="1">
        <v>446.34</v>
      </c>
      <c r="N6195" s="1">
        <v>365.85</v>
      </c>
      <c r="O6195" s="1">
        <v>379.39</v>
      </c>
      <c r="P6195" s="1">
        <v>310.97000000000003</v>
      </c>
      <c r="Q6195">
        <v>0.12</v>
      </c>
      <c r="R6195">
        <v>1.8479999999999999E-4</v>
      </c>
    </row>
    <row r="6196" spans="1:18" ht="13.8" outlineLevel="1" x14ac:dyDescent="0.25">
      <c r="A6196">
        <v>82281</v>
      </c>
      <c r="B6196" t="s">
        <v>8569</v>
      </c>
      <c r="C6196" t="s">
        <v>8599</v>
      </c>
      <c r="D6196" s="14" t="s">
        <v>8571</v>
      </c>
      <c r="E6196" s="12" t="s">
        <v>28</v>
      </c>
      <c r="F6196" s="13" t="s">
        <v>29</v>
      </c>
      <c r="G6196">
        <v>5</v>
      </c>
      <c r="H6196" t="s">
        <v>30</v>
      </c>
      <c r="I6196">
        <v>5</v>
      </c>
      <c r="J6196" s="15"/>
      <c r="K6196" s="16">
        <f>644.73 - (644.73 * $E$1)</f>
        <v>644.73</v>
      </c>
      <c r="L6196" s="16">
        <f>528.47 - (528.47 * $E$1)</f>
        <v>528.47</v>
      </c>
      <c r="M6196" s="1">
        <v>644.73</v>
      </c>
      <c r="N6196" s="1">
        <v>528.47</v>
      </c>
      <c r="O6196" s="1">
        <v>548.02</v>
      </c>
      <c r="P6196" s="1">
        <v>449.2</v>
      </c>
      <c r="Q6196">
        <v>0.14000000000000001</v>
      </c>
      <c r="R6196">
        <v>1.8479999999999999E-4</v>
      </c>
    </row>
    <row r="6197" spans="1:18" ht="13.8" outlineLevel="1" x14ac:dyDescent="0.25">
      <c r="A6197">
        <v>82284</v>
      </c>
      <c r="B6197" t="s">
        <v>8569</v>
      </c>
      <c r="C6197" t="s">
        <v>8600</v>
      </c>
      <c r="D6197" s="14" t="s">
        <v>8571</v>
      </c>
      <c r="E6197" s="12" t="s">
        <v>28</v>
      </c>
      <c r="F6197" s="13" t="s">
        <v>29</v>
      </c>
      <c r="G6197">
        <v>5</v>
      </c>
      <c r="H6197" t="s">
        <v>30</v>
      </c>
      <c r="I6197">
        <v>5</v>
      </c>
      <c r="J6197" s="15"/>
      <c r="K6197" s="16">
        <f>582.54 - (582.54 * $E$1)</f>
        <v>582.54</v>
      </c>
      <c r="L6197" s="16">
        <f>477.49 - (477.49 * $E$1)</f>
        <v>477.49</v>
      </c>
      <c r="M6197" s="1">
        <v>582.54</v>
      </c>
      <c r="N6197" s="1">
        <v>477.49</v>
      </c>
      <c r="O6197" s="1">
        <v>495.16</v>
      </c>
      <c r="P6197" s="1">
        <v>405.87</v>
      </c>
      <c r="Q6197">
        <v>0.2</v>
      </c>
      <c r="R6197">
        <v>3.2919999999999998E-4</v>
      </c>
    </row>
    <row r="6198" spans="1:18" ht="13.8" outlineLevel="1" x14ac:dyDescent="0.25">
      <c r="A6198">
        <v>88653</v>
      </c>
      <c r="B6198" t="s">
        <v>8601</v>
      </c>
      <c r="C6198" t="s">
        <v>8602</v>
      </c>
      <c r="D6198" s="14" t="s">
        <v>8603</v>
      </c>
      <c r="E6198" s="12" t="s">
        <v>28</v>
      </c>
      <c r="F6198" s="13" t="s">
        <v>29</v>
      </c>
      <c r="G6198">
        <v>50</v>
      </c>
      <c r="H6198" t="s">
        <v>30</v>
      </c>
      <c r="I6198">
        <v>50</v>
      </c>
      <c r="J6198" s="15"/>
      <c r="K6198" s="16">
        <f>99.36 - (99.36 * $E$1)</f>
        <v>99.36</v>
      </c>
      <c r="L6198" s="16">
        <f>81.44 - (81.44 * $E$1)</f>
        <v>81.44</v>
      </c>
      <c r="M6198" s="1">
        <v>99.36</v>
      </c>
      <c r="N6198" s="1">
        <v>81.44</v>
      </c>
      <c r="O6198" s="1">
        <v>84.45</v>
      </c>
      <c r="P6198" s="1">
        <v>69.22</v>
      </c>
      <c r="Q6198">
        <v>2.5999999999999999E-3</v>
      </c>
      <c r="R6198">
        <v>2.1600000000000001E-6</v>
      </c>
    </row>
    <row r="6199" spans="1:18" ht="13.8" outlineLevel="1" x14ac:dyDescent="0.25">
      <c r="A6199">
        <v>88654</v>
      </c>
      <c r="B6199" t="s">
        <v>8601</v>
      </c>
      <c r="C6199" t="s">
        <v>8604</v>
      </c>
      <c r="D6199" s="14" t="s">
        <v>8603</v>
      </c>
      <c r="E6199" s="12" t="s">
        <v>28</v>
      </c>
      <c r="F6199" s="13" t="s">
        <v>29</v>
      </c>
      <c r="G6199">
        <v>50</v>
      </c>
      <c r="H6199" t="s">
        <v>30</v>
      </c>
      <c r="I6199">
        <v>50</v>
      </c>
      <c r="J6199" s="15"/>
      <c r="K6199" s="16">
        <f>106.97 - (106.97 * $E$1)</f>
        <v>106.97</v>
      </c>
      <c r="L6199" s="16">
        <f>87.68 - (87.68 * $E$1)</f>
        <v>87.68</v>
      </c>
      <c r="M6199" s="1">
        <v>106.97</v>
      </c>
      <c r="N6199" s="1">
        <v>87.68</v>
      </c>
      <c r="O6199" s="1">
        <v>90.92</v>
      </c>
      <c r="P6199" s="1">
        <v>74.53</v>
      </c>
      <c r="Q6199">
        <v>2.5999999999999999E-3</v>
      </c>
      <c r="R6199">
        <v>2.1600000000000001E-6</v>
      </c>
    </row>
    <row r="6200" spans="1:18" ht="13.8" outlineLevel="1" x14ac:dyDescent="0.25">
      <c r="A6200">
        <v>88655</v>
      </c>
      <c r="B6200" t="s">
        <v>8601</v>
      </c>
      <c r="C6200" t="s">
        <v>8605</v>
      </c>
      <c r="D6200" s="14" t="s">
        <v>8603</v>
      </c>
      <c r="E6200" s="12" t="s">
        <v>28</v>
      </c>
      <c r="F6200" s="13" t="s">
        <v>29</v>
      </c>
      <c r="G6200">
        <v>50</v>
      </c>
      <c r="H6200" t="s">
        <v>30</v>
      </c>
      <c r="I6200">
        <v>50</v>
      </c>
      <c r="J6200" s="15"/>
      <c r="K6200" s="16">
        <f>115.22 - (115.22 * $E$1)</f>
        <v>115.22</v>
      </c>
      <c r="L6200" s="16">
        <f>94.44 - (94.44 * $E$1)</f>
        <v>94.44</v>
      </c>
      <c r="M6200" s="1">
        <v>115.22</v>
      </c>
      <c r="N6200" s="1">
        <v>94.44</v>
      </c>
      <c r="O6200" s="1">
        <v>97.93</v>
      </c>
      <c r="P6200" s="1">
        <v>80.27</v>
      </c>
      <c r="Q6200">
        <v>7.7200000000000003E-3</v>
      </c>
      <c r="R6200">
        <v>1.326E-5</v>
      </c>
    </row>
    <row r="6201" spans="1:18" ht="13.8" outlineLevel="1" x14ac:dyDescent="0.25">
      <c r="A6201">
        <v>88656</v>
      </c>
      <c r="B6201" t="s">
        <v>8601</v>
      </c>
      <c r="C6201" t="s">
        <v>8606</v>
      </c>
      <c r="D6201" s="14" t="s">
        <v>8603</v>
      </c>
      <c r="E6201" s="12" t="s">
        <v>28</v>
      </c>
      <c r="F6201" s="13" t="s">
        <v>29</v>
      </c>
      <c r="G6201">
        <v>50</v>
      </c>
      <c r="H6201" t="s">
        <v>30</v>
      </c>
      <c r="I6201">
        <v>50</v>
      </c>
      <c r="J6201" s="15"/>
      <c r="K6201" s="16">
        <f>130.61 - (130.61 * $E$1)</f>
        <v>130.61000000000001</v>
      </c>
      <c r="L6201" s="16">
        <f>107.06 - (107.06 * $E$1)</f>
        <v>107.06</v>
      </c>
      <c r="M6201" s="1">
        <v>130.61000000000001</v>
      </c>
      <c r="N6201" s="1">
        <v>107.06</v>
      </c>
      <c r="O6201" s="1">
        <v>111.02</v>
      </c>
      <c r="P6201" s="1">
        <v>91</v>
      </c>
      <c r="Q6201">
        <v>3.5999999999999999E-3</v>
      </c>
      <c r="R6201">
        <v>9.5200000000000003E-6</v>
      </c>
    </row>
    <row r="6202" spans="1:18" ht="13.8" outlineLevel="1" x14ac:dyDescent="0.25">
      <c r="A6202">
        <v>88657</v>
      </c>
      <c r="B6202" t="s">
        <v>8601</v>
      </c>
      <c r="C6202" t="s">
        <v>8607</v>
      </c>
      <c r="D6202" s="14" t="s">
        <v>8603</v>
      </c>
      <c r="E6202" s="12" t="s">
        <v>28</v>
      </c>
      <c r="F6202" s="13" t="s">
        <v>29</v>
      </c>
      <c r="G6202">
        <v>50</v>
      </c>
      <c r="H6202" t="s">
        <v>30</v>
      </c>
      <c r="I6202">
        <v>50</v>
      </c>
      <c r="J6202" s="15"/>
      <c r="K6202" s="16">
        <f>188.58 - (188.58 * $E$1)</f>
        <v>188.58</v>
      </c>
      <c r="L6202" s="16">
        <f>154.57 - (154.57 * $E$1)</f>
        <v>154.57</v>
      </c>
      <c r="M6202" s="1">
        <v>188.58</v>
      </c>
      <c r="N6202" s="1">
        <v>154.57</v>
      </c>
      <c r="O6202" s="1">
        <v>160.29</v>
      </c>
      <c r="P6202" s="1">
        <v>131.38</v>
      </c>
      <c r="Q6202">
        <v>5.4000000000000003E-3</v>
      </c>
      <c r="R6202">
        <v>7.7600000000000002E-6</v>
      </c>
    </row>
    <row r="6203" spans="1:18" ht="13.8" outlineLevel="1" x14ac:dyDescent="0.25">
      <c r="A6203">
        <v>88952</v>
      </c>
      <c r="B6203" t="s">
        <v>8608</v>
      </c>
      <c r="C6203" t="s">
        <v>8609</v>
      </c>
      <c r="D6203" s="14" t="s">
        <v>8610</v>
      </c>
      <c r="E6203" s="12" t="s">
        <v>28</v>
      </c>
      <c r="F6203" s="13" t="s">
        <v>29</v>
      </c>
      <c r="G6203">
        <v>1</v>
      </c>
      <c r="H6203" t="s">
        <v>30</v>
      </c>
      <c r="I6203">
        <v>1</v>
      </c>
      <c r="J6203" s="15"/>
      <c r="K6203" s="16">
        <f>424.77 - (424.77 * $E$1)</f>
        <v>424.77</v>
      </c>
      <c r="L6203" s="16">
        <f>348.17 - (348.17 * $E$1)</f>
        <v>348.17</v>
      </c>
      <c r="M6203" s="1">
        <v>424.77</v>
      </c>
      <c r="N6203" s="1">
        <v>348.17</v>
      </c>
      <c r="O6203" s="1">
        <v>361.05</v>
      </c>
      <c r="P6203" s="1">
        <v>295.94</v>
      </c>
      <c r="Q6203">
        <v>6.3E-2</v>
      </c>
      <c r="R6203">
        <v>2.0799999999999999E-4</v>
      </c>
    </row>
    <row r="6204" spans="1:18" ht="13.8" outlineLevel="1" x14ac:dyDescent="0.25">
      <c r="A6204">
        <v>88953</v>
      </c>
      <c r="B6204" t="s">
        <v>8608</v>
      </c>
      <c r="C6204" t="s">
        <v>8611</v>
      </c>
      <c r="D6204" s="14" t="s">
        <v>8610</v>
      </c>
      <c r="E6204" s="12" t="s">
        <v>28</v>
      </c>
      <c r="F6204" s="13" t="s">
        <v>29</v>
      </c>
      <c r="G6204">
        <v>1</v>
      </c>
      <c r="H6204" t="s">
        <v>30</v>
      </c>
      <c r="I6204">
        <v>1</v>
      </c>
      <c r="J6204" s="15"/>
      <c r="K6204" s="16">
        <f>436.35 - (436.35 * $E$1)</f>
        <v>436.35</v>
      </c>
      <c r="L6204" s="16">
        <f>357.66 - (357.66 * $E$1)</f>
        <v>357.66</v>
      </c>
      <c r="M6204" s="1">
        <v>436.35</v>
      </c>
      <c r="N6204" s="1">
        <v>357.66</v>
      </c>
      <c r="O6204" s="1">
        <v>370.89</v>
      </c>
      <c r="P6204" s="1">
        <v>304.01</v>
      </c>
      <c r="Q6204">
        <v>7.0000000000000007E-2</v>
      </c>
      <c r="R6204">
        <v>2.0799999999999999E-4</v>
      </c>
    </row>
    <row r="6205" spans="1:18" ht="13.8" outlineLevel="1" x14ac:dyDescent="0.25">
      <c r="A6205">
        <v>88954</v>
      </c>
      <c r="B6205" t="s">
        <v>8608</v>
      </c>
      <c r="C6205" t="s">
        <v>8612</v>
      </c>
      <c r="D6205" s="14" t="s">
        <v>8610</v>
      </c>
      <c r="E6205" s="12" t="s">
        <v>28</v>
      </c>
      <c r="F6205" s="13" t="s">
        <v>29</v>
      </c>
      <c r="G6205">
        <v>1</v>
      </c>
      <c r="H6205" t="s">
        <v>30</v>
      </c>
      <c r="I6205">
        <v>1</v>
      </c>
      <c r="J6205" s="15"/>
      <c r="K6205" s="16">
        <f>447.39 - (447.39 * $E$1)</f>
        <v>447.39</v>
      </c>
      <c r="L6205" s="16">
        <f>366.71 - (366.71 * $E$1)</f>
        <v>366.71</v>
      </c>
      <c r="M6205" s="1">
        <v>447.39</v>
      </c>
      <c r="N6205" s="1">
        <v>366.71</v>
      </c>
      <c r="O6205" s="1">
        <v>380.28</v>
      </c>
      <c r="P6205" s="1">
        <v>311.7</v>
      </c>
      <c r="Q6205">
        <v>7.2999999999999995E-2</v>
      </c>
      <c r="R6205">
        <v>2.0799999999999999E-4</v>
      </c>
    </row>
    <row r="6206" spans="1:18" ht="13.8" outlineLevel="1" x14ac:dyDescent="0.25">
      <c r="A6206">
        <v>89136</v>
      </c>
      <c r="B6206" t="s">
        <v>8608</v>
      </c>
      <c r="C6206" t="s">
        <v>8613</v>
      </c>
      <c r="D6206" s="14" t="s">
        <v>8610</v>
      </c>
      <c r="E6206" s="12" t="s">
        <v>28</v>
      </c>
      <c r="F6206" s="13" t="s">
        <v>29</v>
      </c>
      <c r="G6206">
        <v>1</v>
      </c>
      <c r="H6206" t="s">
        <v>30</v>
      </c>
      <c r="I6206">
        <v>1</v>
      </c>
      <c r="J6206" s="15"/>
      <c r="K6206" s="16">
        <f>467.49 - (467.49 * $E$1)</f>
        <v>467.49</v>
      </c>
      <c r="L6206" s="16">
        <f>383.19 - (383.19 * $E$1)</f>
        <v>383.19</v>
      </c>
      <c r="M6206" s="1">
        <v>467.49</v>
      </c>
      <c r="N6206" s="1">
        <v>383.19</v>
      </c>
      <c r="O6206" s="1">
        <v>397.37</v>
      </c>
      <c r="P6206" s="1">
        <v>325.70999999999998</v>
      </c>
      <c r="Q6206">
        <v>7.6999999999999999E-2</v>
      </c>
      <c r="R6206">
        <v>2.0799999999999999E-4</v>
      </c>
    </row>
    <row r="6207" spans="1:18" ht="13.8" outlineLevel="1" x14ac:dyDescent="0.25">
      <c r="A6207">
        <v>89137</v>
      </c>
      <c r="B6207" t="s">
        <v>8608</v>
      </c>
      <c r="C6207" t="s">
        <v>8614</v>
      </c>
      <c r="D6207" s="14" t="s">
        <v>8610</v>
      </c>
      <c r="E6207" s="12" t="s">
        <v>28</v>
      </c>
      <c r="F6207" s="13" t="s">
        <v>29</v>
      </c>
      <c r="G6207">
        <v>1</v>
      </c>
      <c r="H6207" t="s">
        <v>30</v>
      </c>
      <c r="I6207">
        <v>1</v>
      </c>
      <c r="J6207" s="15"/>
      <c r="K6207" s="16">
        <f>589.43 - (589.43 * $E$1)</f>
        <v>589.42999999999995</v>
      </c>
      <c r="L6207" s="16">
        <f>483.14 - (483.14 * $E$1)</f>
        <v>483.14</v>
      </c>
      <c r="M6207" s="1">
        <v>589.42999999999995</v>
      </c>
      <c r="N6207" s="1">
        <v>483.14</v>
      </c>
      <c r="O6207" s="1">
        <v>501.02</v>
      </c>
      <c r="P6207" s="1">
        <v>410.67</v>
      </c>
      <c r="Q6207">
        <v>0.13</v>
      </c>
      <c r="R6207">
        <v>7.1299999999999998E-4</v>
      </c>
    </row>
    <row r="6208" spans="1:18" ht="13.8" outlineLevel="1" x14ac:dyDescent="0.25">
      <c r="A6208">
        <v>111044</v>
      </c>
      <c r="B6208" t="s">
        <v>8615</v>
      </c>
      <c r="C6208" t="s">
        <v>8616</v>
      </c>
      <c r="D6208" s="14" t="s">
        <v>8617</v>
      </c>
      <c r="E6208" s="12" t="s">
        <v>28</v>
      </c>
      <c r="F6208" s="18" t="s">
        <v>1467</v>
      </c>
      <c r="G6208">
        <v>10</v>
      </c>
      <c r="H6208" t="s">
        <v>30</v>
      </c>
      <c r="I6208">
        <v>10</v>
      </c>
      <c r="J6208" s="15"/>
      <c r="K6208" s="16">
        <f>504.64 - (504.64 * $E$1)</f>
        <v>504.64</v>
      </c>
      <c r="L6208" s="16">
        <f>413.64 - (413.64 * $E$1)</f>
        <v>413.64</v>
      </c>
      <c r="M6208" s="1">
        <v>504.64</v>
      </c>
      <c r="N6208" s="1">
        <v>413.64</v>
      </c>
      <c r="O6208" s="1">
        <v>428.94</v>
      </c>
      <c r="P6208" s="1">
        <v>351.59</v>
      </c>
      <c r="Q6208">
        <v>4.9000000000000002E-2</v>
      </c>
      <c r="R6208">
        <v>1.628E-4</v>
      </c>
    </row>
    <row r="6209" spans="1:18" ht="13.8" outlineLevel="1" x14ac:dyDescent="0.25">
      <c r="A6209">
        <v>111045</v>
      </c>
      <c r="B6209" t="s">
        <v>8615</v>
      </c>
      <c r="C6209" t="s">
        <v>8618</v>
      </c>
      <c r="D6209" s="14" t="s">
        <v>8617</v>
      </c>
      <c r="E6209" s="12" t="s">
        <v>28</v>
      </c>
      <c r="F6209" s="18" t="s">
        <v>1467</v>
      </c>
      <c r="G6209">
        <v>10</v>
      </c>
      <c r="H6209" t="s">
        <v>30</v>
      </c>
      <c r="I6209">
        <v>10</v>
      </c>
      <c r="J6209" s="15"/>
      <c r="K6209" s="16">
        <f>610.37 - (610.37 * $E$1)</f>
        <v>610.37</v>
      </c>
      <c r="L6209" s="16">
        <f>500.3 - (500.3 * $E$1)</f>
        <v>500.3</v>
      </c>
      <c r="M6209" s="1">
        <v>610.37</v>
      </c>
      <c r="N6209" s="1">
        <v>500.3</v>
      </c>
      <c r="O6209" s="1">
        <v>518.80999999999995</v>
      </c>
      <c r="P6209" s="1">
        <v>425.26</v>
      </c>
      <c r="Q6209">
        <v>6.0999999999999999E-2</v>
      </c>
      <c r="R6209">
        <v>2.7900000000000001E-4</v>
      </c>
    </row>
    <row r="6210" spans="1:18" ht="13.8" outlineLevel="1" x14ac:dyDescent="0.25">
      <c r="A6210">
        <v>111046</v>
      </c>
      <c r="B6210" t="s">
        <v>8615</v>
      </c>
      <c r="C6210" t="s">
        <v>8619</v>
      </c>
      <c r="D6210" s="14" t="s">
        <v>8617</v>
      </c>
      <c r="E6210" s="12" t="s">
        <v>28</v>
      </c>
      <c r="F6210" s="18" t="s">
        <v>1467</v>
      </c>
      <c r="G6210">
        <v>10</v>
      </c>
      <c r="H6210" t="s">
        <v>30</v>
      </c>
      <c r="I6210">
        <v>10</v>
      </c>
      <c r="J6210" s="15"/>
      <c r="K6210" s="16">
        <f>679.37 - (679.37 * $E$1)</f>
        <v>679.37</v>
      </c>
      <c r="L6210" s="16">
        <f>556.86 - (556.86 * $E$1)</f>
        <v>556.86</v>
      </c>
      <c r="M6210" s="1">
        <v>679.37</v>
      </c>
      <c r="N6210" s="1">
        <v>556.86</v>
      </c>
      <c r="O6210" s="1">
        <v>577.46</v>
      </c>
      <c r="P6210" s="1">
        <v>473.33</v>
      </c>
      <c r="Q6210">
        <v>7.0000000000000007E-2</v>
      </c>
      <c r="R6210">
        <v>3.7199999999999999E-4</v>
      </c>
    </row>
    <row r="6211" spans="1:18" ht="13.8" outlineLevel="1" x14ac:dyDescent="0.25">
      <c r="A6211">
        <v>111047</v>
      </c>
      <c r="B6211" t="s">
        <v>8615</v>
      </c>
      <c r="C6211" t="s">
        <v>8620</v>
      </c>
      <c r="D6211" s="14" t="s">
        <v>8617</v>
      </c>
      <c r="E6211" s="12" t="s">
        <v>28</v>
      </c>
      <c r="F6211" s="18" t="s">
        <v>1467</v>
      </c>
      <c r="G6211">
        <v>10</v>
      </c>
      <c r="H6211" t="s">
        <v>30</v>
      </c>
      <c r="I6211">
        <v>10</v>
      </c>
      <c r="J6211" s="15"/>
      <c r="K6211" s="16">
        <f>810.47 - (810.47 * $E$1)</f>
        <v>810.47</v>
      </c>
      <c r="L6211" s="16">
        <f>664.32 - (664.32 * $E$1)</f>
        <v>664.32</v>
      </c>
      <c r="M6211" s="1">
        <v>810.47</v>
      </c>
      <c r="N6211" s="1">
        <v>664.32</v>
      </c>
      <c r="O6211" s="1">
        <v>688.9</v>
      </c>
      <c r="P6211" s="1">
        <v>564.66999999999996</v>
      </c>
      <c r="Q6211">
        <v>9.4E-2</v>
      </c>
      <c r="R6211">
        <v>5.5800000000000001E-4</v>
      </c>
    </row>
    <row r="6212" spans="1:18" ht="13.8" outlineLevel="1" x14ac:dyDescent="0.25">
      <c r="A6212">
        <v>84645</v>
      </c>
      <c r="B6212" t="s">
        <v>8621</v>
      </c>
      <c r="C6212" t="s">
        <v>8622</v>
      </c>
      <c r="D6212" s="14" t="s">
        <v>8623</v>
      </c>
      <c r="E6212" s="12" t="s">
        <v>28</v>
      </c>
      <c r="F6212" s="13" t="s">
        <v>29</v>
      </c>
      <c r="G6212">
        <v>50</v>
      </c>
      <c r="H6212" t="s">
        <v>30</v>
      </c>
      <c r="I6212">
        <v>50</v>
      </c>
      <c r="J6212" s="15"/>
      <c r="K6212" s="16">
        <f>129.84 - (129.84 * $E$1)</f>
        <v>129.84</v>
      </c>
      <c r="L6212" s="16">
        <f>106.43 - (106.43 * $E$1)</f>
        <v>106.43</v>
      </c>
      <c r="M6212" s="1">
        <v>129.84</v>
      </c>
      <c r="N6212" s="1">
        <v>106.43</v>
      </c>
      <c r="O6212" s="1">
        <v>110.37</v>
      </c>
      <c r="P6212" s="1">
        <v>90.47</v>
      </c>
      <c r="Q6212">
        <v>2.8000000000000001E-2</v>
      </c>
      <c r="R6212">
        <v>4.8959999999999999E-5</v>
      </c>
    </row>
    <row r="6213" spans="1:18" ht="13.8" outlineLevel="1" x14ac:dyDescent="0.25">
      <c r="A6213">
        <v>78512</v>
      </c>
      <c r="B6213" t="s">
        <v>8621</v>
      </c>
      <c r="C6213" t="s">
        <v>8624</v>
      </c>
      <c r="D6213" s="14" t="s">
        <v>8623</v>
      </c>
      <c r="E6213" s="12" t="s">
        <v>28</v>
      </c>
      <c r="F6213" s="13" t="s">
        <v>29</v>
      </c>
      <c r="G6213">
        <v>50</v>
      </c>
      <c r="H6213" t="s">
        <v>30</v>
      </c>
      <c r="I6213">
        <v>50</v>
      </c>
      <c r="J6213" s="15"/>
      <c r="K6213" s="16">
        <f>130.03 - (130.03 * $E$1)</f>
        <v>130.03</v>
      </c>
      <c r="L6213" s="16">
        <f>106.58 - (106.58 * $E$1)</f>
        <v>106.58</v>
      </c>
      <c r="M6213" s="1">
        <v>130.03</v>
      </c>
      <c r="N6213" s="1">
        <v>106.58</v>
      </c>
      <c r="O6213" s="1">
        <v>110.52</v>
      </c>
      <c r="P6213" s="1">
        <v>90.59</v>
      </c>
      <c r="Q6213">
        <v>3.2000000000000001E-2</v>
      </c>
      <c r="R6213">
        <v>5.7599999999999997E-5</v>
      </c>
    </row>
    <row r="6214" spans="1:18" ht="13.8" outlineLevel="1" x14ac:dyDescent="0.25">
      <c r="A6214">
        <v>78513</v>
      </c>
      <c r="B6214" t="s">
        <v>8621</v>
      </c>
      <c r="C6214" t="s">
        <v>8625</v>
      </c>
      <c r="D6214" s="14" t="s">
        <v>8623</v>
      </c>
      <c r="E6214" s="12" t="s">
        <v>28</v>
      </c>
      <c r="F6214" s="13" t="s">
        <v>29</v>
      </c>
      <c r="G6214">
        <v>50</v>
      </c>
      <c r="H6214" t="s">
        <v>30</v>
      </c>
      <c r="I6214">
        <v>50</v>
      </c>
      <c r="J6214" s="15"/>
      <c r="K6214" s="16">
        <f>142.84 - (142.84 * $E$1)</f>
        <v>142.84</v>
      </c>
      <c r="L6214" s="16">
        <f>117.08 - (117.08 * $E$1)</f>
        <v>117.08</v>
      </c>
      <c r="M6214" s="1">
        <v>142.84</v>
      </c>
      <c r="N6214" s="1">
        <v>117.08</v>
      </c>
      <c r="O6214" s="1">
        <v>121.41</v>
      </c>
      <c r="P6214" s="1">
        <v>99.52</v>
      </c>
      <c r="Q6214">
        <v>3.4000000000000002E-2</v>
      </c>
      <c r="R6214">
        <v>9.2E-5</v>
      </c>
    </row>
    <row r="6215" spans="1:18" ht="13.8" outlineLevel="1" x14ac:dyDescent="0.25">
      <c r="A6215">
        <v>78514</v>
      </c>
      <c r="B6215" t="s">
        <v>8621</v>
      </c>
      <c r="C6215" t="s">
        <v>8626</v>
      </c>
      <c r="D6215" s="14" t="s">
        <v>8623</v>
      </c>
      <c r="E6215" s="12" t="s">
        <v>28</v>
      </c>
      <c r="F6215" s="13" t="s">
        <v>29</v>
      </c>
      <c r="G6215">
        <v>50</v>
      </c>
      <c r="H6215" t="s">
        <v>30</v>
      </c>
      <c r="I6215">
        <v>50</v>
      </c>
      <c r="J6215" s="15"/>
      <c r="K6215" s="16">
        <f>167.71 - (167.71 * $E$1)</f>
        <v>167.71</v>
      </c>
      <c r="L6215" s="16">
        <f>137.47 - (137.47 * $E$1)</f>
        <v>137.47</v>
      </c>
      <c r="M6215" s="1">
        <v>167.71</v>
      </c>
      <c r="N6215" s="1">
        <v>137.47</v>
      </c>
      <c r="O6215" s="1">
        <v>142.56</v>
      </c>
      <c r="P6215" s="1">
        <v>116.85</v>
      </c>
      <c r="Q6215">
        <v>3.7999999999999999E-2</v>
      </c>
      <c r="R6215">
        <v>1.0399999999999999E-4</v>
      </c>
    </row>
    <row r="6216" spans="1:18" ht="13.8" outlineLevel="1" x14ac:dyDescent="0.25">
      <c r="A6216">
        <v>78515</v>
      </c>
      <c r="B6216" t="s">
        <v>8621</v>
      </c>
      <c r="C6216" t="s">
        <v>8627</v>
      </c>
      <c r="D6216" s="14" t="s">
        <v>8623</v>
      </c>
      <c r="E6216" s="12" t="s">
        <v>28</v>
      </c>
      <c r="F6216" s="13" t="s">
        <v>29</v>
      </c>
      <c r="G6216">
        <v>10</v>
      </c>
      <c r="H6216" t="s">
        <v>30</v>
      </c>
      <c r="I6216">
        <v>10</v>
      </c>
      <c r="J6216" s="15"/>
      <c r="K6216" s="16">
        <f>198.01 - (198.01 * $E$1)</f>
        <v>198.01</v>
      </c>
      <c r="L6216" s="16">
        <f>162.3 - (162.3 * $E$1)</f>
        <v>162.30000000000001</v>
      </c>
      <c r="M6216" s="1">
        <v>198.01</v>
      </c>
      <c r="N6216" s="1">
        <v>162.30000000000001</v>
      </c>
      <c r="O6216" s="1">
        <v>168.31</v>
      </c>
      <c r="P6216" s="1">
        <v>137.96</v>
      </c>
      <c r="Q6216">
        <v>0.04</v>
      </c>
      <c r="R6216">
        <v>2.24E-4</v>
      </c>
    </row>
    <row r="6217" spans="1:18" ht="13.8" outlineLevel="1" x14ac:dyDescent="0.25">
      <c r="A6217">
        <v>78516</v>
      </c>
      <c r="B6217" t="s">
        <v>8621</v>
      </c>
      <c r="C6217" t="s">
        <v>8628</v>
      </c>
      <c r="D6217" s="14" t="s">
        <v>8623</v>
      </c>
      <c r="E6217" s="12" t="s">
        <v>28</v>
      </c>
      <c r="F6217" s="13" t="s">
        <v>29</v>
      </c>
      <c r="G6217">
        <v>10</v>
      </c>
      <c r="H6217" t="s">
        <v>30</v>
      </c>
      <c r="I6217">
        <v>10</v>
      </c>
      <c r="J6217" s="15"/>
      <c r="K6217" s="16">
        <f>213.77 - (213.77 * $E$1)</f>
        <v>213.77</v>
      </c>
      <c r="L6217" s="16">
        <f>175.22 - (175.22 * $E$1)</f>
        <v>175.22</v>
      </c>
      <c r="M6217" s="1">
        <v>213.77</v>
      </c>
      <c r="N6217" s="1">
        <v>175.22</v>
      </c>
      <c r="O6217" s="1">
        <v>181.7</v>
      </c>
      <c r="P6217" s="1">
        <v>148.94</v>
      </c>
      <c r="Q6217">
        <v>0.05</v>
      </c>
      <c r="R6217">
        <v>3.1500000000000001E-4</v>
      </c>
    </row>
    <row r="6218" spans="1:18" ht="13.8" outlineLevel="1" x14ac:dyDescent="0.25">
      <c r="A6218">
        <v>78517</v>
      </c>
      <c r="B6218" t="s">
        <v>8621</v>
      </c>
      <c r="C6218" t="s">
        <v>8629</v>
      </c>
      <c r="D6218" s="14" t="s">
        <v>8623</v>
      </c>
      <c r="E6218" s="12" t="s">
        <v>28</v>
      </c>
      <c r="F6218" s="13" t="s">
        <v>29</v>
      </c>
      <c r="G6218">
        <v>10</v>
      </c>
      <c r="H6218" t="s">
        <v>30</v>
      </c>
      <c r="I6218">
        <v>10</v>
      </c>
      <c r="J6218" s="15"/>
      <c r="K6218" s="16">
        <f>231.41 - (231.41 * $E$1)</f>
        <v>231.41</v>
      </c>
      <c r="L6218" s="16">
        <f>189.68 - (189.68 * $E$1)</f>
        <v>189.68</v>
      </c>
      <c r="M6218" s="1">
        <v>231.41</v>
      </c>
      <c r="N6218" s="1">
        <v>189.68</v>
      </c>
      <c r="O6218" s="1">
        <v>196.7</v>
      </c>
      <c r="P6218" s="1">
        <v>161.22999999999999</v>
      </c>
      <c r="Q6218">
        <v>0.05</v>
      </c>
      <c r="R6218">
        <v>3.2400000000000001E-4</v>
      </c>
    </row>
    <row r="6219" spans="1:18" ht="13.8" outlineLevel="1" x14ac:dyDescent="0.25">
      <c r="A6219">
        <v>78861</v>
      </c>
      <c r="B6219" t="s">
        <v>8621</v>
      </c>
      <c r="C6219" t="s">
        <v>8630</v>
      </c>
      <c r="D6219" s="14" t="s">
        <v>8623</v>
      </c>
      <c r="E6219" s="12" t="s">
        <v>28</v>
      </c>
      <c r="F6219" s="13" t="s">
        <v>29</v>
      </c>
      <c r="G6219">
        <v>10</v>
      </c>
      <c r="H6219" t="s">
        <v>30</v>
      </c>
      <c r="I6219">
        <v>10</v>
      </c>
      <c r="J6219" s="15"/>
      <c r="K6219" s="16">
        <f>243.74 - (243.74 * $E$1)</f>
        <v>243.74</v>
      </c>
      <c r="L6219" s="16">
        <f>199.79 - (199.79 * $E$1)</f>
        <v>199.79</v>
      </c>
      <c r="M6219" s="1">
        <v>243.74</v>
      </c>
      <c r="N6219" s="1">
        <v>199.79</v>
      </c>
      <c r="O6219" s="1">
        <v>207.18</v>
      </c>
      <c r="P6219" s="1">
        <v>169.82</v>
      </c>
      <c r="Q6219">
        <v>0.05</v>
      </c>
      <c r="R6219">
        <v>3.2400000000000001E-4</v>
      </c>
    </row>
    <row r="6220" spans="1:18" ht="13.8" outlineLevel="1" x14ac:dyDescent="0.25">
      <c r="A6220">
        <v>84642</v>
      </c>
      <c r="B6220" t="s">
        <v>8621</v>
      </c>
      <c r="C6220" t="s">
        <v>8631</v>
      </c>
      <c r="D6220" s="14" t="s">
        <v>8632</v>
      </c>
      <c r="E6220" s="12" t="s">
        <v>28</v>
      </c>
      <c r="F6220" s="13" t="s">
        <v>29</v>
      </c>
      <c r="G6220">
        <v>50</v>
      </c>
      <c r="H6220" t="s">
        <v>30</v>
      </c>
      <c r="I6220">
        <v>50</v>
      </c>
      <c r="J6220" s="15"/>
      <c r="K6220" s="16">
        <f>180.02 - (180.02 * $E$1)</f>
        <v>180.02</v>
      </c>
      <c r="L6220" s="16">
        <f>147.56 - (147.56 * $E$1)</f>
        <v>147.56</v>
      </c>
      <c r="M6220" s="1">
        <v>180.02</v>
      </c>
      <c r="N6220" s="1">
        <v>147.56</v>
      </c>
      <c r="O6220" s="1">
        <v>153.02000000000001</v>
      </c>
      <c r="P6220" s="1">
        <v>125.43</v>
      </c>
      <c r="Q6220">
        <v>2.8000000000000001E-2</v>
      </c>
      <c r="R6220">
        <v>4.8959999999999999E-5</v>
      </c>
    </row>
    <row r="6221" spans="1:18" ht="13.8" outlineLevel="1" x14ac:dyDescent="0.25">
      <c r="A6221">
        <v>83243</v>
      </c>
      <c r="B6221" t="s">
        <v>8621</v>
      </c>
      <c r="C6221" t="s">
        <v>8633</v>
      </c>
      <c r="D6221" s="14" t="s">
        <v>8632</v>
      </c>
      <c r="E6221" s="12" t="s">
        <v>28</v>
      </c>
      <c r="F6221" s="13" t="s">
        <v>29</v>
      </c>
      <c r="G6221">
        <v>50</v>
      </c>
      <c r="H6221" t="s">
        <v>30</v>
      </c>
      <c r="I6221">
        <v>50</v>
      </c>
      <c r="J6221" s="15"/>
      <c r="K6221" s="16">
        <f>180.23 - (180.23 * $E$1)</f>
        <v>180.23</v>
      </c>
      <c r="L6221" s="16">
        <f>147.73 - (147.73 * $E$1)</f>
        <v>147.72999999999999</v>
      </c>
      <c r="M6221" s="1">
        <v>180.23</v>
      </c>
      <c r="N6221" s="1">
        <v>147.72999999999999</v>
      </c>
      <c r="O6221" s="1">
        <v>153.19999999999999</v>
      </c>
      <c r="P6221" s="1">
        <v>125.57</v>
      </c>
      <c r="Q6221">
        <v>3.2000000000000001E-2</v>
      </c>
      <c r="R6221">
        <v>5.4719999999999998E-5</v>
      </c>
    </row>
    <row r="6222" spans="1:18" ht="13.8" outlineLevel="1" x14ac:dyDescent="0.25">
      <c r="A6222">
        <v>83244</v>
      </c>
      <c r="B6222" t="s">
        <v>8621</v>
      </c>
      <c r="C6222" t="s">
        <v>8634</v>
      </c>
      <c r="D6222" s="14" t="s">
        <v>8632</v>
      </c>
      <c r="E6222" s="12" t="s">
        <v>28</v>
      </c>
      <c r="F6222" s="13" t="s">
        <v>29</v>
      </c>
      <c r="G6222">
        <v>50</v>
      </c>
      <c r="H6222" t="s">
        <v>30</v>
      </c>
      <c r="I6222">
        <v>50</v>
      </c>
      <c r="J6222" s="15"/>
      <c r="K6222" s="16">
        <f>194.61 - (194.61 * $E$1)</f>
        <v>194.61</v>
      </c>
      <c r="L6222" s="16">
        <f>159.52 - (159.52 * $E$1)</f>
        <v>159.52000000000001</v>
      </c>
      <c r="M6222" s="1">
        <v>194.61</v>
      </c>
      <c r="N6222" s="1">
        <v>159.52000000000001</v>
      </c>
      <c r="O6222" s="1">
        <v>165.42</v>
      </c>
      <c r="P6222" s="1">
        <v>135.59</v>
      </c>
      <c r="Q6222">
        <v>3.4000000000000002E-2</v>
      </c>
      <c r="R6222">
        <v>7.36E-5</v>
      </c>
    </row>
    <row r="6223" spans="1:18" ht="13.8" outlineLevel="1" x14ac:dyDescent="0.25">
      <c r="A6223">
        <v>83245</v>
      </c>
      <c r="B6223" t="s">
        <v>8621</v>
      </c>
      <c r="C6223" t="s">
        <v>8635</v>
      </c>
      <c r="D6223" s="14" t="s">
        <v>8632</v>
      </c>
      <c r="E6223" s="12" t="s">
        <v>28</v>
      </c>
      <c r="F6223" s="13" t="s">
        <v>29</v>
      </c>
      <c r="G6223">
        <v>50</v>
      </c>
      <c r="H6223" t="s">
        <v>30</v>
      </c>
      <c r="I6223">
        <v>50</v>
      </c>
      <c r="J6223" s="15"/>
      <c r="K6223" s="16">
        <f>201.63 - (201.63 * $E$1)</f>
        <v>201.63</v>
      </c>
      <c r="L6223" s="16">
        <f>165.27 - (165.27 * $E$1)</f>
        <v>165.27</v>
      </c>
      <c r="M6223" s="1">
        <v>201.63</v>
      </c>
      <c r="N6223" s="1">
        <v>165.27</v>
      </c>
      <c r="O6223" s="1">
        <v>171.38</v>
      </c>
      <c r="P6223" s="1">
        <v>140.47999999999999</v>
      </c>
      <c r="Q6223">
        <v>3.7999999999999999E-2</v>
      </c>
      <c r="R6223">
        <v>1.3200000000000001E-4</v>
      </c>
    </row>
    <row r="6224" spans="1:18" ht="13.8" outlineLevel="1" x14ac:dyDescent="0.25">
      <c r="A6224">
        <v>83246</v>
      </c>
      <c r="B6224" t="s">
        <v>8621</v>
      </c>
      <c r="C6224" t="s">
        <v>8636</v>
      </c>
      <c r="D6224" s="14" t="s">
        <v>8632</v>
      </c>
      <c r="E6224" s="12" t="s">
        <v>28</v>
      </c>
      <c r="F6224" s="13" t="s">
        <v>29</v>
      </c>
      <c r="G6224">
        <v>10</v>
      </c>
      <c r="H6224" t="s">
        <v>30</v>
      </c>
      <c r="I6224">
        <v>10</v>
      </c>
      <c r="J6224" s="15"/>
      <c r="K6224" s="16">
        <f>231.92 - (231.92 * $E$1)</f>
        <v>231.92</v>
      </c>
      <c r="L6224" s="16">
        <f>190.1 - (190.1 * $E$1)</f>
        <v>190.1</v>
      </c>
      <c r="M6224" s="1">
        <v>231.92</v>
      </c>
      <c r="N6224" s="1">
        <v>190.1</v>
      </c>
      <c r="O6224" s="1">
        <v>197.13</v>
      </c>
      <c r="P6224" s="1">
        <v>161.59</v>
      </c>
      <c r="Q6224">
        <v>0.04</v>
      </c>
      <c r="R6224">
        <v>2.1599999999999999E-4</v>
      </c>
    </row>
    <row r="6225" spans="1:18" ht="13.8" outlineLevel="1" x14ac:dyDescent="0.25">
      <c r="A6225">
        <v>83247</v>
      </c>
      <c r="B6225" t="s">
        <v>8621</v>
      </c>
      <c r="C6225" t="s">
        <v>8637</v>
      </c>
      <c r="D6225" s="14" t="s">
        <v>8632</v>
      </c>
      <c r="E6225" s="12" t="s">
        <v>28</v>
      </c>
      <c r="F6225" s="13" t="s">
        <v>29</v>
      </c>
      <c r="G6225">
        <v>10</v>
      </c>
      <c r="H6225" t="s">
        <v>30</v>
      </c>
      <c r="I6225">
        <v>10</v>
      </c>
      <c r="J6225" s="15"/>
      <c r="K6225" s="16">
        <f>247.7 - (247.7 * $E$1)</f>
        <v>247.7</v>
      </c>
      <c r="L6225" s="16">
        <f>203.03 - (203.03 * $E$1)</f>
        <v>203.03</v>
      </c>
      <c r="M6225" s="1">
        <v>247.7</v>
      </c>
      <c r="N6225" s="1">
        <v>203.03</v>
      </c>
      <c r="O6225" s="1">
        <v>210.54</v>
      </c>
      <c r="P6225" s="1">
        <v>172.58</v>
      </c>
      <c r="Q6225">
        <v>0.04</v>
      </c>
      <c r="R6225">
        <v>2.652E-4</v>
      </c>
    </row>
    <row r="6226" spans="1:18" ht="13.8" outlineLevel="1" x14ac:dyDescent="0.25">
      <c r="A6226">
        <v>83248</v>
      </c>
      <c r="B6226" t="s">
        <v>8621</v>
      </c>
      <c r="C6226" t="s">
        <v>8638</v>
      </c>
      <c r="D6226" s="14" t="s">
        <v>8632</v>
      </c>
      <c r="E6226" s="12" t="s">
        <v>28</v>
      </c>
      <c r="F6226" s="13" t="s">
        <v>29</v>
      </c>
      <c r="G6226">
        <v>10</v>
      </c>
      <c r="H6226" t="s">
        <v>30</v>
      </c>
      <c r="I6226">
        <v>10</v>
      </c>
      <c r="J6226" s="15"/>
      <c r="K6226" s="16">
        <f>265.35 - (265.35 * $E$1)</f>
        <v>265.35000000000002</v>
      </c>
      <c r="L6226" s="16">
        <f>217.5 - (217.5 * $E$1)</f>
        <v>217.5</v>
      </c>
      <c r="M6226" s="1">
        <v>265.35000000000002</v>
      </c>
      <c r="N6226" s="1">
        <v>217.5</v>
      </c>
      <c r="O6226" s="1">
        <v>225.55</v>
      </c>
      <c r="P6226" s="1">
        <v>184.88</v>
      </c>
      <c r="Q6226">
        <v>0.05</v>
      </c>
      <c r="R6226">
        <v>2.8899999999999998E-4</v>
      </c>
    </row>
    <row r="6227" spans="1:18" ht="13.8" outlineLevel="1" x14ac:dyDescent="0.25">
      <c r="A6227">
        <v>83249</v>
      </c>
      <c r="B6227" t="s">
        <v>8621</v>
      </c>
      <c r="C6227" t="s">
        <v>8639</v>
      </c>
      <c r="D6227" s="14" t="s">
        <v>8632</v>
      </c>
      <c r="E6227" s="12" t="s">
        <v>28</v>
      </c>
      <c r="F6227" s="13" t="s">
        <v>29</v>
      </c>
      <c r="G6227">
        <v>10</v>
      </c>
      <c r="H6227" t="s">
        <v>30</v>
      </c>
      <c r="I6227">
        <v>10</v>
      </c>
      <c r="J6227" s="15"/>
      <c r="K6227" s="16">
        <f>277.68 - (277.68 * $E$1)</f>
        <v>277.68</v>
      </c>
      <c r="L6227" s="16">
        <f>227.61 - (227.61 * $E$1)</f>
        <v>227.61</v>
      </c>
      <c r="M6227" s="1">
        <v>277.68</v>
      </c>
      <c r="N6227" s="1">
        <v>227.61</v>
      </c>
      <c r="O6227" s="1">
        <v>236.03</v>
      </c>
      <c r="P6227" s="1">
        <v>193.47</v>
      </c>
      <c r="Q6227">
        <v>0.05</v>
      </c>
      <c r="R6227">
        <v>1.9599999999999999E-4</v>
      </c>
    </row>
    <row r="6228" spans="1:18" ht="13.8" outlineLevel="1" x14ac:dyDescent="0.25">
      <c r="A6228">
        <v>83236</v>
      </c>
      <c r="B6228" t="s">
        <v>8640</v>
      </c>
      <c r="C6228" t="s">
        <v>8641</v>
      </c>
      <c r="D6228" s="14" t="s">
        <v>8642</v>
      </c>
      <c r="E6228" s="12" t="s">
        <v>28</v>
      </c>
      <c r="F6228" s="13" t="s">
        <v>29</v>
      </c>
      <c r="G6228">
        <v>10</v>
      </c>
      <c r="H6228" t="s">
        <v>30</v>
      </c>
      <c r="I6228">
        <v>10</v>
      </c>
      <c r="J6228" s="15"/>
      <c r="K6228" s="16">
        <f>300.32 - (300.32 * $E$1)</f>
        <v>300.32</v>
      </c>
      <c r="L6228" s="16">
        <f>246.16 - (246.16 * $E$1)</f>
        <v>246.16</v>
      </c>
      <c r="M6228" s="1">
        <v>300.32</v>
      </c>
      <c r="N6228" s="1">
        <v>246.16</v>
      </c>
      <c r="O6228" s="1">
        <v>255.27</v>
      </c>
      <c r="P6228" s="1">
        <v>209.24</v>
      </c>
      <c r="Q6228">
        <v>0.06</v>
      </c>
      <c r="R6228">
        <v>9.1000000000000003E-5</v>
      </c>
    </row>
    <row r="6229" spans="1:18" ht="13.8" outlineLevel="1" x14ac:dyDescent="0.25">
      <c r="A6229">
        <v>83237</v>
      </c>
      <c r="B6229" t="s">
        <v>8640</v>
      </c>
      <c r="C6229" t="s">
        <v>8643</v>
      </c>
      <c r="D6229" s="14" t="s">
        <v>8642</v>
      </c>
      <c r="E6229" s="12" t="s">
        <v>28</v>
      </c>
      <c r="F6229" s="13" t="s">
        <v>29</v>
      </c>
      <c r="G6229">
        <v>10</v>
      </c>
      <c r="H6229" t="s">
        <v>30</v>
      </c>
      <c r="I6229">
        <v>10</v>
      </c>
      <c r="J6229" s="15"/>
      <c r="K6229" s="16">
        <f>317.03 - (317.03 * $E$1)</f>
        <v>317.02999999999997</v>
      </c>
      <c r="L6229" s="16">
        <f>259.86 - (259.86 * $E$1)</f>
        <v>259.86</v>
      </c>
      <c r="M6229" s="1">
        <v>317.02999999999997</v>
      </c>
      <c r="N6229" s="1">
        <v>259.86</v>
      </c>
      <c r="O6229" s="1">
        <v>269.47000000000003</v>
      </c>
      <c r="P6229" s="1">
        <v>220.88</v>
      </c>
      <c r="Q6229">
        <v>0.06</v>
      </c>
      <c r="R6229">
        <v>1.176E-4</v>
      </c>
    </row>
    <row r="6230" spans="1:18" ht="13.8" outlineLevel="1" x14ac:dyDescent="0.25">
      <c r="A6230">
        <v>83238</v>
      </c>
      <c r="B6230" t="s">
        <v>8640</v>
      </c>
      <c r="C6230" t="s">
        <v>8644</v>
      </c>
      <c r="D6230" s="14" t="s">
        <v>8642</v>
      </c>
      <c r="E6230" s="12" t="s">
        <v>28</v>
      </c>
      <c r="F6230" s="13" t="s">
        <v>29</v>
      </c>
      <c r="G6230">
        <v>10</v>
      </c>
      <c r="H6230" t="s">
        <v>30</v>
      </c>
      <c r="I6230">
        <v>10</v>
      </c>
      <c r="J6230" s="15"/>
      <c r="K6230" s="16">
        <f>336.52 - (336.52 * $E$1)</f>
        <v>336.52</v>
      </c>
      <c r="L6230" s="16">
        <f>275.84 - (275.84 * $E$1)</f>
        <v>275.83999999999997</v>
      </c>
      <c r="M6230" s="1">
        <v>336.52</v>
      </c>
      <c r="N6230" s="1">
        <v>275.83999999999997</v>
      </c>
      <c r="O6230" s="1">
        <v>286.05</v>
      </c>
      <c r="P6230" s="1">
        <v>234.46</v>
      </c>
      <c r="Q6230">
        <v>7.0000000000000007E-2</v>
      </c>
      <c r="R6230">
        <v>1.2540000000000001E-4</v>
      </c>
    </row>
    <row r="6231" spans="1:18" ht="13.8" outlineLevel="1" x14ac:dyDescent="0.25">
      <c r="A6231">
        <v>83239</v>
      </c>
      <c r="B6231" t="s">
        <v>8640</v>
      </c>
      <c r="C6231" t="s">
        <v>8645</v>
      </c>
      <c r="D6231" s="14" t="s">
        <v>8642</v>
      </c>
      <c r="E6231" s="12" t="s">
        <v>28</v>
      </c>
      <c r="F6231" s="13" t="s">
        <v>29</v>
      </c>
      <c r="G6231">
        <v>10</v>
      </c>
      <c r="H6231" t="s">
        <v>30</v>
      </c>
      <c r="I6231">
        <v>10</v>
      </c>
      <c r="J6231" s="15"/>
      <c r="K6231" s="16">
        <f>360.86 - (360.86 * $E$1)</f>
        <v>360.86</v>
      </c>
      <c r="L6231" s="16">
        <f>295.79 - (295.79 * $E$1)</f>
        <v>295.79000000000002</v>
      </c>
      <c r="M6231" s="1">
        <v>360.86</v>
      </c>
      <c r="N6231" s="1">
        <v>295.79000000000002</v>
      </c>
      <c r="O6231" s="1">
        <v>306.73</v>
      </c>
      <c r="P6231" s="1">
        <v>251.42</v>
      </c>
      <c r="Q6231">
        <v>7.0000000000000007E-2</v>
      </c>
      <c r="R6231">
        <v>1.75E-4</v>
      </c>
    </row>
    <row r="6232" spans="1:18" ht="13.8" outlineLevel="1" x14ac:dyDescent="0.25">
      <c r="A6232">
        <v>83240</v>
      </c>
      <c r="B6232" t="s">
        <v>8640</v>
      </c>
      <c r="C6232" t="s">
        <v>8646</v>
      </c>
      <c r="D6232" s="14" t="s">
        <v>8642</v>
      </c>
      <c r="E6232" s="12" t="s">
        <v>28</v>
      </c>
      <c r="F6232" s="13" t="s">
        <v>29</v>
      </c>
      <c r="G6232">
        <v>10</v>
      </c>
      <c r="H6232" t="s">
        <v>30</v>
      </c>
      <c r="I6232">
        <v>10</v>
      </c>
      <c r="J6232" s="15"/>
      <c r="K6232" s="16">
        <f>387.59 - (387.59 * $E$1)</f>
        <v>387.59</v>
      </c>
      <c r="L6232" s="16">
        <f>317.7 - (317.7 * $E$1)</f>
        <v>317.7</v>
      </c>
      <c r="M6232" s="1">
        <v>387.59</v>
      </c>
      <c r="N6232" s="1">
        <v>317.7</v>
      </c>
      <c r="O6232" s="1">
        <v>329.45</v>
      </c>
      <c r="P6232" s="1">
        <v>270.05</v>
      </c>
      <c r="Q6232">
        <v>0.08</v>
      </c>
      <c r="R6232">
        <v>2.2949999999999999E-4</v>
      </c>
    </row>
    <row r="6233" spans="1:18" ht="13.8" outlineLevel="1" x14ac:dyDescent="0.25">
      <c r="A6233">
        <v>83241</v>
      </c>
      <c r="B6233" t="s">
        <v>8640</v>
      </c>
      <c r="C6233" t="s">
        <v>8647</v>
      </c>
      <c r="D6233" s="14" t="s">
        <v>8642</v>
      </c>
      <c r="E6233" s="12" t="s">
        <v>28</v>
      </c>
      <c r="F6233" s="13" t="s">
        <v>29</v>
      </c>
      <c r="G6233">
        <v>10</v>
      </c>
      <c r="H6233" t="s">
        <v>30</v>
      </c>
      <c r="I6233">
        <v>10</v>
      </c>
      <c r="J6233" s="15"/>
      <c r="K6233" s="16">
        <f>437.47 - (437.47 * $E$1)</f>
        <v>437.47</v>
      </c>
      <c r="L6233" s="16">
        <f>358.58 - (358.58 * $E$1)</f>
        <v>358.58</v>
      </c>
      <c r="M6233" s="1">
        <v>437.47</v>
      </c>
      <c r="N6233" s="1">
        <v>358.58</v>
      </c>
      <c r="O6233" s="1">
        <v>371.85</v>
      </c>
      <c r="P6233" s="1">
        <v>304.79000000000002</v>
      </c>
      <c r="Q6233">
        <v>0.09</v>
      </c>
      <c r="R6233">
        <v>3.2000000000000003E-4</v>
      </c>
    </row>
  </sheetData>
  <mergeCells count="9">
    <mergeCell ref="K4:L4"/>
    <mergeCell ref="M4:N4"/>
    <mergeCell ref="O4:P4"/>
    <mergeCell ref="A1:B3"/>
    <mergeCell ref="C1:D2"/>
    <mergeCell ref="E1:E2"/>
    <mergeCell ref="F1:H2"/>
    <mergeCell ref="G3:I3"/>
    <mergeCell ref="G4:I4"/>
  </mergeCells>
  <hyperlinks>
    <hyperlink ref="E8" r:id="rId1" xr:uid="{00000000-0004-0000-0000-000000000000}"/>
    <hyperlink ref="E9" r:id="rId2" xr:uid="{00000000-0004-0000-0000-000001000000}"/>
    <hyperlink ref="E10" r:id="rId3" xr:uid="{00000000-0004-0000-0000-000002000000}"/>
    <hyperlink ref="E11" r:id="rId4" xr:uid="{00000000-0004-0000-0000-000003000000}"/>
    <hyperlink ref="E12" r:id="rId5" xr:uid="{00000000-0004-0000-0000-000004000000}"/>
    <hyperlink ref="E13" r:id="rId6" xr:uid="{00000000-0004-0000-0000-000005000000}"/>
    <hyperlink ref="E14" r:id="rId7" xr:uid="{00000000-0004-0000-0000-000006000000}"/>
    <hyperlink ref="E15" r:id="rId8" xr:uid="{00000000-0004-0000-0000-000007000000}"/>
    <hyperlink ref="E16" r:id="rId9" xr:uid="{00000000-0004-0000-0000-000008000000}"/>
    <hyperlink ref="E17" r:id="rId10" xr:uid="{00000000-0004-0000-0000-000009000000}"/>
    <hyperlink ref="E18" r:id="rId11" xr:uid="{00000000-0004-0000-0000-00000A000000}"/>
    <hyperlink ref="E19" r:id="rId12" xr:uid="{00000000-0004-0000-0000-00000B000000}"/>
    <hyperlink ref="E20" r:id="rId13" xr:uid="{00000000-0004-0000-0000-00000C000000}"/>
    <hyperlink ref="E21" r:id="rId14" xr:uid="{00000000-0004-0000-0000-00000D000000}"/>
    <hyperlink ref="E22" r:id="rId15" xr:uid="{00000000-0004-0000-0000-00000E000000}"/>
    <hyperlink ref="E23" r:id="rId16" xr:uid="{00000000-0004-0000-0000-00000F000000}"/>
    <hyperlink ref="E24" r:id="rId17" xr:uid="{00000000-0004-0000-0000-000010000000}"/>
    <hyperlink ref="E25" r:id="rId18" xr:uid="{00000000-0004-0000-0000-000011000000}"/>
    <hyperlink ref="E26" r:id="rId19" xr:uid="{00000000-0004-0000-0000-000012000000}"/>
    <hyperlink ref="E27" r:id="rId20" xr:uid="{00000000-0004-0000-0000-000013000000}"/>
    <hyperlink ref="E28" r:id="rId21" xr:uid="{00000000-0004-0000-0000-000014000000}"/>
    <hyperlink ref="E29" r:id="rId22" xr:uid="{00000000-0004-0000-0000-000015000000}"/>
    <hyperlink ref="E30" r:id="rId23" xr:uid="{00000000-0004-0000-0000-000016000000}"/>
    <hyperlink ref="E31" r:id="rId24" xr:uid="{00000000-0004-0000-0000-000017000000}"/>
    <hyperlink ref="E32" r:id="rId25" xr:uid="{00000000-0004-0000-0000-000018000000}"/>
    <hyperlink ref="E33" r:id="rId26" xr:uid="{00000000-0004-0000-0000-000019000000}"/>
    <hyperlink ref="E34" r:id="rId27" xr:uid="{00000000-0004-0000-0000-00001A000000}"/>
    <hyperlink ref="E35" r:id="rId28" xr:uid="{00000000-0004-0000-0000-00001B000000}"/>
    <hyperlink ref="E36" r:id="rId29" xr:uid="{00000000-0004-0000-0000-00001C000000}"/>
    <hyperlink ref="E37" r:id="rId30" xr:uid="{00000000-0004-0000-0000-00001D000000}"/>
    <hyperlink ref="E38" r:id="rId31" xr:uid="{00000000-0004-0000-0000-00001E000000}"/>
    <hyperlink ref="E39" r:id="rId32" xr:uid="{00000000-0004-0000-0000-00001F000000}"/>
    <hyperlink ref="E40" r:id="rId33" xr:uid="{00000000-0004-0000-0000-000020000000}"/>
    <hyperlink ref="E41" r:id="rId34" xr:uid="{00000000-0004-0000-0000-000021000000}"/>
    <hyperlink ref="E42" r:id="rId35" xr:uid="{00000000-0004-0000-0000-000022000000}"/>
    <hyperlink ref="E43" r:id="rId36" xr:uid="{00000000-0004-0000-0000-000023000000}"/>
    <hyperlink ref="E44" r:id="rId37" xr:uid="{00000000-0004-0000-0000-000024000000}"/>
    <hyperlink ref="E45" r:id="rId38" xr:uid="{00000000-0004-0000-0000-000025000000}"/>
    <hyperlink ref="E46" r:id="rId39" xr:uid="{00000000-0004-0000-0000-000026000000}"/>
    <hyperlink ref="E47" r:id="rId40" xr:uid="{00000000-0004-0000-0000-000027000000}"/>
    <hyperlink ref="E48" r:id="rId41" xr:uid="{00000000-0004-0000-0000-000028000000}"/>
    <hyperlink ref="E49" r:id="rId42" xr:uid="{00000000-0004-0000-0000-000029000000}"/>
    <hyperlink ref="E50" r:id="rId43" xr:uid="{00000000-0004-0000-0000-00002A000000}"/>
    <hyperlink ref="E51" r:id="rId44" xr:uid="{00000000-0004-0000-0000-00002B000000}"/>
    <hyperlink ref="E52" r:id="rId45" xr:uid="{00000000-0004-0000-0000-00002C000000}"/>
    <hyperlink ref="E53" r:id="rId46" xr:uid="{00000000-0004-0000-0000-00002D000000}"/>
    <hyperlink ref="E54" r:id="rId47" xr:uid="{00000000-0004-0000-0000-00002E000000}"/>
    <hyperlink ref="E55" r:id="rId48" xr:uid="{00000000-0004-0000-0000-00002F000000}"/>
    <hyperlink ref="E56" r:id="rId49" xr:uid="{00000000-0004-0000-0000-000030000000}"/>
    <hyperlink ref="E57" r:id="rId50" xr:uid="{00000000-0004-0000-0000-000031000000}"/>
    <hyperlink ref="E58" r:id="rId51" xr:uid="{00000000-0004-0000-0000-000032000000}"/>
    <hyperlink ref="E59" r:id="rId52" xr:uid="{00000000-0004-0000-0000-000033000000}"/>
    <hyperlink ref="E60" r:id="rId53" xr:uid="{00000000-0004-0000-0000-000034000000}"/>
    <hyperlink ref="E61" r:id="rId54" xr:uid="{00000000-0004-0000-0000-000035000000}"/>
    <hyperlink ref="E62" r:id="rId55" xr:uid="{00000000-0004-0000-0000-000036000000}"/>
    <hyperlink ref="E63" r:id="rId56" xr:uid="{00000000-0004-0000-0000-000037000000}"/>
    <hyperlink ref="E64" r:id="rId57" xr:uid="{00000000-0004-0000-0000-000038000000}"/>
    <hyperlink ref="E65" r:id="rId58" xr:uid="{00000000-0004-0000-0000-000039000000}"/>
    <hyperlink ref="E66" r:id="rId59" xr:uid="{00000000-0004-0000-0000-00003A000000}"/>
    <hyperlink ref="E67" r:id="rId60" xr:uid="{00000000-0004-0000-0000-00003B000000}"/>
    <hyperlink ref="E68" r:id="rId61" xr:uid="{00000000-0004-0000-0000-00003C000000}"/>
    <hyperlink ref="E69" r:id="rId62" xr:uid="{00000000-0004-0000-0000-00003D000000}"/>
    <hyperlink ref="E70" r:id="rId63" xr:uid="{00000000-0004-0000-0000-00003E000000}"/>
    <hyperlink ref="E71" r:id="rId64" xr:uid="{00000000-0004-0000-0000-00003F000000}"/>
    <hyperlink ref="E72" r:id="rId65" xr:uid="{00000000-0004-0000-0000-000040000000}"/>
    <hyperlink ref="E73" r:id="rId66" xr:uid="{00000000-0004-0000-0000-000041000000}"/>
    <hyperlink ref="E74" r:id="rId67" xr:uid="{00000000-0004-0000-0000-000042000000}"/>
    <hyperlink ref="E75" r:id="rId68" xr:uid="{00000000-0004-0000-0000-000043000000}"/>
    <hyperlink ref="E76" r:id="rId69" xr:uid="{00000000-0004-0000-0000-000044000000}"/>
    <hyperlink ref="E77" r:id="rId70" xr:uid="{00000000-0004-0000-0000-000045000000}"/>
    <hyperlink ref="E78" r:id="rId71" xr:uid="{00000000-0004-0000-0000-000046000000}"/>
    <hyperlink ref="E79" r:id="rId72" xr:uid="{00000000-0004-0000-0000-000047000000}"/>
    <hyperlink ref="E80" r:id="rId73" xr:uid="{00000000-0004-0000-0000-000048000000}"/>
    <hyperlink ref="E81" r:id="rId74" xr:uid="{00000000-0004-0000-0000-000049000000}"/>
    <hyperlink ref="E82" r:id="rId75" xr:uid="{00000000-0004-0000-0000-00004A000000}"/>
    <hyperlink ref="E83" r:id="rId76" xr:uid="{00000000-0004-0000-0000-00004B000000}"/>
    <hyperlink ref="E84" r:id="rId77" xr:uid="{00000000-0004-0000-0000-00004C000000}"/>
    <hyperlink ref="E85" r:id="rId78" xr:uid="{00000000-0004-0000-0000-00004D000000}"/>
    <hyperlink ref="E86" r:id="rId79" xr:uid="{00000000-0004-0000-0000-00004E000000}"/>
    <hyperlink ref="E87" r:id="rId80" xr:uid="{00000000-0004-0000-0000-00004F000000}"/>
    <hyperlink ref="E88" r:id="rId81" xr:uid="{00000000-0004-0000-0000-000050000000}"/>
    <hyperlink ref="E89" r:id="rId82" xr:uid="{00000000-0004-0000-0000-000051000000}"/>
    <hyperlink ref="E90" r:id="rId83" xr:uid="{00000000-0004-0000-0000-000052000000}"/>
    <hyperlink ref="E91" r:id="rId84" xr:uid="{00000000-0004-0000-0000-000053000000}"/>
    <hyperlink ref="E92" r:id="rId85" xr:uid="{00000000-0004-0000-0000-000054000000}"/>
    <hyperlink ref="E93" r:id="rId86" xr:uid="{00000000-0004-0000-0000-000055000000}"/>
    <hyperlink ref="E94" r:id="rId87" xr:uid="{00000000-0004-0000-0000-000056000000}"/>
    <hyperlink ref="E95" r:id="rId88" xr:uid="{00000000-0004-0000-0000-000057000000}"/>
    <hyperlink ref="E96" r:id="rId89" xr:uid="{00000000-0004-0000-0000-000058000000}"/>
    <hyperlink ref="E97" r:id="rId90" xr:uid="{00000000-0004-0000-0000-000059000000}"/>
    <hyperlink ref="E98" r:id="rId91" xr:uid="{00000000-0004-0000-0000-00005A000000}"/>
    <hyperlink ref="E99" r:id="rId92" xr:uid="{00000000-0004-0000-0000-00005B000000}"/>
    <hyperlink ref="E100" r:id="rId93" xr:uid="{00000000-0004-0000-0000-00005C000000}"/>
    <hyperlink ref="E101" r:id="rId94" xr:uid="{00000000-0004-0000-0000-00005D000000}"/>
    <hyperlink ref="E102" r:id="rId95" xr:uid="{00000000-0004-0000-0000-00005E000000}"/>
    <hyperlink ref="E103" r:id="rId96" xr:uid="{00000000-0004-0000-0000-00005F000000}"/>
    <hyperlink ref="E104" r:id="rId97" xr:uid="{00000000-0004-0000-0000-000060000000}"/>
    <hyperlink ref="E105" r:id="rId98" xr:uid="{00000000-0004-0000-0000-000061000000}"/>
    <hyperlink ref="E106" r:id="rId99" xr:uid="{00000000-0004-0000-0000-000062000000}"/>
    <hyperlink ref="E107" r:id="rId100" xr:uid="{00000000-0004-0000-0000-000063000000}"/>
    <hyperlink ref="E108" r:id="rId101" xr:uid="{00000000-0004-0000-0000-000064000000}"/>
    <hyperlink ref="E109" r:id="rId102" xr:uid="{00000000-0004-0000-0000-000065000000}"/>
    <hyperlink ref="E110" r:id="rId103" xr:uid="{00000000-0004-0000-0000-000066000000}"/>
    <hyperlink ref="E111" r:id="rId104" xr:uid="{00000000-0004-0000-0000-000067000000}"/>
    <hyperlink ref="E112" r:id="rId105" xr:uid="{00000000-0004-0000-0000-000068000000}"/>
    <hyperlink ref="E113" r:id="rId106" xr:uid="{00000000-0004-0000-0000-000069000000}"/>
    <hyperlink ref="E114" r:id="rId107" xr:uid="{00000000-0004-0000-0000-00006A000000}"/>
    <hyperlink ref="E115" r:id="rId108" xr:uid="{00000000-0004-0000-0000-00006B000000}"/>
    <hyperlink ref="E116" r:id="rId109" xr:uid="{00000000-0004-0000-0000-00006C000000}"/>
    <hyperlink ref="E117" r:id="rId110" xr:uid="{00000000-0004-0000-0000-00006D000000}"/>
    <hyperlink ref="E118" r:id="rId111" xr:uid="{00000000-0004-0000-0000-00006E000000}"/>
    <hyperlink ref="E119" r:id="rId112" xr:uid="{00000000-0004-0000-0000-00006F000000}"/>
    <hyperlink ref="E120" r:id="rId113" xr:uid="{00000000-0004-0000-0000-000070000000}"/>
    <hyperlink ref="E121" r:id="rId114" xr:uid="{00000000-0004-0000-0000-000071000000}"/>
    <hyperlink ref="E122" r:id="rId115" xr:uid="{00000000-0004-0000-0000-000072000000}"/>
    <hyperlink ref="E123" r:id="rId116" xr:uid="{00000000-0004-0000-0000-000073000000}"/>
    <hyperlink ref="E124" r:id="rId117" xr:uid="{00000000-0004-0000-0000-000074000000}"/>
    <hyperlink ref="E125" r:id="rId118" xr:uid="{00000000-0004-0000-0000-000075000000}"/>
    <hyperlink ref="E126" r:id="rId119" xr:uid="{00000000-0004-0000-0000-000076000000}"/>
    <hyperlink ref="E127" r:id="rId120" xr:uid="{00000000-0004-0000-0000-000077000000}"/>
    <hyperlink ref="E128" r:id="rId121" xr:uid="{00000000-0004-0000-0000-000078000000}"/>
    <hyperlink ref="E129" r:id="rId122" xr:uid="{00000000-0004-0000-0000-000079000000}"/>
    <hyperlink ref="E130" r:id="rId123" xr:uid="{00000000-0004-0000-0000-00007A000000}"/>
    <hyperlink ref="E131" r:id="rId124" xr:uid="{00000000-0004-0000-0000-00007B000000}"/>
    <hyperlink ref="E132" r:id="rId125" xr:uid="{00000000-0004-0000-0000-00007C000000}"/>
    <hyperlink ref="E133" r:id="rId126" xr:uid="{00000000-0004-0000-0000-00007D000000}"/>
    <hyperlink ref="E134" r:id="rId127" xr:uid="{00000000-0004-0000-0000-00007E000000}"/>
    <hyperlink ref="E135" r:id="rId128" xr:uid="{00000000-0004-0000-0000-00007F000000}"/>
    <hyperlink ref="E136" r:id="rId129" xr:uid="{00000000-0004-0000-0000-000080000000}"/>
    <hyperlink ref="E137" r:id="rId130" xr:uid="{00000000-0004-0000-0000-000081000000}"/>
    <hyperlink ref="E138" r:id="rId131" xr:uid="{00000000-0004-0000-0000-000082000000}"/>
    <hyperlink ref="E139" r:id="rId132" xr:uid="{00000000-0004-0000-0000-000083000000}"/>
    <hyperlink ref="E140" r:id="rId133" xr:uid="{00000000-0004-0000-0000-000084000000}"/>
    <hyperlink ref="E141" r:id="rId134" xr:uid="{00000000-0004-0000-0000-000085000000}"/>
    <hyperlink ref="E142" r:id="rId135" xr:uid="{00000000-0004-0000-0000-000086000000}"/>
    <hyperlink ref="E143" r:id="rId136" xr:uid="{00000000-0004-0000-0000-000087000000}"/>
    <hyperlink ref="E144" r:id="rId137" xr:uid="{00000000-0004-0000-0000-000088000000}"/>
    <hyperlink ref="E145" r:id="rId138" xr:uid="{00000000-0004-0000-0000-000089000000}"/>
    <hyperlink ref="E146" r:id="rId139" xr:uid="{00000000-0004-0000-0000-00008A000000}"/>
    <hyperlink ref="E147" r:id="rId140" xr:uid="{00000000-0004-0000-0000-00008B000000}"/>
    <hyperlink ref="E148" r:id="rId141" xr:uid="{00000000-0004-0000-0000-00008C000000}"/>
    <hyperlink ref="E149" r:id="rId142" xr:uid="{00000000-0004-0000-0000-00008D000000}"/>
    <hyperlink ref="E150" r:id="rId143" xr:uid="{00000000-0004-0000-0000-00008E000000}"/>
    <hyperlink ref="E151" r:id="rId144" xr:uid="{00000000-0004-0000-0000-00008F000000}"/>
    <hyperlink ref="E152" r:id="rId145" xr:uid="{00000000-0004-0000-0000-000090000000}"/>
    <hyperlink ref="E153" r:id="rId146" xr:uid="{00000000-0004-0000-0000-000091000000}"/>
    <hyperlink ref="E154" r:id="rId147" xr:uid="{00000000-0004-0000-0000-000092000000}"/>
    <hyperlink ref="E155" r:id="rId148" xr:uid="{00000000-0004-0000-0000-000093000000}"/>
    <hyperlink ref="E156" r:id="rId149" xr:uid="{00000000-0004-0000-0000-000094000000}"/>
    <hyperlink ref="E157" r:id="rId150" xr:uid="{00000000-0004-0000-0000-000095000000}"/>
    <hyperlink ref="E158" r:id="rId151" xr:uid="{00000000-0004-0000-0000-000096000000}"/>
    <hyperlink ref="E159" r:id="rId152" xr:uid="{00000000-0004-0000-0000-000097000000}"/>
    <hyperlink ref="E160" r:id="rId153" xr:uid="{00000000-0004-0000-0000-000098000000}"/>
    <hyperlink ref="E161" r:id="rId154" xr:uid="{00000000-0004-0000-0000-000099000000}"/>
    <hyperlink ref="E162" r:id="rId155" xr:uid="{00000000-0004-0000-0000-00009A000000}"/>
    <hyperlink ref="E163" r:id="rId156" xr:uid="{00000000-0004-0000-0000-00009B000000}"/>
    <hyperlink ref="E164" r:id="rId157" xr:uid="{00000000-0004-0000-0000-00009C000000}"/>
    <hyperlink ref="E165" r:id="rId158" xr:uid="{00000000-0004-0000-0000-00009D000000}"/>
    <hyperlink ref="E166" r:id="rId159" xr:uid="{00000000-0004-0000-0000-00009E000000}"/>
    <hyperlink ref="E167" r:id="rId160" xr:uid="{00000000-0004-0000-0000-00009F000000}"/>
    <hyperlink ref="E168" r:id="rId161" xr:uid="{00000000-0004-0000-0000-0000A0000000}"/>
    <hyperlink ref="E169" r:id="rId162" xr:uid="{00000000-0004-0000-0000-0000A1000000}"/>
    <hyperlink ref="E170" r:id="rId163" xr:uid="{00000000-0004-0000-0000-0000A2000000}"/>
    <hyperlink ref="E171" r:id="rId164" xr:uid="{00000000-0004-0000-0000-0000A3000000}"/>
    <hyperlink ref="E172" r:id="rId165" xr:uid="{00000000-0004-0000-0000-0000A4000000}"/>
    <hyperlink ref="E173" r:id="rId166" xr:uid="{00000000-0004-0000-0000-0000A5000000}"/>
    <hyperlink ref="E174" r:id="rId167" xr:uid="{00000000-0004-0000-0000-0000A6000000}"/>
    <hyperlink ref="E175" r:id="rId168" xr:uid="{00000000-0004-0000-0000-0000A7000000}"/>
    <hyperlink ref="E176" r:id="rId169" xr:uid="{00000000-0004-0000-0000-0000A8000000}"/>
    <hyperlink ref="E177" r:id="rId170" xr:uid="{00000000-0004-0000-0000-0000A9000000}"/>
    <hyperlink ref="E178" r:id="rId171" xr:uid="{00000000-0004-0000-0000-0000AA000000}"/>
    <hyperlink ref="E179" r:id="rId172" xr:uid="{00000000-0004-0000-0000-0000AB000000}"/>
    <hyperlink ref="E180" r:id="rId173" xr:uid="{00000000-0004-0000-0000-0000AC000000}"/>
    <hyperlink ref="E181" r:id="rId174" xr:uid="{00000000-0004-0000-0000-0000AD000000}"/>
    <hyperlink ref="E182" r:id="rId175" xr:uid="{00000000-0004-0000-0000-0000AE000000}"/>
    <hyperlink ref="E183" r:id="rId176" xr:uid="{00000000-0004-0000-0000-0000AF000000}"/>
    <hyperlink ref="E184" r:id="rId177" xr:uid="{00000000-0004-0000-0000-0000B0000000}"/>
    <hyperlink ref="E185" r:id="rId178" xr:uid="{00000000-0004-0000-0000-0000B1000000}"/>
    <hyperlink ref="E186" r:id="rId179" xr:uid="{00000000-0004-0000-0000-0000B2000000}"/>
    <hyperlink ref="E187" r:id="rId180" xr:uid="{00000000-0004-0000-0000-0000B3000000}"/>
    <hyperlink ref="E188" r:id="rId181" xr:uid="{00000000-0004-0000-0000-0000B4000000}"/>
    <hyperlink ref="E189" r:id="rId182" xr:uid="{00000000-0004-0000-0000-0000B5000000}"/>
    <hyperlink ref="E190" r:id="rId183" xr:uid="{00000000-0004-0000-0000-0000B6000000}"/>
    <hyperlink ref="E191" r:id="rId184" xr:uid="{00000000-0004-0000-0000-0000B7000000}"/>
    <hyperlink ref="E192" r:id="rId185" xr:uid="{00000000-0004-0000-0000-0000B8000000}"/>
    <hyperlink ref="E193" r:id="rId186" xr:uid="{00000000-0004-0000-0000-0000B9000000}"/>
    <hyperlink ref="E194" r:id="rId187" xr:uid="{00000000-0004-0000-0000-0000BA000000}"/>
    <hyperlink ref="E195" r:id="rId188" xr:uid="{00000000-0004-0000-0000-0000BB000000}"/>
    <hyperlink ref="E196" r:id="rId189" xr:uid="{00000000-0004-0000-0000-0000BC000000}"/>
    <hyperlink ref="E197" r:id="rId190" xr:uid="{00000000-0004-0000-0000-0000BD000000}"/>
    <hyperlink ref="E198" r:id="rId191" xr:uid="{00000000-0004-0000-0000-0000BE000000}"/>
    <hyperlink ref="E199" r:id="rId192" xr:uid="{00000000-0004-0000-0000-0000BF000000}"/>
    <hyperlink ref="E200" r:id="rId193" xr:uid="{00000000-0004-0000-0000-0000C0000000}"/>
    <hyperlink ref="E201" r:id="rId194" xr:uid="{00000000-0004-0000-0000-0000C1000000}"/>
    <hyperlink ref="E202" r:id="rId195" xr:uid="{00000000-0004-0000-0000-0000C2000000}"/>
    <hyperlink ref="E203" r:id="rId196" xr:uid="{00000000-0004-0000-0000-0000C3000000}"/>
    <hyperlink ref="E204" r:id="rId197" xr:uid="{00000000-0004-0000-0000-0000C4000000}"/>
    <hyperlink ref="E205" r:id="rId198" xr:uid="{00000000-0004-0000-0000-0000C5000000}"/>
    <hyperlink ref="E206" r:id="rId199" xr:uid="{00000000-0004-0000-0000-0000C6000000}"/>
    <hyperlink ref="E207" r:id="rId200" xr:uid="{00000000-0004-0000-0000-0000C7000000}"/>
    <hyperlink ref="E208" r:id="rId201" xr:uid="{00000000-0004-0000-0000-0000C8000000}"/>
    <hyperlink ref="E209" r:id="rId202" xr:uid="{00000000-0004-0000-0000-0000C9000000}"/>
    <hyperlink ref="E210" r:id="rId203" xr:uid="{00000000-0004-0000-0000-0000CA000000}"/>
    <hyperlink ref="E211" r:id="rId204" xr:uid="{00000000-0004-0000-0000-0000CB000000}"/>
    <hyperlink ref="E212" r:id="rId205" xr:uid="{00000000-0004-0000-0000-0000CC000000}"/>
    <hyperlink ref="E213" r:id="rId206" xr:uid="{00000000-0004-0000-0000-0000CD000000}"/>
    <hyperlink ref="E214" r:id="rId207" xr:uid="{00000000-0004-0000-0000-0000CE000000}"/>
    <hyperlink ref="E215" r:id="rId208" xr:uid="{00000000-0004-0000-0000-0000CF000000}"/>
    <hyperlink ref="E216" r:id="rId209" xr:uid="{00000000-0004-0000-0000-0000D0000000}"/>
    <hyperlink ref="E217" r:id="rId210" xr:uid="{00000000-0004-0000-0000-0000D1000000}"/>
    <hyperlink ref="E218" r:id="rId211" xr:uid="{00000000-0004-0000-0000-0000D2000000}"/>
    <hyperlink ref="E219" r:id="rId212" xr:uid="{00000000-0004-0000-0000-0000D3000000}"/>
    <hyperlink ref="E220" r:id="rId213" xr:uid="{00000000-0004-0000-0000-0000D4000000}"/>
    <hyperlink ref="E221" r:id="rId214" xr:uid="{00000000-0004-0000-0000-0000D5000000}"/>
    <hyperlink ref="E222" r:id="rId215" xr:uid="{00000000-0004-0000-0000-0000D6000000}"/>
    <hyperlink ref="E223" r:id="rId216" xr:uid="{00000000-0004-0000-0000-0000D7000000}"/>
    <hyperlink ref="E224" r:id="rId217" xr:uid="{00000000-0004-0000-0000-0000D8000000}"/>
    <hyperlink ref="E225" r:id="rId218" xr:uid="{00000000-0004-0000-0000-0000D9000000}"/>
    <hyperlink ref="E226" r:id="rId219" xr:uid="{00000000-0004-0000-0000-0000DA000000}"/>
    <hyperlink ref="E227" r:id="rId220" xr:uid="{00000000-0004-0000-0000-0000DB000000}"/>
    <hyperlink ref="E228" r:id="rId221" xr:uid="{00000000-0004-0000-0000-0000DC000000}"/>
    <hyperlink ref="E229" r:id="rId222" xr:uid="{00000000-0004-0000-0000-0000DD000000}"/>
    <hyperlink ref="E230" r:id="rId223" xr:uid="{00000000-0004-0000-0000-0000DE000000}"/>
    <hyperlink ref="E231" r:id="rId224" xr:uid="{00000000-0004-0000-0000-0000DF000000}"/>
    <hyperlink ref="E232" r:id="rId225" xr:uid="{00000000-0004-0000-0000-0000E0000000}"/>
    <hyperlink ref="E233" r:id="rId226" xr:uid="{00000000-0004-0000-0000-0000E1000000}"/>
    <hyperlink ref="E234" r:id="rId227" xr:uid="{00000000-0004-0000-0000-0000E2000000}"/>
    <hyperlink ref="E235" r:id="rId228" xr:uid="{00000000-0004-0000-0000-0000E3000000}"/>
    <hyperlink ref="E236" r:id="rId229" xr:uid="{00000000-0004-0000-0000-0000E4000000}"/>
    <hyperlink ref="E237" r:id="rId230" xr:uid="{00000000-0004-0000-0000-0000E5000000}"/>
    <hyperlink ref="E238" r:id="rId231" xr:uid="{00000000-0004-0000-0000-0000E6000000}"/>
    <hyperlink ref="E239" r:id="rId232" xr:uid="{00000000-0004-0000-0000-0000E7000000}"/>
    <hyperlink ref="E240" r:id="rId233" xr:uid="{00000000-0004-0000-0000-0000E8000000}"/>
    <hyperlink ref="E241" r:id="rId234" xr:uid="{00000000-0004-0000-0000-0000E9000000}"/>
    <hyperlink ref="E242" r:id="rId235" xr:uid="{00000000-0004-0000-0000-0000EA000000}"/>
    <hyperlink ref="E243" r:id="rId236" xr:uid="{00000000-0004-0000-0000-0000EB000000}"/>
    <hyperlink ref="E244" r:id="rId237" xr:uid="{00000000-0004-0000-0000-0000EC000000}"/>
    <hyperlink ref="E245" r:id="rId238" xr:uid="{00000000-0004-0000-0000-0000ED000000}"/>
    <hyperlink ref="E246" r:id="rId239" xr:uid="{00000000-0004-0000-0000-0000EE000000}"/>
    <hyperlink ref="E247" r:id="rId240" xr:uid="{00000000-0004-0000-0000-0000EF000000}"/>
    <hyperlink ref="E248" r:id="rId241" xr:uid="{00000000-0004-0000-0000-0000F0000000}"/>
    <hyperlink ref="E249" r:id="rId242" xr:uid="{00000000-0004-0000-0000-0000F1000000}"/>
    <hyperlink ref="E250" r:id="rId243" xr:uid="{00000000-0004-0000-0000-0000F2000000}"/>
    <hyperlink ref="E251" r:id="rId244" xr:uid="{00000000-0004-0000-0000-0000F3000000}"/>
    <hyperlink ref="E252" r:id="rId245" xr:uid="{00000000-0004-0000-0000-0000F4000000}"/>
    <hyperlink ref="E253" r:id="rId246" xr:uid="{00000000-0004-0000-0000-0000F5000000}"/>
    <hyperlink ref="E254" r:id="rId247" xr:uid="{00000000-0004-0000-0000-0000F6000000}"/>
    <hyperlink ref="E255" r:id="rId248" xr:uid="{00000000-0004-0000-0000-0000F7000000}"/>
    <hyperlink ref="E256" r:id="rId249" xr:uid="{00000000-0004-0000-0000-0000F8000000}"/>
    <hyperlink ref="E257" r:id="rId250" xr:uid="{00000000-0004-0000-0000-0000F9000000}"/>
    <hyperlink ref="E258" r:id="rId251" xr:uid="{00000000-0004-0000-0000-0000FA000000}"/>
    <hyperlink ref="E259" r:id="rId252" xr:uid="{00000000-0004-0000-0000-0000FB000000}"/>
    <hyperlink ref="E260" r:id="rId253" xr:uid="{00000000-0004-0000-0000-0000FC000000}"/>
    <hyperlink ref="E261" r:id="rId254" xr:uid="{00000000-0004-0000-0000-0000FD000000}"/>
    <hyperlink ref="E262" r:id="rId255" xr:uid="{00000000-0004-0000-0000-0000FE000000}"/>
    <hyperlink ref="E263" r:id="rId256" xr:uid="{00000000-0004-0000-0000-0000FF000000}"/>
    <hyperlink ref="E264" r:id="rId257" xr:uid="{00000000-0004-0000-0000-000000010000}"/>
    <hyperlink ref="E265" r:id="rId258" xr:uid="{00000000-0004-0000-0000-000001010000}"/>
    <hyperlink ref="E266" r:id="rId259" xr:uid="{00000000-0004-0000-0000-000002010000}"/>
    <hyperlink ref="E267" r:id="rId260" xr:uid="{00000000-0004-0000-0000-000003010000}"/>
    <hyperlink ref="E268" r:id="rId261" xr:uid="{00000000-0004-0000-0000-000004010000}"/>
    <hyperlink ref="E269" r:id="rId262" xr:uid="{00000000-0004-0000-0000-000005010000}"/>
    <hyperlink ref="E270" r:id="rId263" xr:uid="{00000000-0004-0000-0000-000006010000}"/>
    <hyperlink ref="E271" r:id="rId264" xr:uid="{00000000-0004-0000-0000-000007010000}"/>
    <hyperlink ref="E272" r:id="rId265" xr:uid="{00000000-0004-0000-0000-000008010000}"/>
    <hyperlink ref="E273" r:id="rId266" xr:uid="{00000000-0004-0000-0000-000009010000}"/>
    <hyperlink ref="E274" r:id="rId267" xr:uid="{00000000-0004-0000-0000-00000A010000}"/>
    <hyperlink ref="E275" r:id="rId268" xr:uid="{00000000-0004-0000-0000-00000B010000}"/>
    <hyperlink ref="E276" r:id="rId269" xr:uid="{00000000-0004-0000-0000-00000C010000}"/>
    <hyperlink ref="E277" r:id="rId270" xr:uid="{00000000-0004-0000-0000-00000D010000}"/>
    <hyperlink ref="E278" r:id="rId271" xr:uid="{00000000-0004-0000-0000-00000E010000}"/>
    <hyperlink ref="E279" r:id="rId272" xr:uid="{00000000-0004-0000-0000-00000F010000}"/>
    <hyperlink ref="E280" r:id="rId273" xr:uid="{00000000-0004-0000-0000-000010010000}"/>
    <hyperlink ref="E281" r:id="rId274" xr:uid="{00000000-0004-0000-0000-000011010000}"/>
    <hyperlink ref="E282" r:id="rId275" xr:uid="{00000000-0004-0000-0000-000012010000}"/>
    <hyperlink ref="E283" r:id="rId276" xr:uid="{00000000-0004-0000-0000-000013010000}"/>
    <hyperlink ref="E284" r:id="rId277" xr:uid="{00000000-0004-0000-0000-000014010000}"/>
    <hyperlink ref="E285" r:id="rId278" xr:uid="{00000000-0004-0000-0000-000015010000}"/>
    <hyperlink ref="E286" r:id="rId279" xr:uid="{00000000-0004-0000-0000-000016010000}"/>
    <hyperlink ref="E287" r:id="rId280" xr:uid="{00000000-0004-0000-0000-000017010000}"/>
    <hyperlink ref="E288" r:id="rId281" xr:uid="{00000000-0004-0000-0000-000018010000}"/>
    <hyperlink ref="E289" r:id="rId282" xr:uid="{00000000-0004-0000-0000-000019010000}"/>
    <hyperlink ref="E290" r:id="rId283" xr:uid="{00000000-0004-0000-0000-00001A010000}"/>
    <hyperlink ref="E291" r:id="rId284" xr:uid="{00000000-0004-0000-0000-00001B010000}"/>
    <hyperlink ref="E292" r:id="rId285" xr:uid="{00000000-0004-0000-0000-00001C010000}"/>
    <hyperlink ref="E293" r:id="rId286" xr:uid="{00000000-0004-0000-0000-00001D010000}"/>
    <hyperlink ref="E294" r:id="rId287" xr:uid="{00000000-0004-0000-0000-00001E010000}"/>
    <hyperlink ref="E295" r:id="rId288" xr:uid="{00000000-0004-0000-0000-00001F010000}"/>
    <hyperlink ref="E296" r:id="rId289" xr:uid="{00000000-0004-0000-0000-000020010000}"/>
    <hyperlink ref="E297" r:id="rId290" xr:uid="{00000000-0004-0000-0000-000021010000}"/>
    <hyperlink ref="E298" r:id="rId291" xr:uid="{00000000-0004-0000-0000-000022010000}"/>
    <hyperlink ref="E299" r:id="rId292" xr:uid="{00000000-0004-0000-0000-000023010000}"/>
    <hyperlink ref="E300" r:id="rId293" xr:uid="{00000000-0004-0000-0000-000024010000}"/>
    <hyperlink ref="E301" r:id="rId294" xr:uid="{00000000-0004-0000-0000-000025010000}"/>
    <hyperlink ref="E302" r:id="rId295" xr:uid="{00000000-0004-0000-0000-000026010000}"/>
    <hyperlink ref="E303" r:id="rId296" xr:uid="{00000000-0004-0000-0000-000027010000}"/>
    <hyperlink ref="E304" r:id="rId297" xr:uid="{00000000-0004-0000-0000-000028010000}"/>
    <hyperlink ref="E305" r:id="rId298" xr:uid="{00000000-0004-0000-0000-000029010000}"/>
    <hyperlink ref="E306" r:id="rId299" xr:uid="{00000000-0004-0000-0000-00002A010000}"/>
    <hyperlink ref="E307" r:id="rId300" xr:uid="{00000000-0004-0000-0000-00002B010000}"/>
    <hyperlink ref="E308" r:id="rId301" xr:uid="{00000000-0004-0000-0000-00002C010000}"/>
    <hyperlink ref="E309" r:id="rId302" xr:uid="{00000000-0004-0000-0000-00002D010000}"/>
    <hyperlink ref="E310" r:id="rId303" xr:uid="{00000000-0004-0000-0000-00002E010000}"/>
    <hyperlink ref="E311" r:id="rId304" xr:uid="{00000000-0004-0000-0000-00002F010000}"/>
    <hyperlink ref="E312" r:id="rId305" xr:uid="{00000000-0004-0000-0000-000030010000}"/>
    <hyperlink ref="E313" r:id="rId306" xr:uid="{00000000-0004-0000-0000-000031010000}"/>
    <hyperlink ref="E314" r:id="rId307" xr:uid="{00000000-0004-0000-0000-000032010000}"/>
    <hyperlink ref="E315" r:id="rId308" xr:uid="{00000000-0004-0000-0000-000033010000}"/>
    <hyperlink ref="E316" r:id="rId309" xr:uid="{00000000-0004-0000-0000-000034010000}"/>
    <hyperlink ref="E317" r:id="rId310" xr:uid="{00000000-0004-0000-0000-000035010000}"/>
    <hyperlink ref="E318" r:id="rId311" xr:uid="{00000000-0004-0000-0000-000036010000}"/>
    <hyperlink ref="E319" r:id="rId312" xr:uid="{00000000-0004-0000-0000-000037010000}"/>
    <hyperlink ref="E320" r:id="rId313" xr:uid="{00000000-0004-0000-0000-000038010000}"/>
    <hyperlink ref="E321" r:id="rId314" xr:uid="{00000000-0004-0000-0000-000039010000}"/>
    <hyperlink ref="E322" r:id="rId315" xr:uid="{00000000-0004-0000-0000-00003A010000}"/>
    <hyperlink ref="E323" r:id="rId316" xr:uid="{00000000-0004-0000-0000-00003B010000}"/>
    <hyperlink ref="E324" r:id="rId317" xr:uid="{00000000-0004-0000-0000-00003C010000}"/>
    <hyperlink ref="E325" r:id="rId318" xr:uid="{00000000-0004-0000-0000-00003D010000}"/>
    <hyperlink ref="E326" r:id="rId319" xr:uid="{00000000-0004-0000-0000-00003E010000}"/>
    <hyperlink ref="E327" r:id="rId320" xr:uid="{00000000-0004-0000-0000-00003F010000}"/>
    <hyperlink ref="E328" r:id="rId321" xr:uid="{00000000-0004-0000-0000-000040010000}"/>
    <hyperlink ref="E329" r:id="rId322" xr:uid="{00000000-0004-0000-0000-000041010000}"/>
    <hyperlink ref="E330" r:id="rId323" xr:uid="{00000000-0004-0000-0000-000042010000}"/>
    <hyperlink ref="E331" r:id="rId324" xr:uid="{00000000-0004-0000-0000-000043010000}"/>
    <hyperlink ref="E332" r:id="rId325" xr:uid="{00000000-0004-0000-0000-000044010000}"/>
    <hyperlink ref="E333" r:id="rId326" xr:uid="{00000000-0004-0000-0000-000045010000}"/>
    <hyperlink ref="E334" r:id="rId327" xr:uid="{00000000-0004-0000-0000-000046010000}"/>
    <hyperlink ref="E335" r:id="rId328" xr:uid="{00000000-0004-0000-0000-000047010000}"/>
    <hyperlink ref="E336" r:id="rId329" xr:uid="{00000000-0004-0000-0000-000048010000}"/>
    <hyperlink ref="E337" r:id="rId330" xr:uid="{00000000-0004-0000-0000-000049010000}"/>
    <hyperlink ref="E338" r:id="rId331" xr:uid="{00000000-0004-0000-0000-00004A010000}"/>
    <hyperlink ref="E339" r:id="rId332" xr:uid="{00000000-0004-0000-0000-00004B010000}"/>
    <hyperlink ref="E340" r:id="rId333" xr:uid="{00000000-0004-0000-0000-00004C010000}"/>
    <hyperlink ref="E341" r:id="rId334" xr:uid="{00000000-0004-0000-0000-00004D010000}"/>
    <hyperlink ref="E342" r:id="rId335" xr:uid="{00000000-0004-0000-0000-00004E010000}"/>
    <hyperlink ref="E343" r:id="rId336" xr:uid="{00000000-0004-0000-0000-00004F010000}"/>
    <hyperlink ref="E344" r:id="rId337" xr:uid="{00000000-0004-0000-0000-000050010000}"/>
    <hyperlink ref="E345" r:id="rId338" xr:uid="{00000000-0004-0000-0000-000051010000}"/>
    <hyperlink ref="E346" r:id="rId339" xr:uid="{00000000-0004-0000-0000-000052010000}"/>
    <hyperlink ref="E347" r:id="rId340" xr:uid="{00000000-0004-0000-0000-000053010000}"/>
    <hyperlink ref="E348" r:id="rId341" xr:uid="{00000000-0004-0000-0000-000054010000}"/>
    <hyperlink ref="E349" r:id="rId342" xr:uid="{00000000-0004-0000-0000-000055010000}"/>
    <hyperlink ref="E350" r:id="rId343" xr:uid="{00000000-0004-0000-0000-000056010000}"/>
    <hyperlink ref="E351" r:id="rId344" xr:uid="{00000000-0004-0000-0000-000057010000}"/>
    <hyperlink ref="E352" r:id="rId345" xr:uid="{00000000-0004-0000-0000-000058010000}"/>
    <hyperlink ref="E353" r:id="rId346" xr:uid="{00000000-0004-0000-0000-000059010000}"/>
    <hyperlink ref="E354" r:id="rId347" xr:uid="{00000000-0004-0000-0000-00005A010000}"/>
    <hyperlink ref="E355" r:id="rId348" xr:uid="{00000000-0004-0000-0000-00005B010000}"/>
    <hyperlink ref="E356" r:id="rId349" xr:uid="{00000000-0004-0000-0000-00005C010000}"/>
    <hyperlink ref="E357" r:id="rId350" xr:uid="{00000000-0004-0000-0000-00005D010000}"/>
    <hyperlink ref="E358" r:id="rId351" xr:uid="{00000000-0004-0000-0000-00005E010000}"/>
    <hyperlink ref="E359" r:id="rId352" xr:uid="{00000000-0004-0000-0000-00005F010000}"/>
    <hyperlink ref="E360" r:id="rId353" xr:uid="{00000000-0004-0000-0000-000060010000}"/>
    <hyperlink ref="E361" r:id="rId354" xr:uid="{00000000-0004-0000-0000-000061010000}"/>
    <hyperlink ref="E362" r:id="rId355" xr:uid="{00000000-0004-0000-0000-000062010000}"/>
    <hyperlink ref="E363" r:id="rId356" xr:uid="{00000000-0004-0000-0000-000063010000}"/>
    <hyperlink ref="E364" r:id="rId357" xr:uid="{00000000-0004-0000-0000-000064010000}"/>
    <hyperlink ref="E365" r:id="rId358" xr:uid="{00000000-0004-0000-0000-000065010000}"/>
    <hyperlink ref="E366" r:id="rId359" xr:uid="{00000000-0004-0000-0000-000066010000}"/>
    <hyperlink ref="E367" r:id="rId360" xr:uid="{00000000-0004-0000-0000-000067010000}"/>
    <hyperlink ref="E368" r:id="rId361" xr:uid="{00000000-0004-0000-0000-000068010000}"/>
    <hyperlink ref="E369" r:id="rId362" xr:uid="{00000000-0004-0000-0000-000069010000}"/>
    <hyperlink ref="E370" r:id="rId363" xr:uid="{00000000-0004-0000-0000-00006A010000}"/>
    <hyperlink ref="E371" r:id="rId364" xr:uid="{00000000-0004-0000-0000-00006B010000}"/>
    <hyperlink ref="E372" r:id="rId365" xr:uid="{00000000-0004-0000-0000-00006C010000}"/>
    <hyperlink ref="E373" r:id="rId366" xr:uid="{00000000-0004-0000-0000-00006D010000}"/>
    <hyperlink ref="E374" r:id="rId367" xr:uid="{00000000-0004-0000-0000-00006E010000}"/>
    <hyperlink ref="E375" r:id="rId368" xr:uid="{00000000-0004-0000-0000-00006F010000}"/>
    <hyperlink ref="E376" r:id="rId369" xr:uid="{00000000-0004-0000-0000-000070010000}"/>
    <hyperlink ref="E377" r:id="rId370" xr:uid="{00000000-0004-0000-0000-000071010000}"/>
    <hyperlink ref="E378" r:id="rId371" xr:uid="{00000000-0004-0000-0000-000072010000}"/>
    <hyperlink ref="E379" r:id="rId372" xr:uid="{00000000-0004-0000-0000-000073010000}"/>
    <hyperlink ref="E380" r:id="rId373" xr:uid="{00000000-0004-0000-0000-000074010000}"/>
    <hyperlink ref="E381" r:id="rId374" xr:uid="{00000000-0004-0000-0000-000075010000}"/>
    <hyperlink ref="E382" r:id="rId375" xr:uid="{00000000-0004-0000-0000-000076010000}"/>
    <hyperlink ref="E383" r:id="rId376" xr:uid="{00000000-0004-0000-0000-000077010000}"/>
    <hyperlink ref="E384" r:id="rId377" xr:uid="{00000000-0004-0000-0000-000078010000}"/>
    <hyperlink ref="E385" r:id="rId378" xr:uid="{00000000-0004-0000-0000-000079010000}"/>
    <hyperlink ref="E386" r:id="rId379" xr:uid="{00000000-0004-0000-0000-00007A010000}"/>
    <hyperlink ref="E388" r:id="rId380" xr:uid="{00000000-0004-0000-0000-00007B010000}"/>
    <hyperlink ref="E389" r:id="rId381" xr:uid="{00000000-0004-0000-0000-00007C010000}"/>
    <hyperlink ref="E390" r:id="rId382" xr:uid="{00000000-0004-0000-0000-00007D010000}"/>
    <hyperlink ref="E391" r:id="rId383" xr:uid="{00000000-0004-0000-0000-00007E010000}"/>
    <hyperlink ref="E392" r:id="rId384" xr:uid="{00000000-0004-0000-0000-00007F010000}"/>
    <hyperlink ref="E393" r:id="rId385" xr:uid="{00000000-0004-0000-0000-000080010000}"/>
    <hyperlink ref="E394" r:id="rId386" xr:uid="{00000000-0004-0000-0000-000081010000}"/>
    <hyperlink ref="E395" r:id="rId387" xr:uid="{00000000-0004-0000-0000-000082010000}"/>
    <hyperlink ref="E396" r:id="rId388" xr:uid="{00000000-0004-0000-0000-000083010000}"/>
    <hyperlink ref="E397" r:id="rId389" xr:uid="{00000000-0004-0000-0000-000084010000}"/>
    <hyperlink ref="E398" r:id="rId390" xr:uid="{00000000-0004-0000-0000-000085010000}"/>
    <hyperlink ref="E399" r:id="rId391" xr:uid="{00000000-0004-0000-0000-000086010000}"/>
    <hyperlink ref="E400" r:id="rId392" xr:uid="{00000000-0004-0000-0000-000087010000}"/>
    <hyperlink ref="E401" r:id="rId393" xr:uid="{00000000-0004-0000-0000-000088010000}"/>
    <hyperlink ref="E402" r:id="rId394" xr:uid="{00000000-0004-0000-0000-000089010000}"/>
    <hyperlink ref="E403" r:id="rId395" xr:uid="{00000000-0004-0000-0000-00008A010000}"/>
    <hyperlink ref="E404" r:id="rId396" xr:uid="{00000000-0004-0000-0000-00008B010000}"/>
    <hyperlink ref="E405" r:id="rId397" xr:uid="{00000000-0004-0000-0000-00008C010000}"/>
    <hyperlink ref="E406" r:id="rId398" xr:uid="{00000000-0004-0000-0000-00008D010000}"/>
    <hyperlink ref="E407" r:id="rId399" xr:uid="{00000000-0004-0000-0000-00008E010000}"/>
    <hyperlink ref="E408" r:id="rId400" xr:uid="{00000000-0004-0000-0000-00008F010000}"/>
    <hyperlink ref="E409" r:id="rId401" xr:uid="{00000000-0004-0000-0000-000090010000}"/>
    <hyperlink ref="E410" r:id="rId402" xr:uid="{00000000-0004-0000-0000-000091010000}"/>
    <hyperlink ref="E411" r:id="rId403" xr:uid="{00000000-0004-0000-0000-000092010000}"/>
    <hyperlink ref="E412" r:id="rId404" xr:uid="{00000000-0004-0000-0000-000093010000}"/>
    <hyperlink ref="E413" r:id="rId405" xr:uid="{00000000-0004-0000-0000-000094010000}"/>
    <hyperlink ref="E414" r:id="rId406" xr:uid="{00000000-0004-0000-0000-000095010000}"/>
    <hyperlink ref="E415" r:id="rId407" xr:uid="{00000000-0004-0000-0000-000096010000}"/>
    <hyperlink ref="E416" r:id="rId408" xr:uid="{00000000-0004-0000-0000-000097010000}"/>
    <hyperlink ref="E417" r:id="rId409" xr:uid="{00000000-0004-0000-0000-000098010000}"/>
    <hyperlink ref="E418" r:id="rId410" xr:uid="{00000000-0004-0000-0000-000099010000}"/>
    <hyperlink ref="E419" r:id="rId411" xr:uid="{00000000-0004-0000-0000-00009A010000}"/>
    <hyperlink ref="E420" r:id="rId412" xr:uid="{00000000-0004-0000-0000-00009B010000}"/>
    <hyperlink ref="E421" r:id="rId413" xr:uid="{00000000-0004-0000-0000-00009C010000}"/>
    <hyperlink ref="E422" r:id="rId414" xr:uid="{00000000-0004-0000-0000-00009D010000}"/>
    <hyperlink ref="E423" r:id="rId415" xr:uid="{00000000-0004-0000-0000-00009E010000}"/>
    <hyperlink ref="E424" r:id="rId416" xr:uid="{00000000-0004-0000-0000-00009F010000}"/>
    <hyperlink ref="E425" r:id="rId417" xr:uid="{00000000-0004-0000-0000-0000A0010000}"/>
    <hyperlink ref="E426" r:id="rId418" xr:uid="{00000000-0004-0000-0000-0000A1010000}"/>
    <hyperlink ref="E427" r:id="rId419" xr:uid="{00000000-0004-0000-0000-0000A2010000}"/>
    <hyperlink ref="E428" r:id="rId420" xr:uid="{00000000-0004-0000-0000-0000A3010000}"/>
    <hyperlink ref="E429" r:id="rId421" xr:uid="{00000000-0004-0000-0000-0000A4010000}"/>
    <hyperlink ref="E430" r:id="rId422" xr:uid="{00000000-0004-0000-0000-0000A5010000}"/>
    <hyperlink ref="E431" r:id="rId423" xr:uid="{00000000-0004-0000-0000-0000A6010000}"/>
    <hyperlink ref="E432" r:id="rId424" xr:uid="{00000000-0004-0000-0000-0000A7010000}"/>
    <hyperlink ref="E433" r:id="rId425" xr:uid="{00000000-0004-0000-0000-0000A8010000}"/>
    <hyperlink ref="E434" r:id="rId426" xr:uid="{00000000-0004-0000-0000-0000A9010000}"/>
    <hyperlink ref="E435" r:id="rId427" xr:uid="{00000000-0004-0000-0000-0000AA010000}"/>
    <hyperlink ref="E436" r:id="rId428" xr:uid="{00000000-0004-0000-0000-0000AB010000}"/>
    <hyperlink ref="E437" r:id="rId429" xr:uid="{00000000-0004-0000-0000-0000AC010000}"/>
    <hyperlink ref="E438" r:id="rId430" xr:uid="{00000000-0004-0000-0000-0000AD010000}"/>
    <hyperlink ref="E439" r:id="rId431" xr:uid="{00000000-0004-0000-0000-0000AE010000}"/>
    <hyperlink ref="E440" r:id="rId432" xr:uid="{00000000-0004-0000-0000-0000AF010000}"/>
    <hyperlink ref="E441" r:id="rId433" xr:uid="{00000000-0004-0000-0000-0000B0010000}"/>
    <hyperlink ref="E442" r:id="rId434" xr:uid="{00000000-0004-0000-0000-0000B1010000}"/>
    <hyperlink ref="E443" r:id="rId435" xr:uid="{00000000-0004-0000-0000-0000B2010000}"/>
    <hyperlink ref="E444" r:id="rId436" xr:uid="{00000000-0004-0000-0000-0000B3010000}"/>
    <hyperlink ref="E445" r:id="rId437" xr:uid="{00000000-0004-0000-0000-0000B4010000}"/>
    <hyperlink ref="E446" r:id="rId438" xr:uid="{00000000-0004-0000-0000-0000B5010000}"/>
    <hyperlink ref="E447" r:id="rId439" xr:uid="{00000000-0004-0000-0000-0000B6010000}"/>
    <hyperlink ref="E448" r:id="rId440" xr:uid="{00000000-0004-0000-0000-0000B7010000}"/>
    <hyperlink ref="E449" r:id="rId441" xr:uid="{00000000-0004-0000-0000-0000B8010000}"/>
    <hyperlink ref="E450" r:id="rId442" xr:uid="{00000000-0004-0000-0000-0000B9010000}"/>
    <hyperlink ref="E451" r:id="rId443" xr:uid="{00000000-0004-0000-0000-0000BA010000}"/>
    <hyperlink ref="E452" r:id="rId444" xr:uid="{00000000-0004-0000-0000-0000BB010000}"/>
    <hyperlink ref="E453" r:id="rId445" xr:uid="{00000000-0004-0000-0000-0000BC010000}"/>
    <hyperlink ref="E454" r:id="rId446" xr:uid="{00000000-0004-0000-0000-0000BD010000}"/>
    <hyperlink ref="E455" r:id="rId447" xr:uid="{00000000-0004-0000-0000-0000BE010000}"/>
    <hyperlink ref="E456" r:id="rId448" xr:uid="{00000000-0004-0000-0000-0000BF010000}"/>
    <hyperlink ref="E457" r:id="rId449" xr:uid="{00000000-0004-0000-0000-0000C0010000}"/>
    <hyperlink ref="E458" r:id="rId450" xr:uid="{00000000-0004-0000-0000-0000C1010000}"/>
    <hyperlink ref="E459" r:id="rId451" xr:uid="{00000000-0004-0000-0000-0000C2010000}"/>
    <hyperlink ref="E460" r:id="rId452" xr:uid="{00000000-0004-0000-0000-0000C3010000}"/>
    <hyperlink ref="E461" r:id="rId453" xr:uid="{00000000-0004-0000-0000-0000C4010000}"/>
    <hyperlink ref="E462" r:id="rId454" xr:uid="{00000000-0004-0000-0000-0000C5010000}"/>
    <hyperlink ref="E463" r:id="rId455" xr:uid="{00000000-0004-0000-0000-0000C6010000}"/>
    <hyperlink ref="E464" r:id="rId456" xr:uid="{00000000-0004-0000-0000-0000C7010000}"/>
    <hyperlink ref="E465" r:id="rId457" xr:uid="{00000000-0004-0000-0000-0000C8010000}"/>
    <hyperlink ref="E466" r:id="rId458" xr:uid="{00000000-0004-0000-0000-0000C9010000}"/>
    <hyperlink ref="E467" r:id="rId459" xr:uid="{00000000-0004-0000-0000-0000CA010000}"/>
    <hyperlink ref="E468" r:id="rId460" xr:uid="{00000000-0004-0000-0000-0000CB010000}"/>
    <hyperlink ref="E469" r:id="rId461" xr:uid="{00000000-0004-0000-0000-0000CC010000}"/>
    <hyperlink ref="E470" r:id="rId462" xr:uid="{00000000-0004-0000-0000-0000CD010000}"/>
    <hyperlink ref="E471" r:id="rId463" xr:uid="{00000000-0004-0000-0000-0000CE010000}"/>
    <hyperlink ref="E472" r:id="rId464" xr:uid="{00000000-0004-0000-0000-0000CF010000}"/>
    <hyperlink ref="E473" r:id="rId465" xr:uid="{00000000-0004-0000-0000-0000D0010000}"/>
    <hyperlink ref="E474" r:id="rId466" xr:uid="{00000000-0004-0000-0000-0000D1010000}"/>
    <hyperlink ref="E475" r:id="rId467" xr:uid="{00000000-0004-0000-0000-0000D2010000}"/>
    <hyperlink ref="E476" r:id="rId468" xr:uid="{00000000-0004-0000-0000-0000D3010000}"/>
    <hyperlink ref="E477" r:id="rId469" xr:uid="{00000000-0004-0000-0000-0000D4010000}"/>
    <hyperlink ref="E479" r:id="rId470" xr:uid="{00000000-0004-0000-0000-0000D5010000}"/>
    <hyperlink ref="E480" r:id="rId471" xr:uid="{00000000-0004-0000-0000-0000D6010000}"/>
    <hyperlink ref="E481" r:id="rId472" xr:uid="{00000000-0004-0000-0000-0000D7010000}"/>
    <hyperlink ref="E482" r:id="rId473" xr:uid="{00000000-0004-0000-0000-0000D8010000}"/>
    <hyperlink ref="E483" r:id="rId474" xr:uid="{00000000-0004-0000-0000-0000D9010000}"/>
    <hyperlink ref="E484" r:id="rId475" xr:uid="{00000000-0004-0000-0000-0000DA010000}"/>
    <hyperlink ref="E485" r:id="rId476" xr:uid="{00000000-0004-0000-0000-0000DB010000}"/>
    <hyperlink ref="E486" r:id="rId477" xr:uid="{00000000-0004-0000-0000-0000DC010000}"/>
    <hyperlink ref="E487" r:id="rId478" xr:uid="{00000000-0004-0000-0000-0000DD010000}"/>
    <hyperlink ref="E488" r:id="rId479" xr:uid="{00000000-0004-0000-0000-0000DE010000}"/>
    <hyperlink ref="E489" r:id="rId480" xr:uid="{00000000-0004-0000-0000-0000DF010000}"/>
    <hyperlink ref="E490" r:id="rId481" xr:uid="{00000000-0004-0000-0000-0000E0010000}"/>
    <hyperlink ref="E491" r:id="rId482" xr:uid="{00000000-0004-0000-0000-0000E1010000}"/>
    <hyperlink ref="E494" r:id="rId483" xr:uid="{00000000-0004-0000-0000-0000E2010000}"/>
    <hyperlink ref="E495" r:id="rId484" xr:uid="{00000000-0004-0000-0000-0000E3010000}"/>
    <hyperlink ref="E496" r:id="rId485" xr:uid="{00000000-0004-0000-0000-0000E4010000}"/>
    <hyperlink ref="E497" r:id="rId486" xr:uid="{00000000-0004-0000-0000-0000E5010000}"/>
    <hyperlink ref="E498" r:id="rId487" xr:uid="{00000000-0004-0000-0000-0000E6010000}"/>
    <hyperlink ref="E499" r:id="rId488" xr:uid="{00000000-0004-0000-0000-0000E7010000}"/>
    <hyperlink ref="E500" r:id="rId489" xr:uid="{00000000-0004-0000-0000-0000E8010000}"/>
    <hyperlink ref="E501" r:id="rId490" xr:uid="{00000000-0004-0000-0000-0000E9010000}"/>
    <hyperlink ref="E502" r:id="rId491" xr:uid="{00000000-0004-0000-0000-0000EA010000}"/>
    <hyperlink ref="E503" r:id="rId492" xr:uid="{00000000-0004-0000-0000-0000EB010000}"/>
    <hyperlink ref="E504" r:id="rId493" xr:uid="{00000000-0004-0000-0000-0000EC010000}"/>
    <hyperlink ref="E505" r:id="rId494" xr:uid="{00000000-0004-0000-0000-0000ED010000}"/>
    <hyperlink ref="E506" r:id="rId495" xr:uid="{00000000-0004-0000-0000-0000EE010000}"/>
    <hyperlink ref="E507" r:id="rId496" xr:uid="{00000000-0004-0000-0000-0000EF010000}"/>
    <hyperlink ref="E508" r:id="rId497" xr:uid="{00000000-0004-0000-0000-0000F0010000}"/>
    <hyperlink ref="E509" r:id="rId498" xr:uid="{00000000-0004-0000-0000-0000F1010000}"/>
    <hyperlink ref="E510" r:id="rId499" xr:uid="{00000000-0004-0000-0000-0000F2010000}"/>
    <hyperlink ref="E511" r:id="rId500" xr:uid="{00000000-0004-0000-0000-0000F3010000}"/>
    <hyperlink ref="E512" r:id="rId501" xr:uid="{00000000-0004-0000-0000-0000F4010000}"/>
    <hyperlink ref="E513" r:id="rId502" xr:uid="{00000000-0004-0000-0000-0000F5010000}"/>
    <hyperlink ref="E514" r:id="rId503" xr:uid="{00000000-0004-0000-0000-0000F6010000}"/>
    <hyperlink ref="E515" r:id="rId504" xr:uid="{00000000-0004-0000-0000-0000F7010000}"/>
    <hyperlink ref="E516" r:id="rId505" xr:uid="{00000000-0004-0000-0000-0000F8010000}"/>
    <hyperlink ref="E517" r:id="rId506" xr:uid="{00000000-0004-0000-0000-0000F9010000}"/>
    <hyperlink ref="E518" r:id="rId507" xr:uid="{00000000-0004-0000-0000-0000FA010000}"/>
    <hyperlink ref="E519" r:id="rId508" xr:uid="{00000000-0004-0000-0000-0000FB010000}"/>
    <hyperlink ref="E520" r:id="rId509" xr:uid="{00000000-0004-0000-0000-0000FC010000}"/>
    <hyperlink ref="E521" r:id="rId510" xr:uid="{00000000-0004-0000-0000-0000FD010000}"/>
    <hyperlink ref="E522" r:id="rId511" xr:uid="{00000000-0004-0000-0000-0000FE010000}"/>
    <hyperlink ref="E523" r:id="rId512" xr:uid="{00000000-0004-0000-0000-0000FF010000}"/>
    <hyperlink ref="E524" r:id="rId513" xr:uid="{00000000-0004-0000-0000-000000020000}"/>
    <hyperlink ref="E525" r:id="rId514" xr:uid="{00000000-0004-0000-0000-000001020000}"/>
    <hyperlink ref="E526" r:id="rId515" xr:uid="{00000000-0004-0000-0000-000002020000}"/>
    <hyperlink ref="E527" r:id="rId516" xr:uid="{00000000-0004-0000-0000-000003020000}"/>
    <hyperlink ref="E528" r:id="rId517" xr:uid="{00000000-0004-0000-0000-000004020000}"/>
    <hyperlink ref="E529" r:id="rId518" xr:uid="{00000000-0004-0000-0000-000005020000}"/>
    <hyperlink ref="E530" r:id="rId519" xr:uid="{00000000-0004-0000-0000-000006020000}"/>
    <hyperlink ref="E531" r:id="rId520" xr:uid="{00000000-0004-0000-0000-000007020000}"/>
    <hyperlink ref="E532" r:id="rId521" xr:uid="{00000000-0004-0000-0000-000008020000}"/>
    <hyperlink ref="E533" r:id="rId522" xr:uid="{00000000-0004-0000-0000-000009020000}"/>
    <hyperlink ref="E534" r:id="rId523" xr:uid="{00000000-0004-0000-0000-00000A020000}"/>
    <hyperlink ref="E535" r:id="rId524" xr:uid="{00000000-0004-0000-0000-00000B020000}"/>
    <hyperlink ref="E536" r:id="rId525" xr:uid="{00000000-0004-0000-0000-00000C020000}"/>
    <hyperlink ref="E537" r:id="rId526" xr:uid="{00000000-0004-0000-0000-00000D020000}"/>
    <hyperlink ref="E538" r:id="rId527" xr:uid="{00000000-0004-0000-0000-00000E020000}"/>
    <hyperlink ref="E539" r:id="rId528" xr:uid="{00000000-0004-0000-0000-00000F020000}"/>
    <hyperlink ref="E540" r:id="rId529" xr:uid="{00000000-0004-0000-0000-000010020000}"/>
    <hyperlink ref="E541" r:id="rId530" xr:uid="{00000000-0004-0000-0000-000011020000}"/>
    <hyperlink ref="E542" r:id="rId531" xr:uid="{00000000-0004-0000-0000-000012020000}"/>
    <hyperlink ref="E543" r:id="rId532" xr:uid="{00000000-0004-0000-0000-000013020000}"/>
    <hyperlink ref="E544" r:id="rId533" xr:uid="{00000000-0004-0000-0000-000014020000}"/>
    <hyperlink ref="E545" r:id="rId534" xr:uid="{00000000-0004-0000-0000-000015020000}"/>
    <hyperlink ref="E546" r:id="rId535" xr:uid="{00000000-0004-0000-0000-000016020000}"/>
    <hyperlink ref="E547" r:id="rId536" xr:uid="{00000000-0004-0000-0000-000017020000}"/>
    <hyperlink ref="E548" r:id="rId537" xr:uid="{00000000-0004-0000-0000-000018020000}"/>
    <hyperlink ref="E549" r:id="rId538" xr:uid="{00000000-0004-0000-0000-000019020000}"/>
    <hyperlink ref="E550" r:id="rId539" xr:uid="{00000000-0004-0000-0000-00001A020000}"/>
    <hyperlink ref="E551" r:id="rId540" xr:uid="{00000000-0004-0000-0000-00001B020000}"/>
    <hyperlink ref="E552" r:id="rId541" xr:uid="{00000000-0004-0000-0000-00001C020000}"/>
    <hyperlink ref="E553" r:id="rId542" xr:uid="{00000000-0004-0000-0000-00001D020000}"/>
    <hyperlink ref="E554" r:id="rId543" xr:uid="{00000000-0004-0000-0000-00001E020000}"/>
    <hyperlink ref="E555" r:id="rId544" xr:uid="{00000000-0004-0000-0000-00001F020000}"/>
    <hyperlink ref="E556" r:id="rId545" xr:uid="{00000000-0004-0000-0000-000020020000}"/>
    <hyperlink ref="E557" r:id="rId546" xr:uid="{00000000-0004-0000-0000-000021020000}"/>
    <hyperlink ref="E558" r:id="rId547" xr:uid="{00000000-0004-0000-0000-000022020000}"/>
    <hyperlink ref="E559" r:id="rId548" xr:uid="{00000000-0004-0000-0000-000023020000}"/>
    <hyperlink ref="E560" r:id="rId549" xr:uid="{00000000-0004-0000-0000-000024020000}"/>
    <hyperlink ref="E561" r:id="rId550" xr:uid="{00000000-0004-0000-0000-000025020000}"/>
    <hyperlink ref="E562" r:id="rId551" xr:uid="{00000000-0004-0000-0000-000026020000}"/>
    <hyperlink ref="E563" r:id="rId552" xr:uid="{00000000-0004-0000-0000-000027020000}"/>
    <hyperlink ref="E564" r:id="rId553" xr:uid="{00000000-0004-0000-0000-000028020000}"/>
    <hyperlink ref="E565" r:id="rId554" xr:uid="{00000000-0004-0000-0000-000029020000}"/>
    <hyperlink ref="E566" r:id="rId555" xr:uid="{00000000-0004-0000-0000-00002A020000}"/>
    <hyperlink ref="E567" r:id="rId556" xr:uid="{00000000-0004-0000-0000-00002B020000}"/>
    <hyperlink ref="E568" r:id="rId557" xr:uid="{00000000-0004-0000-0000-00002C020000}"/>
    <hyperlink ref="E569" r:id="rId558" xr:uid="{00000000-0004-0000-0000-00002D020000}"/>
    <hyperlink ref="E570" r:id="rId559" xr:uid="{00000000-0004-0000-0000-00002E020000}"/>
    <hyperlink ref="E571" r:id="rId560" xr:uid="{00000000-0004-0000-0000-00002F020000}"/>
    <hyperlink ref="E572" r:id="rId561" xr:uid="{00000000-0004-0000-0000-000030020000}"/>
    <hyperlink ref="E573" r:id="rId562" xr:uid="{00000000-0004-0000-0000-000031020000}"/>
    <hyperlink ref="E574" r:id="rId563" xr:uid="{00000000-0004-0000-0000-000032020000}"/>
    <hyperlink ref="E575" r:id="rId564" xr:uid="{00000000-0004-0000-0000-000033020000}"/>
    <hyperlink ref="E576" r:id="rId565" xr:uid="{00000000-0004-0000-0000-000034020000}"/>
    <hyperlink ref="E577" r:id="rId566" xr:uid="{00000000-0004-0000-0000-000035020000}"/>
    <hyperlink ref="E578" r:id="rId567" xr:uid="{00000000-0004-0000-0000-000036020000}"/>
    <hyperlink ref="E579" r:id="rId568" xr:uid="{00000000-0004-0000-0000-000037020000}"/>
    <hyperlink ref="E580" r:id="rId569" xr:uid="{00000000-0004-0000-0000-000038020000}"/>
    <hyperlink ref="E581" r:id="rId570" xr:uid="{00000000-0004-0000-0000-000039020000}"/>
    <hyperlink ref="E582" r:id="rId571" xr:uid="{00000000-0004-0000-0000-00003A020000}"/>
    <hyperlink ref="E583" r:id="rId572" xr:uid="{00000000-0004-0000-0000-00003B020000}"/>
    <hyperlink ref="E584" r:id="rId573" xr:uid="{00000000-0004-0000-0000-00003C020000}"/>
    <hyperlink ref="E585" r:id="rId574" xr:uid="{00000000-0004-0000-0000-00003D020000}"/>
    <hyperlink ref="E586" r:id="rId575" xr:uid="{00000000-0004-0000-0000-00003E020000}"/>
    <hyperlink ref="E587" r:id="rId576" xr:uid="{00000000-0004-0000-0000-00003F020000}"/>
    <hyperlink ref="E588" r:id="rId577" xr:uid="{00000000-0004-0000-0000-000040020000}"/>
    <hyperlink ref="E589" r:id="rId578" xr:uid="{00000000-0004-0000-0000-000041020000}"/>
    <hyperlink ref="E590" r:id="rId579" xr:uid="{00000000-0004-0000-0000-000042020000}"/>
    <hyperlink ref="E591" r:id="rId580" xr:uid="{00000000-0004-0000-0000-000043020000}"/>
    <hyperlink ref="E592" r:id="rId581" xr:uid="{00000000-0004-0000-0000-000044020000}"/>
    <hyperlink ref="E593" r:id="rId582" xr:uid="{00000000-0004-0000-0000-000045020000}"/>
    <hyperlink ref="E594" r:id="rId583" xr:uid="{00000000-0004-0000-0000-000046020000}"/>
    <hyperlink ref="E595" r:id="rId584" xr:uid="{00000000-0004-0000-0000-000047020000}"/>
    <hyperlink ref="E596" r:id="rId585" xr:uid="{00000000-0004-0000-0000-000048020000}"/>
    <hyperlink ref="E597" r:id="rId586" xr:uid="{00000000-0004-0000-0000-000049020000}"/>
    <hyperlink ref="E598" r:id="rId587" xr:uid="{00000000-0004-0000-0000-00004A020000}"/>
    <hyperlink ref="E599" r:id="rId588" xr:uid="{00000000-0004-0000-0000-00004B020000}"/>
    <hyperlink ref="E600" r:id="rId589" xr:uid="{00000000-0004-0000-0000-00004C020000}"/>
    <hyperlink ref="E601" r:id="rId590" xr:uid="{00000000-0004-0000-0000-00004D020000}"/>
    <hyperlink ref="E602" r:id="rId591" xr:uid="{00000000-0004-0000-0000-00004E020000}"/>
    <hyperlink ref="E603" r:id="rId592" xr:uid="{00000000-0004-0000-0000-00004F020000}"/>
    <hyperlink ref="E604" r:id="rId593" xr:uid="{00000000-0004-0000-0000-000050020000}"/>
    <hyperlink ref="E605" r:id="rId594" xr:uid="{00000000-0004-0000-0000-000051020000}"/>
    <hyperlink ref="E606" r:id="rId595" xr:uid="{00000000-0004-0000-0000-000052020000}"/>
    <hyperlink ref="E607" r:id="rId596" xr:uid="{00000000-0004-0000-0000-000053020000}"/>
    <hyperlink ref="E608" r:id="rId597" xr:uid="{00000000-0004-0000-0000-000054020000}"/>
    <hyperlink ref="E609" r:id="rId598" xr:uid="{00000000-0004-0000-0000-000055020000}"/>
    <hyperlink ref="E610" r:id="rId599" xr:uid="{00000000-0004-0000-0000-000056020000}"/>
    <hyperlink ref="E611" r:id="rId600" xr:uid="{00000000-0004-0000-0000-000057020000}"/>
    <hyperlink ref="E612" r:id="rId601" xr:uid="{00000000-0004-0000-0000-000058020000}"/>
    <hyperlink ref="E613" r:id="rId602" xr:uid="{00000000-0004-0000-0000-000059020000}"/>
    <hyperlink ref="E614" r:id="rId603" xr:uid="{00000000-0004-0000-0000-00005A020000}"/>
    <hyperlink ref="E615" r:id="rId604" xr:uid="{00000000-0004-0000-0000-00005B020000}"/>
    <hyperlink ref="E616" r:id="rId605" xr:uid="{00000000-0004-0000-0000-00005C020000}"/>
    <hyperlink ref="E617" r:id="rId606" xr:uid="{00000000-0004-0000-0000-00005D020000}"/>
    <hyperlink ref="E618" r:id="rId607" xr:uid="{00000000-0004-0000-0000-00005E020000}"/>
    <hyperlink ref="E619" r:id="rId608" xr:uid="{00000000-0004-0000-0000-00005F020000}"/>
    <hyperlink ref="E620" r:id="rId609" xr:uid="{00000000-0004-0000-0000-000060020000}"/>
    <hyperlink ref="E621" r:id="rId610" xr:uid="{00000000-0004-0000-0000-000061020000}"/>
    <hyperlink ref="E622" r:id="rId611" xr:uid="{00000000-0004-0000-0000-000062020000}"/>
    <hyperlink ref="E623" r:id="rId612" xr:uid="{00000000-0004-0000-0000-000063020000}"/>
    <hyperlink ref="E624" r:id="rId613" xr:uid="{00000000-0004-0000-0000-000064020000}"/>
    <hyperlink ref="E625" r:id="rId614" xr:uid="{00000000-0004-0000-0000-000065020000}"/>
    <hyperlink ref="E626" r:id="rId615" xr:uid="{00000000-0004-0000-0000-000066020000}"/>
    <hyperlink ref="E627" r:id="rId616" xr:uid="{00000000-0004-0000-0000-000067020000}"/>
    <hyperlink ref="E628" r:id="rId617" xr:uid="{00000000-0004-0000-0000-000068020000}"/>
    <hyperlink ref="E629" r:id="rId618" xr:uid="{00000000-0004-0000-0000-000069020000}"/>
    <hyperlink ref="E630" r:id="rId619" xr:uid="{00000000-0004-0000-0000-00006A020000}"/>
    <hyperlink ref="E631" r:id="rId620" xr:uid="{00000000-0004-0000-0000-00006B020000}"/>
    <hyperlink ref="E632" r:id="rId621" xr:uid="{00000000-0004-0000-0000-00006C020000}"/>
    <hyperlink ref="E633" r:id="rId622" xr:uid="{00000000-0004-0000-0000-00006D020000}"/>
    <hyperlink ref="E634" r:id="rId623" xr:uid="{00000000-0004-0000-0000-00006E020000}"/>
    <hyperlink ref="E635" r:id="rId624" xr:uid="{00000000-0004-0000-0000-00006F020000}"/>
    <hyperlink ref="E636" r:id="rId625" xr:uid="{00000000-0004-0000-0000-000070020000}"/>
    <hyperlink ref="E637" r:id="rId626" xr:uid="{00000000-0004-0000-0000-000071020000}"/>
    <hyperlink ref="E638" r:id="rId627" xr:uid="{00000000-0004-0000-0000-000072020000}"/>
    <hyperlink ref="E639" r:id="rId628" xr:uid="{00000000-0004-0000-0000-000073020000}"/>
    <hyperlink ref="E640" r:id="rId629" xr:uid="{00000000-0004-0000-0000-000074020000}"/>
    <hyperlink ref="E641" r:id="rId630" xr:uid="{00000000-0004-0000-0000-000075020000}"/>
    <hyperlink ref="E642" r:id="rId631" xr:uid="{00000000-0004-0000-0000-000076020000}"/>
    <hyperlink ref="E643" r:id="rId632" xr:uid="{00000000-0004-0000-0000-000077020000}"/>
    <hyperlink ref="E644" r:id="rId633" xr:uid="{00000000-0004-0000-0000-000078020000}"/>
    <hyperlink ref="E645" r:id="rId634" xr:uid="{00000000-0004-0000-0000-000079020000}"/>
    <hyperlink ref="E646" r:id="rId635" xr:uid="{00000000-0004-0000-0000-00007A020000}"/>
    <hyperlink ref="E647" r:id="rId636" xr:uid="{00000000-0004-0000-0000-00007B020000}"/>
    <hyperlink ref="E648" r:id="rId637" xr:uid="{00000000-0004-0000-0000-00007C020000}"/>
    <hyperlink ref="E649" r:id="rId638" xr:uid="{00000000-0004-0000-0000-00007D020000}"/>
    <hyperlink ref="E650" r:id="rId639" xr:uid="{00000000-0004-0000-0000-00007E020000}"/>
    <hyperlink ref="E651" r:id="rId640" xr:uid="{00000000-0004-0000-0000-00007F020000}"/>
    <hyperlink ref="E652" r:id="rId641" xr:uid="{00000000-0004-0000-0000-000080020000}"/>
    <hyperlink ref="E653" r:id="rId642" xr:uid="{00000000-0004-0000-0000-000081020000}"/>
    <hyperlink ref="E654" r:id="rId643" xr:uid="{00000000-0004-0000-0000-000082020000}"/>
    <hyperlink ref="E655" r:id="rId644" xr:uid="{00000000-0004-0000-0000-000083020000}"/>
    <hyperlink ref="E656" r:id="rId645" xr:uid="{00000000-0004-0000-0000-000084020000}"/>
    <hyperlink ref="E657" r:id="rId646" xr:uid="{00000000-0004-0000-0000-000085020000}"/>
    <hyperlink ref="E658" r:id="rId647" xr:uid="{00000000-0004-0000-0000-000086020000}"/>
    <hyperlink ref="E659" r:id="rId648" xr:uid="{00000000-0004-0000-0000-000087020000}"/>
    <hyperlink ref="E660" r:id="rId649" xr:uid="{00000000-0004-0000-0000-000088020000}"/>
    <hyperlink ref="E661" r:id="rId650" xr:uid="{00000000-0004-0000-0000-000089020000}"/>
    <hyperlink ref="E662" r:id="rId651" xr:uid="{00000000-0004-0000-0000-00008A020000}"/>
    <hyperlink ref="E664" r:id="rId652" xr:uid="{00000000-0004-0000-0000-00008B020000}"/>
    <hyperlink ref="E665" r:id="rId653" xr:uid="{00000000-0004-0000-0000-00008C020000}"/>
    <hyperlink ref="E666" r:id="rId654" xr:uid="{00000000-0004-0000-0000-00008D020000}"/>
    <hyperlink ref="E667" r:id="rId655" xr:uid="{00000000-0004-0000-0000-00008E020000}"/>
    <hyperlink ref="E668" r:id="rId656" xr:uid="{00000000-0004-0000-0000-00008F020000}"/>
    <hyperlink ref="E669" r:id="rId657" xr:uid="{00000000-0004-0000-0000-000090020000}"/>
    <hyperlink ref="E670" r:id="rId658" xr:uid="{00000000-0004-0000-0000-000091020000}"/>
    <hyperlink ref="E671" r:id="rId659" xr:uid="{00000000-0004-0000-0000-000092020000}"/>
    <hyperlink ref="E672" r:id="rId660" xr:uid="{00000000-0004-0000-0000-000093020000}"/>
    <hyperlink ref="E673" r:id="rId661" xr:uid="{00000000-0004-0000-0000-000094020000}"/>
    <hyperlink ref="E674" r:id="rId662" xr:uid="{00000000-0004-0000-0000-000095020000}"/>
    <hyperlink ref="E675" r:id="rId663" xr:uid="{00000000-0004-0000-0000-000096020000}"/>
    <hyperlink ref="E676" r:id="rId664" xr:uid="{00000000-0004-0000-0000-000097020000}"/>
    <hyperlink ref="E677" r:id="rId665" xr:uid="{00000000-0004-0000-0000-000098020000}"/>
    <hyperlink ref="E678" r:id="rId666" xr:uid="{00000000-0004-0000-0000-000099020000}"/>
    <hyperlink ref="E679" r:id="rId667" xr:uid="{00000000-0004-0000-0000-00009A020000}"/>
    <hyperlink ref="E680" r:id="rId668" xr:uid="{00000000-0004-0000-0000-00009B020000}"/>
    <hyperlink ref="E681" r:id="rId669" xr:uid="{00000000-0004-0000-0000-00009C020000}"/>
    <hyperlink ref="E682" r:id="rId670" xr:uid="{00000000-0004-0000-0000-00009D020000}"/>
    <hyperlink ref="E683" r:id="rId671" xr:uid="{00000000-0004-0000-0000-00009E020000}"/>
    <hyperlink ref="E684" r:id="rId672" xr:uid="{00000000-0004-0000-0000-00009F020000}"/>
    <hyperlink ref="E685" r:id="rId673" xr:uid="{00000000-0004-0000-0000-0000A0020000}"/>
    <hyperlink ref="E686" r:id="rId674" xr:uid="{00000000-0004-0000-0000-0000A1020000}"/>
    <hyperlink ref="E687" r:id="rId675" xr:uid="{00000000-0004-0000-0000-0000A2020000}"/>
    <hyperlink ref="E688" r:id="rId676" xr:uid="{00000000-0004-0000-0000-0000A3020000}"/>
    <hyperlink ref="E689" r:id="rId677" xr:uid="{00000000-0004-0000-0000-0000A4020000}"/>
    <hyperlink ref="E690" r:id="rId678" xr:uid="{00000000-0004-0000-0000-0000A5020000}"/>
    <hyperlink ref="E691" r:id="rId679" xr:uid="{00000000-0004-0000-0000-0000A6020000}"/>
    <hyperlink ref="E692" r:id="rId680" xr:uid="{00000000-0004-0000-0000-0000A7020000}"/>
    <hyperlink ref="E693" r:id="rId681" xr:uid="{00000000-0004-0000-0000-0000A8020000}"/>
    <hyperlink ref="E694" r:id="rId682" xr:uid="{00000000-0004-0000-0000-0000A9020000}"/>
    <hyperlink ref="E695" r:id="rId683" xr:uid="{00000000-0004-0000-0000-0000AA020000}"/>
    <hyperlink ref="E696" r:id="rId684" xr:uid="{00000000-0004-0000-0000-0000AB020000}"/>
    <hyperlink ref="E697" r:id="rId685" xr:uid="{00000000-0004-0000-0000-0000AC020000}"/>
    <hyperlink ref="E698" r:id="rId686" xr:uid="{00000000-0004-0000-0000-0000AD020000}"/>
    <hyperlink ref="E699" r:id="rId687" xr:uid="{00000000-0004-0000-0000-0000AE020000}"/>
    <hyperlink ref="E700" r:id="rId688" xr:uid="{00000000-0004-0000-0000-0000AF020000}"/>
    <hyperlink ref="E701" r:id="rId689" xr:uid="{00000000-0004-0000-0000-0000B0020000}"/>
    <hyperlink ref="E702" r:id="rId690" xr:uid="{00000000-0004-0000-0000-0000B1020000}"/>
    <hyperlink ref="E703" r:id="rId691" xr:uid="{00000000-0004-0000-0000-0000B2020000}"/>
    <hyperlink ref="E704" r:id="rId692" xr:uid="{00000000-0004-0000-0000-0000B3020000}"/>
    <hyperlink ref="E705" r:id="rId693" xr:uid="{00000000-0004-0000-0000-0000B4020000}"/>
    <hyperlink ref="E706" r:id="rId694" xr:uid="{00000000-0004-0000-0000-0000B5020000}"/>
    <hyperlink ref="E707" r:id="rId695" xr:uid="{00000000-0004-0000-0000-0000B6020000}"/>
    <hyperlink ref="E708" r:id="rId696" xr:uid="{00000000-0004-0000-0000-0000B7020000}"/>
    <hyperlink ref="E709" r:id="rId697" xr:uid="{00000000-0004-0000-0000-0000B8020000}"/>
    <hyperlink ref="E710" r:id="rId698" xr:uid="{00000000-0004-0000-0000-0000B9020000}"/>
    <hyperlink ref="E711" r:id="rId699" xr:uid="{00000000-0004-0000-0000-0000BA020000}"/>
    <hyperlink ref="E712" r:id="rId700" xr:uid="{00000000-0004-0000-0000-0000BB020000}"/>
    <hyperlink ref="E713" r:id="rId701" xr:uid="{00000000-0004-0000-0000-0000BC020000}"/>
    <hyperlink ref="E714" r:id="rId702" xr:uid="{00000000-0004-0000-0000-0000BD020000}"/>
    <hyperlink ref="E715" r:id="rId703" xr:uid="{00000000-0004-0000-0000-0000BE020000}"/>
    <hyperlink ref="E716" r:id="rId704" xr:uid="{00000000-0004-0000-0000-0000BF020000}"/>
    <hyperlink ref="E717" r:id="rId705" xr:uid="{00000000-0004-0000-0000-0000C0020000}"/>
    <hyperlink ref="E718" r:id="rId706" xr:uid="{00000000-0004-0000-0000-0000C1020000}"/>
    <hyperlink ref="E719" r:id="rId707" xr:uid="{00000000-0004-0000-0000-0000C2020000}"/>
    <hyperlink ref="E720" r:id="rId708" xr:uid="{00000000-0004-0000-0000-0000C3020000}"/>
    <hyperlink ref="E721" r:id="rId709" xr:uid="{00000000-0004-0000-0000-0000C4020000}"/>
    <hyperlink ref="E722" r:id="rId710" xr:uid="{00000000-0004-0000-0000-0000C5020000}"/>
    <hyperlink ref="E723" r:id="rId711" xr:uid="{00000000-0004-0000-0000-0000C6020000}"/>
    <hyperlink ref="E724" r:id="rId712" xr:uid="{00000000-0004-0000-0000-0000C7020000}"/>
    <hyperlink ref="E725" r:id="rId713" xr:uid="{00000000-0004-0000-0000-0000C8020000}"/>
    <hyperlink ref="E726" r:id="rId714" xr:uid="{00000000-0004-0000-0000-0000C9020000}"/>
    <hyperlink ref="E727" r:id="rId715" xr:uid="{00000000-0004-0000-0000-0000CA020000}"/>
    <hyperlink ref="E728" r:id="rId716" xr:uid="{00000000-0004-0000-0000-0000CB020000}"/>
    <hyperlink ref="E729" r:id="rId717" xr:uid="{00000000-0004-0000-0000-0000CC020000}"/>
    <hyperlink ref="E730" r:id="rId718" xr:uid="{00000000-0004-0000-0000-0000CD020000}"/>
    <hyperlink ref="E731" r:id="rId719" xr:uid="{00000000-0004-0000-0000-0000CE020000}"/>
    <hyperlink ref="E732" r:id="rId720" xr:uid="{00000000-0004-0000-0000-0000CF020000}"/>
    <hyperlink ref="E733" r:id="rId721" xr:uid="{00000000-0004-0000-0000-0000D0020000}"/>
    <hyperlink ref="E734" r:id="rId722" xr:uid="{00000000-0004-0000-0000-0000D1020000}"/>
    <hyperlink ref="E735" r:id="rId723" xr:uid="{00000000-0004-0000-0000-0000D2020000}"/>
    <hyperlink ref="E736" r:id="rId724" xr:uid="{00000000-0004-0000-0000-0000D3020000}"/>
    <hyperlink ref="E737" r:id="rId725" xr:uid="{00000000-0004-0000-0000-0000D4020000}"/>
    <hyperlink ref="E738" r:id="rId726" xr:uid="{00000000-0004-0000-0000-0000D5020000}"/>
    <hyperlink ref="E739" r:id="rId727" xr:uid="{00000000-0004-0000-0000-0000D6020000}"/>
    <hyperlink ref="E740" r:id="rId728" xr:uid="{00000000-0004-0000-0000-0000D7020000}"/>
    <hyperlink ref="E741" r:id="rId729" xr:uid="{00000000-0004-0000-0000-0000D8020000}"/>
    <hyperlink ref="E742" r:id="rId730" xr:uid="{00000000-0004-0000-0000-0000D9020000}"/>
    <hyperlink ref="E743" r:id="rId731" xr:uid="{00000000-0004-0000-0000-0000DA020000}"/>
    <hyperlink ref="E744" r:id="rId732" xr:uid="{00000000-0004-0000-0000-0000DB020000}"/>
    <hyperlink ref="E745" r:id="rId733" xr:uid="{00000000-0004-0000-0000-0000DC020000}"/>
    <hyperlink ref="E746" r:id="rId734" xr:uid="{00000000-0004-0000-0000-0000DD020000}"/>
    <hyperlink ref="E747" r:id="rId735" xr:uid="{00000000-0004-0000-0000-0000DE020000}"/>
    <hyperlink ref="E748" r:id="rId736" xr:uid="{00000000-0004-0000-0000-0000DF020000}"/>
    <hyperlink ref="E749" r:id="rId737" xr:uid="{00000000-0004-0000-0000-0000E0020000}"/>
    <hyperlink ref="E750" r:id="rId738" xr:uid="{00000000-0004-0000-0000-0000E1020000}"/>
    <hyperlink ref="E751" r:id="rId739" xr:uid="{00000000-0004-0000-0000-0000E2020000}"/>
    <hyperlink ref="E752" r:id="rId740" xr:uid="{00000000-0004-0000-0000-0000E3020000}"/>
    <hyperlink ref="E753" r:id="rId741" xr:uid="{00000000-0004-0000-0000-0000E4020000}"/>
    <hyperlink ref="E754" r:id="rId742" xr:uid="{00000000-0004-0000-0000-0000E5020000}"/>
    <hyperlink ref="E755" r:id="rId743" xr:uid="{00000000-0004-0000-0000-0000E6020000}"/>
    <hyperlink ref="E756" r:id="rId744" xr:uid="{00000000-0004-0000-0000-0000E7020000}"/>
    <hyperlink ref="E757" r:id="rId745" xr:uid="{00000000-0004-0000-0000-0000E8020000}"/>
    <hyperlink ref="E758" r:id="rId746" xr:uid="{00000000-0004-0000-0000-0000E9020000}"/>
    <hyperlink ref="E759" r:id="rId747" xr:uid="{00000000-0004-0000-0000-0000EA020000}"/>
    <hyperlink ref="E760" r:id="rId748" xr:uid="{00000000-0004-0000-0000-0000EB020000}"/>
    <hyperlink ref="E761" r:id="rId749" xr:uid="{00000000-0004-0000-0000-0000EC020000}"/>
    <hyperlink ref="E762" r:id="rId750" xr:uid="{00000000-0004-0000-0000-0000ED020000}"/>
    <hyperlink ref="E763" r:id="rId751" xr:uid="{00000000-0004-0000-0000-0000EE020000}"/>
    <hyperlink ref="E764" r:id="rId752" xr:uid="{00000000-0004-0000-0000-0000EF020000}"/>
    <hyperlink ref="E765" r:id="rId753" xr:uid="{00000000-0004-0000-0000-0000F0020000}"/>
    <hyperlink ref="E766" r:id="rId754" xr:uid="{00000000-0004-0000-0000-0000F1020000}"/>
    <hyperlink ref="E767" r:id="rId755" xr:uid="{00000000-0004-0000-0000-0000F2020000}"/>
    <hyperlink ref="E768" r:id="rId756" xr:uid="{00000000-0004-0000-0000-0000F3020000}"/>
    <hyperlink ref="E770" r:id="rId757" xr:uid="{00000000-0004-0000-0000-0000F4020000}"/>
    <hyperlink ref="E771" r:id="rId758" xr:uid="{00000000-0004-0000-0000-0000F5020000}"/>
    <hyperlink ref="E772" r:id="rId759" xr:uid="{00000000-0004-0000-0000-0000F6020000}"/>
    <hyperlink ref="E773" r:id="rId760" xr:uid="{00000000-0004-0000-0000-0000F7020000}"/>
    <hyperlink ref="E774" r:id="rId761" xr:uid="{00000000-0004-0000-0000-0000F8020000}"/>
    <hyperlink ref="E775" r:id="rId762" xr:uid="{00000000-0004-0000-0000-0000F9020000}"/>
    <hyperlink ref="E776" r:id="rId763" xr:uid="{00000000-0004-0000-0000-0000FA020000}"/>
    <hyperlink ref="E777" r:id="rId764" xr:uid="{00000000-0004-0000-0000-0000FB020000}"/>
    <hyperlink ref="E778" r:id="rId765" xr:uid="{00000000-0004-0000-0000-0000FC020000}"/>
    <hyperlink ref="E779" r:id="rId766" xr:uid="{00000000-0004-0000-0000-0000FD020000}"/>
    <hyperlink ref="E780" r:id="rId767" xr:uid="{00000000-0004-0000-0000-0000FE020000}"/>
    <hyperlink ref="E781" r:id="rId768" xr:uid="{00000000-0004-0000-0000-0000FF020000}"/>
    <hyperlink ref="E782" r:id="rId769" xr:uid="{00000000-0004-0000-0000-000000030000}"/>
    <hyperlink ref="E783" r:id="rId770" xr:uid="{00000000-0004-0000-0000-000001030000}"/>
    <hyperlink ref="E784" r:id="rId771" xr:uid="{00000000-0004-0000-0000-000002030000}"/>
    <hyperlink ref="E785" r:id="rId772" xr:uid="{00000000-0004-0000-0000-000003030000}"/>
    <hyperlink ref="E786" r:id="rId773" xr:uid="{00000000-0004-0000-0000-000004030000}"/>
    <hyperlink ref="E787" r:id="rId774" xr:uid="{00000000-0004-0000-0000-000005030000}"/>
    <hyperlink ref="E788" r:id="rId775" xr:uid="{00000000-0004-0000-0000-000006030000}"/>
    <hyperlink ref="E789" r:id="rId776" xr:uid="{00000000-0004-0000-0000-000007030000}"/>
    <hyperlink ref="E790" r:id="rId777" xr:uid="{00000000-0004-0000-0000-000008030000}"/>
    <hyperlink ref="E791" r:id="rId778" xr:uid="{00000000-0004-0000-0000-000009030000}"/>
    <hyperlink ref="E792" r:id="rId779" xr:uid="{00000000-0004-0000-0000-00000A030000}"/>
    <hyperlink ref="E793" r:id="rId780" xr:uid="{00000000-0004-0000-0000-00000B030000}"/>
    <hyperlink ref="E794" r:id="rId781" xr:uid="{00000000-0004-0000-0000-00000C030000}"/>
    <hyperlink ref="E795" r:id="rId782" xr:uid="{00000000-0004-0000-0000-00000D030000}"/>
    <hyperlink ref="E796" r:id="rId783" xr:uid="{00000000-0004-0000-0000-00000E030000}"/>
    <hyperlink ref="E797" r:id="rId784" xr:uid="{00000000-0004-0000-0000-00000F030000}"/>
    <hyperlink ref="E798" r:id="rId785" xr:uid="{00000000-0004-0000-0000-000010030000}"/>
    <hyperlink ref="E799" r:id="rId786" xr:uid="{00000000-0004-0000-0000-000011030000}"/>
    <hyperlink ref="E800" r:id="rId787" xr:uid="{00000000-0004-0000-0000-000012030000}"/>
    <hyperlink ref="E801" r:id="rId788" xr:uid="{00000000-0004-0000-0000-000013030000}"/>
    <hyperlink ref="E802" r:id="rId789" xr:uid="{00000000-0004-0000-0000-000014030000}"/>
    <hyperlink ref="E803" r:id="rId790" xr:uid="{00000000-0004-0000-0000-000015030000}"/>
    <hyperlink ref="E804" r:id="rId791" xr:uid="{00000000-0004-0000-0000-000016030000}"/>
    <hyperlink ref="E805" r:id="rId792" xr:uid="{00000000-0004-0000-0000-000017030000}"/>
    <hyperlink ref="E806" r:id="rId793" xr:uid="{00000000-0004-0000-0000-000018030000}"/>
    <hyperlink ref="E807" r:id="rId794" xr:uid="{00000000-0004-0000-0000-000019030000}"/>
    <hyperlink ref="E808" r:id="rId795" xr:uid="{00000000-0004-0000-0000-00001A030000}"/>
    <hyperlink ref="E809" r:id="rId796" xr:uid="{00000000-0004-0000-0000-00001B030000}"/>
    <hyperlink ref="E810" r:id="rId797" xr:uid="{00000000-0004-0000-0000-00001C030000}"/>
    <hyperlink ref="E811" r:id="rId798" xr:uid="{00000000-0004-0000-0000-00001D030000}"/>
    <hyperlink ref="E812" r:id="rId799" xr:uid="{00000000-0004-0000-0000-00001E030000}"/>
    <hyperlink ref="E813" r:id="rId800" xr:uid="{00000000-0004-0000-0000-00001F030000}"/>
    <hyperlink ref="E814" r:id="rId801" xr:uid="{00000000-0004-0000-0000-000020030000}"/>
    <hyperlink ref="E815" r:id="rId802" xr:uid="{00000000-0004-0000-0000-000021030000}"/>
    <hyperlink ref="E816" r:id="rId803" xr:uid="{00000000-0004-0000-0000-000022030000}"/>
    <hyperlink ref="E818" r:id="rId804" xr:uid="{00000000-0004-0000-0000-000023030000}"/>
    <hyperlink ref="E819" r:id="rId805" xr:uid="{00000000-0004-0000-0000-000024030000}"/>
    <hyperlink ref="E820" r:id="rId806" xr:uid="{00000000-0004-0000-0000-000025030000}"/>
    <hyperlink ref="E821" r:id="rId807" xr:uid="{00000000-0004-0000-0000-000026030000}"/>
    <hyperlink ref="E822" r:id="rId808" xr:uid="{00000000-0004-0000-0000-000027030000}"/>
    <hyperlink ref="E823" r:id="rId809" xr:uid="{00000000-0004-0000-0000-000028030000}"/>
    <hyperlink ref="E824" r:id="rId810" xr:uid="{00000000-0004-0000-0000-000029030000}"/>
    <hyperlink ref="E825" r:id="rId811" xr:uid="{00000000-0004-0000-0000-00002A030000}"/>
    <hyperlink ref="E826" r:id="rId812" xr:uid="{00000000-0004-0000-0000-00002B030000}"/>
    <hyperlink ref="E827" r:id="rId813" xr:uid="{00000000-0004-0000-0000-00002C030000}"/>
    <hyperlink ref="E828" r:id="rId814" xr:uid="{00000000-0004-0000-0000-00002D030000}"/>
    <hyperlink ref="E829" r:id="rId815" xr:uid="{00000000-0004-0000-0000-00002E030000}"/>
    <hyperlink ref="E830" r:id="rId816" xr:uid="{00000000-0004-0000-0000-00002F030000}"/>
    <hyperlink ref="E831" r:id="rId817" xr:uid="{00000000-0004-0000-0000-000030030000}"/>
    <hyperlink ref="E832" r:id="rId818" xr:uid="{00000000-0004-0000-0000-000031030000}"/>
    <hyperlink ref="E833" r:id="rId819" xr:uid="{00000000-0004-0000-0000-000032030000}"/>
    <hyperlink ref="E834" r:id="rId820" xr:uid="{00000000-0004-0000-0000-000033030000}"/>
    <hyperlink ref="E835" r:id="rId821" xr:uid="{00000000-0004-0000-0000-000034030000}"/>
    <hyperlink ref="E836" r:id="rId822" xr:uid="{00000000-0004-0000-0000-000035030000}"/>
    <hyperlink ref="E837" r:id="rId823" xr:uid="{00000000-0004-0000-0000-000036030000}"/>
    <hyperlink ref="E838" r:id="rId824" xr:uid="{00000000-0004-0000-0000-000037030000}"/>
    <hyperlink ref="E839" r:id="rId825" xr:uid="{00000000-0004-0000-0000-000038030000}"/>
    <hyperlink ref="E840" r:id="rId826" xr:uid="{00000000-0004-0000-0000-000039030000}"/>
    <hyperlink ref="E842" r:id="rId827" xr:uid="{00000000-0004-0000-0000-00003A030000}"/>
    <hyperlink ref="E843" r:id="rId828" xr:uid="{00000000-0004-0000-0000-00003B030000}"/>
    <hyperlink ref="E844" r:id="rId829" xr:uid="{00000000-0004-0000-0000-00003C030000}"/>
    <hyperlink ref="E845" r:id="rId830" xr:uid="{00000000-0004-0000-0000-00003D030000}"/>
    <hyperlink ref="E846" r:id="rId831" xr:uid="{00000000-0004-0000-0000-00003E030000}"/>
    <hyperlink ref="E847" r:id="rId832" xr:uid="{00000000-0004-0000-0000-00003F030000}"/>
    <hyperlink ref="E848" r:id="rId833" xr:uid="{00000000-0004-0000-0000-000040030000}"/>
    <hyperlink ref="E849" r:id="rId834" xr:uid="{00000000-0004-0000-0000-000041030000}"/>
    <hyperlink ref="E850" r:id="rId835" xr:uid="{00000000-0004-0000-0000-000042030000}"/>
    <hyperlink ref="E851" r:id="rId836" xr:uid="{00000000-0004-0000-0000-000043030000}"/>
    <hyperlink ref="E852" r:id="rId837" xr:uid="{00000000-0004-0000-0000-000044030000}"/>
    <hyperlink ref="E853" r:id="rId838" xr:uid="{00000000-0004-0000-0000-000045030000}"/>
    <hyperlink ref="E854" r:id="rId839" xr:uid="{00000000-0004-0000-0000-000046030000}"/>
    <hyperlink ref="E855" r:id="rId840" xr:uid="{00000000-0004-0000-0000-000047030000}"/>
    <hyperlink ref="E856" r:id="rId841" xr:uid="{00000000-0004-0000-0000-000048030000}"/>
    <hyperlink ref="E857" r:id="rId842" xr:uid="{00000000-0004-0000-0000-000049030000}"/>
    <hyperlink ref="E858" r:id="rId843" xr:uid="{00000000-0004-0000-0000-00004A030000}"/>
    <hyperlink ref="E859" r:id="rId844" xr:uid="{00000000-0004-0000-0000-00004B030000}"/>
    <hyperlink ref="E860" r:id="rId845" xr:uid="{00000000-0004-0000-0000-00004C030000}"/>
    <hyperlink ref="E861" r:id="rId846" xr:uid="{00000000-0004-0000-0000-00004D030000}"/>
    <hyperlink ref="E862" r:id="rId847" xr:uid="{00000000-0004-0000-0000-00004E030000}"/>
    <hyperlink ref="E863" r:id="rId848" xr:uid="{00000000-0004-0000-0000-00004F030000}"/>
    <hyperlink ref="E864" r:id="rId849" xr:uid="{00000000-0004-0000-0000-000050030000}"/>
    <hyperlink ref="E865" r:id="rId850" xr:uid="{00000000-0004-0000-0000-000051030000}"/>
    <hyperlink ref="E866" r:id="rId851" xr:uid="{00000000-0004-0000-0000-000052030000}"/>
    <hyperlink ref="E867" r:id="rId852" xr:uid="{00000000-0004-0000-0000-000053030000}"/>
    <hyperlink ref="E868" r:id="rId853" xr:uid="{00000000-0004-0000-0000-000054030000}"/>
    <hyperlink ref="E869" r:id="rId854" xr:uid="{00000000-0004-0000-0000-000055030000}"/>
    <hyperlink ref="E870" r:id="rId855" xr:uid="{00000000-0004-0000-0000-000056030000}"/>
    <hyperlink ref="E871" r:id="rId856" xr:uid="{00000000-0004-0000-0000-000057030000}"/>
    <hyperlink ref="E872" r:id="rId857" xr:uid="{00000000-0004-0000-0000-000058030000}"/>
    <hyperlink ref="E873" r:id="rId858" xr:uid="{00000000-0004-0000-0000-000059030000}"/>
    <hyperlink ref="E874" r:id="rId859" xr:uid="{00000000-0004-0000-0000-00005A030000}"/>
    <hyperlink ref="E875" r:id="rId860" xr:uid="{00000000-0004-0000-0000-00005B030000}"/>
    <hyperlink ref="E876" r:id="rId861" xr:uid="{00000000-0004-0000-0000-00005C030000}"/>
    <hyperlink ref="E877" r:id="rId862" xr:uid="{00000000-0004-0000-0000-00005D030000}"/>
    <hyperlink ref="E878" r:id="rId863" xr:uid="{00000000-0004-0000-0000-00005E030000}"/>
    <hyperlink ref="E879" r:id="rId864" xr:uid="{00000000-0004-0000-0000-00005F030000}"/>
    <hyperlink ref="E880" r:id="rId865" xr:uid="{00000000-0004-0000-0000-000060030000}"/>
    <hyperlink ref="E881" r:id="rId866" xr:uid="{00000000-0004-0000-0000-000061030000}"/>
    <hyperlink ref="E882" r:id="rId867" xr:uid="{00000000-0004-0000-0000-000062030000}"/>
    <hyperlink ref="E883" r:id="rId868" xr:uid="{00000000-0004-0000-0000-000063030000}"/>
    <hyperlink ref="E884" r:id="rId869" xr:uid="{00000000-0004-0000-0000-000064030000}"/>
    <hyperlink ref="E885" r:id="rId870" xr:uid="{00000000-0004-0000-0000-000065030000}"/>
    <hyperlink ref="E886" r:id="rId871" xr:uid="{00000000-0004-0000-0000-000066030000}"/>
    <hyperlink ref="E887" r:id="rId872" xr:uid="{00000000-0004-0000-0000-000067030000}"/>
    <hyperlink ref="E888" r:id="rId873" xr:uid="{00000000-0004-0000-0000-000068030000}"/>
    <hyperlink ref="E889" r:id="rId874" xr:uid="{00000000-0004-0000-0000-000069030000}"/>
    <hyperlink ref="E890" r:id="rId875" xr:uid="{00000000-0004-0000-0000-00006A030000}"/>
    <hyperlink ref="E891" r:id="rId876" xr:uid="{00000000-0004-0000-0000-00006B030000}"/>
    <hyperlink ref="E893" r:id="rId877" xr:uid="{00000000-0004-0000-0000-00006C030000}"/>
    <hyperlink ref="E894" r:id="rId878" xr:uid="{00000000-0004-0000-0000-00006D030000}"/>
    <hyperlink ref="E895" r:id="rId879" xr:uid="{00000000-0004-0000-0000-00006E030000}"/>
    <hyperlink ref="E896" r:id="rId880" xr:uid="{00000000-0004-0000-0000-00006F030000}"/>
    <hyperlink ref="E897" r:id="rId881" xr:uid="{00000000-0004-0000-0000-000070030000}"/>
    <hyperlink ref="E898" r:id="rId882" xr:uid="{00000000-0004-0000-0000-000071030000}"/>
    <hyperlink ref="E899" r:id="rId883" xr:uid="{00000000-0004-0000-0000-000072030000}"/>
    <hyperlink ref="E900" r:id="rId884" xr:uid="{00000000-0004-0000-0000-000073030000}"/>
    <hyperlink ref="E901" r:id="rId885" xr:uid="{00000000-0004-0000-0000-000074030000}"/>
    <hyperlink ref="E902" r:id="rId886" xr:uid="{00000000-0004-0000-0000-000075030000}"/>
    <hyperlink ref="E903" r:id="rId887" xr:uid="{00000000-0004-0000-0000-000076030000}"/>
    <hyperlink ref="E904" r:id="rId888" xr:uid="{00000000-0004-0000-0000-000077030000}"/>
    <hyperlink ref="E905" r:id="rId889" xr:uid="{00000000-0004-0000-0000-000078030000}"/>
    <hyperlink ref="E906" r:id="rId890" xr:uid="{00000000-0004-0000-0000-000079030000}"/>
    <hyperlink ref="E908" r:id="rId891" xr:uid="{00000000-0004-0000-0000-00007A030000}"/>
    <hyperlink ref="E909" r:id="rId892" xr:uid="{00000000-0004-0000-0000-00007B030000}"/>
    <hyperlink ref="E910" r:id="rId893" xr:uid="{00000000-0004-0000-0000-00007C030000}"/>
    <hyperlink ref="E911" r:id="rId894" xr:uid="{00000000-0004-0000-0000-00007D030000}"/>
    <hyperlink ref="E912" r:id="rId895" xr:uid="{00000000-0004-0000-0000-00007E030000}"/>
    <hyperlink ref="E913" r:id="rId896" xr:uid="{00000000-0004-0000-0000-00007F030000}"/>
    <hyperlink ref="E914" r:id="rId897" xr:uid="{00000000-0004-0000-0000-000080030000}"/>
    <hyperlink ref="E915" r:id="rId898" xr:uid="{00000000-0004-0000-0000-000081030000}"/>
    <hyperlink ref="E916" r:id="rId899" xr:uid="{00000000-0004-0000-0000-000082030000}"/>
    <hyperlink ref="E917" r:id="rId900" xr:uid="{00000000-0004-0000-0000-000083030000}"/>
    <hyperlink ref="E918" r:id="rId901" xr:uid="{00000000-0004-0000-0000-000084030000}"/>
    <hyperlink ref="E919" r:id="rId902" xr:uid="{00000000-0004-0000-0000-000085030000}"/>
    <hyperlink ref="E920" r:id="rId903" xr:uid="{00000000-0004-0000-0000-000086030000}"/>
    <hyperlink ref="E921" r:id="rId904" xr:uid="{00000000-0004-0000-0000-000087030000}"/>
    <hyperlink ref="E922" r:id="rId905" xr:uid="{00000000-0004-0000-0000-000088030000}"/>
    <hyperlink ref="E923" r:id="rId906" xr:uid="{00000000-0004-0000-0000-000089030000}"/>
    <hyperlink ref="E924" r:id="rId907" xr:uid="{00000000-0004-0000-0000-00008A030000}"/>
    <hyperlink ref="E925" r:id="rId908" xr:uid="{00000000-0004-0000-0000-00008B030000}"/>
    <hyperlink ref="E926" r:id="rId909" xr:uid="{00000000-0004-0000-0000-00008C030000}"/>
    <hyperlink ref="E927" r:id="rId910" xr:uid="{00000000-0004-0000-0000-00008D030000}"/>
    <hyperlink ref="E928" r:id="rId911" xr:uid="{00000000-0004-0000-0000-00008E030000}"/>
    <hyperlink ref="E929" r:id="rId912" xr:uid="{00000000-0004-0000-0000-00008F030000}"/>
    <hyperlink ref="E930" r:id="rId913" xr:uid="{00000000-0004-0000-0000-000090030000}"/>
    <hyperlink ref="E931" r:id="rId914" xr:uid="{00000000-0004-0000-0000-000091030000}"/>
    <hyperlink ref="E932" r:id="rId915" xr:uid="{00000000-0004-0000-0000-000092030000}"/>
    <hyperlink ref="E933" r:id="rId916" xr:uid="{00000000-0004-0000-0000-000093030000}"/>
    <hyperlink ref="E934" r:id="rId917" xr:uid="{00000000-0004-0000-0000-000094030000}"/>
    <hyperlink ref="E935" r:id="rId918" xr:uid="{00000000-0004-0000-0000-000095030000}"/>
    <hyperlink ref="E936" r:id="rId919" xr:uid="{00000000-0004-0000-0000-000096030000}"/>
    <hyperlink ref="E937" r:id="rId920" xr:uid="{00000000-0004-0000-0000-000097030000}"/>
    <hyperlink ref="E938" r:id="rId921" xr:uid="{00000000-0004-0000-0000-000098030000}"/>
    <hyperlink ref="E939" r:id="rId922" xr:uid="{00000000-0004-0000-0000-000099030000}"/>
    <hyperlink ref="E940" r:id="rId923" xr:uid="{00000000-0004-0000-0000-00009A030000}"/>
    <hyperlink ref="E941" r:id="rId924" xr:uid="{00000000-0004-0000-0000-00009B030000}"/>
    <hyperlink ref="E942" r:id="rId925" xr:uid="{00000000-0004-0000-0000-00009C030000}"/>
    <hyperlink ref="E944" r:id="rId926" xr:uid="{00000000-0004-0000-0000-00009D030000}"/>
    <hyperlink ref="E945" r:id="rId927" xr:uid="{00000000-0004-0000-0000-00009E030000}"/>
    <hyperlink ref="E946" r:id="rId928" xr:uid="{00000000-0004-0000-0000-00009F030000}"/>
    <hyperlink ref="E947" r:id="rId929" xr:uid="{00000000-0004-0000-0000-0000A0030000}"/>
    <hyperlink ref="E948" r:id="rId930" xr:uid="{00000000-0004-0000-0000-0000A1030000}"/>
    <hyperlink ref="E949" r:id="rId931" xr:uid="{00000000-0004-0000-0000-0000A2030000}"/>
    <hyperlink ref="E950" r:id="rId932" xr:uid="{00000000-0004-0000-0000-0000A3030000}"/>
    <hyperlink ref="E951" r:id="rId933" xr:uid="{00000000-0004-0000-0000-0000A4030000}"/>
    <hyperlink ref="E952" r:id="rId934" xr:uid="{00000000-0004-0000-0000-0000A5030000}"/>
    <hyperlink ref="E953" r:id="rId935" xr:uid="{00000000-0004-0000-0000-0000A6030000}"/>
    <hyperlink ref="E954" r:id="rId936" xr:uid="{00000000-0004-0000-0000-0000A7030000}"/>
    <hyperlink ref="E955" r:id="rId937" xr:uid="{00000000-0004-0000-0000-0000A8030000}"/>
    <hyperlink ref="E956" r:id="rId938" xr:uid="{00000000-0004-0000-0000-0000A9030000}"/>
    <hyperlink ref="E957" r:id="rId939" xr:uid="{00000000-0004-0000-0000-0000AA030000}"/>
    <hyperlink ref="E958" r:id="rId940" xr:uid="{00000000-0004-0000-0000-0000AB030000}"/>
    <hyperlink ref="E959" r:id="rId941" xr:uid="{00000000-0004-0000-0000-0000AC030000}"/>
    <hyperlink ref="E960" r:id="rId942" xr:uid="{00000000-0004-0000-0000-0000AD030000}"/>
    <hyperlink ref="E961" r:id="rId943" xr:uid="{00000000-0004-0000-0000-0000AE030000}"/>
    <hyperlink ref="E962" r:id="rId944" xr:uid="{00000000-0004-0000-0000-0000AF030000}"/>
    <hyperlink ref="E963" r:id="rId945" xr:uid="{00000000-0004-0000-0000-0000B0030000}"/>
    <hyperlink ref="E964" r:id="rId946" xr:uid="{00000000-0004-0000-0000-0000B1030000}"/>
    <hyperlink ref="E965" r:id="rId947" xr:uid="{00000000-0004-0000-0000-0000B2030000}"/>
    <hyperlink ref="E966" r:id="rId948" xr:uid="{00000000-0004-0000-0000-0000B3030000}"/>
    <hyperlink ref="E967" r:id="rId949" xr:uid="{00000000-0004-0000-0000-0000B4030000}"/>
    <hyperlink ref="E968" r:id="rId950" xr:uid="{00000000-0004-0000-0000-0000B5030000}"/>
    <hyperlink ref="E969" r:id="rId951" xr:uid="{00000000-0004-0000-0000-0000B6030000}"/>
    <hyperlink ref="E970" r:id="rId952" xr:uid="{00000000-0004-0000-0000-0000B7030000}"/>
    <hyperlink ref="E971" r:id="rId953" xr:uid="{00000000-0004-0000-0000-0000B8030000}"/>
    <hyperlink ref="E972" r:id="rId954" xr:uid="{00000000-0004-0000-0000-0000B9030000}"/>
    <hyperlink ref="E973" r:id="rId955" xr:uid="{00000000-0004-0000-0000-0000BA030000}"/>
    <hyperlink ref="E974" r:id="rId956" xr:uid="{00000000-0004-0000-0000-0000BB030000}"/>
    <hyperlink ref="E975" r:id="rId957" xr:uid="{00000000-0004-0000-0000-0000BC030000}"/>
    <hyperlink ref="E976" r:id="rId958" xr:uid="{00000000-0004-0000-0000-0000BD030000}"/>
    <hyperlink ref="E977" r:id="rId959" xr:uid="{00000000-0004-0000-0000-0000BE030000}"/>
    <hyperlink ref="E978" r:id="rId960" xr:uid="{00000000-0004-0000-0000-0000BF030000}"/>
    <hyperlink ref="E979" r:id="rId961" xr:uid="{00000000-0004-0000-0000-0000C0030000}"/>
    <hyperlink ref="E980" r:id="rId962" xr:uid="{00000000-0004-0000-0000-0000C1030000}"/>
    <hyperlink ref="E981" r:id="rId963" xr:uid="{00000000-0004-0000-0000-0000C2030000}"/>
    <hyperlink ref="E982" r:id="rId964" xr:uid="{00000000-0004-0000-0000-0000C3030000}"/>
    <hyperlink ref="E983" r:id="rId965" xr:uid="{00000000-0004-0000-0000-0000C4030000}"/>
    <hyperlink ref="E984" r:id="rId966" xr:uid="{00000000-0004-0000-0000-0000C5030000}"/>
    <hyperlink ref="E985" r:id="rId967" xr:uid="{00000000-0004-0000-0000-0000C6030000}"/>
    <hyperlink ref="E986" r:id="rId968" xr:uid="{00000000-0004-0000-0000-0000C7030000}"/>
    <hyperlink ref="E987" r:id="rId969" xr:uid="{00000000-0004-0000-0000-0000C8030000}"/>
    <hyperlink ref="E988" r:id="rId970" xr:uid="{00000000-0004-0000-0000-0000C9030000}"/>
    <hyperlink ref="E989" r:id="rId971" xr:uid="{00000000-0004-0000-0000-0000CA030000}"/>
    <hyperlink ref="E990" r:id="rId972" xr:uid="{00000000-0004-0000-0000-0000CB030000}"/>
    <hyperlink ref="E991" r:id="rId973" xr:uid="{00000000-0004-0000-0000-0000CC030000}"/>
    <hyperlink ref="E992" r:id="rId974" xr:uid="{00000000-0004-0000-0000-0000CD030000}"/>
    <hyperlink ref="E993" r:id="rId975" xr:uid="{00000000-0004-0000-0000-0000CE030000}"/>
    <hyperlink ref="E994" r:id="rId976" xr:uid="{00000000-0004-0000-0000-0000CF030000}"/>
    <hyperlink ref="E995" r:id="rId977" xr:uid="{00000000-0004-0000-0000-0000D0030000}"/>
    <hyperlink ref="E996" r:id="rId978" xr:uid="{00000000-0004-0000-0000-0000D1030000}"/>
    <hyperlink ref="E997" r:id="rId979" xr:uid="{00000000-0004-0000-0000-0000D2030000}"/>
    <hyperlink ref="E998" r:id="rId980" xr:uid="{00000000-0004-0000-0000-0000D3030000}"/>
    <hyperlink ref="E999" r:id="rId981" xr:uid="{00000000-0004-0000-0000-0000D4030000}"/>
    <hyperlink ref="E1000" r:id="rId982" xr:uid="{00000000-0004-0000-0000-0000D5030000}"/>
    <hyperlink ref="E1001" r:id="rId983" xr:uid="{00000000-0004-0000-0000-0000D6030000}"/>
    <hyperlink ref="E1002" r:id="rId984" xr:uid="{00000000-0004-0000-0000-0000D7030000}"/>
    <hyperlink ref="E1003" r:id="rId985" xr:uid="{00000000-0004-0000-0000-0000D8030000}"/>
    <hyperlink ref="E1004" r:id="rId986" xr:uid="{00000000-0004-0000-0000-0000D9030000}"/>
    <hyperlink ref="E1005" r:id="rId987" xr:uid="{00000000-0004-0000-0000-0000DA030000}"/>
    <hyperlink ref="E1006" r:id="rId988" xr:uid="{00000000-0004-0000-0000-0000DB030000}"/>
    <hyperlink ref="E1007" r:id="rId989" xr:uid="{00000000-0004-0000-0000-0000DC030000}"/>
    <hyperlink ref="E1008" r:id="rId990" xr:uid="{00000000-0004-0000-0000-0000DD030000}"/>
    <hyperlink ref="E1009" r:id="rId991" xr:uid="{00000000-0004-0000-0000-0000DE030000}"/>
    <hyperlink ref="E1010" r:id="rId992" xr:uid="{00000000-0004-0000-0000-0000DF030000}"/>
    <hyperlink ref="E1011" r:id="rId993" xr:uid="{00000000-0004-0000-0000-0000E0030000}"/>
    <hyperlink ref="E1012" r:id="rId994" xr:uid="{00000000-0004-0000-0000-0000E1030000}"/>
    <hyperlink ref="E1013" r:id="rId995" xr:uid="{00000000-0004-0000-0000-0000E2030000}"/>
    <hyperlink ref="E1014" r:id="rId996" xr:uid="{00000000-0004-0000-0000-0000E3030000}"/>
    <hyperlink ref="E1015" r:id="rId997" xr:uid="{00000000-0004-0000-0000-0000E4030000}"/>
    <hyperlink ref="E1016" r:id="rId998" xr:uid="{00000000-0004-0000-0000-0000E5030000}"/>
    <hyperlink ref="E1017" r:id="rId999" xr:uid="{00000000-0004-0000-0000-0000E6030000}"/>
    <hyperlink ref="E1018" r:id="rId1000" xr:uid="{00000000-0004-0000-0000-0000E7030000}"/>
    <hyperlink ref="E1019" r:id="rId1001" xr:uid="{00000000-0004-0000-0000-0000E8030000}"/>
    <hyperlink ref="E1020" r:id="rId1002" xr:uid="{00000000-0004-0000-0000-0000E9030000}"/>
    <hyperlink ref="E1021" r:id="rId1003" xr:uid="{00000000-0004-0000-0000-0000EA030000}"/>
    <hyperlink ref="E1022" r:id="rId1004" xr:uid="{00000000-0004-0000-0000-0000EB030000}"/>
    <hyperlink ref="E1023" r:id="rId1005" xr:uid="{00000000-0004-0000-0000-0000EC030000}"/>
    <hyperlink ref="E1024" r:id="rId1006" xr:uid="{00000000-0004-0000-0000-0000ED030000}"/>
    <hyperlink ref="E1025" r:id="rId1007" xr:uid="{00000000-0004-0000-0000-0000EE030000}"/>
    <hyperlink ref="E1026" r:id="rId1008" xr:uid="{00000000-0004-0000-0000-0000EF030000}"/>
    <hyperlink ref="E1027" r:id="rId1009" xr:uid="{00000000-0004-0000-0000-0000F0030000}"/>
    <hyperlink ref="E1028" r:id="rId1010" xr:uid="{00000000-0004-0000-0000-0000F1030000}"/>
    <hyperlink ref="E1029" r:id="rId1011" xr:uid="{00000000-0004-0000-0000-0000F2030000}"/>
    <hyperlink ref="E1030" r:id="rId1012" xr:uid="{00000000-0004-0000-0000-0000F3030000}"/>
    <hyperlink ref="E1031" r:id="rId1013" xr:uid="{00000000-0004-0000-0000-0000F4030000}"/>
    <hyperlink ref="E1032" r:id="rId1014" xr:uid="{00000000-0004-0000-0000-0000F5030000}"/>
    <hyperlink ref="E1033" r:id="rId1015" xr:uid="{00000000-0004-0000-0000-0000F6030000}"/>
    <hyperlink ref="E1034" r:id="rId1016" xr:uid="{00000000-0004-0000-0000-0000F7030000}"/>
    <hyperlink ref="E1035" r:id="rId1017" xr:uid="{00000000-0004-0000-0000-0000F8030000}"/>
    <hyperlink ref="E1036" r:id="rId1018" xr:uid="{00000000-0004-0000-0000-0000F9030000}"/>
    <hyperlink ref="E1037" r:id="rId1019" xr:uid="{00000000-0004-0000-0000-0000FA030000}"/>
    <hyperlink ref="E1038" r:id="rId1020" xr:uid="{00000000-0004-0000-0000-0000FB030000}"/>
    <hyperlink ref="E1039" r:id="rId1021" xr:uid="{00000000-0004-0000-0000-0000FC030000}"/>
    <hyperlink ref="E1040" r:id="rId1022" xr:uid="{00000000-0004-0000-0000-0000FD030000}"/>
    <hyperlink ref="E1041" r:id="rId1023" xr:uid="{00000000-0004-0000-0000-0000FE030000}"/>
    <hyperlink ref="E1042" r:id="rId1024" xr:uid="{00000000-0004-0000-0000-0000FF030000}"/>
    <hyperlink ref="E1043" r:id="rId1025" xr:uid="{00000000-0004-0000-0000-000000040000}"/>
    <hyperlink ref="E1044" r:id="rId1026" xr:uid="{00000000-0004-0000-0000-000001040000}"/>
    <hyperlink ref="E1045" r:id="rId1027" xr:uid="{00000000-0004-0000-0000-000002040000}"/>
    <hyperlink ref="E1046" r:id="rId1028" xr:uid="{00000000-0004-0000-0000-000003040000}"/>
    <hyperlink ref="E1047" r:id="rId1029" xr:uid="{00000000-0004-0000-0000-000004040000}"/>
    <hyperlink ref="E1048" r:id="rId1030" xr:uid="{00000000-0004-0000-0000-000005040000}"/>
    <hyperlink ref="E1049" r:id="rId1031" xr:uid="{00000000-0004-0000-0000-000006040000}"/>
    <hyperlink ref="E1050" r:id="rId1032" xr:uid="{00000000-0004-0000-0000-000007040000}"/>
    <hyperlink ref="E1051" r:id="rId1033" xr:uid="{00000000-0004-0000-0000-000008040000}"/>
    <hyperlink ref="E1052" r:id="rId1034" xr:uid="{00000000-0004-0000-0000-000009040000}"/>
    <hyperlink ref="E1053" r:id="rId1035" xr:uid="{00000000-0004-0000-0000-00000A040000}"/>
    <hyperlink ref="E1054" r:id="rId1036" xr:uid="{00000000-0004-0000-0000-00000B040000}"/>
    <hyperlink ref="E1055" r:id="rId1037" xr:uid="{00000000-0004-0000-0000-00000C040000}"/>
    <hyperlink ref="E1056" r:id="rId1038" xr:uid="{00000000-0004-0000-0000-00000D040000}"/>
    <hyperlink ref="E1057" r:id="rId1039" xr:uid="{00000000-0004-0000-0000-00000E040000}"/>
    <hyperlink ref="E1058" r:id="rId1040" xr:uid="{00000000-0004-0000-0000-00000F040000}"/>
    <hyperlink ref="E1059" r:id="rId1041" xr:uid="{00000000-0004-0000-0000-000010040000}"/>
    <hyperlink ref="E1060" r:id="rId1042" xr:uid="{00000000-0004-0000-0000-000011040000}"/>
    <hyperlink ref="E1061" r:id="rId1043" xr:uid="{00000000-0004-0000-0000-000012040000}"/>
    <hyperlink ref="E1062" r:id="rId1044" xr:uid="{00000000-0004-0000-0000-000013040000}"/>
    <hyperlink ref="E1063" r:id="rId1045" xr:uid="{00000000-0004-0000-0000-000014040000}"/>
    <hyperlink ref="E1064" r:id="rId1046" xr:uid="{00000000-0004-0000-0000-000015040000}"/>
    <hyperlink ref="E1065" r:id="rId1047" xr:uid="{00000000-0004-0000-0000-000016040000}"/>
    <hyperlink ref="E1066" r:id="rId1048" xr:uid="{00000000-0004-0000-0000-000017040000}"/>
    <hyperlink ref="E1067" r:id="rId1049" xr:uid="{00000000-0004-0000-0000-000018040000}"/>
    <hyperlink ref="E1068" r:id="rId1050" xr:uid="{00000000-0004-0000-0000-000019040000}"/>
    <hyperlink ref="E1069" r:id="rId1051" xr:uid="{00000000-0004-0000-0000-00001A040000}"/>
    <hyperlink ref="E1070" r:id="rId1052" xr:uid="{00000000-0004-0000-0000-00001B040000}"/>
    <hyperlink ref="E1071" r:id="rId1053" xr:uid="{00000000-0004-0000-0000-00001C040000}"/>
    <hyperlink ref="E1072" r:id="rId1054" xr:uid="{00000000-0004-0000-0000-00001D040000}"/>
    <hyperlink ref="E1073" r:id="rId1055" xr:uid="{00000000-0004-0000-0000-00001E040000}"/>
    <hyperlink ref="E1074" r:id="rId1056" xr:uid="{00000000-0004-0000-0000-00001F040000}"/>
    <hyperlink ref="E1075" r:id="rId1057" xr:uid="{00000000-0004-0000-0000-000020040000}"/>
    <hyperlink ref="E1076" r:id="rId1058" xr:uid="{00000000-0004-0000-0000-000021040000}"/>
    <hyperlink ref="E1077" r:id="rId1059" xr:uid="{00000000-0004-0000-0000-000022040000}"/>
    <hyperlink ref="E1078" r:id="rId1060" xr:uid="{00000000-0004-0000-0000-000023040000}"/>
    <hyperlink ref="E1079" r:id="rId1061" xr:uid="{00000000-0004-0000-0000-000024040000}"/>
    <hyperlink ref="E1080" r:id="rId1062" xr:uid="{00000000-0004-0000-0000-000025040000}"/>
    <hyperlink ref="E1081" r:id="rId1063" xr:uid="{00000000-0004-0000-0000-000026040000}"/>
    <hyperlink ref="E1082" r:id="rId1064" xr:uid="{00000000-0004-0000-0000-000027040000}"/>
    <hyperlink ref="E1083" r:id="rId1065" xr:uid="{00000000-0004-0000-0000-000028040000}"/>
    <hyperlink ref="E1084" r:id="rId1066" xr:uid="{00000000-0004-0000-0000-000029040000}"/>
    <hyperlink ref="E1085" r:id="rId1067" xr:uid="{00000000-0004-0000-0000-00002A040000}"/>
    <hyperlink ref="E1086" r:id="rId1068" xr:uid="{00000000-0004-0000-0000-00002B040000}"/>
    <hyperlink ref="E1087" r:id="rId1069" xr:uid="{00000000-0004-0000-0000-00002C040000}"/>
    <hyperlink ref="E1088" r:id="rId1070" xr:uid="{00000000-0004-0000-0000-00002D040000}"/>
    <hyperlink ref="E1089" r:id="rId1071" xr:uid="{00000000-0004-0000-0000-00002E040000}"/>
    <hyperlink ref="E1090" r:id="rId1072" xr:uid="{00000000-0004-0000-0000-00002F040000}"/>
    <hyperlink ref="E1091" r:id="rId1073" xr:uid="{00000000-0004-0000-0000-000030040000}"/>
    <hyperlink ref="E1092" r:id="rId1074" xr:uid="{00000000-0004-0000-0000-000031040000}"/>
    <hyperlink ref="E1093" r:id="rId1075" xr:uid="{00000000-0004-0000-0000-000032040000}"/>
    <hyperlink ref="E1094" r:id="rId1076" xr:uid="{00000000-0004-0000-0000-000033040000}"/>
    <hyperlink ref="E1095" r:id="rId1077" xr:uid="{00000000-0004-0000-0000-000034040000}"/>
    <hyperlink ref="E1096" r:id="rId1078" xr:uid="{00000000-0004-0000-0000-000035040000}"/>
    <hyperlink ref="E1097" r:id="rId1079" xr:uid="{00000000-0004-0000-0000-000036040000}"/>
    <hyperlink ref="E1098" r:id="rId1080" xr:uid="{00000000-0004-0000-0000-000037040000}"/>
    <hyperlink ref="E1099" r:id="rId1081" xr:uid="{00000000-0004-0000-0000-000038040000}"/>
    <hyperlink ref="E1100" r:id="rId1082" xr:uid="{00000000-0004-0000-0000-000039040000}"/>
    <hyperlink ref="E1101" r:id="rId1083" xr:uid="{00000000-0004-0000-0000-00003A040000}"/>
    <hyperlink ref="E1102" r:id="rId1084" xr:uid="{00000000-0004-0000-0000-00003B040000}"/>
    <hyperlink ref="E1103" r:id="rId1085" xr:uid="{00000000-0004-0000-0000-00003C040000}"/>
    <hyperlink ref="E1104" r:id="rId1086" xr:uid="{00000000-0004-0000-0000-00003D040000}"/>
    <hyperlink ref="E1105" r:id="rId1087" xr:uid="{00000000-0004-0000-0000-00003E040000}"/>
    <hyperlink ref="E1106" r:id="rId1088" xr:uid="{00000000-0004-0000-0000-00003F040000}"/>
    <hyperlink ref="E1108" r:id="rId1089" xr:uid="{00000000-0004-0000-0000-000040040000}"/>
    <hyperlink ref="E1109" r:id="rId1090" xr:uid="{00000000-0004-0000-0000-000041040000}"/>
    <hyperlink ref="E1110" r:id="rId1091" xr:uid="{00000000-0004-0000-0000-000042040000}"/>
    <hyperlink ref="E1111" r:id="rId1092" xr:uid="{00000000-0004-0000-0000-000043040000}"/>
    <hyperlink ref="E1112" r:id="rId1093" xr:uid="{00000000-0004-0000-0000-000044040000}"/>
    <hyperlink ref="E1113" r:id="rId1094" xr:uid="{00000000-0004-0000-0000-000045040000}"/>
    <hyperlink ref="E1114" r:id="rId1095" xr:uid="{00000000-0004-0000-0000-000046040000}"/>
    <hyperlink ref="E1115" r:id="rId1096" xr:uid="{00000000-0004-0000-0000-000047040000}"/>
    <hyperlink ref="E1116" r:id="rId1097" xr:uid="{00000000-0004-0000-0000-000048040000}"/>
    <hyperlink ref="E1117" r:id="rId1098" xr:uid="{00000000-0004-0000-0000-000049040000}"/>
    <hyperlink ref="E1118" r:id="rId1099" xr:uid="{00000000-0004-0000-0000-00004A040000}"/>
    <hyperlink ref="E1119" r:id="rId1100" xr:uid="{00000000-0004-0000-0000-00004B040000}"/>
    <hyperlink ref="E1120" r:id="rId1101" xr:uid="{00000000-0004-0000-0000-00004C040000}"/>
    <hyperlink ref="E1121" r:id="rId1102" xr:uid="{00000000-0004-0000-0000-00004D040000}"/>
    <hyperlink ref="E1122" r:id="rId1103" xr:uid="{00000000-0004-0000-0000-00004E040000}"/>
    <hyperlink ref="E1123" r:id="rId1104" xr:uid="{00000000-0004-0000-0000-00004F040000}"/>
    <hyperlink ref="E1124" r:id="rId1105" xr:uid="{00000000-0004-0000-0000-000050040000}"/>
    <hyperlink ref="E1125" r:id="rId1106" xr:uid="{00000000-0004-0000-0000-000051040000}"/>
    <hyperlink ref="E1126" r:id="rId1107" xr:uid="{00000000-0004-0000-0000-000052040000}"/>
    <hyperlink ref="E1127" r:id="rId1108" xr:uid="{00000000-0004-0000-0000-000053040000}"/>
    <hyperlink ref="E1128" r:id="rId1109" xr:uid="{00000000-0004-0000-0000-000054040000}"/>
    <hyperlink ref="E1129" r:id="rId1110" xr:uid="{00000000-0004-0000-0000-000055040000}"/>
    <hyperlink ref="E1130" r:id="rId1111" xr:uid="{00000000-0004-0000-0000-000056040000}"/>
    <hyperlink ref="E1131" r:id="rId1112" xr:uid="{00000000-0004-0000-0000-000057040000}"/>
    <hyperlink ref="E1132" r:id="rId1113" xr:uid="{00000000-0004-0000-0000-000058040000}"/>
    <hyperlink ref="E1133" r:id="rId1114" xr:uid="{00000000-0004-0000-0000-000059040000}"/>
    <hyperlink ref="E1134" r:id="rId1115" xr:uid="{00000000-0004-0000-0000-00005A040000}"/>
    <hyperlink ref="E1135" r:id="rId1116" xr:uid="{00000000-0004-0000-0000-00005B040000}"/>
    <hyperlink ref="E1136" r:id="rId1117" xr:uid="{00000000-0004-0000-0000-00005C040000}"/>
    <hyperlink ref="E1137" r:id="rId1118" xr:uid="{00000000-0004-0000-0000-00005D040000}"/>
    <hyperlink ref="E1138" r:id="rId1119" xr:uid="{00000000-0004-0000-0000-00005E040000}"/>
    <hyperlink ref="E1139" r:id="rId1120" xr:uid="{00000000-0004-0000-0000-00005F040000}"/>
    <hyperlink ref="E1140" r:id="rId1121" xr:uid="{00000000-0004-0000-0000-000060040000}"/>
    <hyperlink ref="E1141" r:id="rId1122" xr:uid="{00000000-0004-0000-0000-000061040000}"/>
    <hyperlink ref="E1142" r:id="rId1123" xr:uid="{00000000-0004-0000-0000-000062040000}"/>
    <hyperlink ref="E1143" r:id="rId1124" xr:uid="{00000000-0004-0000-0000-000063040000}"/>
    <hyperlink ref="E1144" r:id="rId1125" xr:uid="{00000000-0004-0000-0000-000064040000}"/>
    <hyperlink ref="E1145" r:id="rId1126" xr:uid="{00000000-0004-0000-0000-000065040000}"/>
    <hyperlink ref="E1146" r:id="rId1127" xr:uid="{00000000-0004-0000-0000-000066040000}"/>
    <hyperlink ref="E1147" r:id="rId1128" xr:uid="{00000000-0004-0000-0000-000067040000}"/>
    <hyperlink ref="E1148" r:id="rId1129" xr:uid="{00000000-0004-0000-0000-000068040000}"/>
    <hyperlink ref="E1149" r:id="rId1130" xr:uid="{00000000-0004-0000-0000-000069040000}"/>
    <hyperlink ref="E1150" r:id="rId1131" xr:uid="{00000000-0004-0000-0000-00006A040000}"/>
    <hyperlink ref="E1151" r:id="rId1132" xr:uid="{00000000-0004-0000-0000-00006B040000}"/>
    <hyperlink ref="E1152" r:id="rId1133" xr:uid="{00000000-0004-0000-0000-00006C040000}"/>
    <hyperlink ref="E1153" r:id="rId1134" xr:uid="{00000000-0004-0000-0000-00006D040000}"/>
    <hyperlink ref="E1154" r:id="rId1135" xr:uid="{00000000-0004-0000-0000-00006E040000}"/>
    <hyperlink ref="E1155" r:id="rId1136" xr:uid="{00000000-0004-0000-0000-00006F040000}"/>
    <hyperlink ref="E1156" r:id="rId1137" xr:uid="{00000000-0004-0000-0000-000070040000}"/>
    <hyperlink ref="E1157" r:id="rId1138" xr:uid="{00000000-0004-0000-0000-000071040000}"/>
    <hyperlink ref="E1158" r:id="rId1139" xr:uid="{00000000-0004-0000-0000-000072040000}"/>
    <hyperlink ref="E1159" r:id="rId1140" xr:uid="{00000000-0004-0000-0000-000073040000}"/>
    <hyperlink ref="E1160" r:id="rId1141" xr:uid="{00000000-0004-0000-0000-000074040000}"/>
    <hyperlink ref="E1161" r:id="rId1142" xr:uid="{00000000-0004-0000-0000-000075040000}"/>
    <hyperlink ref="E1162" r:id="rId1143" xr:uid="{00000000-0004-0000-0000-000076040000}"/>
    <hyperlink ref="E1163" r:id="rId1144" xr:uid="{00000000-0004-0000-0000-000077040000}"/>
    <hyperlink ref="E1164" r:id="rId1145" xr:uid="{00000000-0004-0000-0000-000078040000}"/>
    <hyperlink ref="E1165" r:id="rId1146" xr:uid="{00000000-0004-0000-0000-000079040000}"/>
    <hyperlink ref="E1166" r:id="rId1147" xr:uid="{00000000-0004-0000-0000-00007A040000}"/>
    <hyperlink ref="E1167" r:id="rId1148" xr:uid="{00000000-0004-0000-0000-00007B040000}"/>
    <hyperlink ref="E1168" r:id="rId1149" xr:uid="{00000000-0004-0000-0000-00007C040000}"/>
    <hyperlink ref="E1169" r:id="rId1150" xr:uid="{00000000-0004-0000-0000-00007D040000}"/>
    <hyperlink ref="E1172" r:id="rId1151" xr:uid="{00000000-0004-0000-0000-00007E040000}"/>
    <hyperlink ref="E1173" r:id="rId1152" xr:uid="{00000000-0004-0000-0000-00007F040000}"/>
    <hyperlink ref="E1174" r:id="rId1153" xr:uid="{00000000-0004-0000-0000-000080040000}"/>
    <hyperlink ref="E1175" r:id="rId1154" xr:uid="{00000000-0004-0000-0000-000081040000}"/>
    <hyperlink ref="E1176" r:id="rId1155" xr:uid="{00000000-0004-0000-0000-000082040000}"/>
    <hyperlink ref="E1177" r:id="rId1156" xr:uid="{00000000-0004-0000-0000-000083040000}"/>
    <hyperlink ref="E1178" r:id="rId1157" xr:uid="{00000000-0004-0000-0000-000084040000}"/>
    <hyperlink ref="E1179" r:id="rId1158" xr:uid="{00000000-0004-0000-0000-000085040000}"/>
    <hyperlink ref="E1180" r:id="rId1159" xr:uid="{00000000-0004-0000-0000-000086040000}"/>
    <hyperlink ref="E1181" r:id="rId1160" xr:uid="{00000000-0004-0000-0000-000087040000}"/>
    <hyperlink ref="E1182" r:id="rId1161" xr:uid="{00000000-0004-0000-0000-000088040000}"/>
    <hyperlink ref="E1183" r:id="rId1162" xr:uid="{00000000-0004-0000-0000-000089040000}"/>
    <hyperlink ref="E1184" r:id="rId1163" xr:uid="{00000000-0004-0000-0000-00008A040000}"/>
    <hyperlink ref="E1185" r:id="rId1164" xr:uid="{00000000-0004-0000-0000-00008B040000}"/>
    <hyperlink ref="E1186" r:id="rId1165" xr:uid="{00000000-0004-0000-0000-00008C040000}"/>
    <hyperlink ref="E1187" r:id="rId1166" xr:uid="{00000000-0004-0000-0000-00008D040000}"/>
    <hyperlink ref="E1188" r:id="rId1167" xr:uid="{00000000-0004-0000-0000-00008E040000}"/>
    <hyperlink ref="E1189" r:id="rId1168" xr:uid="{00000000-0004-0000-0000-00008F040000}"/>
    <hyperlink ref="E1190" r:id="rId1169" xr:uid="{00000000-0004-0000-0000-000090040000}"/>
    <hyperlink ref="E1191" r:id="rId1170" xr:uid="{00000000-0004-0000-0000-000091040000}"/>
    <hyperlink ref="E1192" r:id="rId1171" xr:uid="{00000000-0004-0000-0000-000092040000}"/>
    <hyperlink ref="E1193" r:id="rId1172" xr:uid="{00000000-0004-0000-0000-000093040000}"/>
    <hyperlink ref="E1194" r:id="rId1173" xr:uid="{00000000-0004-0000-0000-000094040000}"/>
    <hyperlink ref="E1195" r:id="rId1174" xr:uid="{00000000-0004-0000-0000-000095040000}"/>
    <hyperlink ref="E1196" r:id="rId1175" xr:uid="{00000000-0004-0000-0000-000096040000}"/>
    <hyperlink ref="E1197" r:id="rId1176" xr:uid="{00000000-0004-0000-0000-000097040000}"/>
    <hyperlink ref="E1198" r:id="rId1177" xr:uid="{00000000-0004-0000-0000-000098040000}"/>
    <hyperlink ref="E1199" r:id="rId1178" xr:uid="{00000000-0004-0000-0000-000099040000}"/>
    <hyperlink ref="E1200" r:id="rId1179" xr:uid="{00000000-0004-0000-0000-00009A040000}"/>
    <hyperlink ref="E1201" r:id="rId1180" xr:uid="{00000000-0004-0000-0000-00009B040000}"/>
    <hyperlink ref="E1202" r:id="rId1181" xr:uid="{00000000-0004-0000-0000-00009C040000}"/>
    <hyperlink ref="E1203" r:id="rId1182" xr:uid="{00000000-0004-0000-0000-00009D040000}"/>
    <hyperlink ref="E1204" r:id="rId1183" xr:uid="{00000000-0004-0000-0000-00009E040000}"/>
    <hyperlink ref="E1205" r:id="rId1184" xr:uid="{00000000-0004-0000-0000-00009F040000}"/>
    <hyperlink ref="E1206" r:id="rId1185" xr:uid="{00000000-0004-0000-0000-0000A0040000}"/>
    <hyperlink ref="E1207" r:id="rId1186" xr:uid="{00000000-0004-0000-0000-0000A1040000}"/>
    <hyperlink ref="E1208" r:id="rId1187" xr:uid="{00000000-0004-0000-0000-0000A2040000}"/>
    <hyperlink ref="E1209" r:id="rId1188" xr:uid="{00000000-0004-0000-0000-0000A3040000}"/>
    <hyperlink ref="E1210" r:id="rId1189" xr:uid="{00000000-0004-0000-0000-0000A4040000}"/>
    <hyperlink ref="E1211" r:id="rId1190" xr:uid="{00000000-0004-0000-0000-0000A5040000}"/>
    <hyperlink ref="E1212" r:id="rId1191" xr:uid="{00000000-0004-0000-0000-0000A6040000}"/>
    <hyperlink ref="E1213" r:id="rId1192" xr:uid="{00000000-0004-0000-0000-0000A7040000}"/>
    <hyperlink ref="E1214" r:id="rId1193" xr:uid="{00000000-0004-0000-0000-0000A8040000}"/>
    <hyperlink ref="E1215" r:id="rId1194" xr:uid="{00000000-0004-0000-0000-0000A9040000}"/>
    <hyperlink ref="E1216" r:id="rId1195" xr:uid="{00000000-0004-0000-0000-0000AA040000}"/>
    <hyperlink ref="E1217" r:id="rId1196" xr:uid="{00000000-0004-0000-0000-0000AB040000}"/>
    <hyperlink ref="E1218" r:id="rId1197" xr:uid="{00000000-0004-0000-0000-0000AC040000}"/>
    <hyperlink ref="E1219" r:id="rId1198" xr:uid="{00000000-0004-0000-0000-0000AD040000}"/>
    <hyperlink ref="E1220" r:id="rId1199" xr:uid="{00000000-0004-0000-0000-0000AE040000}"/>
    <hyperlink ref="E1221" r:id="rId1200" xr:uid="{00000000-0004-0000-0000-0000AF040000}"/>
    <hyperlink ref="E1222" r:id="rId1201" xr:uid="{00000000-0004-0000-0000-0000B0040000}"/>
    <hyperlink ref="E1223" r:id="rId1202" xr:uid="{00000000-0004-0000-0000-0000B1040000}"/>
    <hyperlink ref="E1224" r:id="rId1203" xr:uid="{00000000-0004-0000-0000-0000B2040000}"/>
    <hyperlink ref="E1225" r:id="rId1204" xr:uid="{00000000-0004-0000-0000-0000B3040000}"/>
    <hyperlink ref="E1226" r:id="rId1205" xr:uid="{00000000-0004-0000-0000-0000B4040000}"/>
    <hyperlink ref="E1227" r:id="rId1206" xr:uid="{00000000-0004-0000-0000-0000B5040000}"/>
    <hyperlink ref="E1228" r:id="rId1207" xr:uid="{00000000-0004-0000-0000-0000B6040000}"/>
    <hyperlink ref="E1229" r:id="rId1208" xr:uid="{00000000-0004-0000-0000-0000B7040000}"/>
    <hyperlink ref="E1230" r:id="rId1209" xr:uid="{00000000-0004-0000-0000-0000B8040000}"/>
    <hyperlink ref="E1231" r:id="rId1210" xr:uid="{00000000-0004-0000-0000-0000B9040000}"/>
    <hyperlink ref="E1232" r:id="rId1211" xr:uid="{00000000-0004-0000-0000-0000BA040000}"/>
    <hyperlink ref="E1234" r:id="rId1212" xr:uid="{00000000-0004-0000-0000-0000BB040000}"/>
    <hyperlink ref="E1235" r:id="rId1213" xr:uid="{00000000-0004-0000-0000-0000BC040000}"/>
    <hyperlink ref="E1236" r:id="rId1214" xr:uid="{00000000-0004-0000-0000-0000BD040000}"/>
    <hyperlink ref="E1237" r:id="rId1215" xr:uid="{00000000-0004-0000-0000-0000BE040000}"/>
    <hyperlink ref="E1238" r:id="rId1216" xr:uid="{00000000-0004-0000-0000-0000BF040000}"/>
    <hyperlink ref="E1239" r:id="rId1217" xr:uid="{00000000-0004-0000-0000-0000C0040000}"/>
    <hyperlink ref="E1240" r:id="rId1218" xr:uid="{00000000-0004-0000-0000-0000C1040000}"/>
    <hyperlink ref="E1241" r:id="rId1219" xr:uid="{00000000-0004-0000-0000-0000C2040000}"/>
    <hyperlink ref="E1242" r:id="rId1220" xr:uid="{00000000-0004-0000-0000-0000C3040000}"/>
    <hyperlink ref="E1243" r:id="rId1221" xr:uid="{00000000-0004-0000-0000-0000C4040000}"/>
    <hyperlink ref="E1244" r:id="rId1222" xr:uid="{00000000-0004-0000-0000-0000C5040000}"/>
    <hyperlink ref="E1245" r:id="rId1223" xr:uid="{00000000-0004-0000-0000-0000C6040000}"/>
    <hyperlink ref="E1246" r:id="rId1224" xr:uid="{00000000-0004-0000-0000-0000C7040000}"/>
    <hyperlink ref="E1247" r:id="rId1225" xr:uid="{00000000-0004-0000-0000-0000C8040000}"/>
    <hyperlink ref="E1248" r:id="rId1226" xr:uid="{00000000-0004-0000-0000-0000C9040000}"/>
    <hyperlink ref="E1249" r:id="rId1227" xr:uid="{00000000-0004-0000-0000-0000CA040000}"/>
    <hyperlink ref="E1250" r:id="rId1228" xr:uid="{00000000-0004-0000-0000-0000CB040000}"/>
    <hyperlink ref="E1251" r:id="rId1229" xr:uid="{00000000-0004-0000-0000-0000CC040000}"/>
    <hyperlink ref="E1252" r:id="rId1230" xr:uid="{00000000-0004-0000-0000-0000CD040000}"/>
    <hyperlink ref="E1253" r:id="rId1231" xr:uid="{00000000-0004-0000-0000-0000CE040000}"/>
    <hyperlink ref="E1254" r:id="rId1232" xr:uid="{00000000-0004-0000-0000-0000CF040000}"/>
    <hyperlink ref="E1257" r:id="rId1233" xr:uid="{00000000-0004-0000-0000-0000D0040000}"/>
    <hyperlink ref="E1258" r:id="rId1234" xr:uid="{00000000-0004-0000-0000-0000D1040000}"/>
    <hyperlink ref="E1259" r:id="rId1235" xr:uid="{00000000-0004-0000-0000-0000D2040000}"/>
    <hyperlink ref="E1260" r:id="rId1236" xr:uid="{00000000-0004-0000-0000-0000D3040000}"/>
    <hyperlink ref="E1261" r:id="rId1237" xr:uid="{00000000-0004-0000-0000-0000D4040000}"/>
    <hyperlink ref="E1262" r:id="rId1238" xr:uid="{00000000-0004-0000-0000-0000D5040000}"/>
    <hyperlink ref="E1263" r:id="rId1239" xr:uid="{00000000-0004-0000-0000-0000D6040000}"/>
    <hyperlink ref="E1264" r:id="rId1240" xr:uid="{00000000-0004-0000-0000-0000D7040000}"/>
    <hyperlink ref="E1265" r:id="rId1241" xr:uid="{00000000-0004-0000-0000-0000D8040000}"/>
    <hyperlink ref="E1266" r:id="rId1242" xr:uid="{00000000-0004-0000-0000-0000D9040000}"/>
    <hyperlink ref="E1267" r:id="rId1243" xr:uid="{00000000-0004-0000-0000-0000DA040000}"/>
    <hyperlink ref="E1268" r:id="rId1244" xr:uid="{00000000-0004-0000-0000-0000DB040000}"/>
    <hyperlink ref="E1269" r:id="rId1245" xr:uid="{00000000-0004-0000-0000-0000DC040000}"/>
    <hyperlink ref="E1270" r:id="rId1246" xr:uid="{00000000-0004-0000-0000-0000DD040000}"/>
    <hyperlink ref="E1271" r:id="rId1247" xr:uid="{00000000-0004-0000-0000-0000DE040000}"/>
    <hyperlink ref="E1272" r:id="rId1248" xr:uid="{00000000-0004-0000-0000-0000DF040000}"/>
    <hyperlink ref="E1273" r:id="rId1249" xr:uid="{00000000-0004-0000-0000-0000E0040000}"/>
    <hyperlink ref="E1274" r:id="rId1250" xr:uid="{00000000-0004-0000-0000-0000E1040000}"/>
    <hyperlink ref="E1275" r:id="rId1251" xr:uid="{00000000-0004-0000-0000-0000E2040000}"/>
    <hyperlink ref="E1276" r:id="rId1252" xr:uid="{00000000-0004-0000-0000-0000E3040000}"/>
    <hyperlink ref="E1277" r:id="rId1253" xr:uid="{00000000-0004-0000-0000-0000E4040000}"/>
    <hyperlink ref="E1278" r:id="rId1254" xr:uid="{00000000-0004-0000-0000-0000E5040000}"/>
    <hyperlink ref="E1279" r:id="rId1255" xr:uid="{00000000-0004-0000-0000-0000E6040000}"/>
    <hyperlink ref="E1280" r:id="rId1256" xr:uid="{00000000-0004-0000-0000-0000E7040000}"/>
    <hyperlink ref="E1281" r:id="rId1257" xr:uid="{00000000-0004-0000-0000-0000E8040000}"/>
    <hyperlink ref="E1282" r:id="rId1258" xr:uid="{00000000-0004-0000-0000-0000E9040000}"/>
    <hyperlink ref="E1283" r:id="rId1259" xr:uid="{00000000-0004-0000-0000-0000EA040000}"/>
    <hyperlink ref="E1284" r:id="rId1260" xr:uid="{00000000-0004-0000-0000-0000EB040000}"/>
    <hyperlink ref="E1285" r:id="rId1261" xr:uid="{00000000-0004-0000-0000-0000EC040000}"/>
    <hyperlink ref="E1286" r:id="rId1262" xr:uid="{00000000-0004-0000-0000-0000ED040000}"/>
    <hyperlink ref="E1287" r:id="rId1263" xr:uid="{00000000-0004-0000-0000-0000EE040000}"/>
    <hyperlink ref="E1288" r:id="rId1264" xr:uid="{00000000-0004-0000-0000-0000EF040000}"/>
    <hyperlink ref="E1289" r:id="rId1265" xr:uid="{00000000-0004-0000-0000-0000F0040000}"/>
    <hyperlink ref="E1290" r:id="rId1266" xr:uid="{00000000-0004-0000-0000-0000F1040000}"/>
    <hyperlink ref="E1291" r:id="rId1267" xr:uid="{00000000-0004-0000-0000-0000F2040000}"/>
    <hyperlink ref="E1292" r:id="rId1268" xr:uid="{00000000-0004-0000-0000-0000F3040000}"/>
    <hyperlink ref="E1293" r:id="rId1269" xr:uid="{00000000-0004-0000-0000-0000F4040000}"/>
    <hyperlink ref="E1294" r:id="rId1270" xr:uid="{00000000-0004-0000-0000-0000F5040000}"/>
    <hyperlink ref="E1295" r:id="rId1271" xr:uid="{00000000-0004-0000-0000-0000F6040000}"/>
    <hyperlink ref="E1296" r:id="rId1272" xr:uid="{00000000-0004-0000-0000-0000F7040000}"/>
    <hyperlink ref="E1297" r:id="rId1273" xr:uid="{00000000-0004-0000-0000-0000F8040000}"/>
    <hyperlink ref="E1298" r:id="rId1274" xr:uid="{00000000-0004-0000-0000-0000F9040000}"/>
    <hyperlink ref="E1299" r:id="rId1275" xr:uid="{00000000-0004-0000-0000-0000FA040000}"/>
    <hyperlink ref="E1300" r:id="rId1276" xr:uid="{00000000-0004-0000-0000-0000FB040000}"/>
    <hyperlink ref="E1301" r:id="rId1277" xr:uid="{00000000-0004-0000-0000-0000FC040000}"/>
    <hyperlink ref="E1302" r:id="rId1278" xr:uid="{00000000-0004-0000-0000-0000FD040000}"/>
    <hyperlink ref="E1303" r:id="rId1279" xr:uid="{00000000-0004-0000-0000-0000FE040000}"/>
    <hyperlink ref="E1304" r:id="rId1280" xr:uid="{00000000-0004-0000-0000-0000FF040000}"/>
    <hyperlink ref="E1305" r:id="rId1281" xr:uid="{00000000-0004-0000-0000-000000050000}"/>
    <hyperlink ref="E1306" r:id="rId1282" xr:uid="{00000000-0004-0000-0000-000001050000}"/>
    <hyperlink ref="E1307" r:id="rId1283" xr:uid="{00000000-0004-0000-0000-000002050000}"/>
    <hyperlink ref="E1308" r:id="rId1284" xr:uid="{00000000-0004-0000-0000-000003050000}"/>
    <hyperlink ref="E1309" r:id="rId1285" xr:uid="{00000000-0004-0000-0000-000004050000}"/>
    <hyperlink ref="E1310" r:id="rId1286" xr:uid="{00000000-0004-0000-0000-000005050000}"/>
    <hyperlink ref="E1311" r:id="rId1287" xr:uid="{00000000-0004-0000-0000-000006050000}"/>
    <hyperlink ref="E1312" r:id="rId1288" xr:uid="{00000000-0004-0000-0000-000007050000}"/>
    <hyperlink ref="E1313" r:id="rId1289" xr:uid="{00000000-0004-0000-0000-000008050000}"/>
    <hyperlink ref="E1314" r:id="rId1290" xr:uid="{00000000-0004-0000-0000-000009050000}"/>
    <hyperlink ref="E1315" r:id="rId1291" xr:uid="{00000000-0004-0000-0000-00000A050000}"/>
    <hyperlink ref="E1316" r:id="rId1292" xr:uid="{00000000-0004-0000-0000-00000B050000}"/>
    <hyperlink ref="E1317" r:id="rId1293" xr:uid="{00000000-0004-0000-0000-00000C050000}"/>
    <hyperlink ref="E1318" r:id="rId1294" xr:uid="{00000000-0004-0000-0000-00000D050000}"/>
    <hyperlink ref="E1319" r:id="rId1295" xr:uid="{00000000-0004-0000-0000-00000E050000}"/>
    <hyperlink ref="E1320" r:id="rId1296" xr:uid="{00000000-0004-0000-0000-00000F050000}"/>
    <hyperlink ref="E1321" r:id="rId1297" xr:uid="{00000000-0004-0000-0000-000010050000}"/>
    <hyperlink ref="E1322" r:id="rId1298" xr:uid="{00000000-0004-0000-0000-000011050000}"/>
    <hyperlink ref="E1323" r:id="rId1299" xr:uid="{00000000-0004-0000-0000-000012050000}"/>
    <hyperlink ref="E1324" r:id="rId1300" xr:uid="{00000000-0004-0000-0000-000013050000}"/>
    <hyperlink ref="E1325" r:id="rId1301" xr:uid="{00000000-0004-0000-0000-000014050000}"/>
    <hyperlink ref="E1326" r:id="rId1302" xr:uid="{00000000-0004-0000-0000-000015050000}"/>
    <hyperlink ref="E1327" r:id="rId1303" xr:uid="{00000000-0004-0000-0000-000016050000}"/>
    <hyperlink ref="E1328" r:id="rId1304" xr:uid="{00000000-0004-0000-0000-000017050000}"/>
    <hyperlink ref="E1329" r:id="rId1305" xr:uid="{00000000-0004-0000-0000-000018050000}"/>
    <hyperlink ref="E1330" r:id="rId1306" xr:uid="{00000000-0004-0000-0000-000019050000}"/>
    <hyperlink ref="E1331" r:id="rId1307" xr:uid="{00000000-0004-0000-0000-00001A050000}"/>
    <hyperlink ref="E1332" r:id="rId1308" xr:uid="{00000000-0004-0000-0000-00001B050000}"/>
    <hyperlink ref="E1333" r:id="rId1309" xr:uid="{00000000-0004-0000-0000-00001C050000}"/>
    <hyperlink ref="E1334" r:id="rId1310" xr:uid="{00000000-0004-0000-0000-00001D050000}"/>
    <hyperlink ref="E1335" r:id="rId1311" xr:uid="{00000000-0004-0000-0000-00001E050000}"/>
    <hyperlink ref="E1336" r:id="rId1312" xr:uid="{00000000-0004-0000-0000-00001F050000}"/>
    <hyperlink ref="E1337" r:id="rId1313" xr:uid="{00000000-0004-0000-0000-000020050000}"/>
    <hyperlink ref="E1338" r:id="rId1314" xr:uid="{00000000-0004-0000-0000-000021050000}"/>
    <hyperlink ref="E1339" r:id="rId1315" xr:uid="{00000000-0004-0000-0000-000022050000}"/>
    <hyperlink ref="E1340" r:id="rId1316" xr:uid="{00000000-0004-0000-0000-000023050000}"/>
    <hyperlink ref="E1341" r:id="rId1317" xr:uid="{00000000-0004-0000-0000-000024050000}"/>
    <hyperlink ref="E1342" r:id="rId1318" xr:uid="{00000000-0004-0000-0000-000025050000}"/>
    <hyperlink ref="E1343" r:id="rId1319" xr:uid="{00000000-0004-0000-0000-000026050000}"/>
    <hyperlink ref="E1344" r:id="rId1320" xr:uid="{00000000-0004-0000-0000-000027050000}"/>
    <hyperlink ref="E1345" r:id="rId1321" xr:uid="{00000000-0004-0000-0000-000028050000}"/>
    <hyperlink ref="E1346" r:id="rId1322" xr:uid="{00000000-0004-0000-0000-000029050000}"/>
    <hyperlink ref="E1347" r:id="rId1323" xr:uid="{00000000-0004-0000-0000-00002A050000}"/>
    <hyperlink ref="E1348" r:id="rId1324" xr:uid="{00000000-0004-0000-0000-00002B050000}"/>
    <hyperlink ref="E1349" r:id="rId1325" xr:uid="{00000000-0004-0000-0000-00002C050000}"/>
    <hyperlink ref="E1350" r:id="rId1326" xr:uid="{00000000-0004-0000-0000-00002D050000}"/>
    <hyperlink ref="E1351" r:id="rId1327" xr:uid="{00000000-0004-0000-0000-00002E050000}"/>
    <hyperlink ref="E1352" r:id="rId1328" xr:uid="{00000000-0004-0000-0000-00002F050000}"/>
    <hyperlink ref="E1353" r:id="rId1329" xr:uid="{00000000-0004-0000-0000-000030050000}"/>
    <hyperlink ref="E1354" r:id="rId1330" xr:uid="{00000000-0004-0000-0000-000031050000}"/>
    <hyperlink ref="E1355" r:id="rId1331" xr:uid="{00000000-0004-0000-0000-000032050000}"/>
    <hyperlink ref="E1356" r:id="rId1332" xr:uid="{00000000-0004-0000-0000-000033050000}"/>
    <hyperlink ref="E1357" r:id="rId1333" xr:uid="{00000000-0004-0000-0000-000034050000}"/>
    <hyperlink ref="E1358" r:id="rId1334" xr:uid="{00000000-0004-0000-0000-000035050000}"/>
    <hyperlink ref="E1359" r:id="rId1335" xr:uid="{00000000-0004-0000-0000-000036050000}"/>
    <hyperlink ref="E1360" r:id="rId1336" xr:uid="{00000000-0004-0000-0000-000037050000}"/>
    <hyperlink ref="E1361" r:id="rId1337" xr:uid="{00000000-0004-0000-0000-000038050000}"/>
    <hyperlink ref="E1362" r:id="rId1338" xr:uid="{00000000-0004-0000-0000-000039050000}"/>
    <hyperlink ref="E1363" r:id="rId1339" xr:uid="{00000000-0004-0000-0000-00003A050000}"/>
    <hyperlink ref="E1364" r:id="rId1340" xr:uid="{00000000-0004-0000-0000-00003B050000}"/>
    <hyperlink ref="E1365" r:id="rId1341" xr:uid="{00000000-0004-0000-0000-00003C050000}"/>
    <hyperlink ref="E1366" r:id="rId1342" xr:uid="{00000000-0004-0000-0000-00003D050000}"/>
    <hyperlink ref="E1367" r:id="rId1343" xr:uid="{00000000-0004-0000-0000-00003E050000}"/>
    <hyperlink ref="E1368" r:id="rId1344" xr:uid="{00000000-0004-0000-0000-00003F050000}"/>
    <hyperlink ref="E1369" r:id="rId1345" xr:uid="{00000000-0004-0000-0000-000040050000}"/>
    <hyperlink ref="E1370" r:id="rId1346" xr:uid="{00000000-0004-0000-0000-000041050000}"/>
    <hyperlink ref="E1371" r:id="rId1347" xr:uid="{00000000-0004-0000-0000-000042050000}"/>
    <hyperlink ref="E1372" r:id="rId1348" xr:uid="{00000000-0004-0000-0000-000043050000}"/>
    <hyperlink ref="E1373" r:id="rId1349" xr:uid="{00000000-0004-0000-0000-000044050000}"/>
    <hyperlink ref="E1374" r:id="rId1350" xr:uid="{00000000-0004-0000-0000-000045050000}"/>
    <hyperlink ref="E1375" r:id="rId1351" xr:uid="{00000000-0004-0000-0000-000046050000}"/>
    <hyperlink ref="E1376" r:id="rId1352" xr:uid="{00000000-0004-0000-0000-000047050000}"/>
    <hyperlink ref="E1377" r:id="rId1353" xr:uid="{00000000-0004-0000-0000-000048050000}"/>
    <hyperlink ref="E1378" r:id="rId1354" xr:uid="{00000000-0004-0000-0000-000049050000}"/>
    <hyperlink ref="E1379" r:id="rId1355" xr:uid="{00000000-0004-0000-0000-00004A050000}"/>
    <hyperlink ref="E1380" r:id="rId1356" xr:uid="{00000000-0004-0000-0000-00004B050000}"/>
    <hyperlink ref="E1381" r:id="rId1357" xr:uid="{00000000-0004-0000-0000-00004C050000}"/>
    <hyperlink ref="E1382" r:id="rId1358" xr:uid="{00000000-0004-0000-0000-00004D050000}"/>
    <hyperlink ref="E1383" r:id="rId1359" xr:uid="{00000000-0004-0000-0000-00004E050000}"/>
    <hyperlink ref="E1384" r:id="rId1360" xr:uid="{00000000-0004-0000-0000-00004F050000}"/>
    <hyperlink ref="E1385" r:id="rId1361" xr:uid="{00000000-0004-0000-0000-000050050000}"/>
    <hyperlink ref="E1386" r:id="rId1362" xr:uid="{00000000-0004-0000-0000-000051050000}"/>
    <hyperlink ref="E1387" r:id="rId1363" xr:uid="{00000000-0004-0000-0000-000052050000}"/>
    <hyperlink ref="E1388" r:id="rId1364" xr:uid="{00000000-0004-0000-0000-000053050000}"/>
    <hyperlink ref="E1389" r:id="rId1365" xr:uid="{00000000-0004-0000-0000-000054050000}"/>
    <hyperlink ref="E1390" r:id="rId1366" xr:uid="{00000000-0004-0000-0000-000055050000}"/>
    <hyperlink ref="E1391" r:id="rId1367" xr:uid="{00000000-0004-0000-0000-000056050000}"/>
    <hyperlink ref="E1392" r:id="rId1368" xr:uid="{00000000-0004-0000-0000-000057050000}"/>
    <hyperlink ref="E1393" r:id="rId1369" xr:uid="{00000000-0004-0000-0000-000058050000}"/>
    <hyperlink ref="E1394" r:id="rId1370" xr:uid="{00000000-0004-0000-0000-000059050000}"/>
    <hyperlink ref="E1395" r:id="rId1371" xr:uid="{00000000-0004-0000-0000-00005A050000}"/>
    <hyperlink ref="E1396" r:id="rId1372" xr:uid="{00000000-0004-0000-0000-00005B050000}"/>
    <hyperlink ref="E1397" r:id="rId1373" xr:uid="{00000000-0004-0000-0000-00005C050000}"/>
    <hyperlink ref="E1398" r:id="rId1374" xr:uid="{00000000-0004-0000-0000-00005D050000}"/>
    <hyperlink ref="E1400" r:id="rId1375" xr:uid="{00000000-0004-0000-0000-00005E050000}"/>
    <hyperlink ref="E1401" r:id="rId1376" xr:uid="{00000000-0004-0000-0000-00005F050000}"/>
    <hyperlink ref="E1402" r:id="rId1377" xr:uid="{00000000-0004-0000-0000-000060050000}"/>
    <hyperlink ref="E1403" r:id="rId1378" xr:uid="{00000000-0004-0000-0000-000061050000}"/>
    <hyperlink ref="E1404" r:id="rId1379" xr:uid="{00000000-0004-0000-0000-000062050000}"/>
    <hyperlink ref="E1405" r:id="rId1380" xr:uid="{00000000-0004-0000-0000-000063050000}"/>
    <hyperlink ref="E1406" r:id="rId1381" xr:uid="{00000000-0004-0000-0000-000064050000}"/>
    <hyperlink ref="E1407" r:id="rId1382" xr:uid="{00000000-0004-0000-0000-000065050000}"/>
    <hyperlink ref="E1408" r:id="rId1383" xr:uid="{00000000-0004-0000-0000-000066050000}"/>
    <hyperlink ref="E1409" r:id="rId1384" xr:uid="{00000000-0004-0000-0000-000067050000}"/>
    <hyperlink ref="E1410" r:id="rId1385" xr:uid="{00000000-0004-0000-0000-000068050000}"/>
    <hyperlink ref="E1411" r:id="rId1386" xr:uid="{00000000-0004-0000-0000-000069050000}"/>
    <hyperlink ref="E1412" r:id="rId1387" xr:uid="{00000000-0004-0000-0000-00006A050000}"/>
    <hyperlink ref="E1413" r:id="rId1388" xr:uid="{00000000-0004-0000-0000-00006B050000}"/>
    <hyperlink ref="E1414" r:id="rId1389" xr:uid="{00000000-0004-0000-0000-00006C050000}"/>
    <hyperlink ref="E1415" r:id="rId1390" xr:uid="{00000000-0004-0000-0000-00006D050000}"/>
    <hyperlink ref="E1416" r:id="rId1391" xr:uid="{00000000-0004-0000-0000-00006E050000}"/>
    <hyperlink ref="E1417" r:id="rId1392" xr:uid="{00000000-0004-0000-0000-00006F050000}"/>
    <hyperlink ref="E1418" r:id="rId1393" xr:uid="{00000000-0004-0000-0000-000070050000}"/>
    <hyperlink ref="E1419" r:id="rId1394" xr:uid="{00000000-0004-0000-0000-000071050000}"/>
    <hyperlink ref="E1420" r:id="rId1395" xr:uid="{00000000-0004-0000-0000-000072050000}"/>
    <hyperlink ref="E1421" r:id="rId1396" xr:uid="{00000000-0004-0000-0000-000073050000}"/>
    <hyperlink ref="E1422" r:id="rId1397" xr:uid="{00000000-0004-0000-0000-000074050000}"/>
    <hyperlink ref="E1423" r:id="rId1398" xr:uid="{00000000-0004-0000-0000-000075050000}"/>
    <hyperlink ref="E1424" r:id="rId1399" xr:uid="{00000000-0004-0000-0000-000076050000}"/>
    <hyperlink ref="E1425" r:id="rId1400" xr:uid="{00000000-0004-0000-0000-000077050000}"/>
    <hyperlink ref="E1426" r:id="rId1401" xr:uid="{00000000-0004-0000-0000-000078050000}"/>
    <hyperlink ref="E1427" r:id="rId1402" xr:uid="{00000000-0004-0000-0000-000079050000}"/>
    <hyperlink ref="E1428" r:id="rId1403" xr:uid="{00000000-0004-0000-0000-00007A050000}"/>
    <hyperlink ref="E1429" r:id="rId1404" xr:uid="{00000000-0004-0000-0000-00007B050000}"/>
    <hyperlink ref="E1430" r:id="rId1405" xr:uid="{00000000-0004-0000-0000-00007C050000}"/>
    <hyperlink ref="E1431" r:id="rId1406" xr:uid="{00000000-0004-0000-0000-00007D050000}"/>
    <hyperlink ref="E1432" r:id="rId1407" xr:uid="{00000000-0004-0000-0000-00007E050000}"/>
    <hyperlink ref="E1433" r:id="rId1408" xr:uid="{00000000-0004-0000-0000-00007F050000}"/>
    <hyperlink ref="E1434" r:id="rId1409" xr:uid="{00000000-0004-0000-0000-000080050000}"/>
    <hyperlink ref="E1435" r:id="rId1410" xr:uid="{00000000-0004-0000-0000-000081050000}"/>
    <hyperlink ref="E1436" r:id="rId1411" xr:uid="{00000000-0004-0000-0000-000082050000}"/>
    <hyperlink ref="E1437" r:id="rId1412" xr:uid="{00000000-0004-0000-0000-000083050000}"/>
    <hyperlink ref="E1438" r:id="rId1413" xr:uid="{00000000-0004-0000-0000-000084050000}"/>
    <hyperlink ref="E1439" r:id="rId1414" xr:uid="{00000000-0004-0000-0000-000085050000}"/>
    <hyperlink ref="E1440" r:id="rId1415" xr:uid="{00000000-0004-0000-0000-000086050000}"/>
    <hyperlink ref="E1441" r:id="rId1416" xr:uid="{00000000-0004-0000-0000-000087050000}"/>
    <hyperlink ref="E1442" r:id="rId1417" xr:uid="{00000000-0004-0000-0000-000088050000}"/>
    <hyperlink ref="E1443" r:id="rId1418" xr:uid="{00000000-0004-0000-0000-000089050000}"/>
    <hyperlink ref="E1444" r:id="rId1419" xr:uid="{00000000-0004-0000-0000-00008A050000}"/>
    <hyperlink ref="E1445" r:id="rId1420" xr:uid="{00000000-0004-0000-0000-00008B050000}"/>
    <hyperlink ref="E1446" r:id="rId1421" xr:uid="{00000000-0004-0000-0000-00008C050000}"/>
    <hyperlink ref="E1447" r:id="rId1422" xr:uid="{00000000-0004-0000-0000-00008D050000}"/>
    <hyperlink ref="E1448" r:id="rId1423" xr:uid="{00000000-0004-0000-0000-00008E050000}"/>
    <hyperlink ref="E1449" r:id="rId1424" xr:uid="{00000000-0004-0000-0000-00008F050000}"/>
    <hyperlink ref="E1450" r:id="rId1425" xr:uid="{00000000-0004-0000-0000-000090050000}"/>
    <hyperlink ref="E1451" r:id="rId1426" xr:uid="{00000000-0004-0000-0000-000091050000}"/>
    <hyperlink ref="E1452" r:id="rId1427" xr:uid="{00000000-0004-0000-0000-000092050000}"/>
    <hyperlink ref="E1453" r:id="rId1428" xr:uid="{00000000-0004-0000-0000-000093050000}"/>
    <hyperlink ref="E1454" r:id="rId1429" xr:uid="{00000000-0004-0000-0000-000094050000}"/>
    <hyperlink ref="E1455" r:id="rId1430" xr:uid="{00000000-0004-0000-0000-000095050000}"/>
    <hyperlink ref="E1456" r:id="rId1431" xr:uid="{00000000-0004-0000-0000-000096050000}"/>
    <hyperlink ref="E1457" r:id="rId1432" xr:uid="{00000000-0004-0000-0000-000097050000}"/>
    <hyperlink ref="E1458" r:id="rId1433" xr:uid="{00000000-0004-0000-0000-000098050000}"/>
    <hyperlink ref="E1459" r:id="rId1434" xr:uid="{00000000-0004-0000-0000-000099050000}"/>
    <hyperlink ref="E1460" r:id="rId1435" xr:uid="{00000000-0004-0000-0000-00009A050000}"/>
    <hyperlink ref="E1461" r:id="rId1436" xr:uid="{00000000-0004-0000-0000-00009B050000}"/>
    <hyperlink ref="E1462" r:id="rId1437" xr:uid="{00000000-0004-0000-0000-00009C050000}"/>
    <hyperlink ref="E1463" r:id="rId1438" xr:uid="{00000000-0004-0000-0000-00009D050000}"/>
    <hyperlink ref="E1464" r:id="rId1439" xr:uid="{00000000-0004-0000-0000-00009E050000}"/>
    <hyperlink ref="E1465" r:id="rId1440" xr:uid="{00000000-0004-0000-0000-00009F050000}"/>
    <hyperlink ref="E1466" r:id="rId1441" xr:uid="{00000000-0004-0000-0000-0000A0050000}"/>
    <hyperlink ref="E1467" r:id="rId1442" xr:uid="{00000000-0004-0000-0000-0000A1050000}"/>
    <hyperlink ref="E1469" r:id="rId1443" xr:uid="{00000000-0004-0000-0000-0000A2050000}"/>
    <hyperlink ref="E1470" r:id="rId1444" xr:uid="{00000000-0004-0000-0000-0000A3050000}"/>
    <hyperlink ref="E1471" r:id="rId1445" xr:uid="{00000000-0004-0000-0000-0000A4050000}"/>
    <hyperlink ref="E1472" r:id="rId1446" xr:uid="{00000000-0004-0000-0000-0000A5050000}"/>
    <hyperlink ref="E1473" r:id="rId1447" xr:uid="{00000000-0004-0000-0000-0000A6050000}"/>
    <hyperlink ref="E1474" r:id="rId1448" xr:uid="{00000000-0004-0000-0000-0000A7050000}"/>
    <hyperlink ref="E1475" r:id="rId1449" xr:uid="{00000000-0004-0000-0000-0000A8050000}"/>
    <hyperlink ref="E1476" r:id="rId1450" xr:uid="{00000000-0004-0000-0000-0000A9050000}"/>
    <hyperlink ref="E1477" r:id="rId1451" xr:uid="{00000000-0004-0000-0000-0000AA050000}"/>
    <hyperlink ref="E1478" r:id="rId1452" xr:uid="{00000000-0004-0000-0000-0000AB050000}"/>
    <hyperlink ref="E1479" r:id="rId1453" xr:uid="{00000000-0004-0000-0000-0000AC050000}"/>
    <hyperlink ref="E1480" r:id="rId1454" xr:uid="{00000000-0004-0000-0000-0000AD050000}"/>
    <hyperlink ref="E1481" r:id="rId1455" xr:uid="{00000000-0004-0000-0000-0000AE050000}"/>
    <hyperlink ref="E1482" r:id="rId1456" xr:uid="{00000000-0004-0000-0000-0000AF050000}"/>
    <hyperlink ref="E1483" r:id="rId1457" xr:uid="{00000000-0004-0000-0000-0000B0050000}"/>
    <hyperlink ref="E1484" r:id="rId1458" xr:uid="{00000000-0004-0000-0000-0000B1050000}"/>
    <hyperlink ref="E1485" r:id="rId1459" xr:uid="{00000000-0004-0000-0000-0000B2050000}"/>
    <hyperlink ref="E1486" r:id="rId1460" xr:uid="{00000000-0004-0000-0000-0000B3050000}"/>
    <hyperlink ref="E1487" r:id="rId1461" xr:uid="{00000000-0004-0000-0000-0000B4050000}"/>
    <hyperlink ref="E1488" r:id="rId1462" xr:uid="{00000000-0004-0000-0000-0000B5050000}"/>
    <hyperlink ref="E1489" r:id="rId1463" xr:uid="{00000000-0004-0000-0000-0000B6050000}"/>
    <hyperlink ref="E1490" r:id="rId1464" xr:uid="{00000000-0004-0000-0000-0000B7050000}"/>
    <hyperlink ref="E1491" r:id="rId1465" xr:uid="{00000000-0004-0000-0000-0000B8050000}"/>
    <hyperlink ref="E1492" r:id="rId1466" xr:uid="{00000000-0004-0000-0000-0000B9050000}"/>
    <hyperlink ref="E1493" r:id="rId1467" xr:uid="{00000000-0004-0000-0000-0000BA050000}"/>
    <hyperlink ref="E1494" r:id="rId1468" xr:uid="{00000000-0004-0000-0000-0000BB050000}"/>
    <hyperlink ref="E1495" r:id="rId1469" xr:uid="{00000000-0004-0000-0000-0000BC050000}"/>
    <hyperlink ref="E1496" r:id="rId1470" xr:uid="{00000000-0004-0000-0000-0000BD050000}"/>
    <hyperlink ref="E1497" r:id="rId1471" xr:uid="{00000000-0004-0000-0000-0000BE050000}"/>
    <hyperlink ref="E1498" r:id="rId1472" xr:uid="{00000000-0004-0000-0000-0000BF050000}"/>
    <hyperlink ref="E1499" r:id="rId1473" xr:uid="{00000000-0004-0000-0000-0000C0050000}"/>
    <hyperlink ref="E1500" r:id="rId1474" xr:uid="{00000000-0004-0000-0000-0000C1050000}"/>
    <hyperlink ref="E1501" r:id="rId1475" xr:uid="{00000000-0004-0000-0000-0000C2050000}"/>
    <hyperlink ref="E1502" r:id="rId1476" xr:uid="{00000000-0004-0000-0000-0000C3050000}"/>
    <hyperlink ref="E1503" r:id="rId1477" xr:uid="{00000000-0004-0000-0000-0000C4050000}"/>
    <hyperlink ref="E1504" r:id="rId1478" xr:uid="{00000000-0004-0000-0000-0000C5050000}"/>
    <hyperlink ref="E1505" r:id="rId1479" xr:uid="{00000000-0004-0000-0000-0000C6050000}"/>
    <hyperlink ref="E1506" r:id="rId1480" xr:uid="{00000000-0004-0000-0000-0000C7050000}"/>
    <hyperlink ref="E1507" r:id="rId1481" xr:uid="{00000000-0004-0000-0000-0000C8050000}"/>
    <hyperlink ref="E1508" r:id="rId1482" xr:uid="{00000000-0004-0000-0000-0000C9050000}"/>
    <hyperlink ref="E1509" r:id="rId1483" xr:uid="{00000000-0004-0000-0000-0000CA050000}"/>
    <hyperlink ref="E1510" r:id="rId1484" xr:uid="{00000000-0004-0000-0000-0000CB050000}"/>
    <hyperlink ref="E1511" r:id="rId1485" xr:uid="{00000000-0004-0000-0000-0000CC050000}"/>
    <hyperlink ref="E1512" r:id="rId1486" xr:uid="{00000000-0004-0000-0000-0000CD050000}"/>
    <hyperlink ref="E1513" r:id="rId1487" xr:uid="{00000000-0004-0000-0000-0000CE050000}"/>
    <hyperlink ref="E1514" r:id="rId1488" xr:uid="{00000000-0004-0000-0000-0000CF050000}"/>
    <hyperlink ref="E1515" r:id="rId1489" xr:uid="{00000000-0004-0000-0000-0000D0050000}"/>
    <hyperlink ref="E1516" r:id="rId1490" xr:uid="{00000000-0004-0000-0000-0000D1050000}"/>
    <hyperlink ref="E1517" r:id="rId1491" xr:uid="{00000000-0004-0000-0000-0000D2050000}"/>
    <hyperlink ref="E1518" r:id="rId1492" xr:uid="{00000000-0004-0000-0000-0000D3050000}"/>
    <hyperlink ref="E1519" r:id="rId1493" xr:uid="{00000000-0004-0000-0000-0000D4050000}"/>
    <hyperlink ref="E1520" r:id="rId1494" xr:uid="{00000000-0004-0000-0000-0000D5050000}"/>
    <hyperlink ref="E1521" r:id="rId1495" xr:uid="{00000000-0004-0000-0000-0000D6050000}"/>
    <hyperlink ref="E1522" r:id="rId1496" xr:uid="{00000000-0004-0000-0000-0000D7050000}"/>
    <hyperlink ref="E1523" r:id="rId1497" xr:uid="{00000000-0004-0000-0000-0000D8050000}"/>
    <hyperlink ref="E1524" r:id="rId1498" xr:uid="{00000000-0004-0000-0000-0000D9050000}"/>
    <hyperlink ref="E1525" r:id="rId1499" xr:uid="{00000000-0004-0000-0000-0000DA050000}"/>
    <hyperlink ref="E1526" r:id="rId1500" xr:uid="{00000000-0004-0000-0000-0000DB050000}"/>
    <hyperlink ref="E1527" r:id="rId1501" xr:uid="{00000000-0004-0000-0000-0000DC050000}"/>
    <hyperlink ref="E1528" r:id="rId1502" xr:uid="{00000000-0004-0000-0000-0000DD050000}"/>
    <hyperlink ref="E1529" r:id="rId1503" xr:uid="{00000000-0004-0000-0000-0000DE050000}"/>
    <hyperlink ref="E1530" r:id="rId1504" xr:uid="{00000000-0004-0000-0000-0000DF050000}"/>
    <hyperlink ref="E1531" r:id="rId1505" xr:uid="{00000000-0004-0000-0000-0000E0050000}"/>
    <hyperlink ref="E1532" r:id="rId1506" xr:uid="{00000000-0004-0000-0000-0000E1050000}"/>
    <hyperlink ref="E1533" r:id="rId1507" xr:uid="{00000000-0004-0000-0000-0000E2050000}"/>
    <hyperlink ref="E1534" r:id="rId1508" xr:uid="{00000000-0004-0000-0000-0000E3050000}"/>
    <hyperlink ref="E1535" r:id="rId1509" xr:uid="{00000000-0004-0000-0000-0000E4050000}"/>
    <hyperlink ref="E1536" r:id="rId1510" xr:uid="{00000000-0004-0000-0000-0000E5050000}"/>
    <hyperlink ref="E1537" r:id="rId1511" xr:uid="{00000000-0004-0000-0000-0000E6050000}"/>
    <hyperlink ref="E1538" r:id="rId1512" xr:uid="{00000000-0004-0000-0000-0000E7050000}"/>
    <hyperlink ref="E1539" r:id="rId1513" xr:uid="{00000000-0004-0000-0000-0000E8050000}"/>
    <hyperlink ref="E1540" r:id="rId1514" xr:uid="{00000000-0004-0000-0000-0000E9050000}"/>
    <hyperlink ref="E1541" r:id="rId1515" xr:uid="{00000000-0004-0000-0000-0000EA050000}"/>
    <hyperlink ref="E1542" r:id="rId1516" xr:uid="{00000000-0004-0000-0000-0000EB050000}"/>
    <hyperlink ref="E1543" r:id="rId1517" xr:uid="{00000000-0004-0000-0000-0000EC050000}"/>
    <hyperlink ref="E1544" r:id="rId1518" xr:uid="{00000000-0004-0000-0000-0000ED050000}"/>
    <hyperlink ref="E1545" r:id="rId1519" xr:uid="{00000000-0004-0000-0000-0000EE050000}"/>
    <hyperlink ref="E1546" r:id="rId1520" xr:uid="{00000000-0004-0000-0000-0000EF050000}"/>
    <hyperlink ref="E1547" r:id="rId1521" xr:uid="{00000000-0004-0000-0000-0000F0050000}"/>
    <hyperlink ref="E1548" r:id="rId1522" xr:uid="{00000000-0004-0000-0000-0000F1050000}"/>
    <hyperlink ref="E1549" r:id="rId1523" xr:uid="{00000000-0004-0000-0000-0000F2050000}"/>
    <hyperlink ref="E1550" r:id="rId1524" xr:uid="{00000000-0004-0000-0000-0000F3050000}"/>
    <hyperlink ref="E1551" r:id="rId1525" xr:uid="{00000000-0004-0000-0000-0000F4050000}"/>
    <hyperlink ref="E1552" r:id="rId1526" xr:uid="{00000000-0004-0000-0000-0000F5050000}"/>
    <hyperlink ref="E1553" r:id="rId1527" xr:uid="{00000000-0004-0000-0000-0000F6050000}"/>
    <hyperlink ref="E1554" r:id="rId1528" xr:uid="{00000000-0004-0000-0000-0000F7050000}"/>
    <hyperlink ref="E1555" r:id="rId1529" xr:uid="{00000000-0004-0000-0000-0000F8050000}"/>
    <hyperlink ref="E1556" r:id="rId1530" xr:uid="{00000000-0004-0000-0000-0000F9050000}"/>
    <hyperlink ref="E1557" r:id="rId1531" xr:uid="{00000000-0004-0000-0000-0000FA050000}"/>
    <hyperlink ref="E1558" r:id="rId1532" xr:uid="{00000000-0004-0000-0000-0000FB050000}"/>
    <hyperlink ref="E1559" r:id="rId1533" xr:uid="{00000000-0004-0000-0000-0000FC050000}"/>
    <hyperlink ref="E1560" r:id="rId1534" xr:uid="{00000000-0004-0000-0000-0000FD050000}"/>
    <hyperlink ref="E1561" r:id="rId1535" xr:uid="{00000000-0004-0000-0000-0000FE050000}"/>
    <hyperlink ref="E1562" r:id="rId1536" xr:uid="{00000000-0004-0000-0000-0000FF050000}"/>
    <hyperlink ref="E1563" r:id="rId1537" xr:uid="{00000000-0004-0000-0000-000000060000}"/>
    <hyperlink ref="E1564" r:id="rId1538" xr:uid="{00000000-0004-0000-0000-000001060000}"/>
    <hyperlink ref="E1565" r:id="rId1539" xr:uid="{00000000-0004-0000-0000-000002060000}"/>
    <hyperlink ref="E1566" r:id="rId1540" xr:uid="{00000000-0004-0000-0000-000003060000}"/>
    <hyperlink ref="E1567" r:id="rId1541" xr:uid="{00000000-0004-0000-0000-000004060000}"/>
    <hyperlink ref="E1568" r:id="rId1542" xr:uid="{00000000-0004-0000-0000-000005060000}"/>
    <hyperlink ref="E1569" r:id="rId1543" xr:uid="{00000000-0004-0000-0000-000006060000}"/>
    <hyperlink ref="E1570" r:id="rId1544" xr:uid="{00000000-0004-0000-0000-000007060000}"/>
    <hyperlink ref="E1571" r:id="rId1545" xr:uid="{00000000-0004-0000-0000-000008060000}"/>
    <hyperlink ref="E1572" r:id="rId1546" xr:uid="{00000000-0004-0000-0000-000009060000}"/>
    <hyperlink ref="E1573" r:id="rId1547" xr:uid="{00000000-0004-0000-0000-00000A060000}"/>
    <hyperlink ref="E1574" r:id="rId1548" xr:uid="{00000000-0004-0000-0000-00000B060000}"/>
    <hyperlink ref="E1575" r:id="rId1549" xr:uid="{00000000-0004-0000-0000-00000C060000}"/>
    <hyperlink ref="E1576" r:id="rId1550" xr:uid="{00000000-0004-0000-0000-00000D060000}"/>
    <hyperlink ref="E1577" r:id="rId1551" xr:uid="{00000000-0004-0000-0000-00000E060000}"/>
    <hyperlink ref="E1578" r:id="rId1552" xr:uid="{00000000-0004-0000-0000-00000F060000}"/>
    <hyperlink ref="E1579" r:id="rId1553" xr:uid="{00000000-0004-0000-0000-000010060000}"/>
    <hyperlink ref="E1580" r:id="rId1554" xr:uid="{00000000-0004-0000-0000-000011060000}"/>
    <hyperlink ref="E1581" r:id="rId1555" xr:uid="{00000000-0004-0000-0000-000012060000}"/>
    <hyperlink ref="E1582" r:id="rId1556" xr:uid="{00000000-0004-0000-0000-000013060000}"/>
    <hyperlink ref="E1583" r:id="rId1557" xr:uid="{00000000-0004-0000-0000-000014060000}"/>
    <hyperlink ref="E1584" r:id="rId1558" xr:uid="{00000000-0004-0000-0000-000015060000}"/>
    <hyperlink ref="E1585" r:id="rId1559" xr:uid="{00000000-0004-0000-0000-000016060000}"/>
    <hyperlink ref="E1586" r:id="rId1560" xr:uid="{00000000-0004-0000-0000-000017060000}"/>
    <hyperlink ref="E1587" r:id="rId1561" xr:uid="{00000000-0004-0000-0000-000018060000}"/>
    <hyperlink ref="E1588" r:id="rId1562" xr:uid="{00000000-0004-0000-0000-000019060000}"/>
    <hyperlink ref="E1589" r:id="rId1563" xr:uid="{00000000-0004-0000-0000-00001A060000}"/>
    <hyperlink ref="E1590" r:id="rId1564" xr:uid="{00000000-0004-0000-0000-00001B060000}"/>
    <hyperlink ref="E1591" r:id="rId1565" xr:uid="{00000000-0004-0000-0000-00001C060000}"/>
    <hyperlink ref="E1592" r:id="rId1566" xr:uid="{00000000-0004-0000-0000-00001D060000}"/>
    <hyperlink ref="E1593" r:id="rId1567" xr:uid="{00000000-0004-0000-0000-00001E060000}"/>
    <hyperlink ref="E1594" r:id="rId1568" xr:uid="{00000000-0004-0000-0000-00001F060000}"/>
    <hyperlink ref="E1595" r:id="rId1569" xr:uid="{00000000-0004-0000-0000-000020060000}"/>
    <hyperlink ref="E1596" r:id="rId1570" xr:uid="{00000000-0004-0000-0000-000021060000}"/>
    <hyperlink ref="E1597" r:id="rId1571" xr:uid="{00000000-0004-0000-0000-000022060000}"/>
    <hyperlink ref="E1598" r:id="rId1572" xr:uid="{00000000-0004-0000-0000-000023060000}"/>
    <hyperlink ref="E1599" r:id="rId1573" xr:uid="{00000000-0004-0000-0000-000024060000}"/>
    <hyperlink ref="E1600" r:id="rId1574" xr:uid="{00000000-0004-0000-0000-000025060000}"/>
    <hyperlink ref="E1601" r:id="rId1575" xr:uid="{00000000-0004-0000-0000-000026060000}"/>
    <hyperlink ref="E1602" r:id="rId1576" xr:uid="{00000000-0004-0000-0000-000027060000}"/>
    <hyperlink ref="E1603" r:id="rId1577" xr:uid="{00000000-0004-0000-0000-000028060000}"/>
    <hyperlink ref="E1604" r:id="rId1578" xr:uid="{00000000-0004-0000-0000-000029060000}"/>
    <hyperlink ref="E1605" r:id="rId1579" xr:uid="{00000000-0004-0000-0000-00002A060000}"/>
    <hyperlink ref="E1606" r:id="rId1580" xr:uid="{00000000-0004-0000-0000-00002B060000}"/>
    <hyperlink ref="E1607" r:id="rId1581" xr:uid="{00000000-0004-0000-0000-00002C060000}"/>
    <hyperlink ref="E1608" r:id="rId1582" xr:uid="{00000000-0004-0000-0000-00002D060000}"/>
    <hyperlink ref="E1609" r:id="rId1583" xr:uid="{00000000-0004-0000-0000-00002E060000}"/>
    <hyperlink ref="E1610" r:id="rId1584" xr:uid="{00000000-0004-0000-0000-00002F060000}"/>
    <hyperlink ref="E1611" r:id="rId1585" xr:uid="{00000000-0004-0000-0000-000030060000}"/>
    <hyperlink ref="E1612" r:id="rId1586" xr:uid="{00000000-0004-0000-0000-000031060000}"/>
    <hyperlink ref="E1613" r:id="rId1587" xr:uid="{00000000-0004-0000-0000-000032060000}"/>
    <hyperlink ref="E1614" r:id="rId1588" xr:uid="{00000000-0004-0000-0000-000033060000}"/>
    <hyperlink ref="E1615" r:id="rId1589" xr:uid="{00000000-0004-0000-0000-000034060000}"/>
    <hyperlink ref="E1616" r:id="rId1590" xr:uid="{00000000-0004-0000-0000-000035060000}"/>
    <hyperlink ref="E1617" r:id="rId1591" xr:uid="{00000000-0004-0000-0000-000036060000}"/>
    <hyperlink ref="E1618" r:id="rId1592" xr:uid="{00000000-0004-0000-0000-000037060000}"/>
    <hyperlink ref="E1619" r:id="rId1593" xr:uid="{00000000-0004-0000-0000-000038060000}"/>
    <hyperlink ref="E1620" r:id="rId1594" xr:uid="{00000000-0004-0000-0000-000039060000}"/>
    <hyperlink ref="E1621" r:id="rId1595" xr:uid="{00000000-0004-0000-0000-00003A060000}"/>
    <hyperlink ref="E1622" r:id="rId1596" xr:uid="{00000000-0004-0000-0000-00003B060000}"/>
    <hyperlink ref="E1623" r:id="rId1597" xr:uid="{00000000-0004-0000-0000-00003C060000}"/>
    <hyperlink ref="E1624" r:id="rId1598" xr:uid="{00000000-0004-0000-0000-00003D060000}"/>
    <hyperlink ref="E1625" r:id="rId1599" xr:uid="{00000000-0004-0000-0000-00003E060000}"/>
    <hyperlink ref="E1626" r:id="rId1600" xr:uid="{00000000-0004-0000-0000-00003F060000}"/>
    <hyperlink ref="E1627" r:id="rId1601" xr:uid="{00000000-0004-0000-0000-000040060000}"/>
    <hyperlink ref="E1628" r:id="rId1602" xr:uid="{00000000-0004-0000-0000-000041060000}"/>
    <hyperlink ref="E1629" r:id="rId1603" xr:uid="{00000000-0004-0000-0000-000042060000}"/>
    <hyperlink ref="E1630" r:id="rId1604" xr:uid="{00000000-0004-0000-0000-000043060000}"/>
    <hyperlink ref="E1631" r:id="rId1605" xr:uid="{00000000-0004-0000-0000-000044060000}"/>
    <hyperlink ref="E1632" r:id="rId1606" xr:uid="{00000000-0004-0000-0000-000045060000}"/>
    <hyperlink ref="E1633" r:id="rId1607" xr:uid="{00000000-0004-0000-0000-000046060000}"/>
    <hyperlink ref="E1634" r:id="rId1608" xr:uid="{00000000-0004-0000-0000-000047060000}"/>
    <hyperlink ref="E1635" r:id="rId1609" xr:uid="{00000000-0004-0000-0000-000048060000}"/>
    <hyperlink ref="E1636" r:id="rId1610" xr:uid="{00000000-0004-0000-0000-000049060000}"/>
    <hyperlink ref="E1637" r:id="rId1611" xr:uid="{00000000-0004-0000-0000-00004A060000}"/>
    <hyperlink ref="E1638" r:id="rId1612" xr:uid="{00000000-0004-0000-0000-00004B060000}"/>
    <hyperlink ref="E1639" r:id="rId1613" xr:uid="{00000000-0004-0000-0000-00004C060000}"/>
    <hyperlink ref="E1640" r:id="rId1614" xr:uid="{00000000-0004-0000-0000-00004D060000}"/>
    <hyperlink ref="E1641" r:id="rId1615" xr:uid="{00000000-0004-0000-0000-00004E060000}"/>
    <hyperlink ref="E1642" r:id="rId1616" xr:uid="{00000000-0004-0000-0000-00004F060000}"/>
    <hyperlink ref="E1643" r:id="rId1617" xr:uid="{00000000-0004-0000-0000-000050060000}"/>
    <hyperlink ref="E1644" r:id="rId1618" xr:uid="{00000000-0004-0000-0000-000051060000}"/>
    <hyperlink ref="E1645" r:id="rId1619" xr:uid="{00000000-0004-0000-0000-000052060000}"/>
    <hyperlink ref="E1646" r:id="rId1620" xr:uid="{00000000-0004-0000-0000-000053060000}"/>
    <hyperlink ref="E1647" r:id="rId1621" xr:uid="{00000000-0004-0000-0000-000054060000}"/>
    <hyperlink ref="E1648" r:id="rId1622" xr:uid="{00000000-0004-0000-0000-000055060000}"/>
    <hyperlink ref="E1649" r:id="rId1623" xr:uid="{00000000-0004-0000-0000-000056060000}"/>
    <hyperlink ref="E1650" r:id="rId1624" xr:uid="{00000000-0004-0000-0000-000057060000}"/>
    <hyperlink ref="E1651" r:id="rId1625" xr:uid="{00000000-0004-0000-0000-000058060000}"/>
    <hyperlink ref="E1652" r:id="rId1626" xr:uid="{00000000-0004-0000-0000-000059060000}"/>
    <hyperlink ref="E1653" r:id="rId1627" xr:uid="{00000000-0004-0000-0000-00005A060000}"/>
    <hyperlink ref="E1654" r:id="rId1628" xr:uid="{00000000-0004-0000-0000-00005B060000}"/>
    <hyperlink ref="E1655" r:id="rId1629" xr:uid="{00000000-0004-0000-0000-00005C060000}"/>
    <hyperlink ref="E1656" r:id="rId1630" xr:uid="{00000000-0004-0000-0000-00005D060000}"/>
    <hyperlink ref="E1657" r:id="rId1631" xr:uid="{00000000-0004-0000-0000-00005E060000}"/>
    <hyperlink ref="E1658" r:id="rId1632" xr:uid="{00000000-0004-0000-0000-00005F060000}"/>
    <hyperlink ref="E1659" r:id="rId1633" xr:uid="{00000000-0004-0000-0000-000060060000}"/>
    <hyperlink ref="E1660" r:id="rId1634" xr:uid="{00000000-0004-0000-0000-000061060000}"/>
    <hyperlink ref="E1661" r:id="rId1635" xr:uid="{00000000-0004-0000-0000-000062060000}"/>
    <hyperlink ref="E1662" r:id="rId1636" xr:uid="{00000000-0004-0000-0000-000063060000}"/>
    <hyperlink ref="E1663" r:id="rId1637" xr:uid="{00000000-0004-0000-0000-000064060000}"/>
    <hyperlink ref="E1664" r:id="rId1638" xr:uid="{00000000-0004-0000-0000-000065060000}"/>
    <hyperlink ref="E1665" r:id="rId1639" xr:uid="{00000000-0004-0000-0000-000066060000}"/>
    <hyperlink ref="E1666" r:id="rId1640" xr:uid="{00000000-0004-0000-0000-000067060000}"/>
    <hyperlink ref="E1667" r:id="rId1641" xr:uid="{00000000-0004-0000-0000-000068060000}"/>
    <hyperlink ref="E1668" r:id="rId1642" xr:uid="{00000000-0004-0000-0000-000069060000}"/>
    <hyperlink ref="E1669" r:id="rId1643" xr:uid="{00000000-0004-0000-0000-00006A060000}"/>
    <hyperlink ref="E1670" r:id="rId1644" xr:uid="{00000000-0004-0000-0000-00006B060000}"/>
    <hyperlink ref="E1671" r:id="rId1645" xr:uid="{00000000-0004-0000-0000-00006C060000}"/>
    <hyperlink ref="E1672" r:id="rId1646" xr:uid="{00000000-0004-0000-0000-00006D060000}"/>
    <hyperlink ref="E1673" r:id="rId1647" xr:uid="{00000000-0004-0000-0000-00006E060000}"/>
    <hyperlink ref="E1674" r:id="rId1648" xr:uid="{00000000-0004-0000-0000-00006F060000}"/>
    <hyperlink ref="E1675" r:id="rId1649" xr:uid="{00000000-0004-0000-0000-000070060000}"/>
    <hyperlink ref="E1676" r:id="rId1650" xr:uid="{00000000-0004-0000-0000-000071060000}"/>
    <hyperlink ref="E1677" r:id="rId1651" xr:uid="{00000000-0004-0000-0000-000072060000}"/>
    <hyperlink ref="E1678" r:id="rId1652" xr:uid="{00000000-0004-0000-0000-000073060000}"/>
    <hyperlink ref="E1679" r:id="rId1653" xr:uid="{00000000-0004-0000-0000-000074060000}"/>
    <hyperlink ref="E1680" r:id="rId1654" xr:uid="{00000000-0004-0000-0000-000075060000}"/>
    <hyperlink ref="E1681" r:id="rId1655" xr:uid="{00000000-0004-0000-0000-000076060000}"/>
    <hyperlink ref="E1682" r:id="rId1656" xr:uid="{00000000-0004-0000-0000-000077060000}"/>
    <hyperlink ref="E1683" r:id="rId1657" xr:uid="{00000000-0004-0000-0000-000078060000}"/>
    <hyperlink ref="E1684" r:id="rId1658" xr:uid="{00000000-0004-0000-0000-000079060000}"/>
    <hyperlink ref="E1685" r:id="rId1659" xr:uid="{00000000-0004-0000-0000-00007A060000}"/>
    <hyperlink ref="E1686" r:id="rId1660" xr:uid="{00000000-0004-0000-0000-00007B060000}"/>
    <hyperlink ref="E1687" r:id="rId1661" xr:uid="{00000000-0004-0000-0000-00007C060000}"/>
    <hyperlink ref="E1688" r:id="rId1662" xr:uid="{00000000-0004-0000-0000-00007D060000}"/>
    <hyperlink ref="E1689" r:id="rId1663" xr:uid="{00000000-0004-0000-0000-00007E060000}"/>
    <hyperlink ref="E1690" r:id="rId1664" xr:uid="{00000000-0004-0000-0000-00007F060000}"/>
    <hyperlink ref="E1691" r:id="rId1665" xr:uid="{00000000-0004-0000-0000-000080060000}"/>
    <hyperlink ref="E1692" r:id="rId1666" xr:uid="{00000000-0004-0000-0000-000081060000}"/>
    <hyperlink ref="E1693" r:id="rId1667" xr:uid="{00000000-0004-0000-0000-000082060000}"/>
    <hyperlink ref="E1694" r:id="rId1668" xr:uid="{00000000-0004-0000-0000-000083060000}"/>
    <hyperlink ref="E1695" r:id="rId1669" xr:uid="{00000000-0004-0000-0000-000084060000}"/>
    <hyperlink ref="E1696" r:id="rId1670" xr:uid="{00000000-0004-0000-0000-000085060000}"/>
    <hyperlink ref="E1697" r:id="rId1671" xr:uid="{00000000-0004-0000-0000-000086060000}"/>
    <hyperlink ref="E1698" r:id="rId1672" xr:uid="{00000000-0004-0000-0000-000087060000}"/>
    <hyperlink ref="E1699" r:id="rId1673" xr:uid="{00000000-0004-0000-0000-000088060000}"/>
    <hyperlink ref="E1700" r:id="rId1674" xr:uid="{00000000-0004-0000-0000-000089060000}"/>
    <hyperlink ref="E1701" r:id="rId1675" xr:uid="{00000000-0004-0000-0000-00008A060000}"/>
    <hyperlink ref="E1702" r:id="rId1676" xr:uid="{00000000-0004-0000-0000-00008B060000}"/>
    <hyperlink ref="E1703" r:id="rId1677" xr:uid="{00000000-0004-0000-0000-00008C060000}"/>
    <hyperlink ref="E1704" r:id="rId1678" xr:uid="{00000000-0004-0000-0000-00008D060000}"/>
    <hyperlink ref="E1705" r:id="rId1679" xr:uid="{00000000-0004-0000-0000-00008E060000}"/>
    <hyperlink ref="E1706" r:id="rId1680" xr:uid="{00000000-0004-0000-0000-00008F060000}"/>
    <hyperlink ref="E1707" r:id="rId1681" xr:uid="{00000000-0004-0000-0000-000090060000}"/>
    <hyperlink ref="E1709" r:id="rId1682" xr:uid="{00000000-0004-0000-0000-000091060000}"/>
    <hyperlink ref="E1710" r:id="rId1683" xr:uid="{00000000-0004-0000-0000-000092060000}"/>
    <hyperlink ref="E1711" r:id="rId1684" xr:uid="{00000000-0004-0000-0000-000093060000}"/>
    <hyperlink ref="E1712" r:id="rId1685" xr:uid="{00000000-0004-0000-0000-000094060000}"/>
    <hyperlink ref="E1713" r:id="rId1686" xr:uid="{00000000-0004-0000-0000-000095060000}"/>
    <hyperlink ref="E1714" r:id="rId1687" xr:uid="{00000000-0004-0000-0000-000096060000}"/>
    <hyperlink ref="E1715" r:id="rId1688" xr:uid="{00000000-0004-0000-0000-000097060000}"/>
    <hyperlink ref="E1716" r:id="rId1689" xr:uid="{00000000-0004-0000-0000-000098060000}"/>
    <hyperlink ref="E1717" r:id="rId1690" xr:uid="{00000000-0004-0000-0000-000099060000}"/>
    <hyperlink ref="E1718" r:id="rId1691" xr:uid="{00000000-0004-0000-0000-00009A060000}"/>
    <hyperlink ref="E1719" r:id="rId1692" xr:uid="{00000000-0004-0000-0000-00009B060000}"/>
    <hyperlink ref="E1720" r:id="rId1693" xr:uid="{00000000-0004-0000-0000-00009C060000}"/>
    <hyperlink ref="E1721" r:id="rId1694" xr:uid="{00000000-0004-0000-0000-00009D060000}"/>
    <hyperlink ref="E1722" r:id="rId1695" xr:uid="{00000000-0004-0000-0000-00009E060000}"/>
    <hyperlink ref="E1723" r:id="rId1696" xr:uid="{00000000-0004-0000-0000-00009F060000}"/>
    <hyperlink ref="E1724" r:id="rId1697" xr:uid="{00000000-0004-0000-0000-0000A0060000}"/>
    <hyperlink ref="E1725" r:id="rId1698" xr:uid="{00000000-0004-0000-0000-0000A1060000}"/>
    <hyperlink ref="E1726" r:id="rId1699" xr:uid="{00000000-0004-0000-0000-0000A2060000}"/>
    <hyperlink ref="E1727" r:id="rId1700" xr:uid="{00000000-0004-0000-0000-0000A3060000}"/>
    <hyperlink ref="E1728" r:id="rId1701" xr:uid="{00000000-0004-0000-0000-0000A4060000}"/>
    <hyperlink ref="E1729" r:id="rId1702" xr:uid="{00000000-0004-0000-0000-0000A5060000}"/>
    <hyperlink ref="E1730" r:id="rId1703" xr:uid="{00000000-0004-0000-0000-0000A6060000}"/>
    <hyperlink ref="E1731" r:id="rId1704" xr:uid="{00000000-0004-0000-0000-0000A7060000}"/>
    <hyperlink ref="E1732" r:id="rId1705" xr:uid="{00000000-0004-0000-0000-0000A8060000}"/>
    <hyperlink ref="E1733" r:id="rId1706" xr:uid="{00000000-0004-0000-0000-0000A9060000}"/>
    <hyperlink ref="E1734" r:id="rId1707" xr:uid="{00000000-0004-0000-0000-0000AA060000}"/>
    <hyperlink ref="E1735" r:id="rId1708" xr:uid="{00000000-0004-0000-0000-0000AB060000}"/>
    <hyperlink ref="E1736" r:id="rId1709" xr:uid="{00000000-0004-0000-0000-0000AC060000}"/>
    <hyperlink ref="E1737" r:id="rId1710" xr:uid="{00000000-0004-0000-0000-0000AD060000}"/>
    <hyperlink ref="E1738" r:id="rId1711" xr:uid="{00000000-0004-0000-0000-0000AE060000}"/>
    <hyperlink ref="E1739" r:id="rId1712" xr:uid="{00000000-0004-0000-0000-0000AF060000}"/>
    <hyperlink ref="E1740" r:id="rId1713" xr:uid="{00000000-0004-0000-0000-0000B0060000}"/>
    <hyperlink ref="E1741" r:id="rId1714" xr:uid="{00000000-0004-0000-0000-0000B1060000}"/>
    <hyperlink ref="E1742" r:id="rId1715" xr:uid="{00000000-0004-0000-0000-0000B2060000}"/>
    <hyperlink ref="E1743" r:id="rId1716" xr:uid="{00000000-0004-0000-0000-0000B3060000}"/>
    <hyperlink ref="E1744" r:id="rId1717" xr:uid="{00000000-0004-0000-0000-0000B4060000}"/>
    <hyperlink ref="E1745" r:id="rId1718" xr:uid="{00000000-0004-0000-0000-0000B5060000}"/>
    <hyperlink ref="E1746" r:id="rId1719" xr:uid="{00000000-0004-0000-0000-0000B6060000}"/>
    <hyperlink ref="E1747" r:id="rId1720" xr:uid="{00000000-0004-0000-0000-0000B7060000}"/>
    <hyperlink ref="E1748" r:id="rId1721" xr:uid="{00000000-0004-0000-0000-0000B8060000}"/>
    <hyperlink ref="E1749" r:id="rId1722" xr:uid="{00000000-0004-0000-0000-0000B9060000}"/>
    <hyperlink ref="E1750" r:id="rId1723" xr:uid="{00000000-0004-0000-0000-0000BA060000}"/>
    <hyperlink ref="E1751" r:id="rId1724" xr:uid="{00000000-0004-0000-0000-0000BB060000}"/>
    <hyperlink ref="E1752" r:id="rId1725" xr:uid="{00000000-0004-0000-0000-0000BC060000}"/>
    <hyperlink ref="E1753" r:id="rId1726" xr:uid="{00000000-0004-0000-0000-0000BD060000}"/>
    <hyperlink ref="E1754" r:id="rId1727" xr:uid="{00000000-0004-0000-0000-0000BE060000}"/>
    <hyperlink ref="E1755" r:id="rId1728" xr:uid="{00000000-0004-0000-0000-0000BF060000}"/>
    <hyperlink ref="E1756" r:id="rId1729" xr:uid="{00000000-0004-0000-0000-0000C0060000}"/>
    <hyperlink ref="E1757" r:id="rId1730" xr:uid="{00000000-0004-0000-0000-0000C1060000}"/>
    <hyperlink ref="E1758" r:id="rId1731" xr:uid="{00000000-0004-0000-0000-0000C2060000}"/>
    <hyperlink ref="E1759" r:id="rId1732" xr:uid="{00000000-0004-0000-0000-0000C3060000}"/>
    <hyperlink ref="E1760" r:id="rId1733" xr:uid="{00000000-0004-0000-0000-0000C4060000}"/>
    <hyperlink ref="E1761" r:id="rId1734" xr:uid="{00000000-0004-0000-0000-0000C5060000}"/>
    <hyperlink ref="E1762" r:id="rId1735" xr:uid="{00000000-0004-0000-0000-0000C6060000}"/>
    <hyperlink ref="E1763" r:id="rId1736" xr:uid="{00000000-0004-0000-0000-0000C7060000}"/>
    <hyperlink ref="E1764" r:id="rId1737" xr:uid="{00000000-0004-0000-0000-0000C8060000}"/>
    <hyperlink ref="E1765" r:id="rId1738" xr:uid="{00000000-0004-0000-0000-0000C9060000}"/>
    <hyperlink ref="E1766" r:id="rId1739" xr:uid="{00000000-0004-0000-0000-0000CA060000}"/>
    <hyperlink ref="E1767" r:id="rId1740" xr:uid="{00000000-0004-0000-0000-0000CB060000}"/>
    <hyperlink ref="E1768" r:id="rId1741" xr:uid="{00000000-0004-0000-0000-0000CC060000}"/>
    <hyperlink ref="E1769" r:id="rId1742" xr:uid="{00000000-0004-0000-0000-0000CD060000}"/>
    <hyperlink ref="E1770" r:id="rId1743" xr:uid="{00000000-0004-0000-0000-0000CE060000}"/>
    <hyperlink ref="E1771" r:id="rId1744" xr:uid="{00000000-0004-0000-0000-0000CF060000}"/>
    <hyperlink ref="E1772" r:id="rId1745" xr:uid="{00000000-0004-0000-0000-0000D0060000}"/>
    <hyperlink ref="E1773" r:id="rId1746" xr:uid="{00000000-0004-0000-0000-0000D1060000}"/>
    <hyperlink ref="E1774" r:id="rId1747" xr:uid="{00000000-0004-0000-0000-0000D2060000}"/>
    <hyperlink ref="E1775" r:id="rId1748" xr:uid="{00000000-0004-0000-0000-0000D3060000}"/>
    <hyperlink ref="E1776" r:id="rId1749" xr:uid="{00000000-0004-0000-0000-0000D4060000}"/>
    <hyperlink ref="E1777" r:id="rId1750" xr:uid="{00000000-0004-0000-0000-0000D5060000}"/>
    <hyperlink ref="E1778" r:id="rId1751" xr:uid="{00000000-0004-0000-0000-0000D6060000}"/>
    <hyperlink ref="E1779" r:id="rId1752" xr:uid="{00000000-0004-0000-0000-0000D7060000}"/>
    <hyperlink ref="E1780" r:id="rId1753" xr:uid="{00000000-0004-0000-0000-0000D8060000}"/>
    <hyperlink ref="E1781" r:id="rId1754" xr:uid="{00000000-0004-0000-0000-0000D9060000}"/>
    <hyperlink ref="E1782" r:id="rId1755" xr:uid="{00000000-0004-0000-0000-0000DA060000}"/>
    <hyperlink ref="E1783" r:id="rId1756" xr:uid="{00000000-0004-0000-0000-0000DB060000}"/>
    <hyperlink ref="E1784" r:id="rId1757" xr:uid="{00000000-0004-0000-0000-0000DC060000}"/>
    <hyperlink ref="E1785" r:id="rId1758" xr:uid="{00000000-0004-0000-0000-0000DD060000}"/>
    <hyperlink ref="E1786" r:id="rId1759" xr:uid="{00000000-0004-0000-0000-0000DE060000}"/>
    <hyperlink ref="E1787" r:id="rId1760" xr:uid="{00000000-0004-0000-0000-0000DF060000}"/>
    <hyperlink ref="E1788" r:id="rId1761" xr:uid="{00000000-0004-0000-0000-0000E0060000}"/>
    <hyperlink ref="E1789" r:id="rId1762" xr:uid="{00000000-0004-0000-0000-0000E1060000}"/>
    <hyperlink ref="E1790" r:id="rId1763" xr:uid="{00000000-0004-0000-0000-0000E2060000}"/>
    <hyperlink ref="E1791" r:id="rId1764" xr:uid="{00000000-0004-0000-0000-0000E3060000}"/>
    <hyperlink ref="E1792" r:id="rId1765" xr:uid="{00000000-0004-0000-0000-0000E4060000}"/>
    <hyperlink ref="E1793" r:id="rId1766" xr:uid="{00000000-0004-0000-0000-0000E5060000}"/>
    <hyperlink ref="E1794" r:id="rId1767" xr:uid="{00000000-0004-0000-0000-0000E6060000}"/>
    <hyperlink ref="E1795" r:id="rId1768" xr:uid="{00000000-0004-0000-0000-0000E7060000}"/>
    <hyperlink ref="E1796" r:id="rId1769" xr:uid="{00000000-0004-0000-0000-0000E8060000}"/>
    <hyperlink ref="E1797" r:id="rId1770" xr:uid="{00000000-0004-0000-0000-0000E9060000}"/>
    <hyperlink ref="E1798" r:id="rId1771" xr:uid="{00000000-0004-0000-0000-0000EA060000}"/>
    <hyperlink ref="E1799" r:id="rId1772" xr:uid="{00000000-0004-0000-0000-0000EB060000}"/>
    <hyperlink ref="E1800" r:id="rId1773" xr:uid="{00000000-0004-0000-0000-0000EC060000}"/>
    <hyperlink ref="E1801" r:id="rId1774" xr:uid="{00000000-0004-0000-0000-0000ED060000}"/>
    <hyperlink ref="E1802" r:id="rId1775" xr:uid="{00000000-0004-0000-0000-0000EE060000}"/>
    <hyperlink ref="E1803" r:id="rId1776" xr:uid="{00000000-0004-0000-0000-0000EF060000}"/>
    <hyperlink ref="E1804" r:id="rId1777" xr:uid="{00000000-0004-0000-0000-0000F0060000}"/>
    <hyperlink ref="E1805" r:id="rId1778" xr:uid="{00000000-0004-0000-0000-0000F1060000}"/>
    <hyperlink ref="E1806" r:id="rId1779" xr:uid="{00000000-0004-0000-0000-0000F2060000}"/>
    <hyperlink ref="E1807" r:id="rId1780" xr:uid="{00000000-0004-0000-0000-0000F3060000}"/>
    <hyperlink ref="E1808" r:id="rId1781" xr:uid="{00000000-0004-0000-0000-0000F4060000}"/>
    <hyperlink ref="E1809" r:id="rId1782" xr:uid="{00000000-0004-0000-0000-0000F5060000}"/>
    <hyperlink ref="E1810" r:id="rId1783" xr:uid="{00000000-0004-0000-0000-0000F6060000}"/>
    <hyperlink ref="E1811" r:id="rId1784" xr:uid="{00000000-0004-0000-0000-0000F7060000}"/>
    <hyperlink ref="E1812" r:id="rId1785" xr:uid="{00000000-0004-0000-0000-0000F8060000}"/>
    <hyperlink ref="E1813" r:id="rId1786" xr:uid="{00000000-0004-0000-0000-0000F9060000}"/>
    <hyperlink ref="E1814" r:id="rId1787" xr:uid="{00000000-0004-0000-0000-0000FA060000}"/>
    <hyperlink ref="E1815" r:id="rId1788" xr:uid="{00000000-0004-0000-0000-0000FB060000}"/>
    <hyperlink ref="E1816" r:id="rId1789" xr:uid="{00000000-0004-0000-0000-0000FC060000}"/>
    <hyperlink ref="E1817" r:id="rId1790" xr:uid="{00000000-0004-0000-0000-0000FD060000}"/>
    <hyperlink ref="E1818" r:id="rId1791" xr:uid="{00000000-0004-0000-0000-0000FE060000}"/>
    <hyperlink ref="E1819" r:id="rId1792" xr:uid="{00000000-0004-0000-0000-0000FF060000}"/>
    <hyperlink ref="E1820" r:id="rId1793" xr:uid="{00000000-0004-0000-0000-000000070000}"/>
    <hyperlink ref="E1821" r:id="rId1794" xr:uid="{00000000-0004-0000-0000-000001070000}"/>
    <hyperlink ref="E1822" r:id="rId1795" xr:uid="{00000000-0004-0000-0000-000002070000}"/>
    <hyperlink ref="E1823" r:id="rId1796" xr:uid="{00000000-0004-0000-0000-000003070000}"/>
    <hyperlink ref="E1824" r:id="rId1797" xr:uid="{00000000-0004-0000-0000-000004070000}"/>
    <hyperlink ref="E1825" r:id="rId1798" xr:uid="{00000000-0004-0000-0000-000005070000}"/>
    <hyperlink ref="E1826" r:id="rId1799" xr:uid="{00000000-0004-0000-0000-000006070000}"/>
    <hyperlink ref="E1827" r:id="rId1800" xr:uid="{00000000-0004-0000-0000-000007070000}"/>
    <hyperlink ref="E1828" r:id="rId1801" xr:uid="{00000000-0004-0000-0000-000008070000}"/>
    <hyperlink ref="E1829" r:id="rId1802" xr:uid="{00000000-0004-0000-0000-000009070000}"/>
    <hyperlink ref="E1830" r:id="rId1803" xr:uid="{00000000-0004-0000-0000-00000A070000}"/>
    <hyperlink ref="E1831" r:id="rId1804" xr:uid="{00000000-0004-0000-0000-00000B070000}"/>
    <hyperlink ref="E1832" r:id="rId1805" xr:uid="{00000000-0004-0000-0000-00000C070000}"/>
    <hyperlink ref="E1833" r:id="rId1806" xr:uid="{00000000-0004-0000-0000-00000D070000}"/>
    <hyperlink ref="E1834" r:id="rId1807" xr:uid="{00000000-0004-0000-0000-00000E070000}"/>
    <hyperlink ref="E1835" r:id="rId1808" xr:uid="{00000000-0004-0000-0000-00000F070000}"/>
    <hyperlink ref="E1836" r:id="rId1809" xr:uid="{00000000-0004-0000-0000-000010070000}"/>
    <hyperlink ref="E1837" r:id="rId1810" xr:uid="{00000000-0004-0000-0000-000011070000}"/>
    <hyperlink ref="E1838" r:id="rId1811" xr:uid="{00000000-0004-0000-0000-000012070000}"/>
    <hyperlink ref="E1839" r:id="rId1812" xr:uid="{00000000-0004-0000-0000-000013070000}"/>
    <hyperlink ref="E1840" r:id="rId1813" xr:uid="{00000000-0004-0000-0000-000014070000}"/>
    <hyperlink ref="E1841" r:id="rId1814" xr:uid="{00000000-0004-0000-0000-000015070000}"/>
    <hyperlink ref="E1842" r:id="rId1815" xr:uid="{00000000-0004-0000-0000-000016070000}"/>
    <hyperlink ref="E1843" r:id="rId1816" xr:uid="{00000000-0004-0000-0000-000017070000}"/>
    <hyperlink ref="E1844" r:id="rId1817" xr:uid="{00000000-0004-0000-0000-000018070000}"/>
    <hyperlink ref="E1845" r:id="rId1818" xr:uid="{00000000-0004-0000-0000-000019070000}"/>
    <hyperlink ref="E1846" r:id="rId1819" xr:uid="{00000000-0004-0000-0000-00001A070000}"/>
    <hyperlink ref="E1847" r:id="rId1820" xr:uid="{00000000-0004-0000-0000-00001B070000}"/>
    <hyperlink ref="E1848" r:id="rId1821" xr:uid="{00000000-0004-0000-0000-00001C070000}"/>
    <hyperlink ref="E1849" r:id="rId1822" xr:uid="{00000000-0004-0000-0000-00001D070000}"/>
    <hyperlink ref="E1850" r:id="rId1823" xr:uid="{00000000-0004-0000-0000-00001E070000}"/>
    <hyperlink ref="E1851" r:id="rId1824" xr:uid="{00000000-0004-0000-0000-00001F070000}"/>
    <hyperlink ref="E1852" r:id="rId1825" xr:uid="{00000000-0004-0000-0000-000020070000}"/>
    <hyperlink ref="E1853" r:id="rId1826" xr:uid="{00000000-0004-0000-0000-000021070000}"/>
    <hyperlink ref="E1854" r:id="rId1827" xr:uid="{00000000-0004-0000-0000-000022070000}"/>
    <hyperlink ref="E1856" r:id="rId1828" xr:uid="{00000000-0004-0000-0000-000023070000}"/>
    <hyperlink ref="E1857" r:id="rId1829" xr:uid="{00000000-0004-0000-0000-000024070000}"/>
    <hyperlink ref="E1858" r:id="rId1830" xr:uid="{00000000-0004-0000-0000-000025070000}"/>
    <hyperlink ref="E1859" r:id="rId1831" xr:uid="{00000000-0004-0000-0000-000026070000}"/>
    <hyperlink ref="E1860" r:id="rId1832" xr:uid="{00000000-0004-0000-0000-000027070000}"/>
    <hyperlink ref="E1861" r:id="rId1833" xr:uid="{00000000-0004-0000-0000-000028070000}"/>
    <hyperlink ref="E1862" r:id="rId1834" xr:uid="{00000000-0004-0000-0000-000029070000}"/>
    <hyperlink ref="E1863" r:id="rId1835" xr:uid="{00000000-0004-0000-0000-00002A070000}"/>
    <hyperlink ref="E1864" r:id="rId1836" xr:uid="{00000000-0004-0000-0000-00002B070000}"/>
    <hyperlink ref="E1865" r:id="rId1837" xr:uid="{00000000-0004-0000-0000-00002C070000}"/>
    <hyperlink ref="E1866" r:id="rId1838" xr:uid="{00000000-0004-0000-0000-00002D070000}"/>
    <hyperlink ref="E1867" r:id="rId1839" xr:uid="{00000000-0004-0000-0000-00002E070000}"/>
    <hyperlink ref="E1868" r:id="rId1840" xr:uid="{00000000-0004-0000-0000-00002F070000}"/>
    <hyperlink ref="E1869" r:id="rId1841" xr:uid="{00000000-0004-0000-0000-000030070000}"/>
    <hyperlink ref="E1870" r:id="rId1842" xr:uid="{00000000-0004-0000-0000-000031070000}"/>
    <hyperlink ref="E1871" r:id="rId1843" xr:uid="{00000000-0004-0000-0000-000032070000}"/>
    <hyperlink ref="E1872" r:id="rId1844" xr:uid="{00000000-0004-0000-0000-000033070000}"/>
    <hyperlink ref="E1873" r:id="rId1845" xr:uid="{00000000-0004-0000-0000-000034070000}"/>
    <hyperlink ref="E1874" r:id="rId1846" xr:uid="{00000000-0004-0000-0000-000035070000}"/>
    <hyperlink ref="E1875" r:id="rId1847" xr:uid="{00000000-0004-0000-0000-000036070000}"/>
    <hyperlink ref="E1876" r:id="rId1848" xr:uid="{00000000-0004-0000-0000-000037070000}"/>
    <hyperlink ref="E1877" r:id="rId1849" xr:uid="{00000000-0004-0000-0000-000038070000}"/>
    <hyperlink ref="E1878" r:id="rId1850" xr:uid="{00000000-0004-0000-0000-000039070000}"/>
    <hyperlink ref="E1879" r:id="rId1851" xr:uid="{00000000-0004-0000-0000-00003A070000}"/>
    <hyperlink ref="E1880" r:id="rId1852" xr:uid="{00000000-0004-0000-0000-00003B070000}"/>
    <hyperlink ref="E1881" r:id="rId1853" xr:uid="{00000000-0004-0000-0000-00003C070000}"/>
    <hyperlink ref="E1882" r:id="rId1854" xr:uid="{00000000-0004-0000-0000-00003D070000}"/>
    <hyperlink ref="E1883" r:id="rId1855" xr:uid="{00000000-0004-0000-0000-00003E070000}"/>
    <hyperlink ref="E1884" r:id="rId1856" xr:uid="{00000000-0004-0000-0000-00003F070000}"/>
    <hyperlink ref="E1885" r:id="rId1857" xr:uid="{00000000-0004-0000-0000-000040070000}"/>
    <hyperlink ref="E1887" r:id="rId1858" xr:uid="{00000000-0004-0000-0000-000041070000}"/>
    <hyperlink ref="E1888" r:id="rId1859" xr:uid="{00000000-0004-0000-0000-000042070000}"/>
    <hyperlink ref="E1890" r:id="rId1860" xr:uid="{00000000-0004-0000-0000-000043070000}"/>
    <hyperlink ref="E1891" r:id="rId1861" xr:uid="{00000000-0004-0000-0000-000044070000}"/>
    <hyperlink ref="E1892" r:id="rId1862" xr:uid="{00000000-0004-0000-0000-000045070000}"/>
    <hyperlink ref="E1893" r:id="rId1863" xr:uid="{00000000-0004-0000-0000-000046070000}"/>
    <hyperlink ref="E1894" r:id="rId1864" xr:uid="{00000000-0004-0000-0000-000047070000}"/>
    <hyperlink ref="E1895" r:id="rId1865" xr:uid="{00000000-0004-0000-0000-000048070000}"/>
    <hyperlink ref="E1896" r:id="rId1866" xr:uid="{00000000-0004-0000-0000-000049070000}"/>
    <hyperlink ref="E1897" r:id="rId1867" xr:uid="{00000000-0004-0000-0000-00004A070000}"/>
    <hyperlink ref="E1898" r:id="rId1868" xr:uid="{00000000-0004-0000-0000-00004B070000}"/>
    <hyperlink ref="E1899" r:id="rId1869" xr:uid="{00000000-0004-0000-0000-00004C070000}"/>
    <hyperlink ref="E1900" r:id="rId1870" xr:uid="{00000000-0004-0000-0000-00004D070000}"/>
    <hyperlink ref="E1901" r:id="rId1871" xr:uid="{00000000-0004-0000-0000-00004E070000}"/>
    <hyperlink ref="E1902" r:id="rId1872" xr:uid="{00000000-0004-0000-0000-00004F070000}"/>
    <hyperlink ref="E1903" r:id="rId1873" xr:uid="{00000000-0004-0000-0000-000050070000}"/>
    <hyperlink ref="E1904" r:id="rId1874" xr:uid="{00000000-0004-0000-0000-000051070000}"/>
    <hyperlink ref="E1905" r:id="rId1875" xr:uid="{00000000-0004-0000-0000-000052070000}"/>
    <hyperlink ref="E1906" r:id="rId1876" xr:uid="{00000000-0004-0000-0000-000053070000}"/>
    <hyperlink ref="E1907" r:id="rId1877" xr:uid="{00000000-0004-0000-0000-000054070000}"/>
    <hyperlink ref="E1908" r:id="rId1878" xr:uid="{00000000-0004-0000-0000-000055070000}"/>
    <hyperlink ref="E1909" r:id="rId1879" xr:uid="{00000000-0004-0000-0000-000056070000}"/>
    <hyperlink ref="E1910" r:id="rId1880" xr:uid="{00000000-0004-0000-0000-000057070000}"/>
    <hyperlink ref="E1911" r:id="rId1881" xr:uid="{00000000-0004-0000-0000-000058070000}"/>
    <hyperlink ref="E1912" r:id="rId1882" xr:uid="{00000000-0004-0000-0000-000059070000}"/>
    <hyperlink ref="E1913" r:id="rId1883" xr:uid="{00000000-0004-0000-0000-00005A070000}"/>
    <hyperlink ref="E1914" r:id="rId1884" xr:uid="{00000000-0004-0000-0000-00005B070000}"/>
    <hyperlink ref="E1915" r:id="rId1885" xr:uid="{00000000-0004-0000-0000-00005C070000}"/>
    <hyperlink ref="E1916" r:id="rId1886" xr:uid="{00000000-0004-0000-0000-00005D070000}"/>
    <hyperlink ref="E1917" r:id="rId1887" xr:uid="{00000000-0004-0000-0000-00005E070000}"/>
    <hyperlink ref="E1918" r:id="rId1888" xr:uid="{00000000-0004-0000-0000-00005F070000}"/>
    <hyperlink ref="E1919" r:id="rId1889" xr:uid="{00000000-0004-0000-0000-000060070000}"/>
    <hyperlink ref="E1920" r:id="rId1890" xr:uid="{00000000-0004-0000-0000-000061070000}"/>
    <hyperlink ref="E1921" r:id="rId1891" xr:uid="{00000000-0004-0000-0000-000062070000}"/>
    <hyperlink ref="E1922" r:id="rId1892" xr:uid="{00000000-0004-0000-0000-000063070000}"/>
    <hyperlink ref="E1923" r:id="rId1893" xr:uid="{00000000-0004-0000-0000-000064070000}"/>
    <hyperlink ref="E1924" r:id="rId1894" xr:uid="{00000000-0004-0000-0000-000065070000}"/>
    <hyperlink ref="E1925" r:id="rId1895" xr:uid="{00000000-0004-0000-0000-000066070000}"/>
    <hyperlink ref="E1926" r:id="rId1896" xr:uid="{00000000-0004-0000-0000-000067070000}"/>
    <hyperlink ref="E1927" r:id="rId1897" xr:uid="{00000000-0004-0000-0000-000068070000}"/>
    <hyperlink ref="E1928" r:id="rId1898" xr:uid="{00000000-0004-0000-0000-000069070000}"/>
    <hyperlink ref="E1929" r:id="rId1899" xr:uid="{00000000-0004-0000-0000-00006A070000}"/>
    <hyperlink ref="E1930" r:id="rId1900" xr:uid="{00000000-0004-0000-0000-00006B070000}"/>
    <hyperlink ref="E1931" r:id="rId1901" xr:uid="{00000000-0004-0000-0000-00006C070000}"/>
    <hyperlink ref="E1932" r:id="rId1902" xr:uid="{00000000-0004-0000-0000-00006D070000}"/>
    <hyperlink ref="E1933" r:id="rId1903" xr:uid="{00000000-0004-0000-0000-00006E070000}"/>
    <hyperlink ref="E1934" r:id="rId1904" xr:uid="{00000000-0004-0000-0000-00006F070000}"/>
    <hyperlink ref="E1935" r:id="rId1905" xr:uid="{00000000-0004-0000-0000-000070070000}"/>
    <hyperlink ref="E1936" r:id="rId1906" xr:uid="{00000000-0004-0000-0000-000071070000}"/>
    <hyperlink ref="E1937" r:id="rId1907" xr:uid="{00000000-0004-0000-0000-000072070000}"/>
    <hyperlink ref="E1938" r:id="rId1908" xr:uid="{00000000-0004-0000-0000-000073070000}"/>
    <hyperlink ref="E1939" r:id="rId1909" xr:uid="{00000000-0004-0000-0000-000074070000}"/>
    <hyperlink ref="E1940" r:id="rId1910" xr:uid="{00000000-0004-0000-0000-000075070000}"/>
    <hyperlink ref="E1941" r:id="rId1911" xr:uid="{00000000-0004-0000-0000-000076070000}"/>
    <hyperlink ref="E1942" r:id="rId1912" xr:uid="{00000000-0004-0000-0000-000077070000}"/>
    <hyperlink ref="E1943" r:id="rId1913" xr:uid="{00000000-0004-0000-0000-000078070000}"/>
    <hyperlink ref="E1944" r:id="rId1914" xr:uid="{00000000-0004-0000-0000-000079070000}"/>
    <hyperlink ref="E1945" r:id="rId1915" xr:uid="{00000000-0004-0000-0000-00007A070000}"/>
    <hyperlink ref="E1946" r:id="rId1916" xr:uid="{00000000-0004-0000-0000-00007B070000}"/>
    <hyperlink ref="E1947" r:id="rId1917" xr:uid="{00000000-0004-0000-0000-00007C070000}"/>
    <hyperlink ref="E1948" r:id="rId1918" xr:uid="{00000000-0004-0000-0000-00007D070000}"/>
    <hyperlink ref="E1949" r:id="rId1919" xr:uid="{00000000-0004-0000-0000-00007E070000}"/>
    <hyperlink ref="E1950" r:id="rId1920" xr:uid="{00000000-0004-0000-0000-00007F070000}"/>
    <hyperlink ref="E1951" r:id="rId1921" xr:uid="{00000000-0004-0000-0000-000080070000}"/>
    <hyperlink ref="E1952" r:id="rId1922" xr:uid="{00000000-0004-0000-0000-000081070000}"/>
    <hyperlink ref="E1953" r:id="rId1923" xr:uid="{00000000-0004-0000-0000-000082070000}"/>
    <hyperlink ref="E1954" r:id="rId1924" xr:uid="{00000000-0004-0000-0000-000083070000}"/>
    <hyperlink ref="E1955" r:id="rId1925" xr:uid="{00000000-0004-0000-0000-000084070000}"/>
    <hyperlink ref="E1956" r:id="rId1926" xr:uid="{00000000-0004-0000-0000-000085070000}"/>
    <hyperlink ref="E1957" r:id="rId1927" xr:uid="{00000000-0004-0000-0000-000086070000}"/>
    <hyperlink ref="E1958" r:id="rId1928" xr:uid="{00000000-0004-0000-0000-000087070000}"/>
    <hyperlink ref="E1959" r:id="rId1929" xr:uid="{00000000-0004-0000-0000-000088070000}"/>
    <hyperlink ref="E1960" r:id="rId1930" xr:uid="{00000000-0004-0000-0000-000089070000}"/>
    <hyperlink ref="E1961" r:id="rId1931" xr:uid="{00000000-0004-0000-0000-00008A070000}"/>
    <hyperlink ref="E1962" r:id="rId1932" xr:uid="{00000000-0004-0000-0000-00008B070000}"/>
    <hyperlink ref="E1963" r:id="rId1933" xr:uid="{00000000-0004-0000-0000-00008C070000}"/>
    <hyperlink ref="E1964" r:id="rId1934" xr:uid="{00000000-0004-0000-0000-00008D070000}"/>
    <hyperlink ref="E1965" r:id="rId1935" xr:uid="{00000000-0004-0000-0000-00008E070000}"/>
    <hyperlink ref="E1966" r:id="rId1936" xr:uid="{00000000-0004-0000-0000-00008F070000}"/>
    <hyperlink ref="E1967" r:id="rId1937" xr:uid="{00000000-0004-0000-0000-000090070000}"/>
    <hyperlink ref="E1968" r:id="rId1938" xr:uid="{00000000-0004-0000-0000-000091070000}"/>
    <hyperlink ref="E1969" r:id="rId1939" xr:uid="{00000000-0004-0000-0000-000092070000}"/>
    <hyperlink ref="E1970" r:id="rId1940" xr:uid="{00000000-0004-0000-0000-000093070000}"/>
    <hyperlink ref="E1971" r:id="rId1941" xr:uid="{00000000-0004-0000-0000-000094070000}"/>
    <hyperlink ref="E1972" r:id="rId1942" xr:uid="{00000000-0004-0000-0000-000095070000}"/>
    <hyperlink ref="E1973" r:id="rId1943" xr:uid="{00000000-0004-0000-0000-000096070000}"/>
    <hyperlink ref="E1974" r:id="rId1944" xr:uid="{00000000-0004-0000-0000-000097070000}"/>
    <hyperlink ref="E1975" r:id="rId1945" xr:uid="{00000000-0004-0000-0000-000098070000}"/>
    <hyperlink ref="E1976" r:id="rId1946" xr:uid="{00000000-0004-0000-0000-000099070000}"/>
    <hyperlink ref="E1977" r:id="rId1947" xr:uid="{00000000-0004-0000-0000-00009A070000}"/>
    <hyperlink ref="E1978" r:id="rId1948" xr:uid="{00000000-0004-0000-0000-00009B070000}"/>
    <hyperlink ref="E1979" r:id="rId1949" xr:uid="{00000000-0004-0000-0000-00009C070000}"/>
    <hyperlink ref="E1980" r:id="rId1950" xr:uid="{00000000-0004-0000-0000-00009D070000}"/>
    <hyperlink ref="E1981" r:id="rId1951" xr:uid="{00000000-0004-0000-0000-00009E070000}"/>
    <hyperlink ref="E1982" r:id="rId1952" xr:uid="{00000000-0004-0000-0000-00009F070000}"/>
    <hyperlink ref="E1983" r:id="rId1953" xr:uid="{00000000-0004-0000-0000-0000A0070000}"/>
    <hyperlink ref="E1984" r:id="rId1954" xr:uid="{00000000-0004-0000-0000-0000A1070000}"/>
    <hyperlink ref="E1985" r:id="rId1955" xr:uid="{00000000-0004-0000-0000-0000A2070000}"/>
    <hyperlink ref="E1986" r:id="rId1956" xr:uid="{00000000-0004-0000-0000-0000A3070000}"/>
    <hyperlink ref="E1987" r:id="rId1957" xr:uid="{00000000-0004-0000-0000-0000A4070000}"/>
    <hyperlink ref="E1988" r:id="rId1958" xr:uid="{00000000-0004-0000-0000-0000A5070000}"/>
    <hyperlink ref="E1989" r:id="rId1959" xr:uid="{00000000-0004-0000-0000-0000A6070000}"/>
    <hyperlink ref="E1990" r:id="rId1960" xr:uid="{00000000-0004-0000-0000-0000A7070000}"/>
    <hyperlink ref="E1991" r:id="rId1961" xr:uid="{00000000-0004-0000-0000-0000A8070000}"/>
    <hyperlink ref="E1992" r:id="rId1962" xr:uid="{00000000-0004-0000-0000-0000A9070000}"/>
    <hyperlink ref="E1993" r:id="rId1963" xr:uid="{00000000-0004-0000-0000-0000AA070000}"/>
    <hyperlink ref="E1994" r:id="rId1964" xr:uid="{00000000-0004-0000-0000-0000AB070000}"/>
    <hyperlink ref="E1995" r:id="rId1965" xr:uid="{00000000-0004-0000-0000-0000AC070000}"/>
    <hyperlink ref="E1996" r:id="rId1966" xr:uid="{00000000-0004-0000-0000-0000AD070000}"/>
    <hyperlink ref="E1997" r:id="rId1967" xr:uid="{00000000-0004-0000-0000-0000AE070000}"/>
    <hyperlink ref="E1998" r:id="rId1968" xr:uid="{00000000-0004-0000-0000-0000AF070000}"/>
    <hyperlink ref="E1999" r:id="rId1969" xr:uid="{00000000-0004-0000-0000-0000B0070000}"/>
    <hyperlink ref="E2000" r:id="rId1970" xr:uid="{00000000-0004-0000-0000-0000B1070000}"/>
    <hyperlink ref="E2001" r:id="rId1971" xr:uid="{00000000-0004-0000-0000-0000B2070000}"/>
    <hyperlink ref="E2002" r:id="rId1972" xr:uid="{00000000-0004-0000-0000-0000B3070000}"/>
    <hyperlink ref="E2003" r:id="rId1973" xr:uid="{00000000-0004-0000-0000-0000B4070000}"/>
    <hyperlink ref="E2004" r:id="rId1974" xr:uid="{00000000-0004-0000-0000-0000B5070000}"/>
    <hyperlink ref="E2005" r:id="rId1975" xr:uid="{00000000-0004-0000-0000-0000B6070000}"/>
    <hyperlink ref="E2006" r:id="rId1976" xr:uid="{00000000-0004-0000-0000-0000B7070000}"/>
    <hyperlink ref="E2007" r:id="rId1977" xr:uid="{00000000-0004-0000-0000-0000B8070000}"/>
    <hyperlink ref="E2008" r:id="rId1978" xr:uid="{00000000-0004-0000-0000-0000B9070000}"/>
    <hyperlink ref="E2009" r:id="rId1979" xr:uid="{00000000-0004-0000-0000-0000BA070000}"/>
    <hyperlink ref="E2010" r:id="rId1980" xr:uid="{00000000-0004-0000-0000-0000BB070000}"/>
    <hyperlink ref="E2011" r:id="rId1981" xr:uid="{00000000-0004-0000-0000-0000BC070000}"/>
    <hyperlink ref="E2012" r:id="rId1982" xr:uid="{00000000-0004-0000-0000-0000BD070000}"/>
    <hyperlink ref="E2013" r:id="rId1983" xr:uid="{00000000-0004-0000-0000-0000BE070000}"/>
    <hyperlink ref="E2014" r:id="rId1984" xr:uid="{00000000-0004-0000-0000-0000BF070000}"/>
    <hyperlink ref="E2015" r:id="rId1985" xr:uid="{00000000-0004-0000-0000-0000C0070000}"/>
    <hyperlink ref="E2016" r:id="rId1986" xr:uid="{00000000-0004-0000-0000-0000C1070000}"/>
    <hyperlink ref="E2017" r:id="rId1987" xr:uid="{00000000-0004-0000-0000-0000C2070000}"/>
    <hyperlink ref="E2018" r:id="rId1988" xr:uid="{00000000-0004-0000-0000-0000C3070000}"/>
    <hyperlink ref="E2019" r:id="rId1989" xr:uid="{00000000-0004-0000-0000-0000C4070000}"/>
    <hyperlink ref="E2020" r:id="rId1990" xr:uid="{00000000-0004-0000-0000-0000C5070000}"/>
    <hyperlink ref="E2021" r:id="rId1991" xr:uid="{00000000-0004-0000-0000-0000C6070000}"/>
    <hyperlink ref="E2022" r:id="rId1992" xr:uid="{00000000-0004-0000-0000-0000C7070000}"/>
    <hyperlink ref="E2023" r:id="rId1993" xr:uid="{00000000-0004-0000-0000-0000C8070000}"/>
    <hyperlink ref="E2025" r:id="rId1994" xr:uid="{00000000-0004-0000-0000-0000C9070000}"/>
    <hyperlink ref="E2026" r:id="rId1995" xr:uid="{00000000-0004-0000-0000-0000CA070000}"/>
    <hyperlink ref="E2027" r:id="rId1996" xr:uid="{00000000-0004-0000-0000-0000CB070000}"/>
    <hyperlink ref="E2028" r:id="rId1997" xr:uid="{00000000-0004-0000-0000-0000CC070000}"/>
    <hyperlink ref="E2029" r:id="rId1998" xr:uid="{00000000-0004-0000-0000-0000CD070000}"/>
    <hyperlink ref="E2030" r:id="rId1999" xr:uid="{00000000-0004-0000-0000-0000CE070000}"/>
    <hyperlink ref="E2031" r:id="rId2000" xr:uid="{00000000-0004-0000-0000-0000CF070000}"/>
    <hyperlink ref="E2032" r:id="rId2001" xr:uid="{00000000-0004-0000-0000-0000D0070000}"/>
    <hyperlink ref="E2033" r:id="rId2002" xr:uid="{00000000-0004-0000-0000-0000D1070000}"/>
    <hyperlink ref="E2034" r:id="rId2003" xr:uid="{00000000-0004-0000-0000-0000D2070000}"/>
    <hyperlink ref="E2035" r:id="rId2004" xr:uid="{00000000-0004-0000-0000-0000D3070000}"/>
    <hyperlink ref="E2036" r:id="rId2005" xr:uid="{00000000-0004-0000-0000-0000D4070000}"/>
    <hyperlink ref="E2037" r:id="rId2006" xr:uid="{00000000-0004-0000-0000-0000D5070000}"/>
    <hyperlink ref="E2038" r:id="rId2007" xr:uid="{00000000-0004-0000-0000-0000D6070000}"/>
    <hyperlink ref="E2039" r:id="rId2008" xr:uid="{00000000-0004-0000-0000-0000D7070000}"/>
    <hyperlink ref="E2040" r:id="rId2009" xr:uid="{00000000-0004-0000-0000-0000D8070000}"/>
    <hyperlink ref="E2041" r:id="rId2010" xr:uid="{00000000-0004-0000-0000-0000D9070000}"/>
    <hyperlink ref="E2042" r:id="rId2011" xr:uid="{00000000-0004-0000-0000-0000DA070000}"/>
    <hyperlink ref="E2043" r:id="rId2012" xr:uid="{00000000-0004-0000-0000-0000DB070000}"/>
    <hyperlink ref="E2044" r:id="rId2013" xr:uid="{00000000-0004-0000-0000-0000DC070000}"/>
    <hyperlink ref="E2045" r:id="rId2014" xr:uid="{00000000-0004-0000-0000-0000DD070000}"/>
    <hyperlink ref="E2046" r:id="rId2015" xr:uid="{00000000-0004-0000-0000-0000DE070000}"/>
    <hyperlink ref="E2047" r:id="rId2016" xr:uid="{00000000-0004-0000-0000-0000DF070000}"/>
    <hyperlink ref="E2048" r:id="rId2017" xr:uid="{00000000-0004-0000-0000-0000E0070000}"/>
    <hyperlink ref="E2049" r:id="rId2018" xr:uid="{00000000-0004-0000-0000-0000E1070000}"/>
    <hyperlink ref="E2050" r:id="rId2019" xr:uid="{00000000-0004-0000-0000-0000E2070000}"/>
    <hyperlink ref="E2051" r:id="rId2020" xr:uid="{00000000-0004-0000-0000-0000E3070000}"/>
    <hyperlink ref="E2052" r:id="rId2021" xr:uid="{00000000-0004-0000-0000-0000E4070000}"/>
    <hyperlink ref="E2053" r:id="rId2022" xr:uid="{00000000-0004-0000-0000-0000E5070000}"/>
    <hyperlink ref="E2054" r:id="rId2023" xr:uid="{00000000-0004-0000-0000-0000E6070000}"/>
    <hyperlink ref="E2055" r:id="rId2024" xr:uid="{00000000-0004-0000-0000-0000E7070000}"/>
    <hyperlink ref="E2056" r:id="rId2025" xr:uid="{00000000-0004-0000-0000-0000E8070000}"/>
    <hyperlink ref="E2057" r:id="rId2026" xr:uid="{00000000-0004-0000-0000-0000E9070000}"/>
    <hyperlink ref="E2058" r:id="rId2027" xr:uid="{00000000-0004-0000-0000-0000EA070000}"/>
    <hyperlink ref="E2059" r:id="rId2028" xr:uid="{00000000-0004-0000-0000-0000EB070000}"/>
    <hyperlink ref="E2060" r:id="rId2029" xr:uid="{00000000-0004-0000-0000-0000EC070000}"/>
    <hyperlink ref="E2061" r:id="rId2030" xr:uid="{00000000-0004-0000-0000-0000ED070000}"/>
    <hyperlink ref="E2064" r:id="rId2031" xr:uid="{00000000-0004-0000-0000-0000EE070000}"/>
    <hyperlink ref="E2065" r:id="rId2032" xr:uid="{00000000-0004-0000-0000-0000EF070000}"/>
    <hyperlink ref="E2066" r:id="rId2033" xr:uid="{00000000-0004-0000-0000-0000F0070000}"/>
    <hyperlink ref="E2067" r:id="rId2034" xr:uid="{00000000-0004-0000-0000-0000F1070000}"/>
    <hyperlink ref="E2068" r:id="rId2035" xr:uid="{00000000-0004-0000-0000-0000F2070000}"/>
    <hyperlink ref="E2069" r:id="rId2036" xr:uid="{00000000-0004-0000-0000-0000F3070000}"/>
    <hyperlink ref="E2070" r:id="rId2037" xr:uid="{00000000-0004-0000-0000-0000F4070000}"/>
    <hyperlink ref="E2071" r:id="rId2038" xr:uid="{00000000-0004-0000-0000-0000F5070000}"/>
    <hyperlink ref="E2072" r:id="rId2039" xr:uid="{00000000-0004-0000-0000-0000F6070000}"/>
    <hyperlink ref="E2073" r:id="rId2040" xr:uid="{00000000-0004-0000-0000-0000F7070000}"/>
    <hyperlink ref="E2074" r:id="rId2041" xr:uid="{00000000-0004-0000-0000-0000F8070000}"/>
    <hyperlink ref="E2075" r:id="rId2042" xr:uid="{00000000-0004-0000-0000-0000F9070000}"/>
    <hyperlink ref="E2076" r:id="rId2043" xr:uid="{00000000-0004-0000-0000-0000FA070000}"/>
    <hyperlink ref="E2077" r:id="rId2044" xr:uid="{00000000-0004-0000-0000-0000FB070000}"/>
    <hyperlink ref="E2078" r:id="rId2045" xr:uid="{00000000-0004-0000-0000-0000FC070000}"/>
    <hyperlink ref="E2079" r:id="rId2046" xr:uid="{00000000-0004-0000-0000-0000FD070000}"/>
    <hyperlink ref="E2080" r:id="rId2047" xr:uid="{00000000-0004-0000-0000-0000FE070000}"/>
    <hyperlink ref="E2081" r:id="rId2048" xr:uid="{00000000-0004-0000-0000-0000FF070000}"/>
    <hyperlink ref="E2082" r:id="rId2049" xr:uid="{00000000-0004-0000-0000-000000080000}"/>
    <hyperlink ref="E2083" r:id="rId2050" xr:uid="{00000000-0004-0000-0000-000001080000}"/>
    <hyperlink ref="E2084" r:id="rId2051" xr:uid="{00000000-0004-0000-0000-000002080000}"/>
    <hyperlink ref="E2085" r:id="rId2052" xr:uid="{00000000-0004-0000-0000-000003080000}"/>
    <hyperlink ref="E2086" r:id="rId2053" xr:uid="{00000000-0004-0000-0000-000004080000}"/>
    <hyperlink ref="E2087" r:id="rId2054" xr:uid="{00000000-0004-0000-0000-000005080000}"/>
    <hyperlink ref="E2088" r:id="rId2055" xr:uid="{00000000-0004-0000-0000-000006080000}"/>
    <hyperlink ref="E2089" r:id="rId2056" xr:uid="{00000000-0004-0000-0000-000007080000}"/>
    <hyperlink ref="E2090" r:id="rId2057" xr:uid="{00000000-0004-0000-0000-000008080000}"/>
    <hyperlink ref="E2091" r:id="rId2058" xr:uid="{00000000-0004-0000-0000-000009080000}"/>
    <hyperlink ref="E2092" r:id="rId2059" xr:uid="{00000000-0004-0000-0000-00000A080000}"/>
    <hyperlink ref="E2093" r:id="rId2060" xr:uid="{00000000-0004-0000-0000-00000B080000}"/>
    <hyperlink ref="E2094" r:id="rId2061" xr:uid="{00000000-0004-0000-0000-00000C080000}"/>
    <hyperlink ref="E2095" r:id="rId2062" xr:uid="{00000000-0004-0000-0000-00000D080000}"/>
    <hyperlink ref="E2096" r:id="rId2063" xr:uid="{00000000-0004-0000-0000-00000E080000}"/>
    <hyperlink ref="E2097" r:id="rId2064" xr:uid="{00000000-0004-0000-0000-00000F080000}"/>
    <hyperlink ref="E2098" r:id="rId2065" xr:uid="{00000000-0004-0000-0000-000010080000}"/>
    <hyperlink ref="E2099" r:id="rId2066" xr:uid="{00000000-0004-0000-0000-000011080000}"/>
    <hyperlink ref="E2100" r:id="rId2067" xr:uid="{00000000-0004-0000-0000-000012080000}"/>
    <hyperlink ref="E2101" r:id="rId2068" xr:uid="{00000000-0004-0000-0000-000013080000}"/>
    <hyperlink ref="E2102" r:id="rId2069" xr:uid="{00000000-0004-0000-0000-000014080000}"/>
    <hyperlink ref="E2103" r:id="rId2070" xr:uid="{00000000-0004-0000-0000-000015080000}"/>
    <hyperlink ref="E2104" r:id="rId2071" xr:uid="{00000000-0004-0000-0000-000016080000}"/>
    <hyperlink ref="E2105" r:id="rId2072" xr:uid="{00000000-0004-0000-0000-000017080000}"/>
    <hyperlink ref="E2106" r:id="rId2073" xr:uid="{00000000-0004-0000-0000-000018080000}"/>
    <hyperlink ref="E2107" r:id="rId2074" xr:uid="{00000000-0004-0000-0000-000019080000}"/>
    <hyperlink ref="E2108" r:id="rId2075" xr:uid="{00000000-0004-0000-0000-00001A080000}"/>
    <hyperlink ref="E2109" r:id="rId2076" xr:uid="{00000000-0004-0000-0000-00001B080000}"/>
    <hyperlink ref="E2110" r:id="rId2077" xr:uid="{00000000-0004-0000-0000-00001C080000}"/>
    <hyperlink ref="E2111" r:id="rId2078" xr:uid="{00000000-0004-0000-0000-00001D080000}"/>
    <hyperlink ref="E2112" r:id="rId2079" xr:uid="{00000000-0004-0000-0000-00001E080000}"/>
    <hyperlink ref="E2113" r:id="rId2080" xr:uid="{00000000-0004-0000-0000-00001F080000}"/>
    <hyperlink ref="E2114" r:id="rId2081" xr:uid="{00000000-0004-0000-0000-000020080000}"/>
    <hyperlink ref="E2115" r:id="rId2082" xr:uid="{00000000-0004-0000-0000-000021080000}"/>
    <hyperlink ref="E2116" r:id="rId2083" xr:uid="{00000000-0004-0000-0000-000022080000}"/>
    <hyperlink ref="E2117" r:id="rId2084" xr:uid="{00000000-0004-0000-0000-000023080000}"/>
    <hyperlink ref="E2118" r:id="rId2085" xr:uid="{00000000-0004-0000-0000-000024080000}"/>
    <hyperlink ref="E2119" r:id="rId2086" xr:uid="{00000000-0004-0000-0000-000025080000}"/>
    <hyperlink ref="E2120" r:id="rId2087" xr:uid="{00000000-0004-0000-0000-000026080000}"/>
    <hyperlink ref="E2121" r:id="rId2088" xr:uid="{00000000-0004-0000-0000-000027080000}"/>
    <hyperlink ref="E2122" r:id="rId2089" xr:uid="{00000000-0004-0000-0000-000028080000}"/>
    <hyperlink ref="E2123" r:id="rId2090" xr:uid="{00000000-0004-0000-0000-000029080000}"/>
    <hyperlink ref="E2124" r:id="rId2091" xr:uid="{00000000-0004-0000-0000-00002A080000}"/>
    <hyperlink ref="E2125" r:id="rId2092" xr:uid="{00000000-0004-0000-0000-00002B080000}"/>
    <hyperlink ref="E2126" r:id="rId2093" xr:uid="{00000000-0004-0000-0000-00002C080000}"/>
    <hyperlink ref="E2127" r:id="rId2094" xr:uid="{00000000-0004-0000-0000-00002D080000}"/>
    <hyperlink ref="E2128" r:id="rId2095" xr:uid="{00000000-0004-0000-0000-00002E080000}"/>
    <hyperlink ref="E2129" r:id="rId2096" xr:uid="{00000000-0004-0000-0000-00002F080000}"/>
    <hyperlink ref="E2130" r:id="rId2097" xr:uid="{00000000-0004-0000-0000-000030080000}"/>
    <hyperlink ref="E2131" r:id="rId2098" xr:uid="{00000000-0004-0000-0000-000031080000}"/>
    <hyperlink ref="E2132" r:id="rId2099" xr:uid="{00000000-0004-0000-0000-000032080000}"/>
    <hyperlink ref="E2133" r:id="rId2100" xr:uid="{00000000-0004-0000-0000-000033080000}"/>
    <hyperlink ref="E2134" r:id="rId2101" xr:uid="{00000000-0004-0000-0000-000034080000}"/>
    <hyperlink ref="E2135" r:id="rId2102" xr:uid="{00000000-0004-0000-0000-000035080000}"/>
    <hyperlink ref="E2136" r:id="rId2103" xr:uid="{00000000-0004-0000-0000-000036080000}"/>
    <hyperlink ref="E2137" r:id="rId2104" xr:uid="{00000000-0004-0000-0000-000037080000}"/>
    <hyperlink ref="E2138" r:id="rId2105" xr:uid="{00000000-0004-0000-0000-000038080000}"/>
    <hyperlink ref="E2139" r:id="rId2106" xr:uid="{00000000-0004-0000-0000-000039080000}"/>
    <hyperlink ref="E2140" r:id="rId2107" xr:uid="{00000000-0004-0000-0000-00003A080000}"/>
    <hyperlink ref="E2141" r:id="rId2108" xr:uid="{00000000-0004-0000-0000-00003B080000}"/>
    <hyperlink ref="E2142" r:id="rId2109" xr:uid="{00000000-0004-0000-0000-00003C080000}"/>
    <hyperlink ref="E2143" r:id="rId2110" xr:uid="{00000000-0004-0000-0000-00003D080000}"/>
    <hyperlink ref="E2144" r:id="rId2111" xr:uid="{00000000-0004-0000-0000-00003E080000}"/>
    <hyperlink ref="E2145" r:id="rId2112" xr:uid="{00000000-0004-0000-0000-00003F080000}"/>
    <hyperlink ref="E2146" r:id="rId2113" xr:uid="{00000000-0004-0000-0000-000040080000}"/>
    <hyperlink ref="E2147" r:id="rId2114" xr:uid="{00000000-0004-0000-0000-000041080000}"/>
    <hyperlink ref="E2148" r:id="rId2115" xr:uid="{00000000-0004-0000-0000-000042080000}"/>
    <hyperlink ref="E2149" r:id="rId2116" xr:uid="{00000000-0004-0000-0000-000043080000}"/>
    <hyperlink ref="E2150" r:id="rId2117" xr:uid="{00000000-0004-0000-0000-000044080000}"/>
    <hyperlink ref="E2151" r:id="rId2118" xr:uid="{00000000-0004-0000-0000-000045080000}"/>
    <hyperlink ref="E2152" r:id="rId2119" xr:uid="{00000000-0004-0000-0000-000046080000}"/>
    <hyperlink ref="E2153" r:id="rId2120" xr:uid="{00000000-0004-0000-0000-000047080000}"/>
    <hyperlink ref="E2154" r:id="rId2121" xr:uid="{00000000-0004-0000-0000-000048080000}"/>
    <hyperlink ref="E2155" r:id="rId2122" xr:uid="{00000000-0004-0000-0000-000049080000}"/>
    <hyperlink ref="E2156" r:id="rId2123" xr:uid="{00000000-0004-0000-0000-00004A080000}"/>
    <hyperlink ref="E2157" r:id="rId2124" xr:uid="{00000000-0004-0000-0000-00004B080000}"/>
    <hyperlink ref="E2158" r:id="rId2125" xr:uid="{00000000-0004-0000-0000-00004C080000}"/>
    <hyperlink ref="E2159" r:id="rId2126" xr:uid="{00000000-0004-0000-0000-00004D080000}"/>
    <hyperlink ref="E2160" r:id="rId2127" xr:uid="{00000000-0004-0000-0000-00004E080000}"/>
    <hyperlink ref="E2161" r:id="rId2128" xr:uid="{00000000-0004-0000-0000-00004F080000}"/>
    <hyperlink ref="E2162" r:id="rId2129" xr:uid="{00000000-0004-0000-0000-000050080000}"/>
    <hyperlink ref="E2163" r:id="rId2130" xr:uid="{00000000-0004-0000-0000-000051080000}"/>
    <hyperlink ref="E2164" r:id="rId2131" xr:uid="{00000000-0004-0000-0000-000052080000}"/>
    <hyperlink ref="E2165" r:id="rId2132" xr:uid="{00000000-0004-0000-0000-000053080000}"/>
    <hyperlink ref="E2166" r:id="rId2133" xr:uid="{00000000-0004-0000-0000-000054080000}"/>
    <hyperlink ref="E2167" r:id="rId2134" xr:uid="{00000000-0004-0000-0000-000055080000}"/>
    <hyperlink ref="E2168" r:id="rId2135" xr:uid="{00000000-0004-0000-0000-000056080000}"/>
    <hyperlink ref="E2169" r:id="rId2136" xr:uid="{00000000-0004-0000-0000-000057080000}"/>
    <hyperlink ref="E2170" r:id="rId2137" xr:uid="{00000000-0004-0000-0000-000058080000}"/>
    <hyperlink ref="E2171" r:id="rId2138" xr:uid="{00000000-0004-0000-0000-000059080000}"/>
    <hyperlink ref="E2172" r:id="rId2139" xr:uid="{00000000-0004-0000-0000-00005A080000}"/>
    <hyperlink ref="E2173" r:id="rId2140" xr:uid="{00000000-0004-0000-0000-00005B080000}"/>
    <hyperlink ref="E2174" r:id="rId2141" xr:uid="{00000000-0004-0000-0000-00005C080000}"/>
    <hyperlink ref="E2175" r:id="rId2142" xr:uid="{00000000-0004-0000-0000-00005D080000}"/>
    <hyperlink ref="E2176" r:id="rId2143" xr:uid="{00000000-0004-0000-0000-00005E080000}"/>
    <hyperlink ref="E2177" r:id="rId2144" xr:uid="{00000000-0004-0000-0000-00005F080000}"/>
    <hyperlink ref="E2178" r:id="rId2145" xr:uid="{00000000-0004-0000-0000-000060080000}"/>
    <hyperlink ref="E2179" r:id="rId2146" xr:uid="{00000000-0004-0000-0000-000061080000}"/>
    <hyperlink ref="E2180" r:id="rId2147" xr:uid="{00000000-0004-0000-0000-000062080000}"/>
    <hyperlink ref="E2181" r:id="rId2148" xr:uid="{00000000-0004-0000-0000-000063080000}"/>
    <hyperlink ref="E2182" r:id="rId2149" xr:uid="{00000000-0004-0000-0000-000064080000}"/>
    <hyperlink ref="E2183" r:id="rId2150" xr:uid="{00000000-0004-0000-0000-000065080000}"/>
    <hyperlink ref="E2184" r:id="rId2151" xr:uid="{00000000-0004-0000-0000-000066080000}"/>
    <hyperlink ref="E2185" r:id="rId2152" xr:uid="{00000000-0004-0000-0000-000067080000}"/>
    <hyperlink ref="E2186" r:id="rId2153" xr:uid="{00000000-0004-0000-0000-000068080000}"/>
    <hyperlink ref="E2187" r:id="rId2154" xr:uid="{00000000-0004-0000-0000-000069080000}"/>
    <hyperlink ref="E2188" r:id="rId2155" xr:uid="{00000000-0004-0000-0000-00006A080000}"/>
    <hyperlink ref="E2189" r:id="rId2156" xr:uid="{00000000-0004-0000-0000-00006B080000}"/>
    <hyperlink ref="E2190" r:id="rId2157" xr:uid="{00000000-0004-0000-0000-00006C080000}"/>
    <hyperlink ref="E2191" r:id="rId2158" xr:uid="{00000000-0004-0000-0000-00006D080000}"/>
    <hyperlink ref="E2192" r:id="rId2159" xr:uid="{00000000-0004-0000-0000-00006E080000}"/>
    <hyperlink ref="E2193" r:id="rId2160" xr:uid="{00000000-0004-0000-0000-00006F080000}"/>
    <hyperlink ref="E2194" r:id="rId2161" xr:uid="{00000000-0004-0000-0000-000070080000}"/>
    <hyperlink ref="E2195" r:id="rId2162" xr:uid="{00000000-0004-0000-0000-000071080000}"/>
    <hyperlink ref="E2196" r:id="rId2163" xr:uid="{00000000-0004-0000-0000-000072080000}"/>
    <hyperlink ref="E2197" r:id="rId2164" xr:uid="{00000000-0004-0000-0000-000073080000}"/>
    <hyperlink ref="E2198" r:id="rId2165" xr:uid="{00000000-0004-0000-0000-000074080000}"/>
    <hyperlink ref="E2199" r:id="rId2166" xr:uid="{00000000-0004-0000-0000-000075080000}"/>
    <hyperlink ref="E2200" r:id="rId2167" xr:uid="{00000000-0004-0000-0000-000076080000}"/>
    <hyperlink ref="E2201" r:id="rId2168" xr:uid="{00000000-0004-0000-0000-000077080000}"/>
    <hyperlink ref="E2202" r:id="rId2169" xr:uid="{00000000-0004-0000-0000-000078080000}"/>
    <hyperlink ref="E2203" r:id="rId2170" xr:uid="{00000000-0004-0000-0000-000079080000}"/>
    <hyperlink ref="E2204" r:id="rId2171" xr:uid="{00000000-0004-0000-0000-00007A080000}"/>
    <hyperlink ref="E2205" r:id="rId2172" xr:uid="{00000000-0004-0000-0000-00007B080000}"/>
    <hyperlink ref="E2206" r:id="rId2173" xr:uid="{00000000-0004-0000-0000-00007C080000}"/>
    <hyperlink ref="E2207" r:id="rId2174" xr:uid="{00000000-0004-0000-0000-00007D080000}"/>
    <hyperlink ref="E2208" r:id="rId2175" xr:uid="{00000000-0004-0000-0000-00007E080000}"/>
    <hyperlink ref="E2209" r:id="rId2176" xr:uid="{00000000-0004-0000-0000-00007F080000}"/>
    <hyperlink ref="E2210" r:id="rId2177" xr:uid="{00000000-0004-0000-0000-000080080000}"/>
    <hyperlink ref="E2211" r:id="rId2178" xr:uid="{00000000-0004-0000-0000-000081080000}"/>
    <hyperlink ref="E2212" r:id="rId2179" xr:uid="{00000000-0004-0000-0000-000082080000}"/>
    <hyperlink ref="E2213" r:id="rId2180" xr:uid="{00000000-0004-0000-0000-000083080000}"/>
    <hyperlink ref="E2214" r:id="rId2181" xr:uid="{00000000-0004-0000-0000-000084080000}"/>
    <hyperlink ref="E2215" r:id="rId2182" xr:uid="{00000000-0004-0000-0000-000085080000}"/>
    <hyperlink ref="E2216" r:id="rId2183" xr:uid="{00000000-0004-0000-0000-000086080000}"/>
    <hyperlink ref="E2217" r:id="rId2184" xr:uid="{00000000-0004-0000-0000-000087080000}"/>
    <hyperlink ref="E2218" r:id="rId2185" xr:uid="{00000000-0004-0000-0000-000088080000}"/>
    <hyperlink ref="E2219" r:id="rId2186" xr:uid="{00000000-0004-0000-0000-000089080000}"/>
    <hyperlink ref="E2220" r:id="rId2187" xr:uid="{00000000-0004-0000-0000-00008A080000}"/>
    <hyperlink ref="E2221" r:id="rId2188" xr:uid="{00000000-0004-0000-0000-00008B080000}"/>
    <hyperlink ref="E2222" r:id="rId2189" xr:uid="{00000000-0004-0000-0000-00008C080000}"/>
    <hyperlink ref="E2223" r:id="rId2190" xr:uid="{00000000-0004-0000-0000-00008D080000}"/>
    <hyperlink ref="E2224" r:id="rId2191" xr:uid="{00000000-0004-0000-0000-00008E080000}"/>
    <hyperlink ref="E2225" r:id="rId2192" xr:uid="{00000000-0004-0000-0000-00008F080000}"/>
    <hyperlink ref="E2226" r:id="rId2193" xr:uid="{00000000-0004-0000-0000-000090080000}"/>
    <hyperlink ref="E2227" r:id="rId2194" xr:uid="{00000000-0004-0000-0000-000091080000}"/>
    <hyperlink ref="E2228" r:id="rId2195" xr:uid="{00000000-0004-0000-0000-000092080000}"/>
    <hyperlink ref="E2229" r:id="rId2196" xr:uid="{00000000-0004-0000-0000-000093080000}"/>
    <hyperlink ref="E2230" r:id="rId2197" xr:uid="{00000000-0004-0000-0000-000094080000}"/>
    <hyperlink ref="E2231" r:id="rId2198" xr:uid="{00000000-0004-0000-0000-000095080000}"/>
    <hyperlink ref="E2232" r:id="rId2199" xr:uid="{00000000-0004-0000-0000-000096080000}"/>
    <hyperlink ref="E2233" r:id="rId2200" xr:uid="{00000000-0004-0000-0000-000097080000}"/>
    <hyperlink ref="E2234" r:id="rId2201" xr:uid="{00000000-0004-0000-0000-000098080000}"/>
    <hyperlink ref="E2235" r:id="rId2202" xr:uid="{00000000-0004-0000-0000-000099080000}"/>
    <hyperlink ref="E2236" r:id="rId2203" xr:uid="{00000000-0004-0000-0000-00009A080000}"/>
    <hyperlink ref="E2237" r:id="rId2204" xr:uid="{00000000-0004-0000-0000-00009B080000}"/>
    <hyperlink ref="E2238" r:id="rId2205" xr:uid="{00000000-0004-0000-0000-00009C080000}"/>
    <hyperlink ref="E2239" r:id="rId2206" xr:uid="{00000000-0004-0000-0000-00009D080000}"/>
    <hyperlink ref="E2240" r:id="rId2207" xr:uid="{00000000-0004-0000-0000-00009E080000}"/>
    <hyperlink ref="E2241" r:id="rId2208" xr:uid="{00000000-0004-0000-0000-00009F080000}"/>
    <hyperlink ref="E2242" r:id="rId2209" xr:uid="{00000000-0004-0000-0000-0000A0080000}"/>
    <hyperlink ref="E2243" r:id="rId2210" xr:uid="{00000000-0004-0000-0000-0000A1080000}"/>
    <hyperlink ref="E2244" r:id="rId2211" xr:uid="{00000000-0004-0000-0000-0000A2080000}"/>
    <hyperlink ref="E2245" r:id="rId2212" xr:uid="{00000000-0004-0000-0000-0000A3080000}"/>
    <hyperlink ref="E2246" r:id="rId2213" xr:uid="{00000000-0004-0000-0000-0000A4080000}"/>
    <hyperlink ref="E2247" r:id="rId2214" xr:uid="{00000000-0004-0000-0000-0000A5080000}"/>
    <hyperlink ref="E2248" r:id="rId2215" xr:uid="{00000000-0004-0000-0000-0000A6080000}"/>
    <hyperlink ref="E2249" r:id="rId2216" xr:uid="{00000000-0004-0000-0000-0000A7080000}"/>
    <hyperlink ref="E2250" r:id="rId2217" xr:uid="{00000000-0004-0000-0000-0000A8080000}"/>
    <hyperlink ref="E2251" r:id="rId2218" xr:uid="{00000000-0004-0000-0000-0000A9080000}"/>
    <hyperlink ref="E2252" r:id="rId2219" xr:uid="{00000000-0004-0000-0000-0000AA080000}"/>
    <hyperlink ref="E2253" r:id="rId2220" xr:uid="{00000000-0004-0000-0000-0000AB080000}"/>
    <hyperlink ref="E2254" r:id="rId2221" xr:uid="{00000000-0004-0000-0000-0000AC080000}"/>
    <hyperlink ref="E2255" r:id="rId2222" xr:uid="{00000000-0004-0000-0000-0000AD080000}"/>
    <hyperlink ref="E2256" r:id="rId2223" xr:uid="{00000000-0004-0000-0000-0000AE080000}"/>
    <hyperlink ref="E2257" r:id="rId2224" xr:uid="{00000000-0004-0000-0000-0000AF080000}"/>
    <hyperlink ref="E2258" r:id="rId2225" xr:uid="{00000000-0004-0000-0000-0000B0080000}"/>
    <hyperlink ref="E2259" r:id="rId2226" xr:uid="{00000000-0004-0000-0000-0000B1080000}"/>
    <hyperlink ref="E2260" r:id="rId2227" xr:uid="{00000000-0004-0000-0000-0000B2080000}"/>
    <hyperlink ref="E2261" r:id="rId2228" xr:uid="{00000000-0004-0000-0000-0000B3080000}"/>
    <hyperlink ref="E2262" r:id="rId2229" xr:uid="{00000000-0004-0000-0000-0000B4080000}"/>
    <hyperlink ref="E2263" r:id="rId2230" xr:uid="{00000000-0004-0000-0000-0000B5080000}"/>
    <hyperlink ref="E2264" r:id="rId2231" xr:uid="{00000000-0004-0000-0000-0000B6080000}"/>
    <hyperlink ref="E2265" r:id="rId2232" xr:uid="{00000000-0004-0000-0000-0000B7080000}"/>
    <hyperlink ref="E2266" r:id="rId2233" xr:uid="{00000000-0004-0000-0000-0000B8080000}"/>
    <hyperlink ref="E2267" r:id="rId2234" xr:uid="{00000000-0004-0000-0000-0000B9080000}"/>
    <hyperlink ref="E2268" r:id="rId2235" xr:uid="{00000000-0004-0000-0000-0000BA080000}"/>
    <hyperlink ref="E2269" r:id="rId2236" xr:uid="{00000000-0004-0000-0000-0000BB080000}"/>
    <hyperlink ref="E2270" r:id="rId2237" xr:uid="{00000000-0004-0000-0000-0000BC080000}"/>
    <hyperlink ref="E2271" r:id="rId2238" xr:uid="{00000000-0004-0000-0000-0000BD080000}"/>
    <hyperlink ref="E2272" r:id="rId2239" xr:uid="{00000000-0004-0000-0000-0000BE080000}"/>
    <hyperlink ref="E2273" r:id="rId2240" xr:uid="{00000000-0004-0000-0000-0000BF080000}"/>
    <hyperlink ref="E2274" r:id="rId2241" xr:uid="{00000000-0004-0000-0000-0000C0080000}"/>
    <hyperlink ref="E2275" r:id="rId2242" xr:uid="{00000000-0004-0000-0000-0000C1080000}"/>
    <hyperlink ref="E2276" r:id="rId2243" xr:uid="{00000000-0004-0000-0000-0000C2080000}"/>
    <hyperlink ref="E2277" r:id="rId2244" xr:uid="{00000000-0004-0000-0000-0000C3080000}"/>
    <hyperlink ref="E2278" r:id="rId2245" xr:uid="{00000000-0004-0000-0000-0000C4080000}"/>
    <hyperlink ref="E2279" r:id="rId2246" xr:uid="{00000000-0004-0000-0000-0000C5080000}"/>
    <hyperlink ref="E2280" r:id="rId2247" xr:uid="{00000000-0004-0000-0000-0000C6080000}"/>
    <hyperlink ref="E2281" r:id="rId2248" xr:uid="{00000000-0004-0000-0000-0000C7080000}"/>
    <hyperlink ref="E2282" r:id="rId2249" xr:uid="{00000000-0004-0000-0000-0000C8080000}"/>
    <hyperlink ref="E2283" r:id="rId2250" xr:uid="{00000000-0004-0000-0000-0000C9080000}"/>
    <hyperlink ref="E2284" r:id="rId2251" xr:uid="{00000000-0004-0000-0000-0000CA080000}"/>
    <hyperlink ref="E2285" r:id="rId2252" xr:uid="{00000000-0004-0000-0000-0000CB080000}"/>
    <hyperlink ref="E2286" r:id="rId2253" xr:uid="{00000000-0004-0000-0000-0000CC080000}"/>
    <hyperlink ref="E2287" r:id="rId2254" xr:uid="{00000000-0004-0000-0000-0000CD080000}"/>
    <hyperlink ref="E2288" r:id="rId2255" xr:uid="{00000000-0004-0000-0000-0000CE080000}"/>
    <hyperlink ref="E2289" r:id="rId2256" xr:uid="{00000000-0004-0000-0000-0000CF080000}"/>
    <hyperlink ref="E2290" r:id="rId2257" xr:uid="{00000000-0004-0000-0000-0000D0080000}"/>
    <hyperlink ref="E2291" r:id="rId2258" xr:uid="{00000000-0004-0000-0000-0000D1080000}"/>
    <hyperlink ref="E2292" r:id="rId2259" xr:uid="{00000000-0004-0000-0000-0000D2080000}"/>
    <hyperlink ref="E2293" r:id="rId2260" xr:uid="{00000000-0004-0000-0000-0000D3080000}"/>
    <hyperlink ref="E2294" r:id="rId2261" xr:uid="{00000000-0004-0000-0000-0000D4080000}"/>
    <hyperlink ref="E2295" r:id="rId2262" xr:uid="{00000000-0004-0000-0000-0000D5080000}"/>
    <hyperlink ref="E2296" r:id="rId2263" xr:uid="{00000000-0004-0000-0000-0000D6080000}"/>
    <hyperlink ref="E2297" r:id="rId2264" xr:uid="{00000000-0004-0000-0000-0000D7080000}"/>
    <hyperlink ref="E2298" r:id="rId2265" xr:uid="{00000000-0004-0000-0000-0000D8080000}"/>
    <hyperlink ref="E2299" r:id="rId2266" xr:uid="{00000000-0004-0000-0000-0000D9080000}"/>
    <hyperlink ref="E2300" r:id="rId2267" xr:uid="{00000000-0004-0000-0000-0000DA080000}"/>
    <hyperlink ref="E2301" r:id="rId2268" xr:uid="{00000000-0004-0000-0000-0000DB080000}"/>
    <hyperlink ref="E2302" r:id="rId2269" xr:uid="{00000000-0004-0000-0000-0000DC080000}"/>
    <hyperlink ref="E2303" r:id="rId2270" xr:uid="{00000000-0004-0000-0000-0000DD080000}"/>
    <hyperlink ref="E2304" r:id="rId2271" xr:uid="{00000000-0004-0000-0000-0000DE080000}"/>
    <hyperlink ref="E2305" r:id="rId2272" xr:uid="{00000000-0004-0000-0000-0000DF080000}"/>
    <hyperlink ref="E2306" r:id="rId2273" xr:uid="{00000000-0004-0000-0000-0000E0080000}"/>
    <hyperlink ref="E2307" r:id="rId2274" xr:uid="{00000000-0004-0000-0000-0000E1080000}"/>
    <hyperlink ref="E2308" r:id="rId2275" xr:uid="{00000000-0004-0000-0000-0000E2080000}"/>
    <hyperlink ref="E2309" r:id="rId2276" xr:uid="{00000000-0004-0000-0000-0000E3080000}"/>
    <hyperlink ref="E2310" r:id="rId2277" xr:uid="{00000000-0004-0000-0000-0000E4080000}"/>
    <hyperlink ref="E2311" r:id="rId2278" xr:uid="{00000000-0004-0000-0000-0000E5080000}"/>
    <hyperlink ref="E2312" r:id="rId2279" xr:uid="{00000000-0004-0000-0000-0000E6080000}"/>
    <hyperlink ref="E2313" r:id="rId2280" xr:uid="{00000000-0004-0000-0000-0000E7080000}"/>
    <hyperlink ref="E2314" r:id="rId2281" xr:uid="{00000000-0004-0000-0000-0000E8080000}"/>
    <hyperlink ref="E2315" r:id="rId2282" xr:uid="{00000000-0004-0000-0000-0000E9080000}"/>
    <hyperlink ref="E2316" r:id="rId2283" xr:uid="{00000000-0004-0000-0000-0000EA080000}"/>
    <hyperlink ref="E2317" r:id="rId2284" xr:uid="{00000000-0004-0000-0000-0000EB080000}"/>
    <hyperlink ref="E2318" r:id="rId2285" xr:uid="{00000000-0004-0000-0000-0000EC080000}"/>
    <hyperlink ref="E2319" r:id="rId2286" xr:uid="{00000000-0004-0000-0000-0000ED080000}"/>
    <hyperlink ref="E2320" r:id="rId2287" xr:uid="{00000000-0004-0000-0000-0000EE080000}"/>
    <hyperlink ref="E2321" r:id="rId2288" xr:uid="{00000000-0004-0000-0000-0000EF080000}"/>
    <hyperlink ref="E2322" r:id="rId2289" xr:uid="{00000000-0004-0000-0000-0000F0080000}"/>
    <hyperlink ref="E2323" r:id="rId2290" xr:uid="{00000000-0004-0000-0000-0000F1080000}"/>
    <hyperlink ref="E2324" r:id="rId2291" xr:uid="{00000000-0004-0000-0000-0000F2080000}"/>
    <hyperlink ref="E2325" r:id="rId2292" xr:uid="{00000000-0004-0000-0000-0000F3080000}"/>
    <hyperlink ref="E2326" r:id="rId2293" xr:uid="{00000000-0004-0000-0000-0000F4080000}"/>
    <hyperlink ref="E2327" r:id="rId2294" xr:uid="{00000000-0004-0000-0000-0000F5080000}"/>
    <hyperlink ref="E2328" r:id="rId2295" xr:uid="{00000000-0004-0000-0000-0000F6080000}"/>
    <hyperlink ref="E2329" r:id="rId2296" xr:uid="{00000000-0004-0000-0000-0000F7080000}"/>
    <hyperlink ref="E2330" r:id="rId2297" xr:uid="{00000000-0004-0000-0000-0000F8080000}"/>
    <hyperlink ref="E2331" r:id="rId2298" xr:uid="{00000000-0004-0000-0000-0000F9080000}"/>
    <hyperlink ref="E2332" r:id="rId2299" xr:uid="{00000000-0004-0000-0000-0000FA080000}"/>
    <hyperlink ref="E2333" r:id="rId2300" xr:uid="{00000000-0004-0000-0000-0000FB080000}"/>
    <hyperlink ref="E2334" r:id="rId2301" xr:uid="{00000000-0004-0000-0000-0000FC080000}"/>
    <hyperlink ref="E2335" r:id="rId2302" xr:uid="{00000000-0004-0000-0000-0000FD080000}"/>
    <hyperlink ref="E2336" r:id="rId2303" xr:uid="{00000000-0004-0000-0000-0000FE080000}"/>
    <hyperlink ref="E2337" r:id="rId2304" xr:uid="{00000000-0004-0000-0000-0000FF080000}"/>
    <hyperlink ref="E2338" r:id="rId2305" xr:uid="{00000000-0004-0000-0000-000000090000}"/>
    <hyperlink ref="E2339" r:id="rId2306" xr:uid="{00000000-0004-0000-0000-000001090000}"/>
    <hyperlink ref="E2340" r:id="rId2307" xr:uid="{00000000-0004-0000-0000-000002090000}"/>
    <hyperlink ref="E2341" r:id="rId2308" xr:uid="{00000000-0004-0000-0000-000003090000}"/>
    <hyperlink ref="E2342" r:id="rId2309" xr:uid="{00000000-0004-0000-0000-000004090000}"/>
    <hyperlink ref="E2343" r:id="rId2310" xr:uid="{00000000-0004-0000-0000-000005090000}"/>
    <hyperlink ref="E2344" r:id="rId2311" xr:uid="{00000000-0004-0000-0000-000006090000}"/>
    <hyperlink ref="E2345" r:id="rId2312" xr:uid="{00000000-0004-0000-0000-000007090000}"/>
    <hyperlink ref="E2346" r:id="rId2313" xr:uid="{00000000-0004-0000-0000-000008090000}"/>
    <hyperlink ref="E2347" r:id="rId2314" xr:uid="{00000000-0004-0000-0000-000009090000}"/>
    <hyperlink ref="E2348" r:id="rId2315" xr:uid="{00000000-0004-0000-0000-00000A090000}"/>
    <hyperlink ref="E2349" r:id="rId2316" xr:uid="{00000000-0004-0000-0000-00000B090000}"/>
    <hyperlink ref="E2350" r:id="rId2317" xr:uid="{00000000-0004-0000-0000-00000C090000}"/>
    <hyperlink ref="E2351" r:id="rId2318" xr:uid="{00000000-0004-0000-0000-00000D090000}"/>
    <hyperlink ref="E2352" r:id="rId2319" xr:uid="{00000000-0004-0000-0000-00000E090000}"/>
    <hyperlink ref="E2353" r:id="rId2320" xr:uid="{00000000-0004-0000-0000-00000F090000}"/>
    <hyperlink ref="E2354" r:id="rId2321" xr:uid="{00000000-0004-0000-0000-000010090000}"/>
    <hyperlink ref="E2355" r:id="rId2322" xr:uid="{00000000-0004-0000-0000-000011090000}"/>
    <hyperlink ref="E2356" r:id="rId2323" xr:uid="{00000000-0004-0000-0000-000012090000}"/>
    <hyperlink ref="E2357" r:id="rId2324" xr:uid="{00000000-0004-0000-0000-000013090000}"/>
    <hyperlink ref="E2358" r:id="rId2325" xr:uid="{00000000-0004-0000-0000-000014090000}"/>
    <hyperlink ref="E2359" r:id="rId2326" xr:uid="{00000000-0004-0000-0000-000015090000}"/>
    <hyperlink ref="E2360" r:id="rId2327" xr:uid="{00000000-0004-0000-0000-000016090000}"/>
    <hyperlink ref="E2361" r:id="rId2328" xr:uid="{00000000-0004-0000-0000-000017090000}"/>
    <hyperlink ref="E2362" r:id="rId2329" xr:uid="{00000000-0004-0000-0000-000018090000}"/>
    <hyperlink ref="E2363" r:id="rId2330" xr:uid="{00000000-0004-0000-0000-000019090000}"/>
    <hyperlink ref="E2364" r:id="rId2331" xr:uid="{00000000-0004-0000-0000-00001A090000}"/>
    <hyperlink ref="E2365" r:id="rId2332" xr:uid="{00000000-0004-0000-0000-00001B090000}"/>
    <hyperlink ref="E2366" r:id="rId2333" xr:uid="{00000000-0004-0000-0000-00001C090000}"/>
    <hyperlink ref="E2367" r:id="rId2334" xr:uid="{00000000-0004-0000-0000-00001D090000}"/>
    <hyperlink ref="E2368" r:id="rId2335" xr:uid="{00000000-0004-0000-0000-00001E090000}"/>
    <hyperlink ref="E2369" r:id="rId2336" xr:uid="{00000000-0004-0000-0000-00001F090000}"/>
    <hyperlink ref="E2370" r:id="rId2337" xr:uid="{00000000-0004-0000-0000-000020090000}"/>
    <hyperlink ref="E2371" r:id="rId2338" xr:uid="{00000000-0004-0000-0000-000021090000}"/>
    <hyperlink ref="E2372" r:id="rId2339" xr:uid="{00000000-0004-0000-0000-000022090000}"/>
    <hyperlink ref="E2373" r:id="rId2340" xr:uid="{00000000-0004-0000-0000-000023090000}"/>
    <hyperlink ref="E2374" r:id="rId2341" xr:uid="{00000000-0004-0000-0000-000024090000}"/>
    <hyperlink ref="E2375" r:id="rId2342" xr:uid="{00000000-0004-0000-0000-000025090000}"/>
    <hyperlink ref="E2376" r:id="rId2343" xr:uid="{00000000-0004-0000-0000-000026090000}"/>
    <hyperlink ref="E2377" r:id="rId2344" xr:uid="{00000000-0004-0000-0000-000027090000}"/>
    <hyperlink ref="E2379" r:id="rId2345" xr:uid="{00000000-0004-0000-0000-000028090000}"/>
    <hyperlink ref="E2380" r:id="rId2346" xr:uid="{00000000-0004-0000-0000-000029090000}"/>
    <hyperlink ref="E2381" r:id="rId2347" xr:uid="{00000000-0004-0000-0000-00002A090000}"/>
    <hyperlink ref="E2382" r:id="rId2348" xr:uid="{00000000-0004-0000-0000-00002B090000}"/>
    <hyperlink ref="E2383" r:id="rId2349" xr:uid="{00000000-0004-0000-0000-00002C090000}"/>
    <hyperlink ref="E2384" r:id="rId2350" xr:uid="{00000000-0004-0000-0000-00002D090000}"/>
    <hyperlink ref="E2385" r:id="rId2351" xr:uid="{00000000-0004-0000-0000-00002E090000}"/>
    <hyperlink ref="E2386" r:id="rId2352" xr:uid="{00000000-0004-0000-0000-00002F090000}"/>
    <hyperlink ref="E2387" r:id="rId2353" xr:uid="{00000000-0004-0000-0000-000030090000}"/>
    <hyperlink ref="E2388" r:id="rId2354" xr:uid="{00000000-0004-0000-0000-000031090000}"/>
    <hyperlink ref="E2389" r:id="rId2355" xr:uid="{00000000-0004-0000-0000-000032090000}"/>
    <hyperlink ref="E2390" r:id="rId2356" xr:uid="{00000000-0004-0000-0000-000033090000}"/>
    <hyperlink ref="E2391" r:id="rId2357" xr:uid="{00000000-0004-0000-0000-000034090000}"/>
    <hyperlink ref="E2392" r:id="rId2358" xr:uid="{00000000-0004-0000-0000-000035090000}"/>
    <hyperlink ref="E2393" r:id="rId2359" xr:uid="{00000000-0004-0000-0000-000036090000}"/>
    <hyperlink ref="E2394" r:id="rId2360" xr:uid="{00000000-0004-0000-0000-000037090000}"/>
    <hyperlink ref="E2395" r:id="rId2361" xr:uid="{00000000-0004-0000-0000-000038090000}"/>
    <hyperlink ref="E2396" r:id="rId2362" xr:uid="{00000000-0004-0000-0000-000039090000}"/>
    <hyperlink ref="E2397" r:id="rId2363" xr:uid="{00000000-0004-0000-0000-00003A090000}"/>
    <hyperlink ref="E2398" r:id="rId2364" xr:uid="{00000000-0004-0000-0000-00003B090000}"/>
    <hyperlink ref="E2399" r:id="rId2365" xr:uid="{00000000-0004-0000-0000-00003C090000}"/>
    <hyperlink ref="E2400" r:id="rId2366" xr:uid="{00000000-0004-0000-0000-00003D090000}"/>
    <hyperlink ref="E2401" r:id="rId2367" xr:uid="{00000000-0004-0000-0000-00003E090000}"/>
    <hyperlink ref="E2402" r:id="rId2368" xr:uid="{00000000-0004-0000-0000-00003F090000}"/>
    <hyperlink ref="E2403" r:id="rId2369" xr:uid="{00000000-0004-0000-0000-000040090000}"/>
    <hyperlink ref="E2404" r:id="rId2370" xr:uid="{00000000-0004-0000-0000-000041090000}"/>
    <hyperlink ref="E2405" r:id="rId2371" xr:uid="{00000000-0004-0000-0000-000042090000}"/>
    <hyperlink ref="E2406" r:id="rId2372" xr:uid="{00000000-0004-0000-0000-000043090000}"/>
    <hyperlink ref="E2407" r:id="rId2373" xr:uid="{00000000-0004-0000-0000-000044090000}"/>
    <hyperlink ref="E2408" r:id="rId2374" xr:uid="{00000000-0004-0000-0000-000045090000}"/>
    <hyperlink ref="E2409" r:id="rId2375" xr:uid="{00000000-0004-0000-0000-000046090000}"/>
    <hyperlink ref="E2410" r:id="rId2376" xr:uid="{00000000-0004-0000-0000-000047090000}"/>
    <hyperlink ref="E2411" r:id="rId2377" xr:uid="{00000000-0004-0000-0000-000048090000}"/>
    <hyperlink ref="E2412" r:id="rId2378" xr:uid="{00000000-0004-0000-0000-000049090000}"/>
    <hyperlink ref="E2413" r:id="rId2379" xr:uid="{00000000-0004-0000-0000-00004A090000}"/>
    <hyperlink ref="E2414" r:id="rId2380" xr:uid="{00000000-0004-0000-0000-00004B090000}"/>
    <hyperlink ref="E2415" r:id="rId2381" xr:uid="{00000000-0004-0000-0000-00004C090000}"/>
    <hyperlink ref="E2416" r:id="rId2382" xr:uid="{00000000-0004-0000-0000-00004D090000}"/>
    <hyperlink ref="E2417" r:id="rId2383" xr:uid="{00000000-0004-0000-0000-00004E090000}"/>
    <hyperlink ref="E2418" r:id="rId2384" xr:uid="{00000000-0004-0000-0000-00004F090000}"/>
    <hyperlink ref="E2419" r:id="rId2385" xr:uid="{00000000-0004-0000-0000-000050090000}"/>
    <hyperlink ref="E2420" r:id="rId2386" xr:uid="{00000000-0004-0000-0000-000051090000}"/>
    <hyperlink ref="E2421" r:id="rId2387" xr:uid="{00000000-0004-0000-0000-000052090000}"/>
    <hyperlink ref="E2422" r:id="rId2388" xr:uid="{00000000-0004-0000-0000-000053090000}"/>
    <hyperlink ref="E2423" r:id="rId2389" xr:uid="{00000000-0004-0000-0000-000054090000}"/>
    <hyperlink ref="E2424" r:id="rId2390" xr:uid="{00000000-0004-0000-0000-000055090000}"/>
    <hyperlink ref="E2425" r:id="rId2391" xr:uid="{00000000-0004-0000-0000-000056090000}"/>
    <hyperlink ref="E2426" r:id="rId2392" xr:uid="{00000000-0004-0000-0000-000057090000}"/>
    <hyperlink ref="E2427" r:id="rId2393" xr:uid="{00000000-0004-0000-0000-000058090000}"/>
    <hyperlink ref="E2428" r:id="rId2394" xr:uid="{00000000-0004-0000-0000-000059090000}"/>
    <hyperlink ref="E2429" r:id="rId2395" xr:uid="{00000000-0004-0000-0000-00005A090000}"/>
    <hyperlink ref="E2430" r:id="rId2396" xr:uid="{00000000-0004-0000-0000-00005B090000}"/>
    <hyperlink ref="E2431" r:id="rId2397" xr:uid="{00000000-0004-0000-0000-00005C090000}"/>
    <hyperlink ref="E2432" r:id="rId2398" xr:uid="{00000000-0004-0000-0000-00005D090000}"/>
    <hyperlink ref="E2433" r:id="rId2399" xr:uid="{00000000-0004-0000-0000-00005E090000}"/>
    <hyperlink ref="E2434" r:id="rId2400" xr:uid="{00000000-0004-0000-0000-00005F090000}"/>
    <hyperlink ref="E2435" r:id="rId2401" xr:uid="{00000000-0004-0000-0000-000060090000}"/>
    <hyperlink ref="E2436" r:id="rId2402" xr:uid="{00000000-0004-0000-0000-000061090000}"/>
    <hyperlink ref="E2437" r:id="rId2403" xr:uid="{00000000-0004-0000-0000-000062090000}"/>
    <hyperlink ref="E2438" r:id="rId2404" xr:uid="{00000000-0004-0000-0000-000063090000}"/>
    <hyperlink ref="E2439" r:id="rId2405" xr:uid="{00000000-0004-0000-0000-000064090000}"/>
    <hyperlink ref="E2440" r:id="rId2406" xr:uid="{00000000-0004-0000-0000-000065090000}"/>
    <hyperlink ref="E2441" r:id="rId2407" xr:uid="{00000000-0004-0000-0000-000066090000}"/>
    <hyperlink ref="E2442" r:id="rId2408" xr:uid="{00000000-0004-0000-0000-000067090000}"/>
    <hyperlink ref="E2443" r:id="rId2409" xr:uid="{00000000-0004-0000-0000-000068090000}"/>
    <hyperlink ref="E2444" r:id="rId2410" xr:uid="{00000000-0004-0000-0000-000069090000}"/>
    <hyperlink ref="E2445" r:id="rId2411" xr:uid="{00000000-0004-0000-0000-00006A090000}"/>
    <hyperlink ref="E2446" r:id="rId2412" xr:uid="{00000000-0004-0000-0000-00006B090000}"/>
    <hyperlink ref="E2447" r:id="rId2413" xr:uid="{00000000-0004-0000-0000-00006C090000}"/>
    <hyperlink ref="E2448" r:id="rId2414" xr:uid="{00000000-0004-0000-0000-00006D090000}"/>
    <hyperlink ref="E2449" r:id="rId2415" xr:uid="{00000000-0004-0000-0000-00006E090000}"/>
    <hyperlink ref="E2450" r:id="rId2416" xr:uid="{00000000-0004-0000-0000-00006F090000}"/>
    <hyperlink ref="E2451" r:id="rId2417" xr:uid="{00000000-0004-0000-0000-000070090000}"/>
    <hyperlink ref="E2452" r:id="rId2418" xr:uid="{00000000-0004-0000-0000-000071090000}"/>
    <hyperlink ref="E2453" r:id="rId2419" xr:uid="{00000000-0004-0000-0000-000072090000}"/>
    <hyperlink ref="E2454" r:id="rId2420" xr:uid="{00000000-0004-0000-0000-000073090000}"/>
    <hyperlink ref="E2455" r:id="rId2421" xr:uid="{00000000-0004-0000-0000-000074090000}"/>
    <hyperlink ref="E2456" r:id="rId2422" xr:uid="{00000000-0004-0000-0000-000075090000}"/>
    <hyperlink ref="E2457" r:id="rId2423" xr:uid="{00000000-0004-0000-0000-000076090000}"/>
    <hyperlink ref="E2458" r:id="rId2424" xr:uid="{00000000-0004-0000-0000-000077090000}"/>
    <hyperlink ref="E2459" r:id="rId2425" xr:uid="{00000000-0004-0000-0000-000078090000}"/>
    <hyperlink ref="E2460" r:id="rId2426" xr:uid="{00000000-0004-0000-0000-000079090000}"/>
    <hyperlink ref="E2461" r:id="rId2427" xr:uid="{00000000-0004-0000-0000-00007A090000}"/>
    <hyperlink ref="E2462" r:id="rId2428" xr:uid="{00000000-0004-0000-0000-00007B090000}"/>
    <hyperlink ref="E2463" r:id="rId2429" xr:uid="{00000000-0004-0000-0000-00007C090000}"/>
    <hyperlink ref="E2464" r:id="rId2430" xr:uid="{00000000-0004-0000-0000-00007D090000}"/>
    <hyperlink ref="E2465" r:id="rId2431" xr:uid="{00000000-0004-0000-0000-00007E090000}"/>
    <hyperlink ref="E2466" r:id="rId2432" xr:uid="{00000000-0004-0000-0000-00007F090000}"/>
    <hyperlink ref="E2467" r:id="rId2433" xr:uid="{00000000-0004-0000-0000-000080090000}"/>
    <hyperlink ref="E2468" r:id="rId2434" xr:uid="{00000000-0004-0000-0000-000081090000}"/>
    <hyperlink ref="E2469" r:id="rId2435" xr:uid="{00000000-0004-0000-0000-000082090000}"/>
    <hyperlink ref="E2470" r:id="rId2436" xr:uid="{00000000-0004-0000-0000-000083090000}"/>
    <hyperlink ref="E2471" r:id="rId2437" xr:uid="{00000000-0004-0000-0000-000084090000}"/>
    <hyperlink ref="E2472" r:id="rId2438" xr:uid="{00000000-0004-0000-0000-000085090000}"/>
    <hyperlink ref="E2473" r:id="rId2439" xr:uid="{00000000-0004-0000-0000-000086090000}"/>
    <hyperlink ref="E2474" r:id="rId2440" xr:uid="{00000000-0004-0000-0000-000087090000}"/>
    <hyperlink ref="E2475" r:id="rId2441" xr:uid="{00000000-0004-0000-0000-000088090000}"/>
    <hyperlink ref="E2476" r:id="rId2442" xr:uid="{00000000-0004-0000-0000-000089090000}"/>
    <hyperlink ref="E2477" r:id="rId2443" xr:uid="{00000000-0004-0000-0000-00008A090000}"/>
    <hyperlink ref="E2478" r:id="rId2444" xr:uid="{00000000-0004-0000-0000-00008B090000}"/>
    <hyperlink ref="E2479" r:id="rId2445" xr:uid="{00000000-0004-0000-0000-00008C090000}"/>
    <hyperlink ref="E2480" r:id="rId2446" xr:uid="{00000000-0004-0000-0000-00008D090000}"/>
    <hyperlink ref="E2481" r:id="rId2447" xr:uid="{00000000-0004-0000-0000-00008E090000}"/>
    <hyperlink ref="E2482" r:id="rId2448" xr:uid="{00000000-0004-0000-0000-00008F090000}"/>
    <hyperlink ref="E2483" r:id="rId2449" xr:uid="{00000000-0004-0000-0000-000090090000}"/>
    <hyperlink ref="E2484" r:id="rId2450" xr:uid="{00000000-0004-0000-0000-000091090000}"/>
    <hyperlink ref="E2485" r:id="rId2451" xr:uid="{00000000-0004-0000-0000-000092090000}"/>
    <hyperlink ref="E2486" r:id="rId2452" xr:uid="{00000000-0004-0000-0000-000093090000}"/>
    <hyperlink ref="E2487" r:id="rId2453" xr:uid="{00000000-0004-0000-0000-000094090000}"/>
    <hyperlink ref="E2488" r:id="rId2454" xr:uid="{00000000-0004-0000-0000-000095090000}"/>
    <hyperlink ref="E2489" r:id="rId2455" xr:uid="{00000000-0004-0000-0000-000096090000}"/>
    <hyperlink ref="E2490" r:id="rId2456" xr:uid="{00000000-0004-0000-0000-000097090000}"/>
    <hyperlink ref="E2491" r:id="rId2457" xr:uid="{00000000-0004-0000-0000-000098090000}"/>
    <hyperlink ref="E2492" r:id="rId2458" xr:uid="{00000000-0004-0000-0000-000099090000}"/>
    <hyperlink ref="E2493" r:id="rId2459" xr:uid="{00000000-0004-0000-0000-00009A090000}"/>
    <hyperlink ref="E2494" r:id="rId2460" xr:uid="{00000000-0004-0000-0000-00009B090000}"/>
    <hyperlink ref="E2495" r:id="rId2461" xr:uid="{00000000-0004-0000-0000-00009C090000}"/>
    <hyperlink ref="E2496" r:id="rId2462" xr:uid="{00000000-0004-0000-0000-00009D090000}"/>
    <hyperlink ref="E2497" r:id="rId2463" xr:uid="{00000000-0004-0000-0000-00009E090000}"/>
    <hyperlink ref="E2498" r:id="rId2464" xr:uid="{00000000-0004-0000-0000-00009F090000}"/>
    <hyperlink ref="E2499" r:id="rId2465" xr:uid="{00000000-0004-0000-0000-0000A0090000}"/>
    <hyperlink ref="E2500" r:id="rId2466" xr:uid="{00000000-0004-0000-0000-0000A1090000}"/>
    <hyperlink ref="E2501" r:id="rId2467" xr:uid="{00000000-0004-0000-0000-0000A2090000}"/>
    <hyperlink ref="E2502" r:id="rId2468" xr:uid="{00000000-0004-0000-0000-0000A3090000}"/>
    <hyperlink ref="E2503" r:id="rId2469" xr:uid="{00000000-0004-0000-0000-0000A4090000}"/>
    <hyperlink ref="E2504" r:id="rId2470" xr:uid="{00000000-0004-0000-0000-0000A5090000}"/>
    <hyperlink ref="E2505" r:id="rId2471" xr:uid="{00000000-0004-0000-0000-0000A6090000}"/>
    <hyperlink ref="E2506" r:id="rId2472" xr:uid="{00000000-0004-0000-0000-0000A7090000}"/>
    <hyperlink ref="E2507" r:id="rId2473" xr:uid="{00000000-0004-0000-0000-0000A8090000}"/>
    <hyperlink ref="E2508" r:id="rId2474" xr:uid="{00000000-0004-0000-0000-0000A9090000}"/>
    <hyperlink ref="E2509" r:id="rId2475" xr:uid="{00000000-0004-0000-0000-0000AA090000}"/>
    <hyperlink ref="E2510" r:id="rId2476" xr:uid="{00000000-0004-0000-0000-0000AB090000}"/>
    <hyperlink ref="E2511" r:id="rId2477" xr:uid="{00000000-0004-0000-0000-0000AC090000}"/>
    <hyperlink ref="E2512" r:id="rId2478" xr:uid="{00000000-0004-0000-0000-0000AD090000}"/>
    <hyperlink ref="E2513" r:id="rId2479" xr:uid="{00000000-0004-0000-0000-0000AE090000}"/>
    <hyperlink ref="E2514" r:id="rId2480" xr:uid="{00000000-0004-0000-0000-0000AF090000}"/>
    <hyperlink ref="E2515" r:id="rId2481" xr:uid="{00000000-0004-0000-0000-0000B0090000}"/>
    <hyperlink ref="E2516" r:id="rId2482" xr:uid="{00000000-0004-0000-0000-0000B1090000}"/>
    <hyperlink ref="E2517" r:id="rId2483" xr:uid="{00000000-0004-0000-0000-0000B2090000}"/>
    <hyperlink ref="E2518" r:id="rId2484" xr:uid="{00000000-0004-0000-0000-0000B3090000}"/>
    <hyperlink ref="E2519" r:id="rId2485" xr:uid="{00000000-0004-0000-0000-0000B4090000}"/>
    <hyperlink ref="E2520" r:id="rId2486" xr:uid="{00000000-0004-0000-0000-0000B5090000}"/>
    <hyperlink ref="E2521" r:id="rId2487" xr:uid="{00000000-0004-0000-0000-0000B6090000}"/>
    <hyperlink ref="E2522" r:id="rId2488" xr:uid="{00000000-0004-0000-0000-0000B7090000}"/>
    <hyperlink ref="E2523" r:id="rId2489" xr:uid="{00000000-0004-0000-0000-0000B8090000}"/>
    <hyperlink ref="E2524" r:id="rId2490" xr:uid="{00000000-0004-0000-0000-0000B9090000}"/>
    <hyperlink ref="E2525" r:id="rId2491" xr:uid="{00000000-0004-0000-0000-0000BA090000}"/>
    <hyperlink ref="E2526" r:id="rId2492" xr:uid="{00000000-0004-0000-0000-0000BB090000}"/>
    <hyperlink ref="E2527" r:id="rId2493" xr:uid="{00000000-0004-0000-0000-0000BC090000}"/>
    <hyperlink ref="E2528" r:id="rId2494" xr:uid="{00000000-0004-0000-0000-0000BD090000}"/>
    <hyperlink ref="E2529" r:id="rId2495" xr:uid="{00000000-0004-0000-0000-0000BE090000}"/>
    <hyperlink ref="E2530" r:id="rId2496" xr:uid="{00000000-0004-0000-0000-0000BF090000}"/>
    <hyperlink ref="E2531" r:id="rId2497" xr:uid="{00000000-0004-0000-0000-0000C0090000}"/>
    <hyperlink ref="E2532" r:id="rId2498" xr:uid="{00000000-0004-0000-0000-0000C1090000}"/>
    <hyperlink ref="E2533" r:id="rId2499" xr:uid="{00000000-0004-0000-0000-0000C2090000}"/>
    <hyperlink ref="E2534" r:id="rId2500" xr:uid="{00000000-0004-0000-0000-0000C3090000}"/>
    <hyperlink ref="E2535" r:id="rId2501" xr:uid="{00000000-0004-0000-0000-0000C4090000}"/>
    <hyperlink ref="E2536" r:id="rId2502" xr:uid="{00000000-0004-0000-0000-0000C5090000}"/>
    <hyperlink ref="E2537" r:id="rId2503" xr:uid="{00000000-0004-0000-0000-0000C6090000}"/>
    <hyperlink ref="E2538" r:id="rId2504" xr:uid="{00000000-0004-0000-0000-0000C7090000}"/>
    <hyperlink ref="E2539" r:id="rId2505" xr:uid="{00000000-0004-0000-0000-0000C8090000}"/>
    <hyperlink ref="E2540" r:id="rId2506" xr:uid="{00000000-0004-0000-0000-0000C9090000}"/>
    <hyperlink ref="E2541" r:id="rId2507" xr:uid="{00000000-0004-0000-0000-0000CA090000}"/>
    <hyperlink ref="E2542" r:id="rId2508" xr:uid="{00000000-0004-0000-0000-0000CB090000}"/>
    <hyperlink ref="E2543" r:id="rId2509" xr:uid="{00000000-0004-0000-0000-0000CC090000}"/>
    <hyperlink ref="E2544" r:id="rId2510" xr:uid="{00000000-0004-0000-0000-0000CD090000}"/>
    <hyperlink ref="E2545" r:id="rId2511" xr:uid="{00000000-0004-0000-0000-0000CE090000}"/>
    <hyperlink ref="E2546" r:id="rId2512" xr:uid="{00000000-0004-0000-0000-0000CF090000}"/>
    <hyperlink ref="E2547" r:id="rId2513" xr:uid="{00000000-0004-0000-0000-0000D0090000}"/>
    <hyperlink ref="E2548" r:id="rId2514" xr:uid="{00000000-0004-0000-0000-0000D1090000}"/>
    <hyperlink ref="E2549" r:id="rId2515" xr:uid="{00000000-0004-0000-0000-0000D2090000}"/>
    <hyperlink ref="E2550" r:id="rId2516" xr:uid="{00000000-0004-0000-0000-0000D3090000}"/>
    <hyperlink ref="E2551" r:id="rId2517" xr:uid="{00000000-0004-0000-0000-0000D4090000}"/>
    <hyperlink ref="E2552" r:id="rId2518" xr:uid="{00000000-0004-0000-0000-0000D5090000}"/>
    <hyperlink ref="E2553" r:id="rId2519" xr:uid="{00000000-0004-0000-0000-0000D6090000}"/>
    <hyperlink ref="E2554" r:id="rId2520" xr:uid="{00000000-0004-0000-0000-0000D7090000}"/>
    <hyperlink ref="E2555" r:id="rId2521" xr:uid="{00000000-0004-0000-0000-0000D8090000}"/>
    <hyperlink ref="E2556" r:id="rId2522" xr:uid="{00000000-0004-0000-0000-0000D9090000}"/>
    <hyperlink ref="E2557" r:id="rId2523" xr:uid="{00000000-0004-0000-0000-0000DA090000}"/>
    <hyperlink ref="E2558" r:id="rId2524" xr:uid="{00000000-0004-0000-0000-0000DB090000}"/>
    <hyperlink ref="E2559" r:id="rId2525" xr:uid="{00000000-0004-0000-0000-0000DC090000}"/>
    <hyperlink ref="E2560" r:id="rId2526" xr:uid="{00000000-0004-0000-0000-0000DD090000}"/>
    <hyperlink ref="E2561" r:id="rId2527" xr:uid="{00000000-0004-0000-0000-0000DE090000}"/>
    <hyperlink ref="E2563" r:id="rId2528" xr:uid="{00000000-0004-0000-0000-0000DF090000}"/>
    <hyperlink ref="E2564" r:id="rId2529" xr:uid="{00000000-0004-0000-0000-0000E0090000}"/>
    <hyperlink ref="E2565" r:id="rId2530" xr:uid="{00000000-0004-0000-0000-0000E1090000}"/>
    <hyperlink ref="E2566" r:id="rId2531" xr:uid="{00000000-0004-0000-0000-0000E2090000}"/>
    <hyperlink ref="E2567" r:id="rId2532" xr:uid="{00000000-0004-0000-0000-0000E3090000}"/>
    <hyperlink ref="E2568" r:id="rId2533" xr:uid="{00000000-0004-0000-0000-0000E4090000}"/>
    <hyperlink ref="E2569" r:id="rId2534" xr:uid="{00000000-0004-0000-0000-0000E5090000}"/>
    <hyperlink ref="E2570" r:id="rId2535" xr:uid="{00000000-0004-0000-0000-0000E6090000}"/>
    <hyperlink ref="E2571" r:id="rId2536" xr:uid="{00000000-0004-0000-0000-0000E7090000}"/>
    <hyperlink ref="E2572" r:id="rId2537" xr:uid="{00000000-0004-0000-0000-0000E8090000}"/>
    <hyperlink ref="E2573" r:id="rId2538" xr:uid="{00000000-0004-0000-0000-0000E9090000}"/>
    <hyperlink ref="E2574" r:id="rId2539" xr:uid="{00000000-0004-0000-0000-0000EA090000}"/>
    <hyperlink ref="E2575" r:id="rId2540" xr:uid="{00000000-0004-0000-0000-0000EB090000}"/>
    <hyperlink ref="E2576" r:id="rId2541" xr:uid="{00000000-0004-0000-0000-0000EC090000}"/>
    <hyperlink ref="E2577" r:id="rId2542" xr:uid="{00000000-0004-0000-0000-0000ED090000}"/>
    <hyperlink ref="E2578" r:id="rId2543" xr:uid="{00000000-0004-0000-0000-0000EE090000}"/>
    <hyperlink ref="E2579" r:id="rId2544" xr:uid="{00000000-0004-0000-0000-0000EF090000}"/>
    <hyperlink ref="E2580" r:id="rId2545" xr:uid="{00000000-0004-0000-0000-0000F0090000}"/>
    <hyperlink ref="E2581" r:id="rId2546" xr:uid="{00000000-0004-0000-0000-0000F1090000}"/>
    <hyperlink ref="E2582" r:id="rId2547" xr:uid="{00000000-0004-0000-0000-0000F2090000}"/>
    <hyperlink ref="E2583" r:id="rId2548" xr:uid="{00000000-0004-0000-0000-0000F3090000}"/>
    <hyperlink ref="E2584" r:id="rId2549" xr:uid="{00000000-0004-0000-0000-0000F4090000}"/>
    <hyperlink ref="E2585" r:id="rId2550" xr:uid="{00000000-0004-0000-0000-0000F5090000}"/>
    <hyperlink ref="E2586" r:id="rId2551" xr:uid="{00000000-0004-0000-0000-0000F6090000}"/>
    <hyperlink ref="E2587" r:id="rId2552" xr:uid="{00000000-0004-0000-0000-0000F7090000}"/>
    <hyperlink ref="E2588" r:id="rId2553" xr:uid="{00000000-0004-0000-0000-0000F8090000}"/>
    <hyperlink ref="E2589" r:id="rId2554" xr:uid="{00000000-0004-0000-0000-0000F9090000}"/>
    <hyperlink ref="E2590" r:id="rId2555" xr:uid="{00000000-0004-0000-0000-0000FA090000}"/>
    <hyperlink ref="E2591" r:id="rId2556" xr:uid="{00000000-0004-0000-0000-0000FB090000}"/>
    <hyperlink ref="E2592" r:id="rId2557" xr:uid="{00000000-0004-0000-0000-0000FC090000}"/>
    <hyperlink ref="E2593" r:id="rId2558" xr:uid="{00000000-0004-0000-0000-0000FD090000}"/>
    <hyperlink ref="E2594" r:id="rId2559" xr:uid="{00000000-0004-0000-0000-0000FE090000}"/>
    <hyperlink ref="E2595" r:id="rId2560" xr:uid="{00000000-0004-0000-0000-0000FF090000}"/>
    <hyperlink ref="E2596" r:id="rId2561" xr:uid="{00000000-0004-0000-0000-0000000A0000}"/>
    <hyperlink ref="E2597" r:id="rId2562" xr:uid="{00000000-0004-0000-0000-0000010A0000}"/>
    <hyperlink ref="E2598" r:id="rId2563" xr:uid="{00000000-0004-0000-0000-0000020A0000}"/>
    <hyperlink ref="E2599" r:id="rId2564" xr:uid="{00000000-0004-0000-0000-0000030A0000}"/>
    <hyperlink ref="E2600" r:id="rId2565" xr:uid="{00000000-0004-0000-0000-0000040A0000}"/>
    <hyperlink ref="E2601" r:id="rId2566" xr:uid="{00000000-0004-0000-0000-0000050A0000}"/>
    <hyperlink ref="E2602" r:id="rId2567" xr:uid="{00000000-0004-0000-0000-0000060A0000}"/>
    <hyperlink ref="E2603" r:id="rId2568" xr:uid="{00000000-0004-0000-0000-0000070A0000}"/>
    <hyperlink ref="E2604" r:id="rId2569" xr:uid="{00000000-0004-0000-0000-0000080A0000}"/>
    <hyperlink ref="E2605" r:id="rId2570" xr:uid="{00000000-0004-0000-0000-0000090A0000}"/>
    <hyperlink ref="E2606" r:id="rId2571" xr:uid="{00000000-0004-0000-0000-00000A0A0000}"/>
    <hyperlink ref="E2607" r:id="rId2572" xr:uid="{00000000-0004-0000-0000-00000B0A0000}"/>
    <hyperlink ref="E2608" r:id="rId2573" xr:uid="{00000000-0004-0000-0000-00000C0A0000}"/>
    <hyperlink ref="E2609" r:id="rId2574" xr:uid="{00000000-0004-0000-0000-00000D0A0000}"/>
    <hyperlink ref="E2610" r:id="rId2575" xr:uid="{00000000-0004-0000-0000-00000E0A0000}"/>
    <hyperlink ref="E2611" r:id="rId2576" xr:uid="{00000000-0004-0000-0000-00000F0A0000}"/>
    <hyperlink ref="E2612" r:id="rId2577" xr:uid="{00000000-0004-0000-0000-0000100A0000}"/>
    <hyperlink ref="E2613" r:id="rId2578" xr:uid="{00000000-0004-0000-0000-0000110A0000}"/>
    <hyperlink ref="E2614" r:id="rId2579" xr:uid="{00000000-0004-0000-0000-0000120A0000}"/>
    <hyperlink ref="E2615" r:id="rId2580" xr:uid="{00000000-0004-0000-0000-0000130A0000}"/>
    <hyperlink ref="E2616" r:id="rId2581" xr:uid="{00000000-0004-0000-0000-0000140A0000}"/>
    <hyperlink ref="E2617" r:id="rId2582" xr:uid="{00000000-0004-0000-0000-0000150A0000}"/>
    <hyperlink ref="E2618" r:id="rId2583" xr:uid="{00000000-0004-0000-0000-0000160A0000}"/>
    <hyperlink ref="E2619" r:id="rId2584" xr:uid="{00000000-0004-0000-0000-0000170A0000}"/>
    <hyperlink ref="E2620" r:id="rId2585" xr:uid="{00000000-0004-0000-0000-0000180A0000}"/>
    <hyperlink ref="E2621" r:id="rId2586" xr:uid="{00000000-0004-0000-0000-0000190A0000}"/>
    <hyperlink ref="E2623" r:id="rId2587" xr:uid="{00000000-0004-0000-0000-00001A0A0000}"/>
    <hyperlink ref="E2624" r:id="rId2588" xr:uid="{00000000-0004-0000-0000-00001B0A0000}"/>
    <hyperlink ref="E2625" r:id="rId2589" xr:uid="{00000000-0004-0000-0000-00001C0A0000}"/>
    <hyperlink ref="E2626" r:id="rId2590" xr:uid="{00000000-0004-0000-0000-00001D0A0000}"/>
    <hyperlink ref="E2627" r:id="rId2591" xr:uid="{00000000-0004-0000-0000-00001E0A0000}"/>
    <hyperlink ref="E2628" r:id="rId2592" xr:uid="{00000000-0004-0000-0000-00001F0A0000}"/>
    <hyperlink ref="E2629" r:id="rId2593" xr:uid="{00000000-0004-0000-0000-0000200A0000}"/>
    <hyperlink ref="E2630" r:id="rId2594" xr:uid="{00000000-0004-0000-0000-0000210A0000}"/>
    <hyperlink ref="E2631" r:id="rId2595" xr:uid="{00000000-0004-0000-0000-0000220A0000}"/>
    <hyperlink ref="E2632" r:id="rId2596" xr:uid="{00000000-0004-0000-0000-0000230A0000}"/>
    <hyperlink ref="E2633" r:id="rId2597" xr:uid="{00000000-0004-0000-0000-0000240A0000}"/>
    <hyperlink ref="E2634" r:id="rId2598" xr:uid="{00000000-0004-0000-0000-0000250A0000}"/>
    <hyperlink ref="E2635" r:id="rId2599" xr:uid="{00000000-0004-0000-0000-0000260A0000}"/>
    <hyperlink ref="E2636" r:id="rId2600" xr:uid="{00000000-0004-0000-0000-0000270A0000}"/>
    <hyperlink ref="E2637" r:id="rId2601" xr:uid="{00000000-0004-0000-0000-0000280A0000}"/>
    <hyperlink ref="E2638" r:id="rId2602" xr:uid="{00000000-0004-0000-0000-0000290A0000}"/>
    <hyperlink ref="E2639" r:id="rId2603" xr:uid="{00000000-0004-0000-0000-00002A0A0000}"/>
    <hyperlink ref="E2640" r:id="rId2604" xr:uid="{00000000-0004-0000-0000-00002B0A0000}"/>
    <hyperlink ref="E2641" r:id="rId2605" xr:uid="{00000000-0004-0000-0000-00002C0A0000}"/>
    <hyperlink ref="E2642" r:id="rId2606" xr:uid="{00000000-0004-0000-0000-00002D0A0000}"/>
    <hyperlink ref="E2643" r:id="rId2607" xr:uid="{00000000-0004-0000-0000-00002E0A0000}"/>
    <hyperlink ref="E2644" r:id="rId2608" xr:uid="{00000000-0004-0000-0000-00002F0A0000}"/>
    <hyperlink ref="E2645" r:id="rId2609" xr:uid="{00000000-0004-0000-0000-0000300A0000}"/>
    <hyperlink ref="E2646" r:id="rId2610" xr:uid="{00000000-0004-0000-0000-0000310A0000}"/>
    <hyperlink ref="E2647" r:id="rId2611" xr:uid="{00000000-0004-0000-0000-0000320A0000}"/>
    <hyperlink ref="E2648" r:id="rId2612" xr:uid="{00000000-0004-0000-0000-0000330A0000}"/>
    <hyperlink ref="E2649" r:id="rId2613" xr:uid="{00000000-0004-0000-0000-0000340A0000}"/>
    <hyperlink ref="E2650" r:id="rId2614" xr:uid="{00000000-0004-0000-0000-0000350A0000}"/>
    <hyperlink ref="E2651" r:id="rId2615" xr:uid="{00000000-0004-0000-0000-0000360A0000}"/>
    <hyperlink ref="E2652" r:id="rId2616" xr:uid="{00000000-0004-0000-0000-0000370A0000}"/>
    <hyperlink ref="E2653" r:id="rId2617" xr:uid="{00000000-0004-0000-0000-0000380A0000}"/>
    <hyperlink ref="E2655" r:id="rId2618" xr:uid="{00000000-0004-0000-0000-0000390A0000}"/>
    <hyperlink ref="E2656" r:id="rId2619" xr:uid="{00000000-0004-0000-0000-00003A0A0000}"/>
    <hyperlink ref="E2657" r:id="rId2620" xr:uid="{00000000-0004-0000-0000-00003B0A0000}"/>
    <hyperlink ref="E2658" r:id="rId2621" xr:uid="{00000000-0004-0000-0000-00003C0A0000}"/>
    <hyperlink ref="E2659" r:id="rId2622" xr:uid="{00000000-0004-0000-0000-00003D0A0000}"/>
    <hyperlink ref="E2660" r:id="rId2623" xr:uid="{00000000-0004-0000-0000-00003E0A0000}"/>
    <hyperlink ref="E2661" r:id="rId2624" xr:uid="{00000000-0004-0000-0000-00003F0A0000}"/>
    <hyperlink ref="E2662" r:id="rId2625" xr:uid="{00000000-0004-0000-0000-0000400A0000}"/>
    <hyperlink ref="E2663" r:id="rId2626" xr:uid="{00000000-0004-0000-0000-0000410A0000}"/>
    <hyperlink ref="E2664" r:id="rId2627" xr:uid="{00000000-0004-0000-0000-0000420A0000}"/>
    <hyperlink ref="E2665" r:id="rId2628" xr:uid="{00000000-0004-0000-0000-0000430A0000}"/>
    <hyperlink ref="E2666" r:id="rId2629" xr:uid="{00000000-0004-0000-0000-0000440A0000}"/>
    <hyperlink ref="E2667" r:id="rId2630" xr:uid="{00000000-0004-0000-0000-0000450A0000}"/>
    <hyperlink ref="E2668" r:id="rId2631" xr:uid="{00000000-0004-0000-0000-0000460A0000}"/>
    <hyperlink ref="E2669" r:id="rId2632" xr:uid="{00000000-0004-0000-0000-0000470A0000}"/>
    <hyperlink ref="E2670" r:id="rId2633" xr:uid="{00000000-0004-0000-0000-0000480A0000}"/>
    <hyperlink ref="E2671" r:id="rId2634" xr:uid="{00000000-0004-0000-0000-0000490A0000}"/>
    <hyperlink ref="E2672" r:id="rId2635" xr:uid="{00000000-0004-0000-0000-00004A0A0000}"/>
    <hyperlink ref="E2673" r:id="rId2636" xr:uid="{00000000-0004-0000-0000-00004B0A0000}"/>
    <hyperlink ref="E2674" r:id="rId2637" xr:uid="{00000000-0004-0000-0000-00004C0A0000}"/>
    <hyperlink ref="E2675" r:id="rId2638" xr:uid="{00000000-0004-0000-0000-00004D0A0000}"/>
    <hyperlink ref="E2676" r:id="rId2639" xr:uid="{00000000-0004-0000-0000-00004E0A0000}"/>
    <hyperlink ref="E2677" r:id="rId2640" xr:uid="{00000000-0004-0000-0000-00004F0A0000}"/>
    <hyperlink ref="E2678" r:id="rId2641" xr:uid="{00000000-0004-0000-0000-0000500A0000}"/>
    <hyperlink ref="E2679" r:id="rId2642" xr:uid="{00000000-0004-0000-0000-0000510A0000}"/>
    <hyperlink ref="E2680" r:id="rId2643" xr:uid="{00000000-0004-0000-0000-0000520A0000}"/>
    <hyperlink ref="E2681" r:id="rId2644" xr:uid="{00000000-0004-0000-0000-0000530A0000}"/>
    <hyperlink ref="E2682" r:id="rId2645" xr:uid="{00000000-0004-0000-0000-0000540A0000}"/>
    <hyperlink ref="E2683" r:id="rId2646" xr:uid="{00000000-0004-0000-0000-0000550A0000}"/>
    <hyperlink ref="E2684" r:id="rId2647" xr:uid="{00000000-0004-0000-0000-0000560A0000}"/>
    <hyperlink ref="E2685" r:id="rId2648" xr:uid="{00000000-0004-0000-0000-0000570A0000}"/>
    <hyperlink ref="E2686" r:id="rId2649" xr:uid="{00000000-0004-0000-0000-0000580A0000}"/>
    <hyperlink ref="E2687" r:id="rId2650" xr:uid="{00000000-0004-0000-0000-0000590A0000}"/>
    <hyperlink ref="E2688" r:id="rId2651" xr:uid="{00000000-0004-0000-0000-00005A0A0000}"/>
    <hyperlink ref="E2689" r:id="rId2652" xr:uid="{00000000-0004-0000-0000-00005B0A0000}"/>
    <hyperlink ref="E2690" r:id="rId2653" xr:uid="{00000000-0004-0000-0000-00005C0A0000}"/>
    <hyperlink ref="E2691" r:id="rId2654" xr:uid="{00000000-0004-0000-0000-00005D0A0000}"/>
    <hyperlink ref="E2692" r:id="rId2655" xr:uid="{00000000-0004-0000-0000-00005E0A0000}"/>
    <hyperlink ref="E2693" r:id="rId2656" xr:uid="{00000000-0004-0000-0000-00005F0A0000}"/>
    <hyperlink ref="E2694" r:id="rId2657" xr:uid="{00000000-0004-0000-0000-0000600A0000}"/>
    <hyperlink ref="E2695" r:id="rId2658" xr:uid="{00000000-0004-0000-0000-0000610A0000}"/>
    <hyperlink ref="E2696" r:id="rId2659" xr:uid="{00000000-0004-0000-0000-0000620A0000}"/>
    <hyperlink ref="E2697" r:id="rId2660" xr:uid="{00000000-0004-0000-0000-0000630A0000}"/>
    <hyperlink ref="E2698" r:id="rId2661" xr:uid="{00000000-0004-0000-0000-0000640A0000}"/>
    <hyperlink ref="E2699" r:id="rId2662" xr:uid="{00000000-0004-0000-0000-0000650A0000}"/>
    <hyperlink ref="E2700" r:id="rId2663" xr:uid="{00000000-0004-0000-0000-0000660A0000}"/>
    <hyperlink ref="E2701" r:id="rId2664" xr:uid="{00000000-0004-0000-0000-0000670A0000}"/>
    <hyperlink ref="E2702" r:id="rId2665" xr:uid="{00000000-0004-0000-0000-0000680A0000}"/>
    <hyperlink ref="E2703" r:id="rId2666" xr:uid="{00000000-0004-0000-0000-0000690A0000}"/>
    <hyperlink ref="E2704" r:id="rId2667" xr:uid="{00000000-0004-0000-0000-00006A0A0000}"/>
    <hyperlink ref="E2705" r:id="rId2668" xr:uid="{00000000-0004-0000-0000-00006B0A0000}"/>
    <hyperlink ref="E2707" r:id="rId2669" xr:uid="{00000000-0004-0000-0000-00006C0A0000}"/>
    <hyperlink ref="E2708" r:id="rId2670" xr:uid="{00000000-0004-0000-0000-00006D0A0000}"/>
    <hyperlink ref="E2709" r:id="rId2671" xr:uid="{00000000-0004-0000-0000-00006E0A0000}"/>
    <hyperlink ref="E2710" r:id="rId2672" xr:uid="{00000000-0004-0000-0000-00006F0A0000}"/>
    <hyperlink ref="E2711" r:id="rId2673" xr:uid="{00000000-0004-0000-0000-0000700A0000}"/>
    <hyperlink ref="E2712" r:id="rId2674" xr:uid="{00000000-0004-0000-0000-0000710A0000}"/>
    <hyperlink ref="E2713" r:id="rId2675" xr:uid="{00000000-0004-0000-0000-0000720A0000}"/>
    <hyperlink ref="E2714" r:id="rId2676" xr:uid="{00000000-0004-0000-0000-0000730A0000}"/>
    <hyperlink ref="E2715" r:id="rId2677" xr:uid="{00000000-0004-0000-0000-0000740A0000}"/>
    <hyperlink ref="E2716" r:id="rId2678" xr:uid="{00000000-0004-0000-0000-0000750A0000}"/>
    <hyperlink ref="E2717" r:id="rId2679" xr:uid="{00000000-0004-0000-0000-0000760A0000}"/>
    <hyperlink ref="E2718" r:id="rId2680" xr:uid="{00000000-0004-0000-0000-0000770A0000}"/>
    <hyperlink ref="E2719" r:id="rId2681" xr:uid="{00000000-0004-0000-0000-0000780A0000}"/>
    <hyperlink ref="E2720" r:id="rId2682" xr:uid="{00000000-0004-0000-0000-0000790A0000}"/>
    <hyperlink ref="E2721" r:id="rId2683" xr:uid="{00000000-0004-0000-0000-00007A0A0000}"/>
    <hyperlink ref="E2722" r:id="rId2684" xr:uid="{00000000-0004-0000-0000-00007B0A0000}"/>
    <hyperlink ref="E2723" r:id="rId2685" xr:uid="{00000000-0004-0000-0000-00007C0A0000}"/>
    <hyperlink ref="E2724" r:id="rId2686" xr:uid="{00000000-0004-0000-0000-00007D0A0000}"/>
    <hyperlink ref="E2725" r:id="rId2687" xr:uid="{00000000-0004-0000-0000-00007E0A0000}"/>
    <hyperlink ref="E2726" r:id="rId2688" xr:uid="{00000000-0004-0000-0000-00007F0A0000}"/>
    <hyperlink ref="E2727" r:id="rId2689" xr:uid="{00000000-0004-0000-0000-0000800A0000}"/>
    <hyperlink ref="E2728" r:id="rId2690" xr:uid="{00000000-0004-0000-0000-0000810A0000}"/>
    <hyperlink ref="E2729" r:id="rId2691" xr:uid="{00000000-0004-0000-0000-0000820A0000}"/>
    <hyperlink ref="E2730" r:id="rId2692" xr:uid="{00000000-0004-0000-0000-0000830A0000}"/>
    <hyperlink ref="E2731" r:id="rId2693" xr:uid="{00000000-0004-0000-0000-0000840A0000}"/>
    <hyperlink ref="E2732" r:id="rId2694" xr:uid="{00000000-0004-0000-0000-0000850A0000}"/>
    <hyperlink ref="E2733" r:id="rId2695" xr:uid="{00000000-0004-0000-0000-0000860A0000}"/>
    <hyperlink ref="E2734" r:id="rId2696" xr:uid="{00000000-0004-0000-0000-0000870A0000}"/>
    <hyperlink ref="E2735" r:id="rId2697" xr:uid="{00000000-0004-0000-0000-0000880A0000}"/>
    <hyperlink ref="E2736" r:id="rId2698" xr:uid="{00000000-0004-0000-0000-0000890A0000}"/>
    <hyperlink ref="E2737" r:id="rId2699" xr:uid="{00000000-0004-0000-0000-00008A0A0000}"/>
    <hyperlink ref="E2738" r:id="rId2700" xr:uid="{00000000-0004-0000-0000-00008B0A0000}"/>
    <hyperlink ref="E2739" r:id="rId2701" xr:uid="{00000000-0004-0000-0000-00008C0A0000}"/>
    <hyperlink ref="E2740" r:id="rId2702" xr:uid="{00000000-0004-0000-0000-00008D0A0000}"/>
    <hyperlink ref="E2741" r:id="rId2703" xr:uid="{00000000-0004-0000-0000-00008E0A0000}"/>
    <hyperlink ref="E2742" r:id="rId2704" xr:uid="{00000000-0004-0000-0000-00008F0A0000}"/>
    <hyperlink ref="E2743" r:id="rId2705" xr:uid="{00000000-0004-0000-0000-0000900A0000}"/>
    <hyperlink ref="E2744" r:id="rId2706" xr:uid="{00000000-0004-0000-0000-0000910A0000}"/>
    <hyperlink ref="E2745" r:id="rId2707" xr:uid="{00000000-0004-0000-0000-0000920A0000}"/>
    <hyperlink ref="E2746" r:id="rId2708" xr:uid="{00000000-0004-0000-0000-0000930A0000}"/>
    <hyperlink ref="E2747" r:id="rId2709" xr:uid="{00000000-0004-0000-0000-0000940A0000}"/>
    <hyperlink ref="E2748" r:id="rId2710" xr:uid="{00000000-0004-0000-0000-0000950A0000}"/>
    <hyperlink ref="E2749" r:id="rId2711" xr:uid="{00000000-0004-0000-0000-0000960A0000}"/>
    <hyperlink ref="E2750" r:id="rId2712" xr:uid="{00000000-0004-0000-0000-0000970A0000}"/>
    <hyperlink ref="E2751" r:id="rId2713" xr:uid="{00000000-0004-0000-0000-0000980A0000}"/>
    <hyperlink ref="E2752" r:id="rId2714" xr:uid="{00000000-0004-0000-0000-0000990A0000}"/>
    <hyperlink ref="E2753" r:id="rId2715" xr:uid="{00000000-0004-0000-0000-00009A0A0000}"/>
    <hyperlink ref="E2754" r:id="rId2716" xr:uid="{00000000-0004-0000-0000-00009B0A0000}"/>
    <hyperlink ref="E2755" r:id="rId2717" xr:uid="{00000000-0004-0000-0000-00009C0A0000}"/>
    <hyperlink ref="E2756" r:id="rId2718" xr:uid="{00000000-0004-0000-0000-00009D0A0000}"/>
    <hyperlink ref="E2757" r:id="rId2719" xr:uid="{00000000-0004-0000-0000-00009E0A0000}"/>
    <hyperlink ref="E2758" r:id="rId2720" xr:uid="{00000000-0004-0000-0000-00009F0A0000}"/>
    <hyperlink ref="E2759" r:id="rId2721" xr:uid="{00000000-0004-0000-0000-0000A00A0000}"/>
    <hyperlink ref="E2760" r:id="rId2722" xr:uid="{00000000-0004-0000-0000-0000A10A0000}"/>
    <hyperlink ref="E2761" r:id="rId2723" xr:uid="{00000000-0004-0000-0000-0000A20A0000}"/>
    <hyperlink ref="E2762" r:id="rId2724" xr:uid="{00000000-0004-0000-0000-0000A30A0000}"/>
    <hyperlink ref="E2763" r:id="rId2725" xr:uid="{00000000-0004-0000-0000-0000A40A0000}"/>
    <hyperlink ref="E2764" r:id="rId2726" xr:uid="{00000000-0004-0000-0000-0000A50A0000}"/>
    <hyperlink ref="E2765" r:id="rId2727" xr:uid="{00000000-0004-0000-0000-0000A60A0000}"/>
    <hyperlink ref="E2766" r:id="rId2728" xr:uid="{00000000-0004-0000-0000-0000A70A0000}"/>
    <hyperlink ref="E2767" r:id="rId2729" xr:uid="{00000000-0004-0000-0000-0000A80A0000}"/>
    <hyperlink ref="E2768" r:id="rId2730" xr:uid="{00000000-0004-0000-0000-0000A90A0000}"/>
    <hyperlink ref="E2769" r:id="rId2731" xr:uid="{00000000-0004-0000-0000-0000AA0A0000}"/>
    <hyperlink ref="E2770" r:id="rId2732" xr:uid="{00000000-0004-0000-0000-0000AB0A0000}"/>
    <hyperlink ref="E2771" r:id="rId2733" xr:uid="{00000000-0004-0000-0000-0000AC0A0000}"/>
    <hyperlink ref="E2772" r:id="rId2734" xr:uid="{00000000-0004-0000-0000-0000AD0A0000}"/>
    <hyperlink ref="E2773" r:id="rId2735" xr:uid="{00000000-0004-0000-0000-0000AE0A0000}"/>
    <hyperlink ref="E2774" r:id="rId2736" xr:uid="{00000000-0004-0000-0000-0000AF0A0000}"/>
    <hyperlink ref="E2775" r:id="rId2737" xr:uid="{00000000-0004-0000-0000-0000B00A0000}"/>
    <hyperlink ref="E2776" r:id="rId2738" xr:uid="{00000000-0004-0000-0000-0000B10A0000}"/>
    <hyperlink ref="E2777" r:id="rId2739" xr:uid="{00000000-0004-0000-0000-0000B20A0000}"/>
    <hyperlink ref="E2778" r:id="rId2740" xr:uid="{00000000-0004-0000-0000-0000B30A0000}"/>
    <hyperlink ref="E2779" r:id="rId2741" xr:uid="{00000000-0004-0000-0000-0000B40A0000}"/>
    <hyperlink ref="E2780" r:id="rId2742" xr:uid="{00000000-0004-0000-0000-0000B50A0000}"/>
    <hyperlink ref="E2781" r:id="rId2743" xr:uid="{00000000-0004-0000-0000-0000B60A0000}"/>
    <hyperlink ref="E2782" r:id="rId2744" xr:uid="{00000000-0004-0000-0000-0000B70A0000}"/>
    <hyperlink ref="E2783" r:id="rId2745" xr:uid="{00000000-0004-0000-0000-0000B80A0000}"/>
    <hyperlink ref="E2784" r:id="rId2746" xr:uid="{00000000-0004-0000-0000-0000B90A0000}"/>
    <hyperlink ref="E2785" r:id="rId2747" xr:uid="{00000000-0004-0000-0000-0000BA0A0000}"/>
    <hyperlink ref="E2786" r:id="rId2748" xr:uid="{00000000-0004-0000-0000-0000BB0A0000}"/>
    <hyperlink ref="E2787" r:id="rId2749" xr:uid="{00000000-0004-0000-0000-0000BC0A0000}"/>
    <hyperlink ref="E2788" r:id="rId2750" xr:uid="{00000000-0004-0000-0000-0000BD0A0000}"/>
    <hyperlink ref="E2789" r:id="rId2751" xr:uid="{00000000-0004-0000-0000-0000BE0A0000}"/>
    <hyperlink ref="E2790" r:id="rId2752" xr:uid="{00000000-0004-0000-0000-0000BF0A0000}"/>
    <hyperlink ref="E2791" r:id="rId2753" xr:uid="{00000000-0004-0000-0000-0000C00A0000}"/>
    <hyperlink ref="E2792" r:id="rId2754" xr:uid="{00000000-0004-0000-0000-0000C10A0000}"/>
    <hyperlink ref="E2793" r:id="rId2755" xr:uid="{00000000-0004-0000-0000-0000C20A0000}"/>
    <hyperlink ref="E2794" r:id="rId2756" xr:uid="{00000000-0004-0000-0000-0000C30A0000}"/>
    <hyperlink ref="E2795" r:id="rId2757" xr:uid="{00000000-0004-0000-0000-0000C40A0000}"/>
    <hyperlink ref="E2796" r:id="rId2758" xr:uid="{00000000-0004-0000-0000-0000C50A0000}"/>
    <hyperlink ref="E2797" r:id="rId2759" xr:uid="{00000000-0004-0000-0000-0000C60A0000}"/>
    <hyperlink ref="E2798" r:id="rId2760" xr:uid="{00000000-0004-0000-0000-0000C70A0000}"/>
    <hyperlink ref="E2799" r:id="rId2761" xr:uid="{00000000-0004-0000-0000-0000C80A0000}"/>
    <hyperlink ref="E2800" r:id="rId2762" xr:uid="{00000000-0004-0000-0000-0000C90A0000}"/>
    <hyperlink ref="E2801" r:id="rId2763" xr:uid="{00000000-0004-0000-0000-0000CA0A0000}"/>
    <hyperlink ref="E2802" r:id="rId2764" xr:uid="{00000000-0004-0000-0000-0000CB0A0000}"/>
    <hyperlink ref="E2803" r:id="rId2765" xr:uid="{00000000-0004-0000-0000-0000CC0A0000}"/>
    <hyperlink ref="E2804" r:id="rId2766" xr:uid="{00000000-0004-0000-0000-0000CD0A0000}"/>
    <hyperlink ref="E2805" r:id="rId2767" xr:uid="{00000000-0004-0000-0000-0000CE0A0000}"/>
    <hyperlink ref="E2806" r:id="rId2768" xr:uid="{00000000-0004-0000-0000-0000CF0A0000}"/>
    <hyperlink ref="E2807" r:id="rId2769" xr:uid="{00000000-0004-0000-0000-0000D00A0000}"/>
    <hyperlink ref="E2808" r:id="rId2770" xr:uid="{00000000-0004-0000-0000-0000D10A0000}"/>
    <hyperlink ref="E2809" r:id="rId2771" xr:uid="{00000000-0004-0000-0000-0000D20A0000}"/>
    <hyperlink ref="E2810" r:id="rId2772" xr:uid="{00000000-0004-0000-0000-0000D30A0000}"/>
    <hyperlink ref="E2811" r:id="rId2773" xr:uid="{00000000-0004-0000-0000-0000D40A0000}"/>
    <hyperlink ref="E2812" r:id="rId2774" xr:uid="{00000000-0004-0000-0000-0000D50A0000}"/>
    <hyperlink ref="E2813" r:id="rId2775" xr:uid="{00000000-0004-0000-0000-0000D60A0000}"/>
    <hyperlink ref="E2814" r:id="rId2776" xr:uid="{00000000-0004-0000-0000-0000D70A0000}"/>
    <hyperlink ref="E2815" r:id="rId2777" xr:uid="{00000000-0004-0000-0000-0000D80A0000}"/>
    <hyperlink ref="E2816" r:id="rId2778" xr:uid="{00000000-0004-0000-0000-0000D90A0000}"/>
    <hyperlink ref="E2817" r:id="rId2779" xr:uid="{00000000-0004-0000-0000-0000DA0A0000}"/>
    <hyperlink ref="E2818" r:id="rId2780" xr:uid="{00000000-0004-0000-0000-0000DB0A0000}"/>
    <hyperlink ref="E2819" r:id="rId2781" xr:uid="{00000000-0004-0000-0000-0000DC0A0000}"/>
    <hyperlink ref="E2820" r:id="rId2782" xr:uid="{00000000-0004-0000-0000-0000DD0A0000}"/>
    <hyperlink ref="E2821" r:id="rId2783" xr:uid="{00000000-0004-0000-0000-0000DE0A0000}"/>
    <hyperlink ref="E2822" r:id="rId2784" xr:uid="{00000000-0004-0000-0000-0000DF0A0000}"/>
    <hyperlink ref="E2823" r:id="rId2785" xr:uid="{00000000-0004-0000-0000-0000E00A0000}"/>
    <hyperlink ref="E2824" r:id="rId2786" xr:uid="{00000000-0004-0000-0000-0000E10A0000}"/>
    <hyperlink ref="E2825" r:id="rId2787" xr:uid="{00000000-0004-0000-0000-0000E20A0000}"/>
    <hyperlink ref="E2826" r:id="rId2788" xr:uid="{00000000-0004-0000-0000-0000E30A0000}"/>
    <hyperlink ref="E2827" r:id="rId2789" xr:uid="{00000000-0004-0000-0000-0000E40A0000}"/>
    <hyperlink ref="E2828" r:id="rId2790" xr:uid="{00000000-0004-0000-0000-0000E50A0000}"/>
    <hyperlink ref="E2829" r:id="rId2791" xr:uid="{00000000-0004-0000-0000-0000E60A0000}"/>
    <hyperlink ref="E2830" r:id="rId2792" xr:uid="{00000000-0004-0000-0000-0000E70A0000}"/>
    <hyperlink ref="E2831" r:id="rId2793" xr:uid="{00000000-0004-0000-0000-0000E80A0000}"/>
    <hyperlink ref="E2832" r:id="rId2794" xr:uid="{00000000-0004-0000-0000-0000E90A0000}"/>
    <hyperlink ref="E2833" r:id="rId2795" xr:uid="{00000000-0004-0000-0000-0000EA0A0000}"/>
    <hyperlink ref="E2834" r:id="rId2796" xr:uid="{00000000-0004-0000-0000-0000EB0A0000}"/>
    <hyperlink ref="E2835" r:id="rId2797" xr:uid="{00000000-0004-0000-0000-0000EC0A0000}"/>
    <hyperlink ref="E2836" r:id="rId2798" xr:uid="{00000000-0004-0000-0000-0000ED0A0000}"/>
    <hyperlink ref="E2837" r:id="rId2799" xr:uid="{00000000-0004-0000-0000-0000EE0A0000}"/>
    <hyperlink ref="E2841" r:id="rId2800" xr:uid="{00000000-0004-0000-0000-0000EF0A0000}"/>
    <hyperlink ref="E2842" r:id="rId2801" xr:uid="{00000000-0004-0000-0000-0000F00A0000}"/>
    <hyperlink ref="E2843" r:id="rId2802" xr:uid="{00000000-0004-0000-0000-0000F10A0000}"/>
    <hyperlink ref="E2844" r:id="rId2803" xr:uid="{00000000-0004-0000-0000-0000F20A0000}"/>
    <hyperlink ref="E2845" r:id="rId2804" xr:uid="{00000000-0004-0000-0000-0000F30A0000}"/>
    <hyperlink ref="E2846" r:id="rId2805" xr:uid="{00000000-0004-0000-0000-0000F40A0000}"/>
    <hyperlink ref="E2847" r:id="rId2806" xr:uid="{00000000-0004-0000-0000-0000F50A0000}"/>
    <hyperlink ref="E2848" r:id="rId2807" xr:uid="{00000000-0004-0000-0000-0000F60A0000}"/>
    <hyperlink ref="E2849" r:id="rId2808" xr:uid="{00000000-0004-0000-0000-0000F70A0000}"/>
    <hyperlink ref="E2850" r:id="rId2809" xr:uid="{00000000-0004-0000-0000-0000F80A0000}"/>
    <hyperlink ref="E2851" r:id="rId2810" xr:uid="{00000000-0004-0000-0000-0000F90A0000}"/>
    <hyperlink ref="E2852" r:id="rId2811" xr:uid="{00000000-0004-0000-0000-0000FA0A0000}"/>
    <hyperlink ref="E2853" r:id="rId2812" xr:uid="{00000000-0004-0000-0000-0000FB0A0000}"/>
    <hyperlink ref="E2854" r:id="rId2813" xr:uid="{00000000-0004-0000-0000-0000FC0A0000}"/>
    <hyperlink ref="E2855" r:id="rId2814" xr:uid="{00000000-0004-0000-0000-0000FD0A0000}"/>
    <hyperlink ref="E2856" r:id="rId2815" xr:uid="{00000000-0004-0000-0000-0000FE0A0000}"/>
    <hyperlink ref="E2857" r:id="rId2816" xr:uid="{00000000-0004-0000-0000-0000FF0A0000}"/>
    <hyperlink ref="E2858" r:id="rId2817" xr:uid="{00000000-0004-0000-0000-0000000B0000}"/>
    <hyperlink ref="E2859" r:id="rId2818" xr:uid="{00000000-0004-0000-0000-0000010B0000}"/>
    <hyperlink ref="E2860" r:id="rId2819" xr:uid="{00000000-0004-0000-0000-0000020B0000}"/>
    <hyperlink ref="E2861" r:id="rId2820" xr:uid="{00000000-0004-0000-0000-0000030B0000}"/>
    <hyperlink ref="E2862" r:id="rId2821" xr:uid="{00000000-0004-0000-0000-0000040B0000}"/>
    <hyperlink ref="E2863" r:id="rId2822" xr:uid="{00000000-0004-0000-0000-0000050B0000}"/>
    <hyperlink ref="E2864" r:id="rId2823" xr:uid="{00000000-0004-0000-0000-0000060B0000}"/>
    <hyperlink ref="E2865" r:id="rId2824" xr:uid="{00000000-0004-0000-0000-0000070B0000}"/>
    <hyperlink ref="E2866" r:id="rId2825" xr:uid="{00000000-0004-0000-0000-0000080B0000}"/>
    <hyperlink ref="E2867" r:id="rId2826" xr:uid="{00000000-0004-0000-0000-0000090B0000}"/>
    <hyperlink ref="E2868" r:id="rId2827" xr:uid="{00000000-0004-0000-0000-00000A0B0000}"/>
    <hyperlink ref="E2869" r:id="rId2828" xr:uid="{00000000-0004-0000-0000-00000B0B0000}"/>
    <hyperlink ref="E2870" r:id="rId2829" xr:uid="{00000000-0004-0000-0000-00000C0B0000}"/>
    <hyperlink ref="E2871" r:id="rId2830" xr:uid="{00000000-0004-0000-0000-00000D0B0000}"/>
    <hyperlink ref="E2872" r:id="rId2831" xr:uid="{00000000-0004-0000-0000-00000E0B0000}"/>
    <hyperlink ref="E2873" r:id="rId2832" xr:uid="{00000000-0004-0000-0000-00000F0B0000}"/>
    <hyperlink ref="E2874" r:id="rId2833" xr:uid="{00000000-0004-0000-0000-0000100B0000}"/>
    <hyperlink ref="E2875" r:id="rId2834" xr:uid="{00000000-0004-0000-0000-0000110B0000}"/>
    <hyperlink ref="E2876" r:id="rId2835" xr:uid="{00000000-0004-0000-0000-0000120B0000}"/>
    <hyperlink ref="E2877" r:id="rId2836" xr:uid="{00000000-0004-0000-0000-0000130B0000}"/>
    <hyperlink ref="E2878" r:id="rId2837" xr:uid="{00000000-0004-0000-0000-0000140B0000}"/>
    <hyperlink ref="E2879" r:id="rId2838" xr:uid="{00000000-0004-0000-0000-0000150B0000}"/>
    <hyperlink ref="E2880" r:id="rId2839" xr:uid="{00000000-0004-0000-0000-0000160B0000}"/>
    <hyperlink ref="E2881" r:id="rId2840" xr:uid="{00000000-0004-0000-0000-0000170B0000}"/>
    <hyperlink ref="E2882" r:id="rId2841" xr:uid="{00000000-0004-0000-0000-0000180B0000}"/>
    <hyperlink ref="E2883" r:id="rId2842" xr:uid="{00000000-0004-0000-0000-0000190B0000}"/>
    <hyperlink ref="E2884" r:id="rId2843" xr:uid="{00000000-0004-0000-0000-00001A0B0000}"/>
    <hyperlink ref="E2885" r:id="rId2844" xr:uid="{00000000-0004-0000-0000-00001B0B0000}"/>
    <hyperlink ref="E2886" r:id="rId2845" xr:uid="{00000000-0004-0000-0000-00001C0B0000}"/>
    <hyperlink ref="E2887" r:id="rId2846" xr:uid="{00000000-0004-0000-0000-00001D0B0000}"/>
    <hyperlink ref="E2888" r:id="rId2847" xr:uid="{00000000-0004-0000-0000-00001E0B0000}"/>
    <hyperlink ref="E2889" r:id="rId2848" xr:uid="{00000000-0004-0000-0000-00001F0B0000}"/>
    <hyperlink ref="E2890" r:id="rId2849" xr:uid="{00000000-0004-0000-0000-0000200B0000}"/>
    <hyperlink ref="E2891" r:id="rId2850" xr:uid="{00000000-0004-0000-0000-0000210B0000}"/>
    <hyperlink ref="E2892" r:id="rId2851" xr:uid="{00000000-0004-0000-0000-0000220B0000}"/>
    <hyperlink ref="E2893" r:id="rId2852" xr:uid="{00000000-0004-0000-0000-0000230B0000}"/>
    <hyperlink ref="E2894" r:id="rId2853" xr:uid="{00000000-0004-0000-0000-0000240B0000}"/>
    <hyperlink ref="E2895" r:id="rId2854" xr:uid="{00000000-0004-0000-0000-0000250B0000}"/>
    <hyperlink ref="E2896" r:id="rId2855" xr:uid="{00000000-0004-0000-0000-0000260B0000}"/>
    <hyperlink ref="E2897" r:id="rId2856" xr:uid="{00000000-0004-0000-0000-0000270B0000}"/>
    <hyperlink ref="E2898" r:id="rId2857" xr:uid="{00000000-0004-0000-0000-0000280B0000}"/>
    <hyperlink ref="E2899" r:id="rId2858" xr:uid="{00000000-0004-0000-0000-0000290B0000}"/>
    <hyperlink ref="E2900" r:id="rId2859" xr:uid="{00000000-0004-0000-0000-00002A0B0000}"/>
    <hyperlink ref="E2901" r:id="rId2860" xr:uid="{00000000-0004-0000-0000-00002B0B0000}"/>
    <hyperlink ref="E2902" r:id="rId2861" xr:uid="{00000000-0004-0000-0000-00002C0B0000}"/>
    <hyperlink ref="E2903" r:id="rId2862" xr:uid="{00000000-0004-0000-0000-00002D0B0000}"/>
    <hyperlink ref="E2904" r:id="rId2863" xr:uid="{00000000-0004-0000-0000-00002E0B0000}"/>
    <hyperlink ref="E2905" r:id="rId2864" xr:uid="{00000000-0004-0000-0000-00002F0B0000}"/>
    <hyperlink ref="E2906" r:id="rId2865" xr:uid="{00000000-0004-0000-0000-0000300B0000}"/>
    <hyperlink ref="E2907" r:id="rId2866" xr:uid="{00000000-0004-0000-0000-0000310B0000}"/>
    <hyperlink ref="E2908" r:id="rId2867" xr:uid="{00000000-0004-0000-0000-0000320B0000}"/>
    <hyperlink ref="E2909" r:id="rId2868" xr:uid="{00000000-0004-0000-0000-0000330B0000}"/>
    <hyperlink ref="E2910" r:id="rId2869" xr:uid="{00000000-0004-0000-0000-0000340B0000}"/>
    <hyperlink ref="E2911" r:id="rId2870" xr:uid="{00000000-0004-0000-0000-0000350B0000}"/>
    <hyperlink ref="E2912" r:id="rId2871" xr:uid="{00000000-0004-0000-0000-0000360B0000}"/>
    <hyperlink ref="E2913" r:id="rId2872" xr:uid="{00000000-0004-0000-0000-0000370B0000}"/>
    <hyperlink ref="E2914" r:id="rId2873" xr:uid="{00000000-0004-0000-0000-0000380B0000}"/>
    <hyperlink ref="E2915" r:id="rId2874" xr:uid="{00000000-0004-0000-0000-0000390B0000}"/>
    <hyperlink ref="E2916" r:id="rId2875" xr:uid="{00000000-0004-0000-0000-00003A0B0000}"/>
    <hyperlink ref="E2917" r:id="rId2876" xr:uid="{00000000-0004-0000-0000-00003B0B0000}"/>
    <hyperlink ref="E2918" r:id="rId2877" xr:uid="{00000000-0004-0000-0000-00003C0B0000}"/>
    <hyperlink ref="E2919" r:id="rId2878" xr:uid="{00000000-0004-0000-0000-00003D0B0000}"/>
    <hyperlink ref="E2920" r:id="rId2879" xr:uid="{00000000-0004-0000-0000-00003E0B0000}"/>
    <hyperlink ref="E2921" r:id="rId2880" xr:uid="{00000000-0004-0000-0000-00003F0B0000}"/>
    <hyperlink ref="E2922" r:id="rId2881" xr:uid="{00000000-0004-0000-0000-0000400B0000}"/>
    <hyperlink ref="E2923" r:id="rId2882" xr:uid="{00000000-0004-0000-0000-0000410B0000}"/>
    <hyperlink ref="E2924" r:id="rId2883" xr:uid="{00000000-0004-0000-0000-0000420B0000}"/>
    <hyperlink ref="E2925" r:id="rId2884" xr:uid="{00000000-0004-0000-0000-0000430B0000}"/>
    <hyperlink ref="E2926" r:id="rId2885" xr:uid="{00000000-0004-0000-0000-0000440B0000}"/>
    <hyperlink ref="E2927" r:id="rId2886" xr:uid="{00000000-0004-0000-0000-0000450B0000}"/>
    <hyperlink ref="E2928" r:id="rId2887" xr:uid="{00000000-0004-0000-0000-0000460B0000}"/>
    <hyperlink ref="E2929" r:id="rId2888" xr:uid="{00000000-0004-0000-0000-0000470B0000}"/>
    <hyperlink ref="E2930" r:id="rId2889" xr:uid="{00000000-0004-0000-0000-0000480B0000}"/>
    <hyperlink ref="E2931" r:id="rId2890" xr:uid="{00000000-0004-0000-0000-0000490B0000}"/>
    <hyperlink ref="E2933" r:id="rId2891" xr:uid="{00000000-0004-0000-0000-00004A0B0000}"/>
    <hyperlink ref="E2934" r:id="rId2892" xr:uid="{00000000-0004-0000-0000-00004B0B0000}"/>
    <hyperlink ref="E2935" r:id="rId2893" xr:uid="{00000000-0004-0000-0000-00004C0B0000}"/>
    <hyperlink ref="E2936" r:id="rId2894" xr:uid="{00000000-0004-0000-0000-00004D0B0000}"/>
    <hyperlink ref="E2937" r:id="rId2895" xr:uid="{00000000-0004-0000-0000-00004E0B0000}"/>
    <hyperlink ref="E2938" r:id="rId2896" xr:uid="{00000000-0004-0000-0000-00004F0B0000}"/>
    <hyperlink ref="E2939" r:id="rId2897" xr:uid="{00000000-0004-0000-0000-0000500B0000}"/>
    <hyperlink ref="E2940" r:id="rId2898" xr:uid="{00000000-0004-0000-0000-0000510B0000}"/>
    <hyperlink ref="E2941" r:id="rId2899" xr:uid="{00000000-0004-0000-0000-0000520B0000}"/>
    <hyperlink ref="E2942" r:id="rId2900" xr:uid="{00000000-0004-0000-0000-0000530B0000}"/>
    <hyperlink ref="E2943" r:id="rId2901" xr:uid="{00000000-0004-0000-0000-0000540B0000}"/>
    <hyperlink ref="E2945" r:id="rId2902" xr:uid="{00000000-0004-0000-0000-0000550B0000}"/>
    <hyperlink ref="E2946" r:id="rId2903" xr:uid="{00000000-0004-0000-0000-0000560B0000}"/>
    <hyperlink ref="E2947" r:id="rId2904" xr:uid="{00000000-0004-0000-0000-0000570B0000}"/>
    <hyperlink ref="E2948" r:id="rId2905" xr:uid="{00000000-0004-0000-0000-0000580B0000}"/>
    <hyperlink ref="E2949" r:id="rId2906" xr:uid="{00000000-0004-0000-0000-0000590B0000}"/>
    <hyperlink ref="E2950" r:id="rId2907" xr:uid="{00000000-0004-0000-0000-00005A0B0000}"/>
    <hyperlink ref="E2951" r:id="rId2908" xr:uid="{00000000-0004-0000-0000-00005B0B0000}"/>
    <hyperlink ref="E2952" r:id="rId2909" xr:uid="{00000000-0004-0000-0000-00005C0B0000}"/>
    <hyperlink ref="E2953" r:id="rId2910" xr:uid="{00000000-0004-0000-0000-00005D0B0000}"/>
    <hyperlink ref="E2954" r:id="rId2911" xr:uid="{00000000-0004-0000-0000-00005E0B0000}"/>
    <hyperlink ref="E2955" r:id="rId2912" xr:uid="{00000000-0004-0000-0000-00005F0B0000}"/>
    <hyperlink ref="E2956" r:id="rId2913" xr:uid="{00000000-0004-0000-0000-0000600B0000}"/>
    <hyperlink ref="E2957" r:id="rId2914" xr:uid="{00000000-0004-0000-0000-0000610B0000}"/>
    <hyperlink ref="E2958" r:id="rId2915" xr:uid="{00000000-0004-0000-0000-0000620B0000}"/>
    <hyperlink ref="E2959" r:id="rId2916" xr:uid="{00000000-0004-0000-0000-0000630B0000}"/>
    <hyperlink ref="E2960" r:id="rId2917" xr:uid="{00000000-0004-0000-0000-0000640B0000}"/>
    <hyperlink ref="E2961" r:id="rId2918" xr:uid="{00000000-0004-0000-0000-0000650B0000}"/>
    <hyperlink ref="E2962" r:id="rId2919" xr:uid="{00000000-0004-0000-0000-0000660B0000}"/>
    <hyperlink ref="E2963" r:id="rId2920" xr:uid="{00000000-0004-0000-0000-0000670B0000}"/>
    <hyperlink ref="E2964" r:id="rId2921" xr:uid="{00000000-0004-0000-0000-0000680B0000}"/>
    <hyperlink ref="E2967" r:id="rId2922" xr:uid="{00000000-0004-0000-0000-0000690B0000}"/>
    <hyperlink ref="E2968" r:id="rId2923" xr:uid="{00000000-0004-0000-0000-00006A0B0000}"/>
    <hyperlink ref="E2969" r:id="rId2924" xr:uid="{00000000-0004-0000-0000-00006B0B0000}"/>
    <hyperlink ref="E2970" r:id="rId2925" xr:uid="{00000000-0004-0000-0000-00006C0B0000}"/>
    <hyperlink ref="E2971" r:id="rId2926" xr:uid="{00000000-0004-0000-0000-00006D0B0000}"/>
    <hyperlink ref="E2972" r:id="rId2927" xr:uid="{00000000-0004-0000-0000-00006E0B0000}"/>
    <hyperlink ref="E2973" r:id="rId2928" xr:uid="{00000000-0004-0000-0000-00006F0B0000}"/>
    <hyperlink ref="E2974" r:id="rId2929" xr:uid="{00000000-0004-0000-0000-0000700B0000}"/>
    <hyperlink ref="E2975" r:id="rId2930" xr:uid="{00000000-0004-0000-0000-0000710B0000}"/>
    <hyperlink ref="E2976" r:id="rId2931" xr:uid="{00000000-0004-0000-0000-0000720B0000}"/>
    <hyperlink ref="E2977" r:id="rId2932" xr:uid="{00000000-0004-0000-0000-0000730B0000}"/>
    <hyperlink ref="E2978" r:id="rId2933" xr:uid="{00000000-0004-0000-0000-0000740B0000}"/>
    <hyperlink ref="E2979" r:id="rId2934" xr:uid="{00000000-0004-0000-0000-0000750B0000}"/>
    <hyperlink ref="E2980" r:id="rId2935" xr:uid="{00000000-0004-0000-0000-0000760B0000}"/>
    <hyperlink ref="E2981" r:id="rId2936" xr:uid="{00000000-0004-0000-0000-0000770B0000}"/>
    <hyperlink ref="E2982" r:id="rId2937" xr:uid="{00000000-0004-0000-0000-0000780B0000}"/>
    <hyperlink ref="E2983" r:id="rId2938" xr:uid="{00000000-0004-0000-0000-0000790B0000}"/>
    <hyperlink ref="E2984" r:id="rId2939" xr:uid="{00000000-0004-0000-0000-00007A0B0000}"/>
    <hyperlink ref="E2985" r:id="rId2940" xr:uid="{00000000-0004-0000-0000-00007B0B0000}"/>
    <hyperlink ref="E2986" r:id="rId2941" xr:uid="{00000000-0004-0000-0000-00007C0B0000}"/>
    <hyperlink ref="E2987" r:id="rId2942" xr:uid="{00000000-0004-0000-0000-00007D0B0000}"/>
    <hyperlink ref="E2988" r:id="rId2943" xr:uid="{00000000-0004-0000-0000-00007E0B0000}"/>
    <hyperlink ref="E2989" r:id="rId2944" xr:uid="{00000000-0004-0000-0000-00007F0B0000}"/>
    <hyperlink ref="E2990" r:id="rId2945" xr:uid="{00000000-0004-0000-0000-0000800B0000}"/>
    <hyperlink ref="E2991" r:id="rId2946" xr:uid="{00000000-0004-0000-0000-0000810B0000}"/>
    <hyperlink ref="E2992" r:id="rId2947" xr:uid="{00000000-0004-0000-0000-0000820B0000}"/>
    <hyperlink ref="E2993" r:id="rId2948" xr:uid="{00000000-0004-0000-0000-0000830B0000}"/>
    <hyperlink ref="E2994" r:id="rId2949" xr:uid="{00000000-0004-0000-0000-0000840B0000}"/>
    <hyperlink ref="E2995" r:id="rId2950" xr:uid="{00000000-0004-0000-0000-0000850B0000}"/>
    <hyperlink ref="E2996" r:id="rId2951" xr:uid="{00000000-0004-0000-0000-0000860B0000}"/>
    <hyperlink ref="E2997" r:id="rId2952" xr:uid="{00000000-0004-0000-0000-0000870B0000}"/>
    <hyperlink ref="E2998" r:id="rId2953" xr:uid="{00000000-0004-0000-0000-0000880B0000}"/>
    <hyperlink ref="E2999" r:id="rId2954" xr:uid="{00000000-0004-0000-0000-0000890B0000}"/>
    <hyperlink ref="E3000" r:id="rId2955" xr:uid="{00000000-0004-0000-0000-00008A0B0000}"/>
    <hyperlink ref="E3001" r:id="rId2956" xr:uid="{00000000-0004-0000-0000-00008B0B0000}"/>
    <hyperlink ref="E3002" r:id="rId2957" xr:uid="{00000000-0004-0000-0000-00008C0B0000}"/>
    <hyperlink ref="E3003" r:id="rId2958" xr:uid="{00000000-0004-0000-0000-00008D0B0000}"/>
    <hyperlink ref="E3004" r:id="rId2959" xr:uid="{00000000-0004-0000-0000-00008E0B0000}"/>
    <hyperlink ref="E3005" r:id="rId2960" xr:uid="{00000000-0004-0000-0000-00008F0B0000}"/>
    <hyperlink ref="E3006" r:id="rId2961" xr:uid="{00000000-0004-0000-0000-0000900B0000}"/>
    <hyperlink ref="E3007" r:id="rId2962" xr:uid="{00000000-0004-0000-0000-0000910B0000}"/>
    <hyperlink ref="E3008" r:id="rId2963" xr:uid="{00000000-0004-0000-0000-0000920B0000}"/>
    <hyperlink ref="E3009" r:id="rId2964" xr:uid="{00000000-0004-0000-0000-0000930B0000}"/>
    <hyperlink ref="E3010" r:id="rId2965" xr:uid="{00000000-0004-0000-0000-0000940B0000}"/>
    <hyperlink ref="E3012" r:id="rId2966" xr:uid="{00000000-0004-0000-0000-0000950B0000}"/>
    <hyperlink ref="E3013" r:id="rId2967" xr:uid="{00000000-0004-0000-0000-0000960B0000}"/>
    <hyperlink ref="E3014" r:id="rId2968" xr:uid="{00000000-0004-0000-0000-0000970B0000}"/>
    <hyperlink ref="E3015" r:id="rId2969" xr:uid="{00000000-0004-0000-0000-0000980B0000}"/>
    <hyperlink ref="E3016" r:id="rId2970" xr:uid="{00000000-0004-0000-0000-0000990B0000}"/>
    <hyperlink ref="E3017" r:id="rId2971" xr:uid="{00000000-0004-0000-0000-00009A0B0000}"/>
    <hyperlink ref="E3018" r:id="rId2972" xr:uid="{00000000-0004-0000-0000-00009B0B0000}"/>
    <hyperlink ref="E3019" r:id="rId2973" xr:uid="{00000000-0004-0000-0000-00009C0B0000}"/>
    <hyperlink ref="E3020" r:id="rId2974" xr:uid="{00000000-0004-0000-0000-00009D0B0000}"/>
    <hyperlink ref="E3021" r:id="rId2975" xr:uid="{00000000-0004-0000-0000-00009E0B0000}"/>
    <hyperlink ref="E3022" r:id="rId2976" xr:uid="{00000000-0004-0000-0000-00009F0B0000}"/>
    <hyperlink ref="E3023" r:id="rId2977" xr:uid="{00000000-0004-0000-0000-0000A00B0000}"/>
    <hyperlink ref="E3024" r:id="rId2978" xr:uid="{00000000-0004-0000-0000-0000A10B0000}"/>
    <hyperlink ref="E3025" r:id="rId2979" xr:uid="{00000000-0004-0000-0000-0000A20B0000}"/>
    <hyperlink ref="E3026" r:id="rId2980" xr:uid="{00000000-0004-0000-0000-0000A30B0000}"/>
    <hyperlink ref="E3027" r:id="rId2981" xr:uid="{00000000-0004-0000-0000-0000A40B0000}"/>
    <hyperlink ref="E3028" r:id="rId2982" xr:uid="{00000000-0004-0000-0000-0000A50B0000}"/>
    <hyperlink ref="E3029" r:id="rId2983" xr:uid="{00000000-0004-0000-0000-0000A60B0000}"/>
    <hyperlink ref="E3030" r:id="rId2984" xr:uid="{00000000-0004-0000-0000-0000A70B0000}"/>
    <hyperlink ref="E3031" r:id="rId2985" xr:uid="{00000000-0004-0000-0000-0000A80B0000}"/>
    <hyperlink ref="E3032" r:id="rId2986" xr:uid="{00000000-0004-0000-0000-0000A90B0000}"/>
    <hyperlink ref="E3033" r:id="rId2987" xr:uid="{00000000-0004-0000-0000-0000AA0B0000}"/>
    <hyperlink ref="E3034" r:id="rId2988" xr:uid="{00000000-0004-0000-0000-0000AB0B0000}"/>
    <hyperlink ref="E3035" r:id="rId2989" xr:uid="{00000000-0004-0000-0000-0000AC0B0000}"/>
    <hyperlink ref="E3036" r:id="rId2990" xr:uid="{00000000-0004-0000-0000-0000AD0B0000}"/>
    <hyperlink ref="E3037" r:id="rId2991" xr:uid="{00000000-0004-0000-0000-0000AE0B0000}"/>
    <hyperlink ref="E3038" r:id="rId2992" xr:uid="{00000000-0004-0000-0000-0000AF0B0000}"/>
    <hyperlink ref="E3039" r:id="rId2993" xr:uid="{00000000-0004-0000-0000-0000B00B0000}"/>
    <hyperlink ref="E3040" r:id="rId2994" xr:uid="{00000000-0004-0000-0000-0000B10B0000}"/>
    <hyperlink ref="E3041" r:id="rId2995" xr:uid="{00000000-0004-0000-0000-0000B20B0000}"/>
    <hyperlink ref="E3042" r:id="rId2996" xr:uid="{00000000-0004-0000-0000-0000B30B0000}"/>
    <hyperlink ref="E3043" r:id="rId2997" xr:uid="{00000000-0004-0000-0000-0000B40B0000}"/>
    <hyperlink ref="E3044" r:id="rId2998" xr:uid="{00000000-0004-0000-0000-0000B50B0000}"/>
    <hyperlink ref="E3045" r:id="rId2999" xr:uid="{00000000-0004-0000-0000-0000B60B0000}"/>
    <hyperlink ref="E3046" r:id="rId3000" xr:uid="{00000000-0004-0000-0000-0000B70B0000}"/>
    <hyperlink ref="E3047" r:id="rId3001" xr:uid="{00000000-0004-0000-0000-0000B80B0000}"/>
    <hyperlink ref="E3048" r:id="rId3002" xr:uid="{00000000-0004-0000-0000-0000B90B0000}"/>
    <hyperlink ref="E3049" r:id="rId3003" xr:uid="{00000000-0004-0000-0000-0000BA0B0000}"/>
    <hyperlink ref="E3050" r:id="rId3004" xr:uid="{00000000-0004-0000-0000-0000BB0B0000}"/>
    <hyperlink ref="E3051" r:id="rId3005" xr:uid="{00000000-0004-0000-0000-0000BC0B0000}"/>
    <hyperlink ref="E3052" r:id="rId3006" xr:uid="{00000000-0004-0000-0000-0000BD0B0000}"/>
    <hyperlink ref="E3053" r:id="rId3007" xr:uid="{00000000-0004-0000-0000-0000BE0B0000}"/>
    <hyperlink ref="E3054" r:id="rId3008" xr:uid="{00000000-0004-0000-0000-0000BF0B0000}"/>
    <hyperlink ref="E3055" r:id="rId3009" xr:uid="{00000000-0004-0000-0000-0000C00B0000}"/>
    <hyperlink ref="E3056" r:id="rId3010" xr:uid="{00000000-0004-0000-0000-0000C10B0000}"/>
    <hyperlink ref="E3057" r:id="rId3011" xr:uid="{00000000-0004-0000-0000-0000C20B0000}"/>
    <hyperlink ref="E3058" r:id="rId3012" xr:uid="{00000000-0004-0000-0000-0000C30B0000}"/>
    <hyperlink ref="E3059" r:id="rId3013" xr:uid="{00000000-0004-0000-0000-0000C40B0000}"/>
    <hyperlink ref="E3060" r:id="rId3014" xr:uid="{00000000-0004-0000-0000-0000C50B0000}"/>
    <hyperlink ref="E3061" r:id="rId3015" xr:uid="{00000000-0004-0000-0000-0000C60B0000}"/>
    <hyperlink ref="E3062" r:id="rId3016" xr:uid="{00000000-0004-0000-0000-0000C70B0000}"/>
    <hyperlink ref="E3063" r:id="rId3017" xr:uid="{00000000-0004-0000-0000-0000C80B0000}"/>
    <hyperlink ref="E3064" r:id="rId3018" xr:uid="{00000000-0004-0000-0000-0000C90B0000}"/>
    <hyperlink ref="E3065" r:id="rId3019" xr:uid="{00000000-0004-0000-0000-0000CA0B0000}"/>
    <hyperlink ref="E3066" r:id="rId3020" xr:uid="{00000000-0004-0000-0000-0000CB0B0000}"/>
    <hyperlink ref="E3067" r:id="rId3021" xr:uid="{00000000-0004-0000-0000-0000CC0B0000}"/>
    <hyperlink ref="E3068" r:id="rId3022" xr:uid="{00000000-0004-0000-0000-0000CD0B0000}"/>
    <hyperlink ref="E3069" r:id="rId3023" xr:uid="{00000000-0004-0000-0000-0000CE0B0000}"/>
    <hyperlink ref="E3070" r:id="rId3024" xr:uid="{00000000-0004-0000-0000-0000CF0B0000}"/>
    <hyperlink ref="E3071" r:id="rId3025" xr:uid="{00000000-0004-0000-0000-0000D00B0000}"/>
    <hyperlink ref="E3072" r:id="rId3026" xr:uid="{00000000-0004-0000-0000-0000D10B0000}"/>
    <hyperlink ref="E3073" r:id="rId3027" xr:uid="{00000000-0004-0000-0000-0000D20B0000}"/>
    <hyperlink ref="E3074" r:id="rId3028" xr:uid="{00000000-0004-0000-0000-0000D30B0000}"/>
    <hyperlink ref="E3075" r:id="rId3029" xr:uid="{00000000-0004-0000-0000-0000D40B0000}"/>
    <hyperlink ref="E3076" r:id="rId3030" xr:uid="{00000000-0004-0000-0000-0000D50B0000}"/>
    <hyperlink ref="E3077" r:id="rId3031" xr:uid="{00000000-0004-0000-0000-0000D60B0000}"/>
    <hyperlink ref="E3078" r:id="rId3032" xr:uid="{00000000-0004-0000-0000-0000D70B0000}"/>
    <hyperlink ref="E3079" r:id="rId3033" xr:uid="{00000000-0004-0000-0000-0000D80B0000}"/>
    <hyperlink ref="E3080" r:id="rId3034" xr:uid="{00000000-0004-0000-0000-0000D90B0000}"/>
    <hyperlink ref="E3081" r:id="rId3035" xr:uid="{00000000-0004-0000-0000-0000DA0B0000}"/>
    <hyperlink ref="E3082" r:id="rId3036" xr:uid="{00000000-0004-0000-0000-0000DB0B0000}"/>
    <hyperlink ref="E3083" r:id="rId3037" xr:uid="{00000000-0004-0000-0000-0000DC0B0000}"/>
    <hyperlink ref="E3084" r:id="rId3038" xr:uid="{00000000-0004-0000-0000-0000DD0B0000}"/>
    <hyperlink ref="E3085" r:id="rId3039" xr:uid="{00000000-0004-0000-0000-0000DE0B0000}"/>
    <hyperlink ref="E3086" r:id="rId3040" xr:uid="{00000000-0004-0000-0000-0000DF0B0000}"/>
    <hyperlink ref="E3087" r:id="rId3041" xr:uid="{00000000-0004-0000-0000-0000E00B0000}"/>
    <hyperlink ref="E3088" r:id="rId3042" xr:uid="{00000000-0004-0000-0000-0000E10B0000}"/>
    <hyperlink ref="E3089" r:id="rId3043" xr:uid="{00000000-0004-0000-0000-0000E20B0000}"/>
    <hyperlink ref="E3090" r:id="rId3044" xr:uid="{00000000-0004-0000-0000-0000E30B0000}"/>
    <hyperlink ref="E3091" r:id="rId3045" xr:uid="{00000000-0004-0000-0000-0000E40B0000}"/>
    <hyperlink ref="E3092" r:id="rId3046" xr:uid="{00000000-0004-0000-0000-0000E50B0000}"/>
    <hyperlink ref="E3093" r:id="rId3047" xr:uid="{00000000-0004-0000-0000-0000E60B0000}"/>
    <hyperlink ref="E3094" r:id="rId3048" xr:uid="{00000000-0004-0000-0000-0000E70B0000}"/>
    <hyperlink ref="E3095" r:id="rId3049" xr:uid="{00000000-0004-0000-0000-0000E80B0000}"/>
    <hyperlink ref="E3096" r:id="rId3050" xr:uid="{00000000-0004-0000-0000-0000E90B0000}"/>
    <hyperlink ref="E3097" r:id="rId3051" xr:uid="{00000000-0004-0000-0000-0000EA0B0000}"/>
    <hyperlink ref="E3098" r:id="rId3052" xr:uid="{00000000-0004-0000-0000-0000EB0B0000}"/>
    <hyperlink ref="E3099" r:id="rId3053" xr:uid="{00000000-0004-0000-0000-0000EC0B0000}"/>
    <hyperlink ref="E3100" r:id="rId3054" xr:uid="{00000000-0004-0000-0000-0000ED0B0000}"/>
    <hyperlink ref="E3101" r:id="rId3055" xr:uid="{00000000-0004-0000-0000-0000EE0B0000}"/>
    <hyperlink ref="E3102" r:id="rId3056" xr:uid="{00000000-0004-0000-0000-0000EF0B0000}"/>
    <hyperlink ref="E3103" r:id="rId3057" xr:uid="{00000000-0004-0000-0000-0000F00B0000}"/>
    <hyperlink ref="E3104" r:id="rId3058" xr:uid="{00000000-0004-0000-0000-0000F10B0000}"/>
    <hyperlink ref="E3105" r:id="rId3059" xr:uid="{00000000-0004-0000-0000-0000F20B0000}"/>
    <hyperlink ref="E3106" r:id="rId3060" xr:uid="{00000000-0004-0000-0000-0000F30B0000}"/>
    <hyperlink ref="E3107" r:id="rId3061" xr:uid="{00000000-0004-0000-0000-0000F40B0000}"/>
    <hyperlink ref="E3108" r:id="rId3062" xr:uid="{00000000-0004-0000-0000-0000F50B0000}"/>
    <hyperlink ref="E3109" r:id="rId3063" xr:uid="{00000000-0004-0000-0000-0000F60B0000}"/>
    <hyperlink ref="E3110" r:id="rId3064" xr:uid="{00000000-0004-0000-0000-0000F70B0000}"/>
    <hyperlink ref="E3111" r:id="rId3065" xr:uid="{00000000-0004-0000-0000-0000F80B0000}"/>
    <hyperlink ref="E3112" r:id="rId3066" xr:uid="{00000000-0004-0000-0000-0000F90B0000}"/>
    <hyperlink ref="E3113" r:id="rId3067" xr:uid="{00000000-0004-0000-0000-0000FA0B0000}"/>
    <hyperlink ref="E3114" r:id="rId3068" xr:uid="{00000000-0004-0000-0000-0000FB0B0000}"/>
    <hyperlink ref="E3117" r:id="rId3069" xr:uid="{00000000-0004-0000-0000-0000FC0B0000}"/>
    <hyperlink ref="E3118" r:id="rId3070" xr:uid="{00000000-0004-0000-0000-0000FD0B0000}"/>
    <hyperlink ref="E3119" r:id="rId3071" xr:uid="{00000000-0004-0000-0000-0000FE0B0000}"/>
    <hyperlink ref="E3120" r:id="rId3072" xr:uid="{00000000-0004-0000-0000-0000FF0B0000}"/>
    <hyperlink ref="E3121" r:id="rId3073" xr:uid="{00000000-0004-0000-0000-0000000C0000}"/>
    <hyperlink ref="E3122" r:id="rId3074" xr:uid="{00000000-0004-0000-0000-0000010C0000}"/>
    <hyperlink ref="E3123" r:id="rId3075" xr:uid="{00000000-0004-0000-0000-0000020C0000}"/>
    <hyperlink ref="E3124" r:id="rId3076" xr:uid="{00000000-0004-0000-0000-0000030C0000}"/>
    <hyperlink ref="E3125" r:id="rId3077" xr:uid="{00000000-0004-0000-0000-0000040C0000}"/>
    <hyperlink ref="E3126" r:id="rId3078" xr:uid="{00000000-0004-0000-0000-0000050C0000}"/>
    <hyperlink ref="E3127" r:id="rId3079" xr:uid="{00000000-0004-0000-0000-0000060C0000}"/>
    <hyperlink ref="E3128" r:id="rId3080" xr:uid="{00000000-0004-0000-0000-0000070C0000}"/>
    <hyperlink ref="E3129" r:id="rId3081" xr:uid="{00000000-0004-0000-0000-0000080C0000}"/>
    <hyperlink ref="E3130" r:id="rId3082" xr:uid="{00000000-0004-0000-0000-0000090C0000}"/>
    <hyperlink ref="E3131" r:id="rId3083" xr:uid="{00000000-0004-0000-0000-00000A0C0000}"/>
    <hyperlink ref="E3132" r:id="rId3084" xr:uid="{00000000-0004-0000-0000-00000B0C0000}"/>
    <hyperlink ref="E3133" r:id="rId3085" xr:uid="{00000000-0004-0000-0000-00000C0C0000}"/>
    <hyperlink ref="E3134" r:id="rId3086" xr:uid="{00000000-0004-0000-0000-00000D0C0000}"/>
    <hyperlink ref="E3135" r:id="rId3087" xr:uid="{00000000-0004-0000-0000-00000E0C0000}"/>
    <hyperlink ref="E3137" r:id="rId3088" xr:uid="{00000000-0004-0000-0000-00000F0C0000}"/>
    <hyperlink ref="E3138" r:id="rId3089" xr:uid="{00000000-0004-0000-0000-0000100C0000}"/>
    <hyperlink ref="E3139" r:id="rId3090" xr:uid="{00000000-0004-0000-0000-0000110C0000}"/>
    <hyperlink ref="E3140" r:id="rId3091" xr:uid="{00000000-0004-0000-0000-0000120C0000}"/>
    <hyperlink ref="E3141" r:id="rId3092" xr:uid="{00000000-0004-0000-0000-0000130C0000}"/>
    <hyperlink ref="E3142" r:id="rId3093" xr:uid="{00000000-0004-0000-0000-0000140C0000}"/>
    <hyperlink ref="E3143" r:id="rId3094" xr:uid="{00000000-0004-0000-0000-0000150C0000}"/>
    <hyperlink ref="E3144" r:id="rId3095" xr:uid="{00000000-0004-0000-0000-0000160C0000}"/>
    <hyperlink ref="E3145" r:id="rId3096" xr:uid="{00000000-0004-0000-0000-0000170C0000}"/>
    <hyperlink ref="E3146" r:id="rId3097" xr:uid="{00000000-0004-0000-0000-0000180C0000}"/>
    <hyperlink ref="E3147" r:id="rId3098" xr:uid="{00000000-0004-0000-0000-0000190C0000}"/>
    <hyperlink ref="E3148" r:id="rId3099" xr:uid="{00000000-0004-0000-0000-00001A0C0000}"/>
    <hyperlink ref="E3149" r:id="rId3100" xr:uid="{00000000-0004-0000-0000-00001B0C0000}"/>
    <hyperlink ref="E3150" r:id="rId3101" xr:uid="{00000000-0004-0000-0000-00001C0C0000}"/>
    <hyperlink ref="E3151" r:id="rId3102" xr:uid="{00000000-0004-0000-0000-00001D0C0000}"/>
    <hyperlink ref="E3152" r:id="rId3103" xr:uid="{00000000-0004-0000-0000-00001E0C0000}"/>
    <hyperlink ref="E3153" r:id="rId3104" xr:uid="{00000000-0004-0000-0000-00001F0C0000}"/>
    <hyperlink ref="E3154" r:id="rId3105" xr:uid="{00000000-0004-0000-0000-0000200C0000}"/>
    <hyperlink ref="E3155" r:id="rId3106" xr:uid="{00000000-0004-0000-0000-0000210C0000}"/>
    <hyperlink ref="E3157" r:id="rId3107" xr:uid="{00000000-0004-0000-0000-0000220C0000}"/>
    <hyperlink ref="E3158" r:id="rId3108" xr:uid="{00000000-0004-0000-0000-0000230C0000}"/>
    <hyperlink ref="E3159" r:id="rId3109" xr:uid="{00000000-0004-0000-0000-0000240C0000}"/>
    <hyperlink ref="E3160" r:id="rId3110" xr:uid="{00000000-0004-0000-0000-0000250C0000}"/>
    <hyperlink ref="E3161" r:id="rId3111" xr:uid="{00000000-0004-0000-0000-0000260C0000}"/>
    <hyperlink ref="E3162" r:id="rId3112" xr:uid="{00000000-0004-0000-0000-0000270C0000}"/>
    <hyperlink ref="E3163" r:id="rId3113" xr:uid="{00000000-0004-0000-0000-0000280C0000}"/>
    <hyperlink ref="E3164" r:id="rId3114" xr:uid="{00000000-0004-0000-0000-0000290C0000}"/>
    <hyperlink ref="E3165" r:id="rId3115" xr:uid="{00000000-0004-0000-0000-00002A0C0000}"/>
    <hyperlink ref="E3166" r:id="rId3116" xr:uid="{00000000-0004-0000-0000-00002B0C0000}"/>
    <hyperlink ref="E3167" r:id="rId3117" xr:uid="{00000000-0004-0000-0000-00002C0C0000}"/>
    <hyperlink ref="E3168" r:id="rId3118" xr:uid="{00000000-0004-0000-0000-00002D0C0000}"/>
    <hyperlink ref="E3169" r:id="rId3119" xr:uid="{00000000-0004-0000-0000-00002E0C0000}"/>
    <hyperlink ref="E3170" r:id="rId3120" xr:uid="{00000000-0004-0000-0000-00002F0C0000}"/>
    <hyperlink ref="E3171" r:id="rId3121" xr:uid="{00000000-0004-0000-0000-0000300C0000}"/>
    <hyperlink ref="E3173" r:id="rId3122" xr:uid="{00000000-0004-0000-0000-0000310C0000}"/>
    <hyperlink ref="E3174" r:id="rId3123" xr:uid="{00000000-0004-0000-0000-0000320C0000}"/>
    <hyperlink ref="E3176" r:id="rId3124" xr:uid="{00000000-0004-0000-0000-0000330C0000}"/>
    <hyperlink ref="E3177" r:id="rId3125" xr:uid="{00000000-0004-0000-0000-0000340C0000}"/>
    <hyperlink ref="E3178" r:id="rId3126" xr:uid="{00000000-0004-0000-0000-0000350C0000}"/>
    <hyperlink ref="E3179" r:id="rId3127" xr:uid="{00000000-0004-0000-0000-0000360C0000}"/>
    <hyperlink ref="E3180" r:id="rId3128" xr:uid="{00000000-0004-0000-0000-0000370C0000}"/>
    <hyperlink ref="E3181" r:id="rId3129" xr:uid="{00000000-0004-0000-0000-0000380C0000}"/>
    <hyperlink ref="E3184" r:id="rId3130" xr:uid="{00000000-0004-0000-0000-0000390C0000}"/>
    <hyperlink ref="E3185" r:id="rId3131" xr:uid="{00000000-0004-0000-0000-00003A0C0000}"/>
    <hyperlink ref="E3186" r:id="rId3132" xr:uid="{00000000-0004-0000-0000-00003B0C0000}"/>
    <hyperlink ref="E3187" r:id="rId3133" xr:uid="{00000000-0004-0000-0000-00003C0C0000}"/>
    <hyperlink ref="E3188" r:id="rId3134" xr:uid="{00000000-0004-0000-0000-00003D0C0000}"/>
    <hyperlink ref="E3189" r:id="rId3135" xr:uid="{00000000-0004-0000-0000-00003E0C0000}"/>
    <hyperlink ref="E3190" r:id="rId3136" xr:uid="{00000000-0004-0000-0000-00003F0C0000}"/>
    <hyperlink ref="E3191" r:id="rId3137" xr:uid="{00000000-0004-0000-0000-0000400C0000}"/>
    <hyperlink ref="E3192" r:id="rId3138" xr:uid="{00000000-0004-0000-0000-0000410C0000}"/>
    <hyperlink ref="E3193" r:id="rId3139" xr:uid="{00000000-0004-0000-0000-0000420C0000}"/>
    <hyperlink ref="E3194" r:id="rId3140" xr:uid="{00000000-0004-0000-0000-0000430C0000}"/>
    <hyperlink ref="E3195" r:id="rId3141" xr:uid="{00000000-0004-0000-0000-0000440C0000}"/>
    <hyperlink ref="E3196" r:id="rId3142" xr:uid="{00000000-0004-0000-0000-0000450C0000}"/>
    <hyperlink ref="E3198" r:id="rId3143" xr:uid="{00000000-0004-0000-0000-0000460C0000}"/>
    <hyperlink ref="E3199" r:id="rId3144" xr:uid="{00000000-0004-0000-0000-0000470C0000}"/>
    <hyperlink ref="E3200" r:id="rId3145" xr:uid="{00000000-0004-0000-0000-0000480C0000}"/>
    <hyperlink ref="E3201" r:id="rId3146" xr:uid="{00000000-0004-0000-0000-0000490C0000}"/>
    <hyperlink ref="E3202" r:id="rId3147" xr:uid="{00000000-0004-0000-0000-00004A0C0000}"/>
    <hyperlink ref="E3203" r:id="rId3148" xr:uid="{00000000-0004-0000-0000-00004B0C0000}"/>
    <hyperlink ref="E3204" r:id="rId3149" xr:uid="{00000000-0004-0000-0000-00004C0C0000}"/>
    <hyperlink ref="E3205" r:id="rId3150" xr:uid="{00000000-0004-0000-0000-00004D0C0000}"/>
    <hyperlink ref="E3206" r:id="rId3151" xr:uid="{00000000-0004-0000-0000-00004E0C0000}"/>
    <hyperlink ref="E3207" r:id="rId3152" xr:uid="{00000000-0004-0000-0000-00004F0C0000}"/>
    <hyperlink ref="E3208" r:id="rId3153" xr:uid="{00000000-0004-0000-0000-0000500C0000}"/>
    <hyperlink ref="E3209" r:id="rId3154" xr:uid="{00000000-0004-0000-0000-0000510C0000}"/>
    <hyperlink ref="E3210" r:id="rId3155" xr:uid="{00000000-0004-0000-0000-0000520C0000}"/>
    <hyperlink ref="E3211" r:id="rId3156" xr:uid="{00000000-0004-0000-0000-0000530C0000}"/>
    <hyperlink ref="E3212" r:id="rId3157" xr:uid="{00000000-0004-0000-0000-0000540C0000}"/>
    <hyperlink ref="E3213" r:id="rId3158" xr:uid="{00000000-0004-0000-0000-0000550C0000}"/>
    <hyperlink ref="E3214" r:id="rId3159" xr:uid="{00000000-0004-0000-0000-0000560C0000}"/>
    <hyperlink ref="E3215" r:id="rId3160" xr:uid="{00000000-0004-0000-0000-0000570C0000}"/>
    <hyperlink ref="E3216" r:id="rId3161" xr:uid="{00000000-0004-0000-0000-0000580C0000}"/>
    <hyperlink ref="E3217" r:id="rId3162" xr:uid="{00000000-0004-0000-0000-0000590C0000}"/>
    <hyperlink ref="E3219" r:id="rId3163" xr:uid="{00000000-0004-0000-0000-00005A0C0000}"/>
    <hyperlink ref="E3220" r:id="rId3164" xr:uid="{00000000-0004-0000-0000-00005B0C0000}"/>
    <hyperlink ref="E3223" r:id="rId3165" xr:uid="{00000000-0004-0000-0000-00005C0C0000}"/>
    <hyperlink ref="E3224" r:id="rId3166" xr:uid="{00000000-0004-0000-0000-00005D0C0000}"/>
    <hyperlink ref="E3225" r:id="rId3167" xr:uid="{00000000-0004-0000-0000-00005E0C0000}"/>
    <hyperlink ref="E3226" r:id="rId3168" xr:uid="{00000000-0004-0000-0000-00005F0C0000}"/>
    <hyperlink ref="E3227" r:id="rId3169" xr:uid="{00000000-0004-0000-0000-0000600C0000}"/>
    <hyperlink ref="E3228" r:id="rId3170" xr:uid="{00000000-0004-0000-0000-0000610C0000}"/>
    <hyperlink ref="E3229" r:id="rId3171" xr:uid="{00000000-0004-0000-0000-0000620C0000}"/>
    <hyperlink ref="E3230" r:id="rId3172" xr:uid="{00000000-0004-0000-0000-0000630C0000}"/>
    <hyperlink ref="E3231" r:id="rId3173" xr:uid="{00000000-0004-0000-0000-0000640C0000}"/>
    <hyperlink ref="E3232" r:id="rId3174" xr:uid="{00000000-0004-0000-0000-0000650C0000}"/>
    <hyperlink ref="E3233" r:id="rId3175" xr:uid="{00000000-0004-0000-0000-0000660C0000}"/>
    <hyperlink ref="E3234" r:id="rId3176" xr:uid="{00000000-0004-0000-0000-0000670C0000}"/>
    <hyperlink ref="E3235" r:id="rId3177" xr:uid="{00000000-0004-0000-0000-0000680C0000}"/>
    <hyperlink ref="E3236" r:id="rId3178" xr:uid="{00000000-0004-0000-0000-0000690C0000}"/>
    <hyperlink ref="E3237" r:id="rId3179" xr:uid="{00000000-0004-0000-0000-00006A0C0000}"/>
    <hyperlink ref="E3238" r:id="rId3180" xr:uid="{00000000-0004-0000-0000-00006B0C0000}"/>
    <hyperlink ref="E3239" r:id="rId3181" xr:uid="{00000000-0004-0000-0000-00006C0C0000}"/>
    <hyperlink ref="E3240" r:id="rId3182" xr:uid="{00000000-0004-0000-0000-00006D0C0000}"/>
    <hyperlink ref="E3241" r:id="rId3183" xr:uid="{00000000-0004-0000-0000-00006E0C0000}"/>
    <hyperlink ref="E3242" r:id="rId3184" xr:uid="{00000000-0004-0000-0000-00006F0C0000}"/>
    <hyperlink ref="E3243" r:id="rId3185" xr:uid="{00000000-0004-0000-0000-0000700C0000}"/>
    <hyperlink ref="E3244" r:id="rId3186" xr:uid="{00000000-0004-0000-0000-0000710C0000}"/>
    <hyperlink ref="E3245" r:id="rId3187" xr:uid="{00000000-0004-0000-0000-0000720C0000}"/>
    <hyperlink ref="E3246" r:id="rId3188" xr:uid="{00000000-0004-0000-0000-0000730C0000}"/>
    <hyperlink ref="E3247" r:id="rId3189" xr:uid="{00000000-0004-0000-0000-0000740C0000}"/>
    <hyperlink ref="E3248" r:id="rId3190" xr:uid="{00000000-0004-0000-0000-0000750C0000}"/>
    <hyperlink ref="E3249" r:id="rId3191" xr:uid="{00000000-0004-0000-0000-0000760C0000}"/>
    <hyperlink ref="E3251" r:id="rId3192" xr:uid="{00000000-0004-0000-0000-0000770C0000}"/>
    <hyperlink ref="E3252" r:id="rId3193" xr:uid="{00000000-0004-0000-0000-0000780C0000}"/>
    <hyperlink ref="E3253" r:id="rId3194" xr:uid="{00000000-0004-0000-0000-0000790C0000}"/>
    <hyperlink ref="E3254" r:id="rId3195" xr:uid="{00000000-0004-0000-0000-00007A0C0000}"/>
    <hyperlink ref="E3255" r:id="rId3196" xr:uid="{00000000-0004-0000-0000-00007B0C0000}"/>
    <hyperlink ref="E3257" r:id="rId3197" xr:uid="{00000000-0004-0000-0000-00007C0C0000}"/>
    <hyperlink ref="E3258" r:id="rId3198" xr:uid="{00000000-0004-0000-0000-00007D0C0000}"/>
    <hyperlink ref="E3259" r:id="rId3199" xr:uid="{00000000-0004-0000-0000-00007E0C0000}"/>
    <hyperlink ref="E3260" r:id="rId3200" xr:uid="{00000000-0004-0000-0000-00007F0C0000}"/>
    <hyperlink ref="E3261" r:id="rId3201" xr:uid="{00000000-0004-0000-0000-0000800C0000}"/>
    <hyperlink ref="E3262" r:id="rId3202" xr:uid="{00000000-0004-0000-0000-0000810C0000}"/>
    <hyperlink ref="E3263" r:id="rId3203" xr:uid="{00000000-0004-0000-0000-0000820C0000}"/>
    <hyperlink ref="E3264" r:id="rId3204" xr:uid="{00000000-0004-0000-0000-0000830C0000}"/>
    <hyperlink ref="E3265" r:id="rId3205" xr:uid="{00000000-0004-0000-0000-0000840C0000}"/>
    <hyperlink ref="E3266" r:id="rId3206" xr:uid="{00000000-0004-0000-0000-0000850C0000}"/>
    <hyperlink ref="E3267" r:id="rId3207" xr:uid="{00000000-0004-0000-0000-0000860C0000}"/>
    <hyperlink ref="E3268" r:id="rId3208" xr:uid="{00000000-0004-0000-0000-0000870C0000}"/>
    <hyperlink ref="E3270" r:id="rId3209" xr:uid="{00000000-0004-0000-0000-0000880C0000}"/>
    <hyperlink ref="E3271" r:id="rId3210" xr:uid="{00000000-0004-0000-0000-0000890C0000}"/>
    <hyperlink ref="E3272" r:id="rId3211" xr:uid="{00000000-0004-0000-0000-00008A0C0000}"/>
    <hyperlink ref="E3273" r:id="rId3212" xr:uid="{00000000-0004-0000-0000-00008B0C0000}"/>
    <hyperlink ref="E3274" r:id="rId3213" xr:uid="{00000000-0004-0000-0000-00008C0C0000}"/>
    <hyperlink ref="E3275" r:id="rId3214" xr:uid="{00000000-0004-0000-0000-00008D0C0000}"/>
    <hyperlink ref="E3276" r:id="rId3215" xr:uid="{00000000-0004-0000-0000-00008E0C0000}"/>
    <hyperlink ref="E3277" r:id="rId3216" xr:uid="{00000000-0004-0000-0000-00008F0C0000}"/>
    <hyperlink ref="E3278" r:id="rId3217" xr:uid="{00000000-0004-0000-0000-0000900C0000}"/>
    <hyperlink ref="E3279" r:id="rId3218" xr:uid="{00000000-0004-0000-0000-0000910C0000}"/>
    <hyperlink ref="E3281" r:id="rId3219" xr:uid="{00000000-0004-0000-0000-0000920C0000}"/>
    <hyperlink ref="E3282" r:id="rId3220" xr:uid="{00000000-0004-0000-0000-0000930C0000}"/>
    <hyperlink ref="E3283" r:id="rId3221" xr:uid="{00000000-0004-0000-0000-0000940C0000}"/>
    <hyperlink ref="E3284" r:id="rId3222" xr:uid="{00000000-0004-0000-0000-0000950C0000}"/>
    <hyperlink ref="E3285" r:id="rId3223" xr:uid="{00000000-0004-0000-0000-0000960C0000}"/>
    <hyperlink ref="E3287" r:id="rId3224" xr:uid="{00000000-0004-0000-0000-0000970C0000}"/>
    <hyperlink ref="E3288" r:id="rId3225" xr:uid="{00000000-0004-0000-0000-0000980C0000}"/>
    <hyperlink ref="E3289" r:id="rId3226" xr:uid="{00000000-0004-0000-0000-0000990C0000}"/>
    <hyperlink ref="E3290" r:id="rId3227" xr:uid="{00000000-0004-0000-0000-00009A0C0000}"/>
    <hyperlink ref="E3291" r:id="rId3228" xr:uid="{00000000-0004-0000-0000-00009B0C0000}"/>
    <hyperlink ref="E3292" r:id="rId3229" xr:uid="{00000000-0004-0000-0000-00009C0C0000}"/>
    <hyperlink ref="E3293" r:id="rId3230" xr:uid="{00000000-0004-0000-0000-00009D0C0000}"/>
    <hyperlink ref="E3294" r:id="rId3231" xr:uid="{00000000-0004-0000-0000-00009E0C0000}"/>
    <hyperlink ref="E3295" r:id="rId3232" xr:uid="{00000000-0004-0000-0000-00009F0C0000}"/>
    <hyperlink ref="E3296" r:id="rId3233" xr:uid="{00000000-0004-0000-0000-0000A00C0000}"/>
    <hyperlink ref="E3297" r:id="rId3234" xr:uid="{00000000-0004-0000-0000-0000A10C0000}"/>
    <hyperlink ref="E3298" r:id="rId3235" xr:uid="{00000000-0004-0000-0000-0000A20C0000}"/>
    <hyperlink ref="E3299" r:id="rId3236" xr:uid="{00000000-0004-0000-0000-0000A30C0000}"/>
    <hyperlink ref="E3300" r:id="rId3237" xr:uid="{00000000-0004-0000-0000-0000A40C0000}"/>
    <hyperlink ref="E3301" r:id="rId3238" xr:uid="{00000000-0004-0000-0000-0000A50C0000}"/>
    <hyperlink ref="E3302" r:id="rId3239" xr:uid="{00000000-0004-0000-0000-0000A60C0000}"/>
    <hyperlink ref="E3303" r:id="rId3240" xr:uid="{00000000-0004-0000-0000-0000A70C0000}"/>
    <hyperlink ref="E3304" r:id="rId3241" xr:uid="{00000000-0004-0000-0000-0000A80C0000}"/>
    <hyperlink ref="E3305" r:id="rId3242" xr:uid="{00000000-0004-0000-0000-0000A90C0000}"/>
    <hyperlink ref="E3306" r:id="rId3243" xr:uid="{00000000-0004-0000-0000-0000AA0C0000}"/>
    <hyperlink ref="E3307" r:id="rId3244" xr:uid="{00000000-0004-0000-0000-0000AB0C0000}"/>
    <hyperlink ref="E3308" r:id="rId3245" xr:uid="{00000000-0004-0000-0000-0000AC0C0000}"/>
    <hyperlink ref="E3309" r:id="rId3246" xr:uid="{00000000-0004-0000-0000-0000AD0C0000}"/>
    <hyperlink ref="E3310" r:id="rId3247" xr:uid="{00000000-0004-0000-0000-0000AE0C0000}"/>
    <hyperlink ref="E3311" r:id="rId3248" xr:uid="{00000000-0004-0000-0000-0000AF0C0000}"/>
    <hyperlink ref="E3312" r:id="rId3249" xr:uid="{00000000-0004-0000-0000-0000B00C0000}"/>
    <hyperlink ref="E3313" r:id="rId3250" xr:uid="{00000000-0004-0000-0000-0000B10C0000}"/>
    <hyperlink ref="E3314" r:id="rId3251" xr:uid="{00000000-0004-0000-0000-0000B20C0000}"/>
    <hyperlink ref="E3315" r:id="rId3252" xr:uid="{00000000-0004-0000-0000-0000B30C0000}"/>
    <hyperlink ref="E3316" r:id="rId3253" xr:uid="{00000000-0004-0000-0000-0000B40C0000}"/>
    <hyperlink ref="E3317" r:id="rId3254" xr:uid="{00000000-0004-0000-0000-0000B50C0000}"/>
    <hyperlink ref="E3318" r:id="rId3255" xr:uid="{00000000-0004-0000-0000-0000B60C0000}"/>
    <hyperlink ref="E3319" r:id="rId3256" xr:uid="{00000000-0004-0000-0000-0000B70C0000}"/>
    <hyperlink ref="E3320" r:id="rId3257" xr:uid="{00000000-0004-0000-0000-0000B80C0000}"/>
    <hyperlink ref="E3321" r:id="rId3258" xr:uid="{00000000-0004-0000-0000-0000B90C0000}"/>
    <hyperlink ref="E3322" r:id="rId3259" xr:uid="{00000000-0004-0000-0000-0000BA0C0000}"/>
    <hyperlink ref="E3323" r:id="rId3260" xr:uid="{00000000-0004-0000-0000-0000BB0C0000}"/>
    <hyperlink ref="E3324" r:id="rId3261" xr:uid="{00000000-0004-0000-0000-0000BC0C0000}"/>
    <hyperlink ref="E3325" r:id="rId3262" xr:uid="{00000000-0004-0000-0000-0000BD0C0000}"/>
    <hyperlink ref="E3326" r:id="rId3263" xr:uid="{00000000-0004-0000-0000-0000BE0C0000}"/>
    <hyperlink ref="E3327" r:id="rId3264" xr:uid="{00000000-0004-0000-0000-0000BF0C0000}"/>
    <hyperlink ref="E3328" r:id="rId3265" xr:uid="{00000000-0004-0000-0000-0000C00C0000}"/>
    <hyperlink ref="E3329" r:id="rId3266" xr:uid="{00000000-0004-0000-0000-0000C10C0000}"/>
    <hyperlink ref="E3330" r:id="rId3267" xr:uid="{00000000-0004-0000-0000-0000C20C0000}"/>
    <hyperlink ref="E3331" r:id="rId3268" xr:uid="{00000000-0004-0000-0000-0000C30C0000}"/>
    <hyperlink ref="E3332" r:id="rId3269" xr:uid="{00000000-0004-0000-0000-0000C40C0000}"/>
    <hyperlink ref="E3333" r:id="rId3270" xr:uid="{00000000-0004-0000-0000-0000C50C0000}"/>
    <hyperlink ref="E3334" r:id="rId3271" xr:uid="{00000000-0004-0000-0000-0000C60C0000}"/>
    <hyperlink ref="E3335" r:id="rId3272" xr:uid="{00000000-0004-0000-0000-0000C70C0000}"/>
    <hyperlink ref="E3336" r:id="rId3273" xr:uid="{00000000-0004-0000-0000-0000C80C0000}"/>
    <hyperlink ref="E3337" r:id="rId3274" xr:uid="{00000000-0004-0000-0000-0000C90C0000}"/>
    <hyperlink ref="E3338" r:id="rId3275" xr:uid="{00000000-0004-0000-0000-0000CA0C0000}"/>
    <hyperlink ref="E3339" r:id="rId3276" xr:uid="{00000000-0004-0000-0000-0000CB0C0000}"/>
    <hyperlink ref="E3340" r:id="rId3277" xr:uid="{00000000-0004-0000-0000-0000CC0C0000}"/>
    <hyperlink ref="E3341" r:id="rId3278" xr:uid="{00000000-0004-0000-0000-0000CD0C0000}"/>
    <hyperlink ref="E3342" r:id="rId3279" xr:uid="{00000000-0004-0000-0000-0000CE0C0000}"/>
    <hyperlink ref="E3343" r:id="rId3280" xr:uid="{00000000-0004-0000-0000-0000CF0C0000}"/>
    <hyperlink ref="E3345" r:id="rId3281" xr:uid="{00000000-0004-0000-0000-0000D00C0000}"/>
    <hyperlink ref="E3346" r:id="rId3282" xr:uid="{00000000-0004-0000-0000-0000D10C0000}"/>
    <hyperlink ref="E3347" r:id="rId3283" xr:uid="{00000000-0004-0000-0000-0000D20C0000}"/>
    <hyperlink ref="E3348" r:id="rId3284" xr:uid="{00000000-0004-0000-0000-0000D30C0000}"/>
    <hyperlink ref="E3349" r:id="rId3285" xr:uid="{00000000-0004-0000-0000-0000D40C0000}"/>
    <hyperlink ref="E3350" r:id="rId3286" xr:uid="{00000000-0004-0000-0000-0000D50C0000}"/>
    <hyperlink ref="E3351" r:id="rId3287" xr:uid="{00000000-0004-0000-0000-0000D60C0000}"/>
    <hyperlink ref="E3352" r:id="rId3288" xr:uid="{00000000-0004-0000-0000-0000D70C0000}"/>
    <hyperlink ref="E3353" r:id="rId3289" xr:uid="{00000000-0004-0000-0000-0000D80C0000}"/>
    <hyperlink ref="E3354" r:id="rId3290" xr:uid="{00000000-0004-0000-0000-0000D90C0000}"/>
    <hyperlink ref="E3355" r:id="rId3291" xr:uid="{00000000-0004-0000-0000-0000DA0C0000}"/>
    <hyperlink ref="E3356" r:id="rId3292" xr:uid="{00000000-0004-0000-0000-0000DB0C0000}"/>
    <hyperlink ref="E3357" r:id="rId3293" xr:uid="{00000000-0004-0000-0000-0000DC0C0000}"/>
    <hyperlink ref="E3358" r:id="rId3294" xr:uid="{00000000-0004-0000-0000-0000DD0C0000}"/>
    <hyperlink ref="E3359" r:id="rId3295" xr:uid="{00000000-0004-0000-0000-0000DE0C0000}"/>
    <hyperlink ref="E3360" r:id="rId3296" xr:uid="{00000000-0004-0000-0000-0000DF0C0000}"/>
    <hyperlink ref="E3361" r:id="rId3297" xr:uid="{00000000-0004-0000-0000-0000E00C0000}"/>
    <hyperlink ref="E3362" r:id="rId3298" xr:uid="{00000000-0004-0000-0000-0000E10C0000}"/>
    <hyperlink ref="E3363" r:id="rId3299" xr:uid="{00000000-0004-0000-0000-0000E20C0000}"/>
    <hyperlink ref="E3364" r:id="rId3300" xr:uid="{00000000-0004-0000-0000-0000E30C0000}"/>
    <hyperlink ref="E3365" r:id="rId3301" xr:uid="{00000000-0004-0000-0000-0000E40C0000}"/>
    <hyperlink ref="E3366" r:id="rId3302" xr:uid="{00000000-0004-0000-0000-0000E50C0000}"/>
    <hyperlink ref="E3367" r:id="rId3303" xr:uid="{00000000-0004-0000-0000-0000E60C0000}"/>
    <hyperlink ref="E3368" r:id="rId3304" xr:uid="{00000000-0004-0000-0000-0000E70C0000}"/>
    <hyperlink ref="E3369" r:id="rId3305" xr:uid="{00000000-0004-0000-0000-0000E80C0000}"/>
    <hyperlink ref="E3370" r:id="rId3306" xr:uid="{00000000-0004-0000-0000-0000E90C0000}"/>
    <hyperlink ref="E3371" r:id="rId3307" xr:uid="{00000000-0004-0000-0000-0000EA0C0000}"/>
    <hyperlink ref="E3372" r:id="rId3308" xr:uid="{00000000-0004-0000-0000-0000EB0C0000}"/>
    <hyperlink ref="E3373" r:id="rId3309" xr:uid="{00000000-0004-0000-0000-0000EC0C0000}"/>
    <hyperlink ref="E3374" r:id="rId3310" xr:uid="{00000000-0004-0000-0000-0000ED0C0000}"/>
    <hyperlink ref="E3375" r:id="rId3311" xr:uid="{00000000-0004-0000-0000-0000EE0C0000}"/>
    <hyperlink ref="E3376" r:id="rId3312" xr:uid="{00000000-0004-0000-0000-0000EF0C0000}"/>
    <hyperlink ref="E3377" r:id="rId3313" xr:uid="{00000000-0004-0000-0000-0000F00C0000}"/>
    <hyperlink ref="E3378" r:id="rId3314" xr:uid="{00000000-0004-0000-0000-0000F10C0000}"/>
    <hyperlink ref="E3379" r:id="rId3315" xr:uid="{00000000-0004-0000-0000-0000F20C0000}"/>
    <hyperlink ref="E3380" r:id="rId3316" xr:uid="{00000000-0004-0000-0000-0000F30C0000}"/>
    <hyperlink ref="E3381" r:id="rId3317" xr:uid="{00000000-0004-0000-0000-0000F40C0000}"/>
    <hyperlink ref="E3384" r:id="rId3318" xr:uid="{00000000-0004-0000-0000-0000F50C0000}"/>
    <hyperlink ref="E3385" r:id="rId3319" xr:uid="{00000000-0004-0000-0000-0000F60C0000}"/>
    <hyperlink ref="E3386" r:id="rId3320" xr:uid="{00000000-0004-0000-0000-0000F70C0000}"/>
    <hyperlink ref="E3387" r:id="rId3321" xr:uid="{00000000-0004-0000-0000-0000F80C0000}"/>
    <hyperlink ref="E3388" r:id="rId3322" xr:uid="{00000000-0004-0000-0000-0000F90C0000}"/>
    <hyperlink ref="E3389" r:id="rId3323" xr:uid="{00000000-0004-0000-0000-0000FA0C0000}"/>
    <hyperlink ref="E3390" r:id="rId3324" xr:uid="{00000000-0004-0000-0000-0000FB0C0000}"/>
    <hyperlink ref="E3391" r:id="rId3325" xr:uid="{00000000-0004-0000-0000-0000FC0C0000}"/>
    <hyperlink ref="E3392" r:id="rId3326" xr:uid="{00000000-0004-0000-0000-0000FD0C0000}"/>
    <hyperlink ref="E3393" r:id="rId3327" xr:uid="{00000000-0004-0000-0000-0000FE0C0000}"/>
    <hyperlink ref="E3394" r:id="rId3328" xr:uid="{00000000-0004-0000-0000-0000FF0C0000}"/>
    <hyperlink ref="E3395" r:id="rId3329" xr:uid="{00000000-0004-0000-0000-0000000D0000}"/>
    <hyperlink ref="E3396" r:id="rId3330" xr:uid="{00000000-0004-0000-0000-0000010D0000}"/>
    <hyperlink ref="E3397" r:id="rId3331" xr:uid="{00000000-0004-0000-0000-0000020D0000}"/>
    <hyperlink ref="E3398" r:id="rId3332" xr:uid="{00000000-0004-0000-0000-0000030D0000}"/>
    <hyperlink ref="E3399" r:id="rId3333" xr:uid="{00000000-0004-0000-0000-0000040D0000}"/>
    <hyperlink ref="E3400" r:id="rId3334" xr:uid="{00000000-0004-0000-0000-0000050D0000}"/>
    <hyperlink ref="E3401" r:id="rId3335" xr:uid="{00000000-0004-0000-0000-0000060D0000}"/>
    <hyperlink ref="E3402" r:id="rId3336" xr:uid="{00000000-0004-0000-0000-0000070D0000}"/>
    <hyperlink ref="E3403" r:id="rId3337" xr:uid="{00000000-0004-0000-0000-0000080D0000}"/>
    <hyperlink ref="E3404" r:id="rId3338" xr:uid="{00000000-0004-0000-0000-0000090D0000}"/>
    <hyperlink ref="E3405" r:id="rId3339" xr:uid="{00000000-0004-0000-0000-00000A0D0000}"/>
    <hyperlink ref="E3406" r:id="rId3340" xr:uid="{00000000-0004-0000-0000-00000B0D0000}"/>
    <hyperlink ref="E3408" r:id="rId3341" xr:uid="{00000000-0004-0000-0000-00000C0D0000}"/>
    <hyperlink ref="E3409" r:id="rId3342" xr:uid="{00000000-0004-0000-0000-00000D0D0000}"/>
    <hyperlink ref="E3410" r:id="rId3343" xr:uid="{00000000-0004-0000-0000-00000E0D0000}"/>
    <hyperlink ref="E3411" r:id="rId3344" xr:uid="{00000000-0004-0000-0000-00000F0D0000}"/>
    <hyperlink ref="E3412" r:id="rId3345" xr:uid="{00000000-0004-0000-0000-0000100D0000}"/>
    <hyperlink ref="E3413" r:id="rId3346" xr:uid="{00000000-0004-0000-0000-0000110D0000}"/>
    <hyperlink ref="E3414" r:id="rId3347" xr:uid="{00000000-0004-0000-0000-0000120D0000}"/>
    <hyperlink ref="E3415" r:id="rId3348" xr:uid="{00000000-0004-0000-0000-0000130D0000}"/>
    <hyperlink ref="E3416" r:id="rId3349" xr:uid="{00000000-0004-0000-0000-0000140D0000}"/>
    <hyperlink ref="E3417" r:id="rId3350" xr:uid="{00000000-0004-0000-0000-0000150D0000}"/>
    <hyperlink ref="E3418" r:id="rId3351" xr:uid="{00000000-0004-0000-0000-0000160D0000}"/>
    <hyperlink ref="E3421" r:id="rId3352" xr:uid="{00000000-0004-0000-0000-0000170D0000}"/>
    <hyperlink ref="E3422" r:id="rId3353" xr:uid="{00000000-0004-0000-0000-0000180D0000}"/>
    <hyperlink ref="E3423" r:id="rId3354" xr:uid="{00000000-0004-0000-0000-0000190D0000}"/>
    <hyperlink ref="E3424" r:id="rId3355" xr:uid="{00000000-0004-0000-0000-00001A0D0000}"/>
    <hyperlink ref="E3425" r:id="rId3356" xr:uid="{00000000-0004-0000-0000-00001B0D0000}"/>
    <hyperlink ref="E3426" r:id="rId3357" xr:uid="{00000000-0004-0000-0000-00001C0D0000}"/>
    <hyperlink ref="E3427" r:id="rId3358" xr:uid="{00000000-0004-0000-0000-00001D0D0000}"/>
    <hyperlink ref="E3428" r:id="rId3359" xr:uid="{00000000-0004-0000-0000-00001E0D0000}"/>
    <hyperlink ref="E3429" r:id="rId3360" xr:uid="{00000000-0004-0000-0000-00001F0D0000}"/>
    <hyperlink ref="E3430" r:id="rId3361" xr:uid="{00000000-0004-0000-0000-0000200D0000}"/>
    <hyperlink ref="E3431" r:id="rId3362" xr:uid="{00000000-0004-0000-0000-0000210D0000}"/>
    <hyperlink ref="E3432" r:id="rId3363" xr:uid="{00000000-0004-0000-0000-0000220D0000}"/>
    <hyperlink ref="E3433" r:id="rId3364" xr:uid="{00000000-0004-0000-0000-0000230D0000}"/>
    <hyperlink ref="E3434" r:id="rId3365" xr:uid="{00000000-0004-0000-0000-0000240D0000}"/>
    <hyperlink ref="E3435" r:id="rId3366" xr:uid="{00000000-0004-0000-0000-0000250D0000}"/>
    <hyperlink ref="E3436" r:id="rId3367" xr:uid="{00000000-0004-0000-0000-0000260D0000}"/>
    <hyperlink ref="E3437" r:id="rId3368" xr:uid="{00000000-0004-0000-0000-0000270D0000}"/>
    <hyperlink ref="E3438" r:id="rId3369" xr:uid="{00000000-0004-0000-0000-0000280D0000}"/>
    <hyperlink ref="E3439" r:id="rId3370" xr:uid="{00000000-0004-0000-0000-0000290D0000}"/>
    <hyperlink ref="E3440" r:id="rId3371" xr:uid="{00000000-0004-0000-0000-00002A0D0000}"/>
    <hyperlink ref="E3441" r:id="rId3372" xr:uid="{00000000-0004-0000-0000-00002B0D0000}"/>
    <hyperlink ref="E3442" r:id="rId3373" xr:uid="{00000000-0004-0000-0000-00002C0D0000}"/>
    <hyperlink ref="E3443" r:id="rId3374" xr:uid="{00000000-0004-0000-0000-00002D0D0000}"/>
    <hyperlink ref="E3444" r:id="rId3375" xr:uid="{00000000-0004-0000-0000-00002E0D0000}"/>
    <hyperlink ref="E3445" r:id="rId3376" xr:uid="{00000000-0004-0000-0000-00002F0D0000}"/>
    <hyperlink ref="E3446" r:id="rId3377" xr:uid="{00000000-0004-0000-0000-0000300D0000}"/>
    <hyperlink ref="E3447" r:id="rId3378" xr:uid="{00000000-0004-0000-0000-0000310D0000}"/>
    <hyperlink ref="E3448" r:id="rId3379" xr:uid="{00000000-0004-0000-0000-0000320D0000}"/>
    <hyperlink ref="E3449" r:id="rId3380" xr:uid="{00000000-0004-0000-0000-0000330D0000}"/>
    <hyperlink ref="E3450" r:id="rId3381" xr:uid="{00000000-0004-0000-0000-0000340D0000}"/>
    <hyperlink ref="E3451" r:id="rId3382" xr:uid="{00000000-0004-0000-0000-0000350D0000}"/>
    <hyperlink ref="E3452" r:id="rId3383" xr:uid="{00000000-0004-0000-0000-0000360D0000}"/>
    <hyperlink ref="E3453" r:id="rId3384" xr:uid="{00000000-0004-0000-0000-0000370D0000}"/>
    <hyperlink ref="E3454" r:id="rId3385" xr:uid="{00000000-0004-0000-0000-0000380D0000}"/>
    <hyperlink ref="E3455" r:id="rId3386" xr:uid="{00000000-0004-0000-0000-0000390D0000}"/>
    <hyperlink ref="E3456" r:id="rId3387" xr:uid="{00000000-0004-0000-0000-00003A0D0000}"/>
    <hyperlink ref="E3457" r:id="rId3388" xr:uid="{00000000-0004-0000-0000-00003B0D0000}"/>
    <hyperlink ref="E3458" r:id="rId3389" xr:uid="{00000000-0004-0000-0000-00003C0D0000}"/>
    <hyperlink ref="E3459" r:id="rId3390" xr:uid="{00000000-0004-0000-0000-00003D0D0000}"/>
    <hyperlink ref="E3460" r:id="rId3391" xr:uid="{00000000-0004-0000-0000-00003E0D0000}"/>
    <hyperlink ref="E3461" r:id="rId3392" xr:uid="{00000000-0004-0000-0000-00003F0D0000}"/>
    <hyperlink ref="E3462" r:id="rId3393" xr:uid="{00000000-0004-0000-0000-0000400D0000}"/>
    <hyperlink ref="E3463" r:id="rId3394" xr:uid="{00000000-0004-0000-0000-0000410D0000}"/>
    <hyperlink ref="E3464" r:id="rId3395" xr:uid="{00000000-0004-0000-0000-0000420D0000}"/>
    <hyperlink ref="E3465" r:id="rId3396" xr:uid="{00000000-0004-0000-0000-0000430D0000}"/>
    <hyperlink ref="E3466" r:id="rId3397" xr:uid="{00000000-0004-0000-0000-0000440D0000}"/>
    <hyperlink ref="E3467" r:id="rId3398" xr:uid="{00000000-0004-0000-0000-0000450D0000}"/>
    <hyperlink ref="E3468" r:id="rId3399" xr:uid="{00000000-0004-0000-0000-0000460D0000}"/>
    <hyperlink ref="E3469" r:id="rId3400" xr:uid="{00000000-0004-0000-0000-0000470D0000}"/>
    <hyperlink ref="E3470" r:id="rId3401" xr:uid="{00000000-0004-0000-0000-0000480D0000}"/>
    <hyperlink ref="E3471" r:id="rId3402" xr:uid="{00000000-0004-0000-0000-0000490D0000}"/>
    <hyperlink ref="E3472" r:id="rId3403" xr:uid="{00000000-0004-0000-0000-00004A0D0000}"/>
    <hyperlink ref="E3473" r:id="rId3404" xr:uid="{00000000-0004-0000-0000-00004B0D0000}"/>
    <hyperlink ref="E3474" r:id="rId3405" xr:uid="{00000000-0004-0000-0000-00004C0D0000}"/>
    <hyperlink ref="E3475" r:id="rId3406" xr:uid="{00000000-0004-0000-0000-00004D0D0000}"/>
    <hyperlink ref="E3476" r:id="rId3407" xr:uid="{00000000-0004-0000-0000-00004E0D0000}"/>
    <hyperlink ref="E3477" r:id="rId3408" xr:uid="{00000000-0004-0000-0000-00004F0D0000}"/>
    <hyperlink ref="E3478" r:id="rId3409" xr:uid="{00000000-0004-0000-0000-0000500D0000}"/>
    <hyperlink ref="E3479" r:id="rId3410" xr:uid="{00000000-0004-0000-0000-0000510D0000}"/>
    <hyperlink ref="E3480" r:id="rId3411" xr:uid="{00000000-0004-0000-0000-0000520D0000}"/>
    <hyperlink ref="E3481" r:id="rId3412" xr:uid="{00000000-0004-0000-0000-0000530D0000}"/>
    <hyperlink ref="E3482" r:id="rId3413" xr:uid="{00000000-0004-0000-0000-0000540D0000}"/>
    <hyperlink ref="E3483" r:id="rId3414" xr:uid="{00000000-0004-0000-0000-0000550D0000}"/>
    <hyperlink ref="E3484" r:id="rId3415" xr:uid="{00000000-0004-0000-0000-0000560D0000}"/>
    <hyperlink ref="E3485" r:id="rId3416" xr:uid="{00000000-0004-0000-0000-0000570D0000}"/>
    <hyperlink ref="E3486" r:id="rId3417" xr:uid="{00000000-0004-0000-0000-0000580D0000}"/>
    <hyperlink ref="E3487" r:id="rId3418" xr:uid="{00000000-0004-0000-0000-0000590D0000}"/>
    <hyperlink ref="E3488" r:id="rId3419" xr:uid="{00000000-0004-0000-0000-00005A0D0000}"/>
    <hyperlink ref="E3489" r:id="rId3420" xr:uid="{00000000-0004-0000-0000-00005B0D0000}"/>
    <hyperlink ref="E3490" r:id="rId3421" xr:uid="{00000000-0004-0000-0000-00005C0D0000}"/>
    <hyperlink ref="E3491" r:id="rId3422" xr:uid="{00000000-0004-0000-0000-00005D0D0000}"/>
    <hyperlink ref="E3492" r:id="rId3423" xr:uid="{00000000-0004-0000-0000-00005E0D0000}"/>
    <hyperlink ref="E3493" r:id="rId3424" xr:uid="{00000000-0004-0000-0000-00005F0D0000}"/>
    <hyperlink ref="E3495" r:id="rId3425" xr:uid="{00000000-0004-0000-0000-0000600D0000}"/>
    <hyperlink ref="E3496" r:id="rId3426" xr:uid="{00000000-0004-0000-0000-0000610D0000}"/>
    <hyperlink ref="E3497" r:id="rId3427" xr:uid="{00000000-0004-0000-0000-0000620D0000}"/>
    <hyperlink ref="E3498" r:id="rId3428" xr:uid="{00000000-0004-0000-0000-0000630D0000}"/>
    <hyperlink ref="E3499" r:id="rId3429" xr:uid="{00000000-0004-0000-0000-0000640D0000}"/>
    <hyperlink ref="E3501" r:id="rId3430" xr:uid="{00000000-0004-0000-0000-0000650D0000}"/>
    <hyperlink ref="E3502" r:id="rId3431" xr:uid="{00000000-0004-0000-0000-0000660D0000}"/>
    <hyperlink ref="E3503" r:id="rId3432" xr:uid="{00000000-0004-0000-0000-0000670D0000}"/>
    <hyperlink ref="E3504" r:id="rId3433" xr:uid="{00000000-0004-0000-0000-0000680D0000}"/>
    <hyperlink ref="E3505" r:id="rId3434" xr:uid="{00000000-0004-0000-0000-0000690D0000}"/>
    <hyperlink ref="E3506" r:id="rId3435" xr:uid="{00000000-0004-0000-0000-00006A0D0000}"/>
    <hyperlink ref="E3507" r:id="rId3436" xr:uid="{00000000-0004-0000-0000-00006B0D0000}"/>
    <hyperlink ref="E3508" r:id="rId3437" xr:uid="{00000000-0004-0000-0000-00006C0D0000}"/>
    <hyperlink ref="E3509" r:id="rId3438" xr:uid="{00000000-0004-0000-0000-00006D0D0000}"/>
    <hyperlink ref="E3510" r:id="rId3439" xr:uid="{00000000-0004-0000-0000-00006E0D0000}"/>
    <hyperlink ref="E3511" r:id="rId3440" xr:uid="{00000000-0004-0000-0000-00006F0D0000}"/>
    <hyperlink ref="E3512" r:id="rId3441" xr:uid="{00000000-0004-0000-0000-0000700D0000}"/>
    <hyperlink ref="E3513" r:id="rId3442" xr:uid="{00000000-0004-0000-0000-0000710D0000}"/>
    <hyperlink ref="E3514" r:id="rId3443" xr:uid="{00000000-0004-0000-0000-0000720D0000}"/>
    <hyperlink ref="E3515" r:id="rId3444" xr:uid="{00000000-0004-0000-0000-0000730D0000}"/>
    <hyperlink ref="E3516" r:id="rId3445" xr:uid="{00000000-0004-0000-0000-0000740D0000}"/>
    <hyperlink ref="E3517" r:id="rId3446" xr:uid="{00000000-0004-0000-0000-0000750D0000}"/>
    <hyperlink ref="E3518" r:id="rId3447" xr:uid="{00000000-0004-0000-0000-0000760D0000}"/>
    <hyperlink ref="E3519" r:id="rId3448" xr:uid="{00000000-0004-0000-0000-0000770D0000}"/>
    <hyperlink ref="E3520" r:id="rId3449" xr:uid="{00000000-0004-0000-0000-0000780D0000}"/>
    <hyperlink ref="E3521" r:id="rId3450" xr:uid="{00000000-0004-0000-0000-0000790D0000}"/>
    <hyperlink ref="E3522" r:id="rId3451" xr:uid="{00000000-0004-0000-0000-00007A0D0000}"/>
    <hyperlink ref="E3523" r:id="rId3452" xr:uid="{00000000-0004-0000-0000-00007B0D0000}"/>
    <hyperlink ref="E3524" r:id="rId3453" xr:uid="{00000000-0004-0000-0000-00007C0D0000}"/>
    <hyperlink ref="E3525" r:id="rId3454" xr:uid="{00000000-0004-0000-0000-00007D0D0000}"/>
    <hyperlink ref="E3526" r:id="rId3455" xr:uid="{00000000-0004-0000-0000-00007E0D0000}"/>
    <hyperlink ref="E3527" r:id="rId3456" xr:uid="{00000000-0004-0000-0000-00007F0D0000}"/>
    <hyperlink ref="E3528" r:id="rId3457" xr:uid="{00000000-0004-0000-0000-0000800D0000}"/>
    <hyperlink ref="E3529" r:id="rId3458" xr:uid="{00000000-0004-0000-0000-0000810D0000}"/>
    <hyperlink ref="E3530" r:id="rId3459" xr:uid="{00000000-0004-0000-0000-0000820D0000}"/>
    <hyperlink ref="E3531" r:id="rId3460" xr:uid="{00000000-0004-0000-0000-0000830D0000}"/>
    <hyperlink ref="E3532" r:id="rId3461" xr:uid="{00000000-0004-0000-0000-0000840D0000}"/>
    <hyperlink ref="E3533" r:id="rId3462" xr:uid="{00000000-0004-0000-0000-0000850D0000}"/>
    <hyperlink ref="E3534" r:id="rId3463" xr:uid="{00000000-0004-0000-0000-0000860D0000}"/>
    <hyperlink ref="E3535" r:id="rId3464" xr:uid="{00000000-0004-0000-0000-0000870D0000}"/>
    <hyperlink ref="E3536" r:id="rId3465" xr:uid="{00000000-0004-0000-0000-0000880D0000}"/>
    <hyperlink ref="E3537" r:id="rId3466" xr:uid="{00000000-0004-0000-0000-0000890D0000}"/>
    <hyperlink ref="E3538" r:id="rId3467" xr:uid="{00000000-0004-0000-0000-00008A0D0000}"/>
    <hyperlink ref="E3539" r:id="rId3468" xr:uid="{00000000-0004-0000-0000-00008B0D0000}"/>
    <hyperlink ref="E3540" r:id="rId3469" xr:uid="{00000000-0004-0000-0000-00008C0D0000}"/>
    <hyperlink ref="E3541" r:id="rId3470" xr:uid="{00000000-0004-0000-0000-00008D0D0000}"/>
    <hyperlink ref="E3542" r:id="rId3471" xr:uid="{00000000-0004-0000-0000-00008E0D0000}"/>
    <hyperlink ref="E3543" r:id="rId3472" xr:uid="{00000000-0004-0000-0000-00008F0D0000}"/>
    <hyperlink ref="E3544" r:id="rId3473" xr:uid="{00000000-0004-0000-0000-0000900D0000}"/>
    <hyperlink ref="E3545" r:id="rId3474" xr:uid="{00000000-0004-0000-0000-0000910D0000}"/>
    <hyperlink ref="E3546" r:id="rId3475" xr:uid="{00000000-0004-0000-0000-0000920D0000}"/>
    <hyperlink ref="E3547" r:id="rId3476" xr:uid="{00000000-0004-0000-0000-0000930D0000}"/>
    <hyperlink ref="E3548" r:id="rId3477" xr:uid="{00000000-0004-0000-0000-0000940D0000}"/>
    <hyperlink ref="E3549" r:id="rId3478" xr:uid="{00000000-0004-0000-0000-0000950D0000}"/>
    <hyperlink ref="E3550" r:id="rId3479" xr:uid="{00000000-0004-0000-0000-0000960D0000}"/>
    <hyperlink ref="E3551" r:id="rId3480" xr:uid="{00000000-0004-0000-0000-0000970D0000}"/>
    <hyperlink ref="E3552" r:id="rId3481" xr:uid="{00000000-0004-0000-0000-0000980D0000}"/>
    <hyperlink ref="E3553" r:id="rId3482" xr:uid="{00000000-0004-0000-0000-0000990D0000}"/>
    <hyperlink ref="E3554" r:id="rId3483" xr:uid="{00000000-0004-0000-0000-00009A0D0000}"/>
    <hyperlink ref="E3555" r:id="rId3484" xr:uid="{00000000-0004-0000-0000-00009B0D0000}"/>
    <hyperlink ref="E3556" r:id="rId3485" xr:uid="{00000000-0004-0000-0000-00009C0D0000}"/>
    <hyperlink ref="E3557" r:id="rId3486" xr:uid="{00000000-0004-0000-0000-00009D0D0000}"/>
    <hyperlink ref="E3558" r:id="rId3487" xr:uid="{00000000-0004-0000-0000-00009E0D0000}"/>
    <hyperlink ref="E3560" r:id="rId3488" xr:uid="{00000000-0004-0000-0000-00009F0D0000}"/>
    <hyperlink ref="E3561" r:id="rId3489" xr:uid="{00000000-0004-0000-0000-0000A00D0000}"/>
    <hyperlink ref="E3562" r:id="rId3490" xr:uid="{00000000-0004-0000-0000-0000A10D0000}"/>
    <hyperlink ref="E3563" r:id="rId3491" xr:uid="{00000000-0004-0000-0000-0000A20D0000}"/>
    <hyperlink ref="E3564" r:id="rId3492" xr:uid="{00000000-0004-0000-0000-0000A30D0000}"/>
    <hyperlink ref="E3565" r:id="rId3493" xr:uid="{00000000-0004-0000-0000-0000A40D0000}"/>
    <hyperlink ref="E3566" r:id="rId3494" xr:uid="{00000000-0004-0000-0000-0000A50D0000}"/>
    <hyperlink ref="E3567" r:id="rId3495" xr:uid="{00000000-0004-0000-0000-0000A60D0000}"/>
    <hyperlink ref="E3568" r:id="rId3496" xr:uid="{00000000-0004-0000-0000-0000A70D0000}"/>
    <hyperlink ref="E3569" r:id="rId3497" xr:uid="{00000000-0004-0000-0000-0000A80D0000}"/>
    <hyperlink ref="E3570" r:id="rId3498" xr:uid="{00000000-0004-0000-0000-0000A90D0000}"/>
    <hyperlink ref="E3571" r:id="rId3499" xr:uid="{00000000-0004-0000-0000-0000AA0D0000}"/>
    <hyperlink ref="E3572" r:id="rId3500" xr:uid="{00000000-0004-0000-0000-0000AB0D0000}"/>
    <hyperlink ref="E3573" r:id="rId3501" xr:uid="{00000000-0004-0000-0000-0000AC0D0000}"/>
    <hyperlink ref="E3574" r:id="rId3502" xr:uid="{00000000-0004-0000-0000-0000AD0D0000}"/>
    <hyperlink ref="E3575" r:id="rId3503" xr:uid="{00000000-0004-0000-0000-0000AE0D0000}"/>
    <hyperlink ref="E3576" r:id="rId3504" xr:uid="{00000000-0004-0000-0000-0000AF0D0000}"/>
    <hyperlink ref="E3577" r:id="rId3505" xr:uid="{00000000-0004-0000-0000-0000B00D0000}"/>
    <hyperlink ref="E3579" r:id="rId3506" xr:uid="{00000000-0004-0000-0000-0000B10D0000}"/>
    <hyperlink ref="E3580" r:id="rId3507" xr:uid="{00000000-0004-0000-0000-0000B20D0000}"/>
    <hyperlink ref="E3581" r:id="rId3508" xr:uid="{00000000-0004-0000-0000-0000B30D0000}"/>
    <hyperlink ref="E3582" r:id="rId3509" xr:uid="{00000000-0004-0000-0000-0000B40D0000}"/>
    <hyperlink ref="E3583" r:id="rId3510" xr:uid="{00000000-0004-0000-0000-0000B50D0000}"/>
    <hyperlink ref="E3584" r:id="rId3511" xr:uid="{00000000-0004-0000-0000-0000B60D0000}"/>
    <hyperlink ref="E3585" r:id="rId3512" xr:uid="{00000000-0004-0000-0000-0000B70D0000}"/>
    <hyperlink ref="E3586" r:id="rId3513" xr:uid="{00000000-0004-0000-0000-0000B80D0000}"/>
    <hyperlink ref="E3588" r:id="rId3514" xr:uid="{00000000-0004-0000-0000-0000B90D0000}"/>
    <hyperlink ref="E3589" r:id="rId3515" xr:uid="{00000000-0004-0000-0000-0000BA0D0000}"/>
    <hyperlink ref="E3590" r:id="rId3516" xr:uid="{00000000-0004-0000-0000-0000BB0D0000}"/>
    <hyperlink ref="E3592" r:id="rId3517" xr:uid="{00000000-0004-0000-0000-0000BC0D0000}"/>
    <hyperlink ref="E3593" r:id="rId3518" xr:uid="{00000000-0004-0000-0000-0000BD0D0000}"/>
    <hyperlink ref="E3594" r:id="rId3519" xr:uid="{00000000-0004-0000-0000-0000BE0D0000}"/>
    <hyperlink ref="E3595" r:id="rId3520" xr:uid="{00000000-0004-0000-0000-0000BF0D0000}"/>
    <hyperlink ref="E3596" r:id="rId3521" xr:uid="{00000000-0004-0000-0000-0000C00D0000}"/>
    <hyperlink ref="E3597" r:id="rId3522" xr:uid="{00000000-0004-0000-0000-0000C10D0000}"/>
    <hyperlink ref="E3598" r:id="rId3523" xr:uid="{00000000-0004-0000-0000-0000C20D0000}"/>
    <hyperlink ref="E3599" r:id="rId3524" xr:uid="{00000000-0004-0000-0000-0000C30D0000}"/>
    <hyperlink ref="E3600" r:id="rId3525" xr:uid="{00000000-0004-0000-0000-0000C40D0000}"/>
    <hyperlink ref="E3601" r:id="rId3526" xr:uid="{00000000-0004-0000-0000-0000C50D0000}"/>
    <hyperlink ref="E3602" r:id="rId3527" xr:uid="{00000000-0004-0000-0000-0000C60D0000}"/>
    <hyperlink ref="E3605" r:id="rId3528" xr:uid="{00000000-0004-0000-0000-0000C70D0000}"/>
    <hyperlink ref="E3606" r:id="rId3529" xr:uid="{00000000-0004-0000-0000-0000C80D0000}"/>
    <hyperlink ref="E3607" r:id="rId3530" xr:uid="{00000000-0004-0000-0000-0000C90D0000}"/>
    <hyperlink ref="E3608" r:id="rId3531" xr:uid="{00000000-0004-0000-0000-0000CA0D0000}"/>
    <hyperlink ref="E3609" r:id="rId3532" xr:uid="{00000000-0004-0000-0000-0000CB0D0000}"/>
    <hyperlink ref="E3610" r:id="rId3533" xr:uid="{00000000-0004-0000-0000-0000CC0D0000}"/>
    <hyperlink ref="E3611" r:id="rId3534" xr:uid="{00000000-0004-0000-0000-0000CD0D0000}"/>
    <hyperlink ref="E3612" r:id="rId3535" xr:uid="{00000000-0004-0000-0000-0000CE0D0000}"/>
    <hyperlink ref="E3613" r:id="rId3536" xr:uid="{00000000-0004-0000-0000-0000CF0D0000}"/>
    <hyperlink ref="E3614" r:id="rId3537" xr:uid="{00000000-0004-0000-0000-0000D00D0000}"/>
    <hyperlink ref="E3615" r:id="rId3538" xr:uid="{00000000-0004-0000-0000-0000D10D0000}"/>
    <hyperlink ref="E3616" r:id="rId3539" xr:uid="{00000000-0004-0000-0000-0000D20D0000}"/>
    <hyperlink ref="E3617" r:id="rId3540" xr:uid="{00000000-0004-0000-0000-0000D30D0000}"/>
    <hyperlink ref="E3618" r:id="rId3541" xr:uid="{00000000-0004-0000-0000-0000D40D0000}"/>
    <hyperlink ref="E3619" r:id="rId3542" xr:uid="{00000000-0004-0000-0000-0000D50D0000}"/>
    <hyperlink ref="E3620" r:id="rId3543" xr:uid="{00000000-0004-0000-0000-0000D60D0000}"/>
    <hyperlink ref="E3621" r:id="rId3544" xr:uid="{00000000-0004-0000-0000-0000D70D0000}"/>
    <hyperlink ref="E3622" r:id="rId3545" xr:uid="{00000000-0004-0000-0000-0000D80D0000}"/>
    <hyperlink ref="E3623" r:id="rId3546" xr:uid="{00000000-0004-0000-0000-0000D90D0000}"/>
    <hyperlink ref="E3624" r:id="rId3547" xr:uid="{00000000-0004-0000-0000-0000DA0D0000}"/>
    <hyperlink ref="E3625" r:id="rId3548" xr:uid="{00000000-0004-0000-0000-0000DB0D0000}"/>
    <hyperlink ref="E3626" r:id="rId3549" xr:uid="{00000000-0004-0000-0000-0000DC0D0000}"/>
    <hyperlink ref="E3627" r:id="rId3550" xr:uid="{00000000-0004-0000-0000-0000DD0D0000}"/>
    <hyperlink ref="E3628" r:id="rId3551" xr:uid="{00000000-0004-0000-0000-0000DE0D0000}"/>
    <hyperlink ref="E3629" r:id="rId3552" xr:uid="{00000000-0004-0000-0000-0000DF0D0000}"/>
    <hyperlink ref="E3630" r:id="rId3553" xr:uid="{00000000-0004-0000-0000-0000E00D0000}"/>
    <hyperlink ref="E3631" r:id="rId3554" xr:uid="{00000000-0004-0000-0000-0000E10D0000}"/>
    <hyperlink ref="E3632" r:id="rId3555" xr:uid="{00000000-0004-0000-0000-0000E20D0000}"/>
    <hyperlink ref="E3633" r:id="rId3556" xr:uid="{00000000-0004-0000-0000-0000E30D0000}"/>
    <hyperlink ref="E3634" r:id="rId3557" xr:uid="{00000000-0004-0000-0000-0000E40D0000}"/>
    <hyperlink ref="E3635" r:id="rId3558" xr:uid="{00000000-0004-0000-0000-0000E50D0000}"/>
    <hyperlink ref="E3636" r:id="rId3559" xr:uid="{00000000-0004-0000-0000-0000E60D0000}"/>
    <hyperlink ref="E3637" r:id="rId3560" xr:uid="{00000000-0004-0000-0000-0000E70D0000}"/>
    <hyperlink ref="E3638" r:id="rId3561" xr:uid="{00000000-0004-0000-0000-0000E80D0000}"/>
    <hyperlink ref="E3639" r:id="rId3562" xr:uid="{00000000-0004-0000-0000-0000E90D0000}"/>
    <hyperlink ref="E3640" r:id="rId3563" xr:uid="{00000000-0004-0000-0000-0000EA0D0000}"/>
    <hyperlink ref="E3641" r:id="rId3564" xr:uid="{00000000-0004-0000-0000-0000EB0D0000}"/>
    <hyperlink ref="E3642" r:id="rId3565" xr:uid="{00000000-0004-0000-0000-0000EC0D0000}"/>
    <hyperlink ref="E3643" r:id="rId3566" xr:uid="{00000000-0004-0000-0000-0000ED0D0000}"/>
    <hyperlink ref="E3645" r:id="rId3567" xr:uid="{00000000-0004-0000-0000-0000EE0D0000}"/>
    <hyperlink ref="E3646" r:id="rId3568" xr:uid="{00000000-0004-0000-0000-0000EF0D0000}"/>
    <hyperlink ref="E3647" r:id="rId3569" xr:uid="{00000000-0004-0000-0000-0000F00D0000}"/>
    <hyperlink ref="E3648" r:id="rId3570" xr:uid="{00000000-0004-0000-0000-0000F10D0000}"/>
    <hyperlink ref="E3649" r:id="rId3571" xr:uid="{00000000-0004-0000-0000-0000F20D0000}"/>
    <hyperlink ref="E3650" r:id="rId3572" xr:uid="{00000000-0004-0000-0000-0000F30D0000}"/>
    <hyperlink ref="E3651" r:id="rId3573" xr:uid="{00000000-0004-0000-0000-0000F40D0000}"/>
    <hyperlink ref="E3652" r:id="rId3574" xr:uid="{00000000-0004-0000-0000-0000F50D0000}"/>
    <hyperlink ref="E3653" r:id="rId3575" xr:uid="{00000000-0004-0000-0000-0000F60D0000}"/>
    <hyperlink ref="E3654" r:id="rId3576" xr:uid="{00000000-0004-0000-0000-0000F70D0000}"/>
    <hyperlink ref="E3655" r:id="rId3577" xr:uid="{00000000-0004-0000-0000-0000F80D0000}"/>
    <hyperlink ref="E3656" r:id="rId3578" xr:uid="{00000000-0004-0000-0000-0000F90D0000}"/>
    <hyperlink ref="E3657" r:id="rId3579" xr:uid="{00000000-0004-0000-0000-0000FA0D0000}"/>
    <hyperlink ref="E3658" r:id="rId3580" xr:uid="{00000000-0004-0000-0000-0000FB0D0000}"/>
    <hyperlink ref="E3659" r:id="rId3581" xr:uid="{00000000-0004-0000-0000-0000FC0D0000}"/>
    <hyperlink ref="E3660" r:id="rId3582" xr:uid="{00000000-0004-0000-0000-0000FD0D0000}"/>
    <hyperlink ref="E3661" r:id="rId3583" xr:uid="{00000000-0004-0000-0000-0000FE0D0000}"/>
    <hyperlink ref="E3662" r:id="rId3584" xr:uid="{00000000-0004-0000-0000-0000FF0D0000}"/>
    <hyperlink ref="E3663" r:id="rId3585" xr:uid="{00000000-0004-0000-0000-0000000E0000}"/>
    <hyperlink ref="E3664" r:id="rId3586" xr:uid="{00000000-0004-0000-0000-0000010E0000}"/>
    <hyperlink ref="E3665" r:id="rId3587" xr:uid="{00000000-0004-0000-0000-0000020E0000}"/>
    <hyperlink ref="E3666" r:id="rId3588" xr:uid="{00000000-0004-0000-0000-0000030E0000}"/>
    <hyperlink ref="E3667" r:id="rId3589" xr:uid="{00000000-0004-0000-0000-0000040E0000}"/>
    <hyperlink ref="E3668" r:id="rId3590" xr:uid="{00000000-0004-0000-0000-0000050E0000}"/>
    <hyperlink ref="E3669" r:id="rId3591" xr:uid="{00000000-0004-0000-0000-0000060E0000}"/>
    <hyperlink ref="E3670" r:id="rId3592" xr:uid="{00000000-0004-0000-0000-0000070E0000}"/>
    <hyperlink ref="E3671" r:id="rId3593" xr:uid="{00000000-0004-0000-0000-0000080E0000}"/>
    <hyperlink ref="E3672" r:id="rId3594" xr:uid="{00000000-0004-0000-0000-0000090E0000}"/>
    <hyperlink ref="E3673" r:id="rId3595" xr:uid="{00000000-0004-0000-0000-00000A0E0000}"/>
    <hyperlink ref="E3674" r:id="rId3596" xr:uid="{00000000-0004-0000-0000-00000B0E0000}"/>
    <hyperlink ref="E3675" r:id="rId3597" xr:uid="{00000000-0004-0000-0000-00000C0E0000}"/>
    <hyperlink ref="E3676" r:id="rId3598" xr:uid="{00000000-0004-0000-0000-00000D0E0000}"/>
    <hyperlink ref="E3677" r:id="rId3599" xr:uid="{00000000-0004-0000-0000-00000E0E0000}"/>
    <hyperlink ref="E3678" r:id="rId3600" xr:uid="{00000000-0004-0000-0000-00000F0E0000}"/>
    <hyperlink ref="E3679" r:id="rId3601" xr:uid="{00000000-0004-0000-0000-0000100E0000}"/>
    <hyperlink ref="E3680" r:id="rId3602" xr:uid="{00000000-0004-0000-0000-0000110E0000}"/>
    <hyperlink ref="E3681" r:id="rId3603" xr:uid="{00000000-0004-0000-0000-0000120E0000}"/>
    <hyperlink ref="E3682" r:id="rId3604" xr:uid="{00000000-0004-0000-0000-0000130E0000}"/>
    <hyperlink ref="E3683" r:id="rId3605" xr:uid="{00000000-0004-0000-0000-0000140E0000}"/>
    <hyperlink ref="E3684" r:id="rId3606" xr:uid="{00000000-0004-0000-0000-0000150E0000}"/>
    <hyperlink ref="E3685" r:id="rId3607" xr:uid="{00000000-0004-0000-0000-0000160E0000}"/>
    <hyperlink ref="E3686" r:id="rId3608" xr:uid="{00000000-0004-0000-0000-0000170E0000}"/>
    <hyperlink ref="E3687" r:id="rId3609" xr:uid="{00000000-0004-0000-0000-0000180E0000}"/>
    <hyperlink ref="E3688" r:id="rId3610" xr:uid="{00000000-0004-0000-0000-0000190E0000}"/>
    <hyperlink ref="E3689" r:id="rId3611" xr:uid="{00000000-0004-0000-0000-00001A0E0000}"/>
    <hyperlink ref="E3690" r:id="rId3612" xr:uid="{00000000-0004-0000-0000-00001B0E0000}"/>
    <hyperlink ref="E3691" r:id="rId3613" xr:uid="{00000000-0004-0000-0000-00001C0E0000}"/>
    <hyperlink ref="E3692" r:id="rId3614" xr:uid="{00000000-0004-0000-0000-00001D0E0000}"/>
    <hyperlink ref="E3693" r:id="rId3615" xr:uid="{00000000-0004-0000-0000-00001E0E0000}"/>
    <hyperlink ref="E3694" r:id="rId3616" xr:uid="{00000000-0004-0000-0000-00001F0E0000}"/>
    <hyperlink ref="E3695" r:id="rId3617" xr:uid="{00000000-0004-0000-0000-0000200E0000}"/>
    <hyperlink ref="E3696" r:id="rId3618" xr:uid="{00000000-0004-0000-0000-0000210E0000}"/>
    <hyperlink ref="E3697" r:id="rId3619" xr:uid="{00000000-0004-0000-0000-0000220E0000}"/>
    <hyperlink ref="E3698" r:id="rId3620" xr:uid="{00000000-0004-0000-0000-0000230E0000}"/>
    <hyperlink ref="E3699" r:id="rId3621" xr:uid="{00000000-0004-0000-0000-0000240E0000}"/>
    <hyperlink ref="E3700" r:id="rId3622" xr:uid="{00000000-0004-0000-0000-0000250E0000}"/>
    <hyperlink ref="E3701" r:id="rId3623" xr:uid="{00000000-0004-0000-0000-0000260E0000}"/>
    <hyperlink ref="E3702" r:id="rId3624" xr:uid="{00000000-0004-0000-0000-0000270E0000}"/>
    <hyperlink ref="E3703" r:id="rId3625" xr:uid="{00000000-0004-0000-0000-0000280E0000}"/>
    <hyperlink ref="E3704" r:id="rId3626" xr:uid="{00000000-0004-0000-0000-0000290E0000}"/>
    <hyperlink ref="E3705" r:id="rId3627" xr:uid="{00000000-0004-0000-0000-00002A0E0000}"/>
    <hyperlink ref="E3706" r:id="rId3628" xr:uid="{00000000-0004-0000-0000-00002B0E0000}"/>
    <hyperlink ref="E3707" r:id="rId3629" xr:uid="{00000000-0004-0000-0000-00002C0E0000}"/>
    <hyperlink ref="E3708" r:id="rId3630" xr:uid="{00000000-0004-0000-0000-00002D0E0000}"/>
    <hyperlink ref="E3709" r:id="rId3631" xr:uid="{00000000-0004-0000-0000-00002E0E0000}"/>
    <hyperlink ref="E3710" r:id="rId3632" xr:uid="{00000000-0004-0000-0000-00002F0E0000}"/>
    <hyperlink ref="E3712" r:id="rId3633" xr:uid="{00000000-0004-0000-0000-0000300E0000}"/>
    <hyperlink ref="E3713" r:id="rId3634" xr:uid="{00000000-0004-0000-0000-0000310E0000}"/>
    <hyperlink ref="E3714" r:id="rId3635" xr:uid="{00000000-0004-0000-0000-0000320E0000}"/>
    <hyperlink ref="E3715" r:id="rId3636" xr:uid="{00000000-0004-0000-0000-0000330E0000}"/>
    <hyperlink ref="E3716" r:id="rId3637" xr:uid="{00000000-0004-0000-0000-0000340E0000}"/>
    <hyperlink ref="E3717" r:id="rId3638" xr:uid="{00000000-0004-0000-0000-0000350E0000}"/>
    <hyperlink ref="E3718" r:id="rId3639" xr:uid="{00000000-0004-0000-0000-0000360E0000}"/>
    <hyperlink ref="E3719" r:id="rId3640" xr:uid="{00000000-0004-0000-0000-0000370E0000}"/>
    <hyperlink ref="E3720" r:id="rId3641" xr:uid="{00000000-0004-0000-0000-0000380E0000}"/>
    <hyperlink ref="E3721" r:id="rId3642" xr:uid="{00000000-0004-0000-0000-0000390E0000}"/>
    <hyperlink ref="E3722" r:id="rId3643" xr:uid="{00000000-0004-0000-0000-00003A0E0000}"/>
    <hyperlink ref="E3723" r:id="rId3644" xr:uid="{00000000-0004-0000-0000-00003B0E0000}"/>
    <hyperlink ref="E3724" r:id="rId3645" xr:uid="{00000000-0004-0000-0000-00003C0E0000}"/>
    <hyperlink ref="E3725" r:id="rId3646" xr:uid="{00000000-0004-0000-0000-00003D0E0000}"/>
    <hyperlink ref="E3726" r:id="rId3647" xr:uid="{00000000-0004-0000-0000-00003E0E0000}"/>
    <hyperlink ref="E3727" r:id="rId3648" xr:uid="{00000000-0004-0000-0000-00003F0E0000}"/>
    <hyperlink ref="E3728" r:id="rId3649" xr:uid="{00000000-0004-0000-0000-0000400E0000}"/>
    <hyperlink ref="E3729" r:id="rId3650" xr:uid="{00000000-0004-0000-0000-0000410E0000}"/>
    <hyperlink ref="E3732" r:id="rId3651" xr:uid="{00000000-0004-0000-0000-0000420E0000}"/>
    <hyperlink ref="E3733" r:id="rId3652" xr:uid="{00000000-0004-0000-0000-0000430E0000}"/>
    <hyperlink ref="E3734" r:id="rId3653" xr:uid="{00000000-0004-0000-0000-0000440E0000}"/>
    <hyperlink ref="E3735" r:id="rId3654" xr:uid="{00000000-0004-0000-0000-0000450E0000}"/>
    <hyperlink ref="E3736" r:id="rId3655" xr:uid="{00000000-0004-0000-0000-0000460E0000}"/>
    <hyperlink ref="E3737" r:id="rId3656" xr:uid="{00000000-0004-0000-0000-0000470E0000}"/>
    <hyperlink ref="E3738" r:id="rId3657" xr:uid="{00000000-0004-0000-0000-0000480E0000}"/>
    <hyperlink ref="E3739" r:id="rId3658" xr:uid="{00000000-0004-0000-0000-0000490E0000}"/>
    <hyperlink ref="E3740" r:id="rId3659" xr:uid="{00000000-0004-0000-0000-00004A0E0000}"/>
    <hyperlink ref="E3741" r:id="rId3660" xr:uid="{00000000-0004-0000-0000-00004B0E0000}"/>
    <hyperlink ref="E3743" r:id="rId3661" xr:uid="{00000000-0004-0000-0000-00004C0E0000}"/>
    <hyperlink ref="E3744" r:id="rId3662" xr:uid="{00000000-0004-0000-0000-00004D0E0000}"/>
    <hyperlink ref="E3745" r:id="rId3663" xr:uid="{00000000-0004-0000-0000-00004E0E0000}"/>
    <hyperlink ref="E3746" r:id="rId3664" xr:uid="{00000000-0004-0000-0000-00004F0E0000}"/>
    <hyperlink ref="E3747" r:id="rId3665" xr:uid="{00000000-0004-0000-0000-0000500E0000}"/>
    <hyperlink ref="E3748" r:id="rId3666" xr:uid="{00000000-0004-0000-0000-0000510E0000}"/>
    <hyperlink ref="E3749" r:id="rId3667" xr:uid="{00000000-0004-0000-0000-0000520E0000}"/>
    <hyperlink ref="E3750" r:id="rId3668" xr:uid="{00000000-0004-0000-0000-0000530E0000}"/>
    <hyperlink ref="E3751" r:id="rId3669" xr:uid="{00000000-0004-0000-0000-0000540E0000}"/>
    <hyperlink ref="E3752" r:id="rId3670" xr:uid="{00000000-0004-0000-0000-0000550E0000}"/>
    <hyperlink ref="E3753" r:id="rId3671" xr:uid="{00000000-0004-0000-0000-0000560E0000}"/>
    <hyperlink ref="E3754" r:id="rId3672" xr:uid="{00000000-0004-0000-0000-0000570E0000}"/>
    <hyperlink ref="E3755" r:id="rId3673" xr:uid="{00000000-0004-0000-0000-0000580E0000}"/>
    <hyperlink ref="E3756" r:id="rId3674" xr:uid="{00000000-0004-0000-0000-0000590E0000}"/>
    <hyperlink ref="E3757" r:id="rId3675" xr:uid="{00000000-0004-0000-0000-00005A0E0000}"/>
    <hyperlink ref="E3758" r:id="rId3676" xr:uid="{00000000-0004-0000-0000-00005B0E0000}"/>
    <hyperlink ref="E3759" r:id="rId3677" xr:uid="{00000000-0004-0000-0000-00005C0E0000}"/>
    <hyperlink ref="E3760" r:id="rId3678" xr:uid="{00000000-0004-0000-0000-00005D0E0000}"/>
    <hyperlink ref="E3761" r:id="rId3679" xr:uid="{00000000-0004-0000-0000-00005E0E0000}"/>
    <hyperlink ref="E3762" r:id="rId3680" xr:uid="{00000000-0004-0000-0000-00005F0E0000}"/>
    <hyperlink ref="E3763" r:id="rId3681" xr:uid="{00000000-0004-0000-0000-0000600E0000}"/>
    <hyperlink ref="E3764" r:id="rId3682" xr:uid="{00000000-0004-0000-0000-0000610E0000}"/>
    <hyperlink ref="E3767" r:id="rId3683" xr:uid="{00000000-0004-0000-0000-0000620E0000}"/>
    <hyperlink ref="E3768" r:id="rId3684" xr:uid="{00000000-0004-0000-0000-0000630E0000}"/>
    <hyperlink ref="E3769" r:id="rId3685" xr:uid="{00000000-0004-0000-0000-0000640E0000}"/>
    <hyperlink ref="E3770" r:id="rId3686" xr:uid="{00000000-0004-0000-0000-0000650E0000}"/>
    <hyperlink ref="E3771" r:id="rId3687" xr:uid="{00000000-0004-0000-0000-0000660E0000}"/>
    <hyperlink ref="E3772" r:id="rId3688" xr:uid="{00000000-0004-0000-0000-0000670E0000}"/>
    <hyperlink ref="E3773" r:id="rId3689" xr:uid="{00000000-0004-0000-0000-0000680E0000}"/>
    <hyperlink ref="E3774" r:id="rId3690" xr:uid="{00000000-0004-0000-0000-0000690E0000}"/>
    <hyperlink ref="E3776" r:id="rId3691" xr:uid="{00000000-0004-0000-0000-00006A0E0000}"/>
    <hyperlink ref="E3777" r:id="rId3692" xr:uid="{00000000-0004-0000-0000-00006B0E0000}"/>
    <hyperlink ref="E3778" r:id="rId3693" xr:uid="{00000000-0004-0000-0000-00006C0E0000}"/>
    <hyperlink ref="E3779" r:id="rId3694" xr:uid="{00000000-0004-0000-0000-00006D0E0000}"/>
    <hyperlink ref="E3780" r:id="rId3695" xr:uid="{00000000-0004-0000-0000-00006E0E0000}"/>
    <hyperlink ref="E3782" r:id="rId3696" xr:uid="{00000000-0004-0000-0000-00006F0E0000}"/>
    <hyperlink ref="E3783" r:id="rId3697" xr:uid="{00000000-0004-0000-0000-0000700E0000}"/>
    <hyperlink ref="E3784" r:id="rId3698" xr:uid="{00000000-0004-0000-0000-0000710E0000}"/>
    <hyperlink ref="E3785" r:id="rId3699" xr:uid="{00000000-0004-0000-0000-0000720E0000}"/>
    <hyperlink ref="E3786" r:id="rId3700" xr:uid="{00000000-0004-0000-0000-0000730E0000}"/>
    <hyperlink ref="E3788" r:id="rId3701" xr:uid="{00000000-0004-0000-0000-0000740E0000}"/>
    <hyperlink ref="E3789" r:id="rId3702" xr:uid="{00000000-0004-0000-0000-0000750E0000}"/>
    <hyperlink ref="E3790" r:id="rId3703" xr:uid="{00000000-0004-0000-0000-0000760E0000}"/>
    <hyperlink ref="E3791" r:id="rId3704" xr:uid="{00000000-0004-0000-0000-0000770E0000}"/>
    <hyperlink ref="E3792" r:id="rId3705" xr:uid="{00000000-0004-0000-0000-0000780E0000}"/>
    <hyperlink ref="E3793" r:id="rId3706" xr:uid="{00000000-0004-0000-0000-0000790E0000}"/>
    <hyperlink ref="E3794" r:id="rId3707" xr:uid="{00000000-0004-0000-0000-00007A0E0000}"/>
    <hyperlink ref="E3795" r:id="rId3708" xr:uid="{00000000-0004-0000-0000-00007B0E0000}"/>
    <hyperlink ref="E3796" r:id="rId3709" xr:uid="{00000000-0004-0000-0000-00007C0E0000}"/>
    <hyperlink ref="E3797" r:id="rId3710" xr:uid="{00000000-0004-0000-0000-00007D0E0000}"/>
    <hyperlink ref="E3798" r:id="rId3711" xr:uid="{00000000-0004-0000-0000-00007E0E0000}"/>
    <hyperlink ref="E3799" r:id="rId3712" xr:uid="{00000000-0004-0000-0000-00007F0E0000}"/>
    <hyperlink ref="E3800" r:id="rId3713" xr:uid="{00000000-0004-0000-0000-0000800E0000}"/>
    <hyperlink ref="E3801" r:id="rId3714" xr:uid="{00000000-0004-0000-0000-0000810E0000}"/>
    <hyperlink ref="E3803" r:id="rId3715" xr:uid="{00000000-0004-0000-0000-0000820E0000}"/>
    <hyperlink ref="E3804" r:id="rId3716" xr:uid="{00000000-0004-0000-0000-0000830E0000}"/>
    <hyperlink ref="E3805" r:id="rId3717" xr:uid="{00000000-0004-0000-0000-0000840E0000}"/>
    <hyperlink ref="E3806" r:id="rId3718" xr:uid="{00000000-0004-0000-0000-0000850E0000}"/>
    <hyperlink ref="E3807" r:id="rId3719" xr:uid="{00000000-0004-0000-0000-0000860E0000}"/>
    <hyperlink ref="E3808" r:id="rId3720" xr:uid="{00000000-0004-0000-0000-0000870E0000}"/>
    <hyperlink ref="E3809" r:id="rId3721" xr:uid="{00000000-0004-0000-0000-0000880E0000}"/>
    <hyperlink ref="E3810" r:id="rId3722" xr:uid="{00000000-0004-0000-0000-0000890E0000}"/>
    <hyperlink ref="E3811" r:id="rId3723" xr:uid="{00000000-0004-0000-0000-00008A0E0000}"/>
    <hyperlink ref="E3812" r:id="rId3724" xr:uid="{00000000-0004-0000-0000-00008B0E0000}"/>
    <hyperlink ref="E3813" r:id="rId3725" xr:uid="{00000000-0004-0000-0000-00008C0E0000}"/>
    <hyperlink ref="E3814" r:id="rId3726" xr:uid="{00000000-0004-0000-0000-00008D0E0000}"/>
    <hyperlink ref="E3815" r:id="rId3727" xr:uid="{00000000-0004-0000-0000-00008E0E0000}"/>
    <hyperlink ref="E3816" r:id="rId3728" xr:uid="{00000000-0004-0000-0000-00008F0E0000}"/>
    <hyperlink ref="E3817" r:id="rId3729" xr:uid="{00000000-0004-0000-0000-0000900E0000}"/>
    <hyperlink ref="E3818" r:id="rId3730" xr:uid="{00000000-0004-0000-0000-0000910E0000}"/>
    <hyperlink ref="E3819" r:id="rId3731" xr:uid="{00000000-0004-0000-0000-0000920E0000}"/>
    <hyperlink ref="E3821" r:id="rId3732" xr:uid="{00000000-0004-0000-0000-0000930E0000}"/>
    <hyperlink ref="E3822" r:id="rId3733" xr:uid="{00000000-0004-0000-0000-0000940E0000}"/>
    <hyperlink ref="E3823" r:id="rId3734" xr:uid="{00000000-0004-0000-0000-0000950E0000}"/>
    <hyperlink ref="E3824" r:id="rId3735" xr:uid="{00000000-0004-0000-0000-0000960E0000}"/>
    <hyperlink ref="E3825" r:id="rId3736" xr:uid="{00000000-0004-0000-0000-0000970E0000}"/>
    <hyperlink ref="E3826" r:id="rId3737" xr:uid="{00000000-0004-0000-0000-0000980E0000}"/>
    <hyperlink ref="E3829" r:id="rId3738" xr:uid="{00000000-0004-0000-0000-0000990E0000}"/>
    <hyperlink ref="E3830" r:id="rId3739" xr:uid="{00000000-0004-0000-0000-00009A0E0000}"/>
    <hyperlink ref="E3831" r:id="rId3740" xr:uid="{00000000-0004-0000-0000-00009B0E0000}"/>
    <hyperlink ref="E3832" r:id="rId3741" xr:uid="{00000000-0004-0000-0000-00009C0E0000}"/>
    <hyperlink ref="E3833" r:id="rId3742" xr:uid="{00000000-0004-0000-0000-00009D0E0000}"/>
    <hyperlink ref="E3834" r:id="rId3743" xr:uid="{00000000-0004-0000-0000-00009E0E0000}"/>
    <hyperlink ref="E3835" r:id="rId3744" xr:uid="{00000000-0004-0000-0000-00009F0E0000}"/>
    <hyperlink ref="E3836" r:id="rId3745" xr:uid="{00000000-0004-0000-0000-0000A00E0000}"/>
    <hyperlink ref="E3837" r:id="rId3746" xr:uid="{00000000-0004-0000-0000-0000A10E0000}"/>
    <hyperlink ref="E3838" r:id="rId3747" xr:uid="{00000000-0004-0000-0000-0000A20E0000}"/>
    <hyperlink ref="E3839" r:id="rId3748" xr:uid="{00000000-0004-0000-0000-0000A30E0000}"/>
    <hyperlink ref="E3840" r:id="rId3749" xr:uid="{00000000-0004-0000-0000-0000A40E0000}"/>
    <hyperlink ref="E3841" r:id="rId3750" xr:uid="{00000000-0004-0000-0000-0000A50E0000}"/>
    <hyperlink ref="E3842" r:id="rId3751" xr:uid="{00000000-0004-0000-0000-0000A60E0000}"/>
    <hyperlink ref="E3843" r:id="rId3752" xr:uid="{00000000-0004-0000-0000-0000A70E0000}"/>
    <hyperlink ref="E3845" r:id="rId3753" xr:uid="{00000000-0004-0000-0000-0000A80E0000}"/>
    <hyperlink ref="E3846" r:id="rId3754" xr:uid="{00000000-0004-0000-0000-0000A90E0000}"/>
    <hyperlink ref="E3848" r:id="rId3755" xr:uid="{00000000-0004-0000-0000-0000AA0E0000}"/>
    <hyperlink ref="E3849" r:id="rId3756" xr:uid="{00000000-0004-0000-0000-0000AB0E0000}"/>
    <hyperlink ref="E3850" r:id="rId3757" xr:uid="{00000000-0004-0000-0000-0000AC0E0000}"/>
    <hyperlink ref="E3851" r:id="rId3758" xr:uid="{00000000-0004-0000-0000-0000AD0E0000}"/>
    <hyperlink ref="E3852" r:id="rId3759" xr:uid="{00000000-0004-0000-0000-0000AE0E0000}"/>
    <hyperlink ref="E3853" r:id="rId3760" xr:uid="{00000000-0004-0000-0000-0000AF0E0000}"/>
    <hyperlink ref="E3854" r:id="rId3761" xr:uid="{00000000-0004-0000-0000-0000B00E0000}"/>
    <hyperlink ref="E3855" r:id="rId3762" xr:uid="{00000000-0004-0000-0000-0000B10E0000}"/>
    <hyperlink ref="E3856" r:id="rId3763" xr:uid="{00000000-0004-0000-0000-0000B20E0000}"/>
    <hyperlink ref="E3857" r:id="rId3764" xr:uid="{00000000-0004-0000-0000-0000B30E0000}"/>
    <hyperlink ref="E3859" r:id="rId3765" xr:uid="{00000000-0004-0000-0000-0000B40E0000}"/>
    <hyperlink ref="E3862" r:id="rId3766" xr:uid="{00000000-0004-0000-0000-0000B50E0000}"/>
    <hyperlink ref="E3863" r:id="rId3767" xr:uid="{00000000-0004-0000-0000-0000B60E0000}"/>
    <hyperlink ref="E3864" r:id="rId3768" xr:uid="{00000000-0004-0000-0000-0000B70E0000}"/>
    <hyperlink ref="E3865" r:id="rId3769" xr:uid="{00000000-0004-0000-0000-0000B80E0000}"/>
    <hyperlink ref="E3866" r:id="rId3770" xr:uid="{00000000-0004-0000-0000-0000B90E0000}"/>
    <hyperlink ref="E3867" r:id="rId3771" xr:uid="{00000000-0004-0000-0000-0000BA0E0000}"/>
    <hyperlink ref="E3868" r:id="rId3772" xr:uid="{00000000-0004-0000-0000-0000BB0E0000}"/>
    <hyperlink ref="E3871" r:id="rId3773" xr:uid="{00000000-0004-0000-0000-0000BC0E0000}"/>
    <hyperlink ref="E3872" r:id="rId3774" xr:uid="{00000000-0004-0000-0000-0000BD0E0000}"/>
    <hyperlink ref="E3873" r:id="rId3775" xr:uid="{00000000-0004-0000-0000-0000BE0E0000}"/>
    <hyperlink ref="E3874" r:id="rId3776" xr:uid="{00000000-0004-0000-0000-0000BF0E0000}"/>
    <hyperlink ref="E3875" r:id="rId3777" xr:uid="{00000000-0004-0000-0000-0000C00E0000}"/>
    <hyperlink ref="E3876" r:id="rId3778" xr:uid="{00000000-0004-0000-0000-0000C10E0000}"/>
    <hyperlink ref="E3877" r:id="rId3779" xr:uid="{00000000-0004-0000-0000-0000C20E0000}"/>
    <hyperlink ref="E3878" r:id="rId3780" xr:uid="{00000000-0004-0000-0000-0000C30E0000}"/>
    <hyperlink ref="E3879" r:id="rId3781" xr:uid="{00000000-0004-0000-0000-0000C40E0000}"/>
    <hyperlink ref="E3880" r:id="rId3782" xr:uid="{00000000-0004-0000-0000-0000C50E0000}"/>
    <hyperlink ref="E3881" r:id="rId3783" xr:uid="{00000000-0004-0000-0000-0000C60E0000}"/>
    <hyperlink ref="E3882" r:id="rId3784" xr:uid="{00000000-0004-0000-0000-0000C70E0000}"/>
    <hyperlink ref="E3883" r:id="rId3785" xr:uid="{00000000-0004-0000-0000-0000C80E0000}"/>
    <hyperlink ref="E3884" r:id="rId3786" xr:uid="{00000000-0004-0000-0000-0000C90E0000}"/>
    <hyperlink ref="E3885" r:id="rId3787" xr:uid="{00000000-0004-0000-0000-0000CA0E0000}"/>
    <hyperlink ref="E3886" r:id="rId3788" xr:uid="{00000000-0004-0000-0000-0000CB0E0000}"/>
    <hyperlink ref="E3887" r:id="rId3789" xr:uid="{00000000-0004-0000-0000-0000CC0E0000}"/>
    <hyperlink ref="E3888" r:id="rId3790" xr:uid="{00000000-0004-0000-0000-0000CD0E0000}"/>
    <hyperlink ref="E3889" r:id="rId3791" xr:uid="{00000000-0004-0000-0000-0000CE0E0000}"/>
    <hyperlink ref="E3890" r:id="rId3792" xr:uid="{00000000-0004-0000-0000-0000CF0E0000}"/>
    <hyperlink ref="E3891" r:id="rId3793" xr:uid="{00000000-0004-0000-0000-0000D00E0000}"/>
    <hyperlink ref="E3892" r:id="rId3794" xr:uid="{00000000-0004-0000-0000-0000D10E0000}"/>
    <hyperlink ref="E3894" r:id="rId3795" xr:uid="{00000000-0004-0000-0000-0000D20E0000}"/>
    <hyperlink ref="E3895" r:id="rId3796" xr:uid="{00000000-0004-0000-0000-0000D30E0000}"/>
    <hyperlink ref="E3896" r:id="rId3797" xr:uid="{00000000-0004-0000-0000-0000D40E0000}"/>
    <hyperlink ref="E3897" r:id="rId3798" xr:uid="{00000000-0004-0000-0000-0000D50E0000}"/>
    <hyperlink ref="E3898" r:id="rId3799" xr:uid="{00000000-0004-0000-0000-0000D60E0000}"/>
    <hyperlink ref="E3899" r:id="rId3800" xr:uid="{00000000-0004-0000-0000-0000D70E0000}"/>
    <hyperlink ref="E3900" r:id="rId3801" xr:uid="{00000000-0004-0000-0000-0000D80E0000}"/>
    <hyperlink ref="E3901" r:id="rId3802" xr:uid="{00000000-0004-0000-0000-0000D90E0000}"/>
    <hyperlink ref="E3902" r:id="rId3803" xr:uid="{00000000-0004-0000-0000-0000DA0E0000}"/>
    <hyperlink ref="E3903" r:id="rId3804" xr:uid="{00000000-0004-0000-0000-0000DB0E0000}"/>
    <hyperlink ref="E3904" r:id="rId3805" xr:uid="{00000000-0004-0000-0000-0000DC0E0000}"/>
    <hyperlink ref="E3905" r:id="rId3806" xr:uid="{00000000-0004-0000-0000-0000DD0E0000}"/>
    <hyperlink ref="E3906" r:id="rId3807" xr:uid="{00000000-0004-0000-0000-0000DE0E0000}"/>
    <hyperlink ref="E3907" r:id="rId3808" xr:uid="{00000000-0004-0000-0000-0000DF0E0000}"/>
    <hyperlink ref="E3908" r:id="rId3809" xr:uid="{00000000-0004-0000-0000-0000E00E0000}"/>
    <hyperlink ref="E3909" r:id="rId3810" xr:uid="{00000000-0004-0000-0000-0000E10E0000}"/>
    <hyperlink ref="E3910" r:id="rId3811" xr:uid="{00000000-0004-0000-0000-0000E20E0000}"/>
    <hyperlink ref="E3911" r:id="rId3812" xr:uid="{00000000-0004-0000-0000-0000E30E0000}"/>
    <hyperlink ref="E3912" r:id="rId3813" xr:uid="{00000000-0004-0000-0000-0000E40E0000}"/>
    <hyperlink ref="E3913" r:id="rId3814" xr:uid="{00000000-0004-0000-0000-0000E50E0000}"/>
    <hyperlink ref="E3914" r:id="rId3815" xr:uid="{00000000-0004-0000-0000-0000E60E0000}"/>
    <hyperlink ref="E3915" r:id="rId3816" xr:uid="{00000000-0004-0000-0000-0000E70E0000}"/>
    <hyperlink ref="E3916" r:id="rId3817" xr:uid="{00000000-0004-0000-0000-0000E80E0000}"/>
    <hyperlink ref="E3917" r:id="rId3818" xr:uid="{00000000-0004-0000-0000-0000E90E0000}"/>
    <hyperlink ref="E3918" r:id="rId3819" xr:uid="{00000000-0004-0000-0000-0000EA0E0000}"/>
    <hyperlink ref="E3919" r:id="rId3820" xr:uid="{00000000-0004-0000-0000-0000EB0E0000}"/>
    <hyperlink ref="E3920" r:id="rId3821" xr:uid="{00000000-0004-0000-0000-0000EC0E0000}"/>
    <hyperlink ref="E3921" r:id="rId3822" xr:uid="{00000000-0004-0000-0000-0000ED0E0000}"/>
    <hyperlink ref="E3922" r:id="rId3823" xr:uid="{00000000-0004-0000-0000-0000EE0E0000}"/>
    <hyperlink ref="E3923" r:id="rId3824" xr:uid="{00000000-0004-0000-0000-0000EF0E0000}"/>
    <hyperlink ref="E3924" r:id="rId3825" xr:uid="{00000000-0004-0000-0000-0000F00E0000}"/>
    <hyperlink ref="E3926" r:id="rId3826" xr:uid="{00000000-0004-0000-0000-0000F10E0000}"/>
    <hyperlink ref="E3927" r:id="rId3827" xr:uid="{00000000-0004-0000-0000-0000F20E0000}"/>
    <hyperlink ref="E3928" r:id="rId3828" xr:uid="{00000000-0004-0000-0000-0000F30E0000}"/>
    <hyperlink ref="E3929" r:id="rId3829" xr:uid="{00000000-0004-0000-0000-0000F40E0000}"/>
    <hyperlink ref="E3930" r:id="rId3830" xr:uid="{00000000-0004-0000-0000-0000F50E0000}"/>
    <hyperlink ref="E3931" r:id="rId3831" xr:uid="{00000000-0004-0000-0000-0000F60E0000}"/>
    <hyperlink ref="E3932" r:id="rId3832" xr:uid="{00000000-0004-0000-0000-0000F70E0000}"/>
    <hyperlink ref="E3933" r:id="rId3833" xr:uid="{00000000-0004-0000-0000-0000F80E0000}"/>
    <hyperlink ref="E3934" r:id="rId3834" xr:uid="{00000000-0004-0000-0000-0000F90E0000}"/>
    <hyperlink ref="E3935" r:id="rId3835" xr:uid="{00000000-0004-0000-0000-0000FA0E0000}"/>
    <hyperlink ref="E3936" r:id="rId3836" xr:uid="{00000000-0004-0000-0000-0000FB0E0000}"/>
    <hyperlink ref="E3937" r:id="rId3837" xr:uid="{00000000-0004-0000-0000-0000FC0E0000}"/>
    <hyperlink ref="E3938" r:id="rId3838" xr:uid="{00000000-0004-0000-0000-0000FD0E0000}"/>
    <hyperlink ref="E3939" r:id="rId3839" xr:uid="{00000000-0004-0000-0000-0000FE0E0000}"/>
    <hyperlink ref="E3940" r:id="rId3840" xr:uid="{00000000-0004-0000-0000-0000FF0E0000}"/>
    <hyperlink ref="E3941" r:id="rId3841" xr:uid="{00000000-0004-0000-0000-0000000F0000}"/>
    <hyperlink ref="E3942" r:id="rId3842" xr:uid="{00000000-0004-0000-0000-0000010F0000}"/>
    <hyperlink ref="E3943" r:id="rId3843" xr:uid="{00000000-0004-0000-0000-0000020F0000}"/>
    <hyperlink ref="E3944" r:id="rId3844" xr:uid="{00000000-0004-0000-0000-0000030F0000}"/>
    <hyperlink ref="E3945" r:id="rId3845" xr:uid="{00000000-0004-0000-0000-0000040F0000}"/>
    <hyperlink ref="E3946" r:id="rId3846" xr:uid="{00000000-0004-0000-0000-0000050F0000}"/>
    <hyperlink ref="E3947" r:id="rId3847" xr:uid="{00000000-0004-0000-0000-0000060F0000}"/>
    <hyperlink ref="E3948" r:id="rId3848" xr:uid="{00000000-0004-0000-0000-0000070F0000}"/>
    <hyperlink ref="E3949" r:id="rId3849" xr:uid="{00000000-0004-0000-0000-0000080F0000}"/>
    <hyperlink ref="E3951" r:id="rId3850" xr:uid="{00000000-0004-0000-0000-0000090F0000}"/>
    <hyperlink ref="E3952" r:id="rId3851" xr:uid="{00000000-0004-0000-0000-00000A0F0000}"/>
    <hyperlink ref="E3953" r:id="rId3852" xr:uid="{00000000-0004-0000-0000-00000B0F0000}"/>
    <hyperlink ref="E3954" r:id="rId3853" xr:uid="{00000000-0004-0000-0000-00000C0F0000}"/>
    <hyperlink ref="E3955" r:id="rId3854" xr:uid="{00000000-0004-0000-0000-00000D0F0000}"/>
    <hyperlink ref="E3956" r:id="rId3855" xr:uid="{00000000-0004-0000-0000-00000E0F0000}"/>
    <hyperlink ref="E3957" r:id="rId3856" xr:uid="{00000000-0004-0000-0000-00000F0F0000}"/>
    <hyperlink ref="E3958" r:id="rId3857" xr:uid="{00000000-0004-0000-0000-0000100F0000}"/>
    <hyperlink ref="E3959" r:id="rId3858" xr:uid="{00000000-0004-0000-0000-0000110F0000}"/>
    <hyperlink ref="E3960" r:id="rId3859" xr:uid="{00000000-0004-0000-0000-0000120F0000}"/>
    <hyperlink ref="E3961" r:id="rId3860" xr:uid="{00000000-0004-0000-0000-0000130F0000}"/>
    <hyperlink ref="E3962" r:id="rId3861" xr:uid="{00000000-0004-0000-0000-0000140F0000}"/>
    <hyperlink ref="E3963" r:id="rId3862" xr:uid="{00000000-0004-0000-0000-0000150F0000}"/>
    <hyperlink ref="E3964" r:id="rId3863" xr:uid="{00000000-0004-0000-0000-0000160F0000}"/>
    <hyperlink ref="E3965" r:id="rId3864" xr:uid="{00000000-0004-0000-0000-0000170F0000}"/>
    <hyperlink ref="E3966" r:id="rId3865" xr:uid="{00000000-0004-0000-0000-0000180F0000}"/>
    <hyperlink ref="E3967" r:id="rId3866" xr:uid="{00000000-0004-0000-0000-0000190F0000}"/>
    <hyperlink ref="E3968" r:id="rId3867" xr:uid="{00000000-0004-0000-0000-00001A0F0000}"/>
    <hyperlink ref="E3969" r:id="rId3868" xr:uid="{00000000-0004-0000-0000-00001B0F0000}"/>
    <hyperlink ref="E3970" r:id="rId3869" xr:uid="{00000000-0004-0000-0000-00001C0F0000}"/>
    <hyperlink ref="E3971" r:id="rId3870" xr:uid="{00000000-0004-0000-0000-00001D0F0000}"/>
    <hyperlink ref="E3972" r:id="rId3871" xr:uid="{00000000-0004-0000-0000-00001E0F0000}"/>
    <hyperlink ref="E3973" r:id="rId3872" xr:uid="{00000000-0004-0000-0000-00001F0F0000}"/>
    <hyperlink ref="E3974" r:id="rId3873" xr:uid="{00000000-0004-0000-0000-0000200F0000}"/>
    <hyperlink ref="E3975" r:id="rId3874" xr:uid="{00000000-0004-0000-0000-0000210F0000}"/>
    <hyperlink ref="E3976" r:id="rId3875" xr:uid="{00000000-0004-0000-0000-0000220F0000}"/>
    <hyperlink ref="E3977" r:id="rId3876" xr:uid="{00000000-0004-0000-0000-0000230F0000}"/>
    <hyperlink ref="E3978" r:id="rId3877" xr:uid="{00000000-0004-0000-0000-0000240F0000}"/>
    <hyperlink ref="E3979" r:id="rId3878" xr:uid="{00000000-0004-0000-0000-0000250F0000}"/>
    <hyperlink ref="E3980" r:id="rId3879" xr:uid="{00000000-0004-0000-0000-0000260F0000}"/>
    <hyperlink ref="E3982" r:id="rId3880" xr:uid="{00000000-0004-0000-0000-0000270F0000}"/>
    <hyperlink ref="E3983" r:id="rId3881" xr:uid="{00000000-0004-0000-0000-0000280F0000}"/>
    <hyperlink ref="E3984" r:id="rId3882" xr:uid="{00000000-0004-0000-0000-0000290F0000}"/>
    <hyperlink ref="E3985" r:id="rId3883" xr:uid="{00000000-0004-0000-0000-00002A0F0000}"/>
    <hyperlink ref="E3986" r:id="rId3884" xr:uid="{00000000-0004-0000-0000-00002B0F0000}"/>
    <hyperlink ref="E3987" r:id="rId3885" xr:uid="{00000000-0004-0000-0000-00002C0F0000}"/>
    <hyperlink ref="E3988" r:id="rId3886" xr:uid="{00000000-0004-0000-0000-00002D0F0000}"/>
    <hyperlink ref="E3989" r:id="rId3887" xr:uid="{00000000-0004-0000-0000-00002E0F0000}"/>
    <hyperlink ref="E3991" r:id="rId3888" xr:uid="{00000000-0004-0000-0000-00002F0F0000}"/>
    <hyperlink ref="E3992" r:id="rId3889" xr:uid="{00000000-0004-0000-0000-0000300F0000}"/>
    <hyperlink ref="E3993" r:id="rId3890" xr:uid="{00000000-0004-0000-0000-0000310F0000}"/>
    <hyperlink ref="E3994" r:id="rId3891" xr:uid="{00000000-0004-0000-0000-0000320F0000}"/>
    <hyperlink ref="E3995" r:id="rId3892" xr:uid="{00000000-0004-0000-0000-0000330F0000}"/>
    <hyperlink ref="E3996" r:id="rId3893" xr:uid="{00000000-0004-0000-0000-0000340F0000}"/>
    <hyperlink ref="E3997" r:id="rId3894" xr:uid="{00000000-0004-0000-0000-0000350F0000}"/>
    <hyperlink ref="E3998" r:id="rId3895" xr:uid="{00000000-0004-0000-0000-0000360F0000}"/>
    <hyperlink ref="E3999" r:id="rId3896" xr:uid="{00000000-0004-0000-0000-0000370F0000}"/>
    <hyperlink ref="E4000" r:id="rId3897" xr:uid="{00000000-0004-0000-0000-0000380F0000}"/>
    <hyperlink ref="E4001" r:id="rId3898" xr:uid="{00000000-0004-0000-0000-0000390F0000}"/>
    <hyperlink ref="E4002" r:id="rId3899" xr:uid="{00000000-0004-0000-0000-00003A0F0000}"/>
    <hyperlink ref="E4003" r:id="rId3900" xr:uid="{00000000-0004-0000-0000-00003B0F0000}"/>
    <hyperlink ref="E4004" r:id="rId3901" xr:uid="{00000000-0004-0000-0000-00003C0F0000}"/>
    <hyperlink ref="E4005" r:id="rId3902" xr:uid="{00000000-0004-0000-0000-00003D0F0000}"/>
    <hyperlink ref="E4006" r:id="rId3903" xr:uid="{00000000-0004-0000-0000-00003E0F0000}"/>
    <hyperlink ref="E4008" r:id="rId3904" xr:uid="{00000000-0004-0000-0000-00003F0F0000}"/>
    <hyperlink ref="E4009" r:id="rId3905" xr:uid="{00000000-0004-0000-0000-0000400F0000}"/>
    <hyperlink ref="E4010" r:id="rId3906" xr:uid="{00000000-0004-0000-0000-0000410F0000}"/>
    <hyperlink ref="E4011" r:id="rId3907" xr:uid="{00000000-0004-0000-0000-0000420F0000}"/>
    <hyperlink ref="E4012" r:id="rId3908" xr:uid="{00000000-0004-0000-0000-0000430F0000}"/>
    <hyperlink ref="E4014" r:id="rId3909" xr:uid="{00000000-0004-0000-0000-0000440F0000}"/>
    <hyperlink ref="E4015" r:id="rId3910" xr:uid="{00000000-0004-0000-0000-0000450F0000}"/>
    <hyperlink ref="E4016" r:id="rId3911" xr:uid="{00000000-0004-0000-0000-0000460F0000}"/>
    <hyperlink ref="E4017" r:id="rId3912" xr:uid="{00000000-0004-0000-0000-0000470F0000}"/>
    <hyperlink ref="E4018" r:id="rId3913" xr:uid="{00000000-0004-0000-0000-0000480F0000}"/>
    <hyperlink ref="E4019" r:id="rId3914" xr:uid="{00000000-0004-0000-0000-0000490F0000}"/>
    <hyperlink ref="E4020" r:id="rId3915" xr:uid="{00000000-0004-0000-0000-00004A0F0000}"/>
    <hyperlink ref="E4021" r:id="rId3916" xr:uid="{00000000-0004-0000-0000-00004B0F0000}"/>
    <hyperlink ref="E4022" r:id="rId3917" xr:uid="{00000000-0004-0000-0000-00004C0F0000}"/>
    <hyperlink ref="E4023" r:id="rId3918" xr:uid="{00000000-0004-0000-0000-00004D0F0000}"/>
    <hyperlink ref="E4025" r:id="rId3919" xr:uid="{00000000-0004-0000-0000-00004E0F0000}"/>
    <hyperlink ref="E4026" r:id="rId3920" xr:uid="{00000000-0004-0000-0000-00004F0F0000}"/>
    <hyperlink ref="E4027" r:id="rId3921" xr:uid="{00000000-0004-0000-0000-0000500F0000}"/>
    <hyperlink ref="E4028" r:id="rId3922" xr:uid="{00000000-0004-0000-0000-0000510F0000}"/>
    <hyperlink ref="E4029" r:id="rId3923" xr:uid="{00000000-0004-0000-0000-0000520F0000}"/>
    <hyperlink ref="E4030" r:id="rId3924" xr:uid="{00000000-0004-0000-0000-0000530F0000}"/>
    <hyperlink ref="E4031" r:id="rId3925" xr:uid="{00000000-0004-0000-0000-0000540F0000}"/>
    <hyperlink ref="E4032" r:id="rId3926" xr:uid="{00000000-0004-0000-0000-0000550F0000}"/>
    <hyperlink ref="E4033" r:id="rId3927" xr:uid="{00000000-0004-0000-0000-0000560F0000}"/>
    <hyperlink ref="E4037" r:id="rId3928" xr:uid="{00000000-0004-0000-0000-0000570F0000}"/>
    <hyperlink ref="E4038" r:id="rId3929" xr:uid="{00000000-0004-0000-0000-0000580F0000}"/>
    <hyperlink ref="E4039" r:id="rId3930" xr:uid="{00000000-0004-0000-0000-0000590F0000}"/>
    <hyperlink ref="E4040" r:id="rId3931" xr:uid="{00000000-0004-0000-0000-00005A0F0000}"/>
    <hyperlink ref="E4041" r:id="rId3932" xr:uid="{00000000-0004-0000-0000-00005B0F0000}"/>
    <hyperlink ref="E4042" r:id="rId3933" xr:uid="{00000000-0004-0000-0000-00005C0F0000}"/>
    <hyperlink ref="E4043" r:id="rId3934" xr:uid="{00000000-0004-0000-0000-00005D0F0000}"/>
    <hyperlink ref="E4044" r:id="rId3935" xr:uid="{00000000-0004-0000-0000-00005E0F0000}"/>
    <hyperlink ref="E4045" r:id="rId3936" xr:uid="{00000000-0004-0000-0000-00005F0F0000}"/>
    <hyperlink ref="E4046" r:id="rId3937" xr:uid="{00000000-0004-0000-0000-0000600F0000}"/>
    <hyperlink ref="E4047" r:id="rId3938" xr:uid="{00000000-0004-0000-0000-0000610F0000}"/>
    <hyperlink ref="E4048" r:id="rId3939" xr:uid="{00000000-0004-0000-0000-0000620F0000}"/>
    <hyperlink ref="E4049" r:id="rId3940" xr:uid="{00000000-0004-0000-0000-0000630F0000}"/>
    <hyperlink ref="E4050" r:id="rId3941" xr:uid="{00000000-0004-0000-0000-0000640F0000}"/>
    <hyperlink ref="E4051" r:id="rId3942" xr:uid="{00000000-0004-0000-0000-0000650F0000}"/>
    <hyperlink ref="E4052" r:id="rId3943" xr:uid="{00000000-0004-0000-0000-0000660F0000}"/>
    <hyperlink ref="E4053" r:id="rId3944" xr:uid="{00000000-0004-0000-0000-0000670F0000}"/>
    <hyperlink ref="E4054" r:id="rId3945" xr:uid="{00000000-0004-0000-0000-0000680F0000}"/>
    <hyperlink ref="E4055" r:id="rId3946" xr:uid="{00000000-0004-0000-0000-0000690F0000}"/>
    <hyperlink ref="E4056" r:id="rId3947" xr:uid="{00000000-0004-0000-0000-00006A0F0000}"/>
    <hyperlink ref="E4057" r:id="rId3948" xr:uid="{00000000-0004-0000-0000-00006B0F0000}"/>
    <hyperlink ref="E4058" r:id="rId3949" xr:uid="{00000000-0004-0000-0000-00006C0F0000}"/>
    <hyperlink ref="E4059" r:id="rId3950" xr:uid="{00000000-0004-0000-0000-00006D0F0000}"/>
    <hyperlink ref="E4060" r:id="rId3951" xr:uid="{00000000-0004-0000-0000-00006E0F0000}"/>
    <hyperlink ref="E4061" r:id="rId3952" xr:uid="{00000000-0004-0000-0000-00006F0F0000}"/>
    <hyperlink ref="E4062" r:id="rId3953" xr:uid="{00000000-0004-0000-0000-0000700F0000}"/>
    <hyperlink ref="E4063" r:id="rId3954" xr:uid="{00000000-0004-0000-0000-0000710F0000}"/>
    <hyperlink ref="E4064" r:id="rId3955" xr:uid="{00000000-0004-0000-0000-0000720F0000}"/>
    <hyperlink ref="E4065" r:id="rId3956" xr:uid="{00000000-0004-0000-0000-0000730F0000}"/>
    <hyperlink ref="E4066" r:id="rId3957" xr:uid="{00000000-0004-0000-0000-0000740F0000}"/>
    <hyperlink ref="E4067" r:id="rId3958" xr:uid="{00000000-0004-0000-0000-0000750F0000}"/>
    <hyperlink ref="E4068" r:id="rId3959" xr:uid="{00000000-0004-0000-0000-0000760F0000}"/>
    <hyperlink ref="E4069" r:id="rId3960" xr:uid="{00000000-0004-0000-0000-0000770F0000}"/>
    <hyperlink ref="E4070" r:id="rId3961" xr:uid="{00000000-0004-0000-0000-0000780F0000}"/>
    <hyperlink ref="E4071" r:id="rId3962" xr:uid="{00000000-0004-0000-0000-0000790F0000}"/>
    <hyperlink ref="E4072" r:id="rId3963" xr:uid="{00000000-0004-0000-0000-00007A0F0000}"/>
    <hyperlink ref="E4073" r:id="rId3964" xr:uid="{00000000-0004-0000-0000-00007B0F0000}"/>
    <hyperlink ref="E4074" r:id="rId3965" xr:uid="{00000000-0004-0000-0000-00007C0F0000}"/>
    <hyperlink ref="E4075" r:id="rId3966" xr:uid="{00000000-0004-0000-0000-00007D0F0000}"/>
    <hyperlink ref="E4076" r:id="rId3967" xr:uid="{00000000-0004-0000-0000-00007E0F0000}"/>
    <hyperlink ref="E4077" r:id="rId3968" xr:uid="{00000000-0004-0000-0000-00007F0F0000}"/>
    <hyperlink ref="E4078" r:id="rId3969" xr:uid="{00000000-0004-0000-0000-0000800F0000}"/>
    <hyperlink ref="E4079" r:id="rId3970" xr:uid="{00000000-0004-0000-0000-0000810F0000}"/>
    <hyperlink ref="E4080" r:id="rId3971" xr:uid="{00000000-0004-0000-0000-0000820F0000}"/>
    <hyperlink ref="E4081" r:id="rId3972" xr:uid="{00000000-0004-0000-0000-0000830F0000}"/>
    <hyperlink ref="E4082" r:id="rId3973" xr:uid="{00000000-0004-0000-0000-0000840F0000}"/>
    <hyperlink ref="E4083" r:id="rId3974" xr:uid="{00000000-0004-0000-0000-0000850F0000}"/>
    <hyperlink ref="E4084" r:id="rId3975" xr:uid="{00000000-0004-0000-0000-0000860F0000}"/>
    <hyperlink ref="E4085" r:id="rId3976" xr:uid="{00000000-0004-0000-0000-0000870F0000}"/>
    <hyperlink ref="E4086" r:id="rId3977" xr:uid="{00000000-0004-0000-0000-0000880F0000}"/>
    <hyperlink ref="E4087" r:id="rId3978" xr:uid="{00000000-0004-0000-0000-0000890F0000}"/>
    <hyperlink ref="E4088" r:id="rId3979" xr:uid="{00000000-0004-0000-0000-00008A0F0000}"/>
    <hyperlink ref="E4089" r:id="rId3980" xr:uid="{00000000-0004-0000-0000-00008B0F0000}"/>
    <hyperlink ref="E4090" r:id="rId3981" xr:uid="{00000000-0004-0000-0000-00008C0F0000}"/>
    <hyperlink ref="E4091" r:id="rId3982" xr:uid="{00000000-0004-0000-0000-00008D0F0000}"/>
    <hyperlink ref="E4092" r:id="rId3983" xr:uid="{00000000-0004-0000-0000-00008E0F0000}"/>
    <hyperlink ref="E4094" r:id="rId3984" xr:uid="{00000000-0004-0000-0000-00008F0F0000}"/>
    <hyperlink ref="E4095" r:id="rId3985" xr:uid="{00000000-0004-0000-0000-0000900F0000}"/>
    <hyperlink ref="E4096" r:id="rId3986" xr:uid="{00000000-0004-0000-0000-0000910F0000}"/>
    <hyperlink ref="E4097" r:id="rId3987" xr:uid="{00000000-0004-0000-0000-0000920F0000}"/>
    <hyperlink ref="E4098" r:id="rId3988" xr:uid="{00000000-0004-0000-0000-0000930F0000}"/>
    <hyperlink ref="E4099" r:id="rId3989" xr:uid="{00000000-0004-0000-0000-0000940F0000}"/>
    <hyperlink ref="E4100" r:id="rId3990" xr:uid="{00000000-0004-0000-0000-0000950F0000}"/>
    <hyperlink ref="E4101" r:id="rId3991" xr:uid="{00000000-0004-0000-0000-0000960F0000}"/>
    <hyperlink ref="E4102" r:id="rId3992" xr:uid="{00000000-0004-0000-0000-0000970F0000}"/>
    <hyperlink ref="E4103" r:id="rId3993" xr:uid="{00000000-0004-0000-0000-0000980F0000}"/>
    <hyperlink ref="E4104" r:id="rId3994" xr:uid="{00000000-0004-0000-0000-0000990F0000}"/>
    <hyperlink ref="E4105" r:id="rId3995" xr:uid="{00000000-0004-0000-0000-00009A0F0000}"/>
    <hyperlink ref="E4106" r:id="rId3996" xr:uid="{00000000-0004-0000-0000-00009B0F0000}"/>
    <hyperlink ref="E4107" r:id="rId3997" xr:uid="{00000000-0004-0000-0000-00009C0F0000}"/>
    <hyperlink ref="E4108" r:id="rId3998" xr:uid="{00000000-0004-0000-0000-00009D0F0000}"/>
    <hyperlink ref="E4109" r:id="rId3999" xr:uid="{00000000-0004-0000-0000-00009E0F0000}"/>
    <hyperlink ref="E4110" r:id="rId4000" xr:uid="{00000000-0004-0000-0000-00009F0F0000}"/>
    <hyperlink ref="E4111" r:id="rId4001" xr:uid="{00000000-0004-0000-0000-0000A00F0000}"/>
    <hyperlink ref="E4112" r:id="rId4002" xr:uid="{00000000-0004-0000-0000-0000A10F0000}"/>
    <hyperlink ref="E4113" r:id="rId4003" xr:uid="{00000000-0004-0000-0000-0000A20F0000}"/>
    <hyperlink ref="E4114" r:id="rId4004" xr:uid="{00000000-0004-0000-0000-0000A30F0000}"/>
    <hyperlink ref="E4115" r:id="rId4005" xr:uid="{00000000-0004-0000-0000-0000A40F0000}"/>
    <hyperlink ref="E4116" r:id="rId4006" xr:uid="{00000000-0004-0000-0000-0000A50F0000}"/>
    <hyperlink ref="E4117" r:id="rId4007" xr:uid="{00000000-0004-0000-0000-0000A60F0000}"/>
    <hyperlink ref="E4118" r:id="rId4008" xr:uid="{00000000-0004-0000-0000-0000A70F0000}"/>
    <hyperlink ref="E4119" r:id="rId4009" xr:uid="{00000000-0004-0000-0000-0000A80F0000}"/>
    <hyperlink ref="E4120" r:id="rId4010" xr:uid="{00000000-0004-0000-0000-0000A90F0000}"/>
    <hyperlink ref="E4122" r:id="rId4011" xr:uid="{00000000-0004-0000-0000-0000AA0F0000}"/>
    <hyperlink ref="E4123" r:id="rId4012" xr:uid="{00000000-0004-0000-0000-0000AB0F0000}"/>
    <hyperlink ref="E4124" r:id="rId4013" xr:uid="{00000000-0004-0000-0000-0000AC0F0000}"/>
    <hyperlink ref="E4125" r:id="rId4014" xr:uid="{00000000-0004-0000-0000-0000AD0F0000}"/>
    <hyperlink ref="E4126" r:id="rId4015" xr:uid="{00000000-0004-0000-0000-0000AE0F0000}"/>
    <hyperlink ref="E4127" r:id="rId4016" xr:uid="{00000000-0004-0000-0000-0000AF0F0000}"/>
    <hyperlink ref="E4129" r:id="rId4017" xr:uid="{00000000-0004-0000-0000-0000B00F0000}"/>
    <hyperlink ref="E4130" r:id="rId4018" xr:uid="{00000000-0004-0000-0000-0000B10F0000}"/>
    <hyperlink ref="E4131" r:id="rId4019" xr:uid="{00000000-0004-0000-0000-0000B20F0000}"/>
    <hyperlink ref="E4132" r:id="rId4020" xr:uid="{00000000-0004-0000-0000-0000B30F0000}"/>
    <hyperlink ref="E4133" r:id="rId4021" xr:uid="{00000000-0004-0000-0000-0000B40F0000}"/>
    <hyperlink ref="E4134" r:id="rId4022" xr:uid="{00000000-0004-0000-0000-0000B50F0000}"/>
    <hyperlink ref="E4135" r:id="rId4023" xr:uid="{00000000-0004-0000-0000-0000B60F0000}"/>
    <hyperlink ref="E4136" r:id="rId4024" xr:uid="{00000000-0004-0000-0000-0000B70F0000}"/>
    <hyperlink ref="E4137" r:id="rId4025" xr:uid="{00000000-0004-0000-0000-0000B80F0000}"/>
    <hyperlink ref="E4138" r:id="rId4026" xr:uid="{00000000-0004-0000-0000-0000B90F0000}"/>
    <hyperlink ref="E4139" r:id="rId4027" xr:uid="{00000000-0004-0000-0000-0000BA0F0000}"/>
    <hyperlink ref="E4140" r:id="rId4028" xr:uid="{00000000-0004-0000-0000-0000BB0F0000}"/>
    <hyperlink ref="E4141" r:id="rId4029" xr:uid="{00000000-0004-0000-0000-0000BC0F0000}"/>
    <hyperlink ref="E4142" r:id="rId4030" xr:uid="{00000000-0004-0000-0000-0000BD0F0000}"/>
    <hyperlink ref="E4143" r:id="rId4031" xr:uid="{00000000-0004-0000-0000-0000BE0F0000}"/>
    <hyperlink ref="E4145" r:id="rId4032" xr:uid="{00000000-0004-0000-0000-0000BF0F0000}"/>
    <hyperlink ref="E4146" r:id="rId4033" xr:uid="{00000000-0004-0000-0000-0000C00F0000}"/>
    <hyperlink ref="E4147" r:id="rId4034" xr:uid="{00000000-0004-0000-0000-0000C10F0000}"/>
    <hyperlink ref="E4148" r:id="rId4035" xr:uid="{00000000-0004-0000-0000-0000C20F0000}"/>
    <hyperlink ref="E4149" r:id="rId4036" xr:uid="{00000000-0004-0000-0000-0000C30F0000}"/>
    <hyperlink ref="E4150" r:id="rId4037" xr:uid="{00000000-0004-0000-0000-0000C40F0000}"/>
    <hyperlink ref="E4151" r:id="rId4038" xr:uid="{00000000-0004-0000-0000-0000C50F0000}"/>
    <hyperlink ref="E4152" r:id="rId4039" xr:uid="{00000000-0004-0000-0000-0000C60F0000}"/>
    <hyperlink ref="E4155" r:id="rId4040" xr:uid="{00000000-0004-0000-0000-0000C70F0000}"/>
    <hyperlink ref="E4156" r:id="rId4041" xr:uid="{00000000-0004-0000-0000-0000C80F0000}"/>
    <hyperlink ref="E4157" r:id="rId4042" xr:uid="{00000000-0004-0000-0000-0000C90F0000}"/>
    <hyperlink ref="E4158" r:id="rId4043" xr:uid="{00000000-0004-0000-0000-0000CA0F0000}"/>
    <hyperlink ref="E4159" r:id="rId4044" xr:uid="{00000000-0004-0000-0000-0000CB0F0000}"/>
    <hyperlink ref="E4160" r:id="rId4045" xr:uid="{00000000-0004-0000-0000-0000CC0F0000}"/>
    <hyperlink ref="E4161" r:id="rId4046" xr:uid="{00000000-0004-0000-0000-0000CD0F0000}"/>
    <hyperlink ref="E4162" r:id="rId4047" xr:uid="{00000000-0004-0000-0000-0000CE0F0000}"/>
    <hyperlink ref="E4163" r:id="rId4048" xr:uid="{00000000-0004-0000-0000-0000CF0F0000}"/>
    <hyperlink ref="E4164" r:id="rId4049" xr:uid="{00000000-0004-0000-0000-0000D00F0000}"/>
    <hyperlink ref="E4165" r:id="rId4050" xr:uid="{00000000-0004-0000-0000-0000D10F0000}"/>
    <hyperlink ref="E4166" r:id="rId4051" xr:uid="{00000000-0004-0000-0000-0000D20F0000}"/>
    <hyperlink ref="E4167" r:id="rId4052" xr:uid="{00000000-0004-0000-0000-0000D30F0000}"/>
    <hyperlink ref="E4168" r:id="rId4053" xr:uid="{00000000-0004-0000-0000-0000D40F0000}"/>
    <hyperlink ref="E4169" r:id="rId4054" xr:uid="{00000000-0004-0000-0000-0000D50F0000}"/>
    <hyperlink ref="E4171" r:id="rId4055" xr:uid="{00000000-0004-0000-0000-0000D60F0000}"/>
    <hyperlink ref="E4172" r:id="rId4056" xr:uid="{00000000-0004-0000-0000-0000D70F0000}"/>
    <hyperlink ref="E4173" r:id="rId4057" xr:uid="{00000000-0004-0000-0000-0000D80F0000}"/>
    <hyperlink ref="E4174" r:id="rId4058" xr:uid="{00000000-0004-0000-0000-0000D90F0000}"/>
    <hyperlink ref="E4175" r:id="rId4059" xr:uid="{00000000-0004-0000-0000-0000DA0F0000}"/>
    <hyperlink ref="E4176" r:id="rId4060" xr:uid="{00000000-0004-0000-0000-0000DB0F0000}"/>
    <hyperlink ref="E4177" r:id="rId4061" xr:uid="{00000000-0004-0000-0000-0000DC0F0000}"/>
    <hyperlink ref="E4178" r:id="rId4062" xr:uid="{00000000-0004-0000-0000-0000DD0F0000}"/>
    <hyperlink ref="E4179" r:id="rId4063" xr:uid="{00000000-0004-0000-0000-0000DE0F0000}"/>
    <hyperlink ref="E4180" r:id="rId4064" xr:uid="{00000000-0004-0000-0000-0000DF0F0000}"/>
    <hyperlink ref="E4182" r:id="rId4065" xr:uid="{00000000-0004-0000-0000-0000E00F0000}"/>
    <hyperlink ref="E4183" r:id="rId4066" xr:uid="{00000000-0004-0000-0000-0000E10F0000}"/>
    <hyperlink ref="E4184" r:id="rId4067" xr:uid="{00000000-0004-0000-0000-0000E20F0000}"/>
    <hyperlink ref="E4185" r:id="rId4068" xr:uid="{00000000-0004-0000-0000-0000E30F0000}"/>
    <hyperlink ref="E4186" r:id="rId4069" xr:uid="{00000000-0004-0000-0000-0000E40F0000}"/>
    <hyperlink ref="E4187" r:id="rId4070" xr:uid="{00000000-0004-0000-0000-0000E50F0000}"/>
    <hyperlink ref="E4188" r:id="rId4071" xr:uid="{00000000-0004-0000-0000-0000E60F0000}"/>
    <hyperlink ref="E4189" r:id="rId4072" xr:uid="{00000000-0004-0000-0000-0000E70F0000}"/>
    <hyperlink ref="E4190" r:id="rId4073" xr:uid="{00000000-0004-0000-0000-0000E80F0000}"/>
    <hyperlink ref="E4191" r:id="rId4074" xr:uid="{00000000-0004-0000-0000-0000E90F0000}"/>
    <hyperlink ref="E4192" r:id="rId4075" xr:uid="{00000000-0004-0000-0000-0000EA0F0000}"/>
    <hyperlink ref="E4193" r:id="rId4076" xr:uid="{00000000-0004-0000-0000-0000EB0F0000}"/>
    <hyperlink ref="E4194" r:id="rId4077" xr:uid="{00000000-0004-0000-0000-0000EC0F0000}"/>
    <hyperlink ref="E4195" r:id="rId4078" xr:uid="{00000000-0004-0000-0000-0000ED0F0000}"/>
    <hyperlink ref="E4196" r:id="rId4079" xr:uid="{00000000-0004-0000-0000-0000EE0F0000}"/>
    <hyperlink ref="E4199" r:id="rId4080" xr:uid="{00000000-0004-0000-0000-0000EF0F0000}"/>
    <hyperlink ref="E4200" r:id="rId4081" xr:uid="{00000000-0004-0000-0000-0000F00F0000}"/>
    <hyperlink ref="E4201" r:id="rId4082" xr:uid="{00000000-0004-0000-0000-0000F10F0000}"/>
    <hyperlink ref="E4202" r:id="rId4083" xr:uid="{00000000-0004-0000-0000-0000F20F0000}"/>
    <hyperlink ref="E4203" r:id="rId4084" xr:uid="{00000000-0004-0000-0000-0000F30F0000}"/>
    <hyperlink ref="E4204" r:id="rId4085" xr:uid="{00000000-0004-0000-0000-0000F40F0000}"/>
    <hyperlink ref="E4205" r:id="rId4086" xr:uid="{00000000-0004-0000-0000-0000F50F0000}"/>
    <hyperlink ref="E4206" r:id="rId4087" xr:uid="{00000000-0004-0000-0000-0000F60F0000}"/>
    <hyperlink ref="E4207" r:id="rId4088" xr:uid="{00000000-0004-0000-0000-0000F70F0000}"/>
    <hyperlink ref="E4208" r:id="rId4089" xr:uid="{00000000-0004-0000-0000-0000F80F0000}"/>
    <hyperlink ref="E4209" r:id="rId4090" xr:uid="{00000000-0004-0000-0000-0000F90F0000}"/>
    <hyperlink ref="E4210" r:id="rId4091" xr:uid="{00000000-0004-0000-0000-0000FA0F0000}"/>
    <hyperlink ref="E4211" r:id="rId4092" xr:uid="{00000000-0004-0000-0000-0000FB0F0000}"/>
    <hyperlink ref="E4212" r:id="rId4093" xr:uid="{00000000-0004-0000-0000-0000FC0F0000}"/>
    <hyperlink ref="E4213" r:id="rId4094" xr:uid="{00000000-0004-0000-0000-0000FD0F0000}"/>
    <hyperlink ref="E4214" r:id="rId4095" xr:uid="{00000000-0004-0000-0000-0000FE0F0000}"/>
    <hyperlink ref="E4215" r:id="rId4096" xr:uid="{00000000-0004-0000-0000-0000FF0F0000}"/>
    <hyperlink ref="E4216" r:id="rId4097" xr:uid="{00000000-0004-0000-0000-000000100000}"/>
    <hyperlink ref="E4217" r:id="rId4098" xr:uid="{00000000-0004-0000-0000-000001100000}"/>
    <hyperlink ref="E4218" r:id="rId4099" xr:uid="{00000000-0004-0000-0000-000002100000}"/>
    <hyperlink ref="E4219" r:id="rId4100" xr:uid="{00000000-0004-0000-0000-000003100000}"/>
    <hyperlink ref="E4220" r:id="rId4101" xr:uid="{00000000-0004-0000-0000-000004100000}"/>
    <hyperlink ref="E4221" r:id="rId4102" xr:uid="{00000000-0004-0000-0000-000005100000}"/>
    <hyperlink ref="E4222" r:id="rId4103" xr:uid="{00000000-0004-0000-0000-000006100000}"/>
    <hyperlink ref="E4223" r:id="rId4104" xr:uid="{00000000-0004-0000-0000-000007100000}"/>
    <hyperlink ref="E4224" r:id="rId4105" xr:uid="{00000000-0004-0000-0000-000008100000}"/>
    <hyperlink ref="E4225" r:id="rId4106" xr:uid="{00000000-0004-0000-0000-000009100000}"/>
    <hyperlink ref="E4226" r:id="rId4107" xr:uid="{00000000-0004-0000-0000-00000A100000}"/>
    <hyperlink ref="E4227" r:id="rId4108" xr:uid="{00000000-0004-0000-0000-00000B100000}"/>
    <hyperlink ref="E4228" r:id="rId4109" xr:uid="{00000000-0004-0000-0000-00000C100000}"/>
    <hyperlink ref="E4229" r:id="rId4110" xr:uid="{00000000-0004-0000-0000-00000D100000}"/>
    <hyperlink ref="E4230" r:id="rId4111" xr:uid="{00000000-0004-0000-0000-00000E100000}"/>
    <hyperlink ref="E4231" r:id="rId4112" xr:uid="{00000000-0004-0000-0000-00000F100000}"/>
    <hyperlink ref="E4232" r:id="rId4113" xr:uid="{00000000-0004-0000-0000-000010100000}"/>
    <hyperlink ref="E4233" r:id="rId4114" xr:uid="{00000000-0004-0000-0000-000011100000}"/>
    <hyperlink ref="E4234" r:id="rId4115" xr:uid="{00000000-0004-0000-0000-000012100000}"/>
    <hyperlink ref="E4235" r:id="rId4116" xr:uid="{00000000-0004-0000-0000-000013100000}"/>
    <hyperlink ref="E4236" r:id="rId4117" xr:uid="{00000000-0004-0000-0000-000014100000}"/>
    <hyperlink ref="E4237" r:id="rId4118" xr:uid="{00000000-0004-0000-0000-000015100000}"/>
    <hyperlink ref="E4238" r:id="rId4119" xr:uid="{00000000-0004-0000-0000-000016100000}"/>
    <hyperlink ref="E4239" r:id="rId4120" xr:uid="{00000000-0004-0000-0000-000017100000}"/>
    <hyperlink ref="E4240" r:id="rId4121" xr:uid="{00000000-0004-0000-0000-000018100000}"/>
    <hyperlink ref="E4241" r:id="rId4122" xr:uid="{00000000-0004-0000-0000-000019100000}"/>
    <hyperlink ref="E4242" r:id="rId4123" xr:uid="{00000000-0004-0000-0000-00001A100000}"/>
    <hyperlink ref="E4244" r:id="rId4124" xr:uid="{00000000-0004-0000-0000-00001B100000}"/>
    <hyperlink ref="E4245" r:id="rId4125" xr:uid="{00000000-0004-0000-0000-00001C100000}"/>
    <hyperlink ref="E4246" r:id="rId4126" xr:uid="{00000000-0004-0000-0000-00001D100000}"/>
    <hyperlink ref="E4247" r:id="rId4127" xr:uid="{00000000-0004-0000-0000-00001E100000}"/>
    <hyperlink ref="E4248" r:id="rId4128" xr:uid="{00000000-0004-0000-0000-00001F100000}"/>
    <hyperlink ref="E4249" r:id="rId4129" xr:uid="{00000000-0004-0000-0000-000020100000}"/>
    <hyperlink ref="E4251" r:id="rId4130" xr:uid="{00000000-0004-0000-0000-000021100000}"/>
    <hyperlink ref="E4252" r:id="rId4131" xr:uid="{00000000-0004-0000-0000-000022100000}"/>
    <hyperlink ref="E4253" r:id="rId4132" xr:uid="{00000000-0004-0000-0000-000023100000}"/>
    <hyperlink ref="E4254" r:id="rId4133" xr:uid="{00000000-0004-0000-0000-000024100000}"/>
    <hyperlink ref="E4255" r:id="rId4134" xr:uid="{00000000-0004-0000-0000-000025100000}"/>
    <hyperlink ref="E4256" r:id="rId4135" xr:uid="{00000000-0004-0000-0000-000026100000}"/>
    <hyperlink ref="E4257" r:id="rId4136" xr:uid="{00000000-0004-0000-0000-000027100000}"/>
    <hyperlink ref="E4258" r:id="rId4137" xr:uid="{00000000-0004-0000-0000-000028100000}"/>
    <hyperlink ref="E4259" r:id="rId4138" xr:uid="{00000000-0004-0000-0000-000029100000}"/>
    <hyperlink ref="E4260" r:id="rId4139" xr:uid="{00000000-0004-0000-0000-00002A100000}"/>
    <hyperlink ref="E4261" r:id="rId4140" xr:uid="{00000000-0004-0000-0000-00002B100000}"/>
    <hyperlink ref="E4262" r:id="rId4141" xr:uid="{00000000-0004-0000-0000-00002C100000}"/>
    <hyperlink ref="E4263" r:id="rId4142" xr:uid="{00000000-0004-0000-0000-00002D100000}"/>
    <hyperlink ref="E4264" r:id="rId4143" xr:uid="{00000000-0004-0000-0000-00002E100000}"/>
    <hyperlink ref="E4265" r:id="rId4144" xr:uid="{00000000-0004-0000-0000-00002F100000}"/>
    <hyperlink ref="E4267" r:id="rId4145" xr:uid="{00000000-0004-0000-0000-000030100000}"/>
    <hyperlink ref="E4268" r:id="rId4146" xr:uid="{00000000-0004-0000-0000-000031100000}"/>
    <hyperlink ref="E4269" r:id="rId4147" xr:uid="{00000000-0004-0000-0000-000032100000}"/>
    <hyperlink ref="E4270" r:id="rId4148" xr:uid="{00000000-0004-0000-0000-000033100000}"/>
    <hyperlink ref="E4271" r:id="rId4149" xr:uid="{00000000-0004-0000-0000-000034100000}"/>
    <hyperlink ref="E4272" r:id="rId4150" xr:uid="{00000000-0004-0000-0000-000035100000}"/>
    <hyperlink ref="E4273" r:id="rId4151" xr:uid="{00000000-0004-0000-0000-000036100000}"/>
    <hyperlink ref="E4274" r:id="rId4152" xr:uid="{00000000-0004-0000-0000-000037100000}"/>
    <hyperlink ref="E4275" r:id="rId4153" xr:uid="{00000000-0004-0000-0000-000038100000}"/>
    <hyperlink ref="E4276" r:id="rId4154" xr:uid="{00000000-0004-0000-0000-000039100000}"/>
    <hyperlink ref="E4277" r:id="rId4155" xr:uid="{00000000-0004-0000-0000-00003A100000}"/>
    <hyperlink ref="E4278" r:id="rId4156" xr:uid="{00000000-0004-0000-0000-00003B100000}"/>
    <hyperlink ref="E4279" r:id="rId4157" xr:uid="{00000000-0004-0000-0000-00003C100000}"/>
    <hyperlink ref="E4281" r:id="rId4158" xr:uid="{00000000-0004-0000-0000-00003D100000}"/>
    <hyperlink ref="E4282" r:id="rId4159" xr:uid="{00000000-0004-0000-0000-00003E100000}"/>
    <hyperlink ref="E4283" r:id="rId4160" xr:uid="{00000000-0004-0000-0000-00003F100000}"/>
    <hyperlink ref="E4284" r:id="rId4161" xr:uid="{00000000-0004-0000-0000-000040100000}"/>
    <hyperlink ref="E4285" r:id="rId4162" xr:uid="{00000000-0004-0000-0000-000041100000}"/>
    <hyperlink ref="E4286" r:id="rId4163" xr:uid="{00000000-0004-0000-0000-000042100000}"/>
    <hyperlink ref="E4287" r:id="rId4164" xr:uid="{00000000-0004-0000-0000-000043100000}"/>
    <hyperlink ref="E4288" r:id="rId4165" xr:uid="{00000000-0004-0000-0000-000044100000}"/>
    <hyperlink ref="E4289" r:id="rId4166" xr:uid="{00000000-0004-0000-0000-000045100000}"/>
    <hyperlink ref="E4290" r:id="rId4167" xr:uid="{00000000-0004-0000-0000-000046100000}"/>
    <hyperlink ref="E4291" r:id="rId4168" xr:uid="{00000000-0004-0000-0000-000047100000}"/>
    <hyperlink ref="E4292" r:id="rId4169" xr:uid="{00000000-0004-0000-0000-000048100000}"/>
    <hyperlink ref="E4293" r:id="rId4170" xr:uid="{00000000-0004-0000-0000-000049100000}"/>
    <hyperlink ref="E4296" r:id="rId4171" xr:uid="{00000000-0004-0000-0000-00004A100000}"/>
    <hyperlink ref="E4297" r:id="rId4172" xr:uid="{00000000-0004-0000-0000-00004B100000}"/>
    <hyperlink ref="E4298" r:id="rId4173" xr:uid="{00000000-0004-0000-0000-00004C100000}"/>
    <hyperlink ref="E4299" r:id="rId4174" xr:uid="{00000000-0004-0000-0000-00004D100000}"/>
    <hyperlink ref="E4300" r:id="rId4175" xr:uid="{00000000-0004-0000-0000-00004E100000}"/>
    <hyperlink ref="E4301" r:id="rId4176" xr:uid="{00000000-0004-0000-0000-00004F100000}"/>
    <hyperlink ref="E4302" r:id="rId4177" xr:uid="{00000000-0004-0000-0000-000050100000}"/>
    <hyperlink ref="E4303" r:id="rId4178" xr:uid="{00000000-0004-0000-0000-000051100000}"/>
    <hyperlink ref="E4304" r:id="rId4179" xr:uid="{00000000-0004-0000-0000-000052100000}"/>
    <hyperlink ref="E4305" r:id="rId4180" xr:uid="{00000000-0004-0000-0000-000053100000}"/>
    <hyperlink ref="E4307" r:id="rId4181" xr:uid="{00000000-0004-0000-0000-000054100000}"/>
    <hyperlink ref="E4308" r:id="rId4182" xr:uid="{00000000-0004-0000-0000-000055100000}"/>
    <hyperlink ref="E4309" r:id="rId4183" xr:uid="{00000000-0004-0000-0000-000056100000}"/>
    <hyperlink ref="E4310" r:id="rId4184" xr:uid="{00000000-0004-0000-0000-000057100000}"/>
    <hyperlink ref="E4311" r:id="rId4185" xr:uid="{00000000-0004-0000-0000-000058100000}"/>
    <hyperlink ref="E4314" r:id="rId4186" xr:uid="{00000000-0004-0000-0000-000059100000}"/>
    <hyperlink ref="E4315" r:id="rId4187" xr:uid="{00000000-0004-0000-0000-00005A100000}"/>
    <hyperlink ref="E4316" r:id="rId4188" xr:uid="{00000000-0004-0000-0000-00005B100000}"/>
    <hyperlink ref="E4317" r:id="rId4189" xr:uid="{00000000-0004-0000-0000-00005C100000}"/>
    <hyperlink ref="E4318" r:id="rId4190" xr:uid="{00000000-0004-0000-0000-00005D100000}"/>
    <hyperlink ref="E4319" r:id="rId4191" xr:uid="{00000000-0004-0000-0000-00005E100000}"/>
    <hyperlink ref="E4320" r:id="rId4192" xr:uid="{00000000-0004-0000-0000-00005F100000}"/>
    <hyperlink ref="E4321" r:id="rId4193" xr:uid="{00000000-0004-0000-0000-000060100000}"/>
    <hyperlink ref="E4322" r:id="rId4194" xr:uid="{00000000-0004-0000-0000-000061100000}"/>
    <hyperlink ref="E4323" r:id="rId4195" xr:uid="{00000000-0004-0000-0000-000062100000}"/>
    <hyperlink ref="E4324" r:id="rId4196" xr:uid="{00000000-0004-0000-0000-000063100000}"/>
    <hyperlink ref="E4325" r:id="rId4197" xr:uid="{00000000-0004-0000-0000-000064100000}"/>
    <hyperlink ref="E4326" r:id="rId4198" xr:uid="{00000000-0004-0000-0000-000065100000}"/>
    <hyperlink ref="E4327" r:id="rId4199" xr:uid="{00000000-0004-0000-0000-000066100000}"/>
    <hyperlink ref="E4328" r:id="rId4200" xr:uid="{00000000-0004-0000-0000-000067100000}"/>
    <hyperlink ref="E4329" r:id="rId4201" xr:uid="{00000000-0004-0000-0000-000068100000}"/>
    <hyperlink ref="E4330" r:id="rId4202" xr:uid="{00000000-0004-0000-0000-000069100000}"/>
    <hyperlink ref="E4331" r:id="rId4203" xr:uid="{00000000-0004-0000-0000-00006A100000}"/>
    <hyperlink ref="E4332" r:id="rId4204" xr:uid="{00000000-0004-0000-0000-00006B100000}"/>
    <hyperlink ref="E4333" r:id="rId4205" xr:uid="{00000000-0004-0000-0000-00006C100000}"/>
    <hyperlink ref="E4334" r:id="rId4206" xr:uid="{00000000-0004-0000-0000-00006D100000}"/>
    <hyperlink ref="E4335" r:id="rId4207" xr:uid="{00000000-0004-0000-0000-00006E100000}"/>
    <hyperlink ref="E4336" r:id="rId4208" xr:uid="{00000000-0004-0000-0000-00006F100000}"/>
    <hyperlink ref="E4337" r:id="rId4209" xr:uid="{00000000-0004-0000-0000-000070100000}"/>
    <hyperlink ref="E4338" r:id="rId4210" xr:uid="{00000000-0004-0000-0000-000071100000}"/>
    <hyperlink ref="E4339" r:id="rId4211" xr:uid="{00000000-0004-0000-0000-000072100000}"/>
    <hyperlink ref="E4340" r:id="rId4212" xr:uid="{00000000-0004-0000-0000-000073100000}"/>
    <hyperlink ref="E4341" r:id="rId4213" xr:uid="{00000000-0004-0000-0000-000074100000}"/>
    <hyperlink ref="E4342" r:id="rId4214" xr:uid="{00000000-0004-0000-0000-000075100000}"/>
    <hyperlink ref="E4343" r:id="rId4215" xr:uid="{00000000-0004-0000-0000-000076100000}"/>
    <hyperlink ref="E4344" r:id="rId4216" xr:uid="{00000000-0004-0000-0000-000077100000}"/>
    <hyperlink ref="E4345" r:id="rId4217" xr:uid="{00000000-0004-0000-0000-000078100000}"/>
    <hyperlink ref="E4346" r:id="rId4218" xr:uid="{00000000-0004-0000-0000-000079100000}"/>
    <hyperlink ref="E4347" r:id="rId4219" xr:uid="{00000000-0004-0000-0000-00007A100000}"/>
    <hyperlink ref="E4348" r:id="rId4220" xr:uid="{00000000-0004-0000-0000-00007B100000}"/>
    <hyperlink ref="E4349" r:id="rId4221" xr:uid="{00000000-0004-0000-0000-00007C100000}"/>
    <hyperlink ref="E4350" r:id="rId4222" xr:uid="{00000000-0004-0000-0000-00007D100000}"/>
    <hyperlink ref="E4351" r:id="rId4223" xr:uid="{00000000-0004-0000-0000-00007E100000}"/>
    <hyperlink ref="E4353" r:id="rId4224" xr:uid="{00000000-0004-0000-0000-00007F100000}"/>
    <hyperlink ref="E4354" r:id="rId4225" xr:uid="{00000000-0004-0000-0000-000080100000}"/>
    <hyperlink ref="E4355" r:id="rId4226" xr:uid="{00000000-0004-0000-0000-000081100000}"/>
    <hyperlink ref="E4356" r:id="rId4227" xr:uid="{00000000-0004-0000-0000-000082100000}"/>
    <hyperlink ref="E4357" r:id="rId4228" xr:uid="{00000000-0004-0000-0000-000083100000}"/>
    <hyperlink ref="E4358" r:id="rId4229" xr:uid="{00000000-0004-0000-0000-000084100000}"/>
    <hyperlink ref="E4359" r:id="rId4230" xr:uid="{00000000-0004-0000-0000-000085100000}"/>
    <hyperlink ref="E4360" r:id="rId4231" xr:uid="{00000000-0004-0000-0000-000086100000}"/>
    <hyperlink ref="E4361" r:id="rId4232" xr:uid="{00000000-0004-0000-0000-000087100000}"/>
    <hyperlink ref="E4362" r:id="rId4233" xr:uid="{00000000-0004-0000-0000-000088100000}"/>
    <hyperlink ref="E4363" r:id="rId4234" xr:uid="{00000000-0004-0000-0000-000089100000}"/>
    <hyperlink ref="E4364" r:id="rId4235" xr:uid="{00000000-0004-0000-0000-00008A100000}"/>
    <hyperlink ref="E4366" r:id="rId4236" xr:uid="{00000000-0004-0000-0000-00008B100000}"/>
    <hyperlink ref="E4367" r:id="rId4237" xr:uid="{00000000-0004-0000-0000-00008C100000}"/>
    <hyperlink ref="E4368" r:id="rId4238" xr:uid="{00000000-0004-0000-0000-00008D100000}"/>
    <hyperlink ref="E4369" r:id="rId4239" xr:uid="{00000000-0004-0000-0000-00008E100000}"/>
    <hyperlink ref="E4370" r:id="rId4240" xr:uid="{00000000-0004-0000-0000-00008F100000}"/>
    <hyperlink ref="E4371" r:id="rId4241" xr:uid="{00000000-0004-0000-0000-000090100000}"/>
    <hyperlink ref="E4372" r:id="rId4242" xr:uid="{00000000-0004-0000-0000-000091100000}"/>
    <hyperlink ref="E4373" r:id="rId4243" xr:uid="{00000000-0004-0000-0000-000092100000}"/>
    <hyperlink ref="E4374" r:id="rId4244" xr:uid="{00000000-0004-0000-0000-000093100000}"/>
    <hyperlink ref="E4375" r:id="rId4245" xr:uid="{00000000-0004-0000-0000-000094100000}"/>
    <hyperlink ref="E4376" r:id="rId4246" xr:uid="{00000000-0004-0000-0000-000095100000}"/>
    <hyperlink ref="E4377" r:id="rId4247" xr:uid="{00000000-0004-0000-0000-000096100000}"/>
    <hyperlink ref="E4378" r:id="rId4248" xr:uid="{00000000-0004-0000-0000-000097100000}"/>
    <hyperlink ref="E4379" r:id="rId4249" xr:uid="{00000000-0004-0000-0000-000098100000}"/>
    <hyperlink ref="E4380" r:id="rId4250" xr:uid="{00000000-0004-0000-0000-000099100000}"/>
    <hyperlink ref="E4381" r:id="rId4251" xr:uid="{00000000-0004-0000-0000-00009A100000}"/>
    <hyperlink ref="E4382" r:id="rId4252" xr:uid="{00000000-0004-0000-0000-00009B100000}"/>
    <hyperlink ref="E4383" r:id="rId4253" xr:uid="{00000000-0004-0000-0000-00009C100000}"/>
    <hyperlink ref="E4384" r:id="rId4254" xr:uid="{00000000-0004-0000-0000-00009D100000}"/>
    <hyperlink ref="E4385" r:id="rId4255" xr:uid="{00000000-0004-0000-0000-00009E100000}"/>
    <hyperlink ref="E4386" r:id="rId4256" xr:uid="{00000000-0004-0000-0000-00009F100000}"/>
    <hyperlink ref="E4387" r:id="rId4257" xr:uid="{00000000-0004-0000-0000-0000A0100000}"/>
    <hyperlink ref="E4388" r:id="rId4258" xr:uid="{00000000-0004-0000-0000-0000A1100000}"/>
    <hyperlink ref="E4389" r:id="rId4259" xr:uid="{00000000-0004-0000-0000-0000A2100000}"/>
    <hyperlink ref="E4390" r:id="rId4260" xr:uid="{00000000-0004-0000-0000-0000A3100000}"/>
    <hyperlink ref="E4391" r:id="rId4261" xr:uid="{00000000-0004-0000-0000-0000A4100000}"/>
    <hyperlink ref="E4392" r:id="rId4262" xr:uid="{00000000-0004-0000-0000-0000A5100000}"/>
    <hyperlink ref="E4393" r:id="rId4263" xr:uid="{00000000-0004-0000-0000-0000A6100000}"/>
    <hyperlink ref="E4394" r:id="rId4264" xr:uid="{00000000-0004-0000-0000-0000A7100000}"/>
    <hyperlink ref="E4395" r:id="rId4265" xr:uid="{00000000-0004-0000-0000-0000A8100000}"/>
    <hyperlink ref="E4396" r:id="rId4266" xr:uid="{00000000-0004-0000-0000-0000A9100000}"/>
    <hyperlink ref="E4397" r:id="rId4267" xr:uid="{00000000-0004-0000-0000-0000AA100000}"/>
    <hyperlink ref="E4398" r:id="rId4268" xr:uid="{00000000-0004-0000-0000-0000AB100000}"/>
    <hyperlink ref="E4399" r:id="rId4269" xr:uid="{00000000-0004-0000-0000-0000AC100000}"/>
    <hyperlink ref="E4400" r:id="rId4270" xr:uid="{00000000-0004-0000-0000-0000AD100000}"/>
    <hyperlink ref="E4401" r:id="rId4271" xr:uid="{00000000-0004-0000-0000-0000AE100000}"/>
    <hyperlink ref="E4402" r:id="rId4272" xr:uid="{00000000-0004-0000-0000-0000AF100000}"/>
    <hyperlink ref="E4403" r:id="rId4273" xr:uid="{00000000-0004-0000-0000-0000B0100000}"/>
    <hyperlink ref="E4404" r:id="rId4274" xr:uid="{00000000-0004-0000-0000-0000B1100000}"/>
    <hyperlink ref="E4405" r:id="rId4275" xr:uid="{00000000-0004-0000-0000-0000B2100000}"/>
    <hyperlink ref="E4406" r:id="rId4276" xr:uid="{00000000-0004-0000-0000-0000B3100000}"/>
    <hyperlink ref="E4407" r:id="rId4277" xr:uid="{00000000-0004-0000-0000-0000B4100000}"/>
    <hyperlink ref="E4408" r:id="rId4278" xr:uid="{00000000-0004-0000-0000-0000B5100000}"/>
    <hyperlink ref="E4409" r:id="rId4279" xr:uid="{00000000-0004-0000-0000-0000B6100000}"/>
    <hyperlink ref="E4411" r:id="rId4280" xr:uid="{00000000-0004-0000-0000-0000B7100000}"/>
    <hyperlink ref="E4412" r:id="rId4281" xr:uid="{00000000-0004-0000-0000-0000B8100000}"/>
    <hyperlink ref="E4413" r:id="rId4282" xr:uid="{00000000-0004-0000-0000-0000B9100000}"/>
    <hyperlink ref="E4414" r:id="rId4283" xr:uid="{00000000-0004-0000-0000-0000BA100000}"/>
    <hyperlink ref="E4415" r:id="rId4284" xr:uid="{00000000-0004-0000-0000-0000BB100000}"/>
    <hyperlink ref="E4416" r:id="rId4285" xr:uid="{00000000-0004-0000-0000-0000BC100000}"/>
    <hyperlink ref="E4417" r:id="rId4286" xr:uid="{00000000-0004-0000-0000-0000BD100000}"/>
    <hyperlink ref="E4418" r:id="rId4287" xr:uid="{00000000-0004-0000-0000-0000BE100000}"/>
    <hyperlink ref="E4419" r:id="rId4288" xr:uid="{00000000-0004-0000-0000-0000BF100000}"/>
    <hyperlink ref="E4420" r:id="rId4289" xr:uid="{00000000-0004-0000-0000-0000C0100000}"/>
    <hyperlink ref="E4421" r:id="rId4290" xr:uid="{00000000-0004-0000-0000-0000C1100000}"/>
    <hyperlink ref="E4422" r:id="rId4291" xr:uid="{00000000-0004-0000-0000-0000C2100000}"/>
    <hyperlink ref="E4423" r:id="rId4292" xr:uid="{00000000-0004-0000-0000-0000C3100000}"/>
    <hyperlink ref="E4424" r:id="rId4293" xr:uid="{00000000-0004-0000-0000-0000C4100000}"/>
    <hyperlink ref="E4425" r:id="rId4294" xr:uid="{00000000-0004-0000-0000-0000C5100000}"/>
    <hyperlink ref="E4426" r:id="rId4295" xr:uid="{00000000-0004-0000-0000-0000C6100000}"/>
    <hyperlink ref="E4427" r:id="rId4296" xr:uid="{00000000-0004-0000-0000-0000C7100000}"/>
    <hyperlink ref="E4428" r:id="rId4297" xr:uid="{00000000-0004-0000-0000-0000C8100000}"/>
    <hyperlink ref="E4429" r:id="rId4298" xr:uid="{00000000-0004-0000-0000-0000C9100000}"/>
    <hyperlink ref="E4430" r:id="rId4299" xr:uid="{00000000-0004-0000-0000-0000CA100000}"/>
    <hyperlink ref="E4431" r:id="rId4300" xr:uid="{00000000-0004-0000-0000-0000CB100000}"/>
    <hyperlink ref="E4432" r:id="rId4301" xr:uid="{00000000-0004-0000-0000-0000CC100000}"/>
    <hyperlink ref="E4433" r:id="rId4302" xr:uid="{00000000-0004-0000-0000-0000CD100000}"/>
    <hyperlink ref="E4434" r:id="rId4303" xr:uid="{00000000-0004-0000-0000-0000CE100000}"/>
    <hyperlink ref="E4435" r:id="rId4304" xr:uid="{00000000-0004-0000-0000-0000CF100000}"/>
    <hyperlink ref="E4436" r:id="rId4305" xr:uid="{00000000-0004-0000-0000-0000D0100000}"/>
    <hyperlink ref="E4437" r:id="rId4306" xr:uid="{00000000-0004-0000-0000-0000D1100000}"/>
    <hyperlink ref="E4438" r:id="rId4307" xr:uid="{00000000-0004-0000-0000-0000D2100000}"/>
    <hyperlink ref="E4439" r:id="rId4308" xr:uid="{00000000-0004-0000-0000-0000D3100000}"/>
    <hyperlink ref="E4440" r:id="rId4309" xr:uid="{00000000-0004-0000-0000-0000D4100000}"/>
    <hyperlink ref="E4441" r:id="rId4310" xr:uid="{00000000-0004-0000-0000-0000D5100000}"/>
    <hyperlink ref="E4444" r:id="rId4311" xr:uid="{00000000-0004-0000-0000-0000D6100000}"/>
    <hyperlink ref="E4445" r:id="rId4312" xr:uid="{00000000-0004-0000-0000-0000D7100000}"/>
    <hyperlink ref="E4446" r:id="rId4313" xr:uid="{00000000-0004-0000-0000-0000D8100000}"/>
    <hyperlink ref="E4447" r:id="rId4314" xr:uid="{00000000-0004-0000-0000-0000D9100000}"/>
    <hyperlink ref="E4448" r:id="rId4315" xr:uid="{00000000-0004-0000-0000-0000DA100000}"/>
    <hyperlink ref="E4449" r:id="rId4316" xr:uid="{00000000-0004-0000-0000-0000DB100000}"/>
    <hyperlink ref="E4450" r:id="rId4317" xr:uid="{00000000-0004-0000-0000-0000DC100000}"/>
    <hyperlink ref="E4451" r:id="rId4318" xr:uid="{00000000-0004-0000-0000-0000DD100000}"/>
    <hyperlink ref="E4452" r:id="rId4319" xr:uid="{00000000-0004-0000-0000-0000DE100000}"/>
    <hyperlink ref="E4453" r:id="rId4320" xr:uid="{00000000-0004-0000-0000-0000DF100000}"/>
    <hyperlink ref="E4454" r:id="rId4321" xr:uid="{00000000-0004-0000-0000-0000E0100000}"/>
    <hyperlink ref="E4455" r:id="rId4322" xr:uid="{00000000-0004-0000-0000-0000E1100000}"/>
    <hyperlink ref="E4456" r:id="rId4323" xr:uid="{00000000-0004-0000-0000-0000E2100000}"/>
    <hyperlink ref="E4457" r:id="rId4324" xr:uid="{00000000-0004-0000-0000-0000E3100000}"/>
    <hyperlink ref="E4458" r:id="rId4325" xr:uid="{00000000-0004-0000-0000-0000E4100000}"/>
    <hyperlink ref="E4459" r:id="rId4326" xr:uid="{00000000-0004-0000-0000-0000E5100000}"/>
    <hyperlink ref="E4460" r:id="rId4327" xr:uid="{00000000-0004-0000-0000-0000E6100000}"/>
    <hyperlink ref="E4461" r:id="rId4328" xr:uid="{00000000-0004-0000-0000-0000E7100000}"/>
    <hyperlink ref="E4462" r:id="rId4329" xr:uid="{00000000-0004-0000-0000-0000E8100000}"/>
    <hyperlink ref="E4463" r:id="rId4330" xr:uid="{00000000-0004-0000-0000-0000E9100000}"/>
    <hyperlink ref="E4464" r:id="rId4331" xr:uid="{00000000-0004-0000-0000-0000EA100000}"/>
    <hyperlink ref="E4465" r:id="rId4332" xr:uid="{00000000-0004-0000-0000-0000EB100000}"/>
    <hyperlink ref="E4466" r:id="rId4333" xr:uid="{00000000-0004-0000-0000-0000EC100000}"/>
    <hyperlink ref="E4467" r:id="rId4334" xr:uid="{00000000-0004-0000-0000-0000ED100000}"/>
    <hyperlink ref="E4468" r:id="rId4335" xr:uid="{00000000-0004-0000-0000-0000EE100000}"/>
    <hyperlink ref="E4469" r:id="rId4336" xr:uid="{00000000-0004-0000-0000-0000EF100000}"/>
    <hyperlink ref="E4470" r:id="rId4337" xr:uid="{00000000-0004-0000-0000-0000F0100000}"/>
    <hyperlink ref="E4471" r:id="rId4338" xr:uid="{00000000-0004-0000-0000-0000F1100000}"/>
    <hyperlink ref="E4472" r:id="rId4339" xr:uid="{00000000-0004-0000-0000-0000F2100000}"/>
    <hyperlink ref="E4474" r:id="rId4340" xr:uid="{00000000-0004-0000-0000-0000F3100000}"/>
    <hyperlink ref="E4475" r:id="rId4341" xr:uid="{00000000-0004-0000-0000-0000F4100000}"/>
    <hyperlink ref="E4476" r:id="rId4342" xr:uid="{00000000-0004-0000-0000-0000F5100000}"/>
    <hyperlink ref="E4477" r:id="rId4343" xr:uid="{00000000-0004-0000-0000-0000F6100000}"/>
    <hyperlink ref="E4478" r:id="rId4344" xr:uid="{00000000-0004-0000-0000-0000F7100000}"/>
    <hyperlink ref="E4479" r:id="rId4345" xr:uid="{00000000-0004-0000-0000-0000F8100000}"/>
    <hyperlink ref="E4480" r:id="rId4346" xr:uid="{00000000-0004-0000-0000-0000F9100000}"/>
    <hyperlink ref="E4481" r:id="rId4347" xr:uid="{00000000-0004-0000-0000-0000FA100000}"/>
    <hyperlink ref="E4482" r:id="rId4348" xr:uid="{00000000-0004-0000-0000-0000FB100000}"/>
    <hyperlink ref="E4483" r:id="rId4349" xr:uid="{00000000-0004-0000-0000-0000FC100000}"/>
    <hyperlink ref="E4484" r:id="rId4350" xr:uid="{00000000-0004-0000-0000-0000FD100000}"/>
    <hyperlink ref="E4485" r:id="rId4351" xr:uid="{00000000-0004-0000-0000-0000FE100000}"/>
    <hyperlink ref="E4486" r:id="rId4352" xr:uid="{00000000-0004-0000-0000-0000FF100000}"/>
    <hyperlink ref="E4487" r:id="rId4353" xr:uid="{00000000-0004-0000-0000-000000110000}"/>
    <hyperlink ref="E4488" r:id="rId4354" xr:uid="{00000000-0004-0000-0000-000001110000}"/>
    <hyperlink ref="E4489" r:id="rId4355" xr:uid="{00000000-0004-0000-0000-000002110000}"/>
    <hyperlink ref="E4490" r:id="rId4356" xr:uid="{00000000-0004-0000-0000-000003110000}"/>
    <hyperlink ref="E4492" r:id="rId4357" xr:uid="{00000000-0004-0000-0000-000004110000}"/>
    <hyperlink ref="E4493" r:id="rId4358" xr:uid="{00000000-0004-0000-0000-000005110000}"/>
    <hyperlink ref="E4494" r:id="rId4359" xr:uid="{00000000-0004-0000-0000-000006110000}"/>
    <hyperlink ref="E4495" r:id="rId4360" xr:uid="{00000000-0004-0000-0000-000007110000}"/>
    <hyperlink ref="E4496" r:id="rId4361" xr:uid="{00000000-0004-0000-0000-000008110000}"/>
    <hyperlink ref="E4497" r:id="rId4362" xr:uid="{00000000-0004-0000-0000-000009110000}"/>
    <hyperlink ref="E4498" r:id="rId4363" xr:uid="{00000000-0004-0000-0000-00000A110000}"/>
    <hyperlink ref="E4500" r:id="rId4364" xr:uid="{00000000-0004-0000-0000-00000B110000}"/>
    <hyperlink ref="E4501" r:id="rId4365" xr:uid="{00000000-0004-0000-0000-00000C110000}"/>
    <hyperlink ref="E4502" r:id="rId4366" xr:uid="{00000000-0004-0000-0000-00000D110000}"/>
    <hyperlink ref="E4503" r:id="rId4367" xr:uid="{00000000-0004-0000-0000-00000E110000}"/>
    <hyperlink ref="E4505" r:id="rId4368" xr:uid="{00000000-0004-0000-0000-00000F110000}"/>
    <hyperlink ref="E4506" r:id="rId4369" xr:uid="{00000000-0004-0000-0000-000010110000}"/>
    <hyperlink ref="E4507" r:id="rId4370" xr:uid="{00000000-0004-0000-0000-000011110000}"/>
    <hyperlink ref="E4508" r:id="rId4371" xr:uid="{00000000-0004-0000-0000-000012110000}"/>
    <hyperlink ref="E4509" r:id="rId4372" xr:uid="{00000000-0004-0000-0000-000013110000}"/>
    <hyperlink ref="E4510" r:id="rId4373" xr:uid="{00000000-0004-0000-0000-000014110000}"/>
    <hyperlink ref="E4511" r:id="rId4374" xr:uid="{00000000-0004-0000-0000-000015110000}"/>
    <hyperlink ref="E4512" r:id="rId4375" xr:uid="{00000000-0004-0000-0000-000016110000}"/>
    <hyperlink ref="E4513" r:id="rId4376" xr:uid="{00000000-0004-0000-0000-000017110000}"/>
    <hyperlink ref="E4514" r:id="rId4377" xr:uid="{00000000-0004-0000-0000-000018110000}"/>
    <hyperlink ref="E4515" r:id="rId4378" xr:uid="{00000000-0004-0000-0000-000019110000}"/>
    <hyperlink ref="E4516" r:id="rId4379" xr:uid="{00000000-0004-0000-0000-00001A110000}"/>
    <hyperlink ref="E4517" r:id="rId4380" xr:uid="{00000000-0004-0000-0000-00001B110000}"/>
    <hyperlink ref="E4518" r:id="rId4381" xr:uid="{00000000-0004-0000-0000-00001C110000}"/>
    <hyperlink ref="E4519" r:id="rId4382" xr:uid="{00000000-0004-0000-0000-00001D110000}"/>
    <hyperlink ref="E4520" r:id="rId4383" xr:uid="{00000000-0004-0000-0000-00001E110000}"/>
    <hyperlink ref="E4521" r:id="rId4384" xr:uid="{00000000-0004-0000-0000-00001F110000}"/>
    <hyperlink ref="E4523" r:id="rId4385" xr:uid="{00000000-0004-0000-0000-000020110000}"/>
    <hyperlink ref="E4524" r:id="rId4386" xr:uid="{00000000-0004-0000-0000-000021110000}"/>
    <hyperlink ref="E4525" r:id="rId4387" xr:uid="{00000000-0004-0000-0000-000022110000}"/>
    <hyperlink ref="E4526" r:id="rId4388" xr:uid="{00000000-0004-0000-0000-000023110000}"/>
    <hyperlink ref="E4527" r:id="rId4389" xr:uid="{00000000-0004-0000-0000-000024110000}"/>
    <hyperlink ref="E4528" r:id="rId4390" xr:uid="{00000000-0004-0000-0000-000025110000}"/>
    <hyperlink ref="E4529" r:id="rId4391" xr:uid="{00000000-0004-0000-0000-000026110000}"/>
    <hyperlink ref="E4531" r:id="rId4392" xr:uid="{00000000-0004-0000-0000-000027110000}"/>
    <hyperlink ref="E4534" r:id="rId4393" xr:uid="{00000000-0004-0000-0000-000028110000}"/>
    <hyperlink ref="E4535" r:id="rId4394" xr:uid="{00000000-0004-0000-0000-000029110000}"/>
    <hyperlink ref="E4536" r:id="rId4395" xr:uid="{00000000-0004-0000-0000-00002A110000}"/>
    <hyperlink ref="E4537" r:id="rId4396" xr:uid="{00000000-0004-0000-0000-00002B110000}"/>
    <hyperlink ref="E4538" r:id="rId4397" xr:uid="{00000000-0004-0000-0000-00002C110000}"/>
    <hyperlink ref="E4539" r:id="rId4398" xr:uid="{00000000-0004-0000-0000-00002D110000}"/>
    <hyperlink ref="E4540" r:id="rId4399" xr:uid="{00000000-0004-0000-0000-00002E110000}"/>
    <hyperlink ref="E4541" r:id="rId4400" xr:uid="{00000000-0004-0000-0000-00002F110000}"/>
    <hyperlink ref="E4542" r:id="rId4401" xr:uid="{00000000-0004-0000-0000-000030110000}"/>
    <hyperlink ref="E4543" r:id="rId4402" xr:uid="{00000000-0004-0000-0000-000031110000}"/>
    <hyperlink ref="E4544" r:id="rId4403" xr:uid="{00000000-0004-0000-0000-000032110000}"/>
    <hyperlink ref="E4545" r:id="rId4404" xr:uid="{00000000-0004-0000-0000-000033110000}"/>
    <hyperlink ref="E4546" r:id="rId4405" xr:uid="{00000000-0004-0000-0000-000034110000}"/>
    <hyperlink ref="E4547" r:id="rId4406" xr:uid="{00000000-0004-0000-0000-000035110000}"/>
    <hyperlink ref="E4548" r:id="rId4407" xr:uid="{00000000-0004-0000-0000-000036110000}"/>
    <hyperlink ref="E4549" r:id="rId4408" xr:uid="{00000000-0004-0000-0000-000037110000}"/>
    <hyperlink ref="E4550" r:id="rId4409" xr:uid="{00000000-0004-0000-0000-000038110000}"/>
    <hyperlink ref="E4551" r:id="rId4410" xr:uid="{00000000-0004-0000-0000-000039110000}"/>
    <hyperlink ref="E4552" r:id="rId4411" xr:uid="{00000000-0004-0000-0000-00003A110000}"/>
    <hyperlink ref="E4553" r:id="rId4412" xr:uid="{00000000-0004-0000-0000-00003B110000}"/>
    <hyperlink ref="E4554" r:id="rId4413" xr:uid="{00000000-0004-0000-0000-00003C110000}"/>
    <hyperlink ref="E4555" r:id="rId4414" xr:uid="{00000000-0004-0000-0000-00003D110000}"/>
    <hyperlink ref="E4556" r:id="rId4415" xr:uid="{00000000-0004-0000-0000-00003E110000}"/>
    <hyperlink ref="E4557" r:id="rId4416" xr:uid="{00000000-0004-0000-0000-00003F110000}"/>
    <hyperlink ref="E4558" r:id="rId4417" xr:uid="{00000000-0004-0000-0000-000040110000}"/>
    <hyperlink ref="E4559" r:id="rId4418" xr:uid="{00000000-0004-0000-0000-000041110000}"/>
    <hyperlink ref="E4560" r:id="rId4419" xr:uid="{00000000-0004-0000-0000-000042110000}"/>
    <hyperlink ref="E4561" r:id="rId4420" xr:uid="{00000000-0004-0000-0000-000043110000}"/>
    <hyperlink ref="E4562" r:id="rId4421" xr:uid="{00000000-0004-0000-0000-000044110000}"/>
    <hyperlink ref="E4563" r:id="rId4422" xr:uid="{00000000-0004-0000-0000-000045110000}"/>
    <hyperlink ref="E4564" r:id="rId4423" xr:uid="{00000000-0004-0000-0000-000046110000}"/>
    <hyperlink ref="E4565" r:id="rId4424" xr:uid="{00000000-0004-0000-0000-000047110000}"/>
    <hyperlink ref="E4566" r:id="rId4425" xr:uid="{00000000-0004-0000-0000-000048110000}"/>
    <hyperlink ref="E4567" r:id="rId4426" xr:uid="{00000000-0004-0000-0000-000049110000}"/>
    <hyperlink ref="E4568" r:id="rId4427" xr:uid="{00000000-0004-0000-0000-00004A110000}"/>
    <hyperlink ref="E4569" r:id="rId4428" xr:uid="{00000000-0004-0000-0000-00004B110000}"/>
    <hyperlink ref="E4570" r:id="rId4429" xr:uid="{00000000-0004-0000-0000-00004C110000}"/>
    <hyperlink ref="E4571" r:id="rId4430" xr:uid="{00000000-0004-0000-0000-00004D110000}"/>
    <hyperlink ref="E4572" r:id="rId4431" xr:uid="{00000000-0004-0000-0000-00004E110000}"/>
    <hyperlink ref="E4573" r:id="rId4432" xr:uid="{00000000-0004-0000-0000-00004F110000}"/>
    <hyperlink ref="E4574" r:id="rId4433" xr:uid="{00000000-0004-0000-0000-000050110000}"/>
    <hyperlink ref="E4575" r:id="rId4434" xr:uid="{00000000-0004-0000-0000-000051110000}"/>
    <hyperlink ref="E4576" r:id="rId4435" xr:uid="{00000000-0004-0000-0000-000052110000}"/>
    <hyperlink ref="E4577" r:id="rId4436" xr:uid="{00000000-0004-0000-0000-000053110000}"/>
    <hyperlink ref="E4578" r:id="rId4437" xr:uid="{00000000-0004-0000-0000-000054110000}"/>
    <hyperlink ref="E4579" r:id="rId4438" xr:uid="{00000000-0004-0000-0000-000055110000}"/>
    <hyperlink ref="E4580" r:id="rId4439" xr:uid="{00000000-0004-0000-0000-000056110000}"/>
    <hyperlink ref="E4581" r:id="rId4440" xr:uid="{00000000-0004-0000-0000-000057110000}"/>
    <hyperlink ref="E4582" r:id="rId4441" xr:uid="{00000000-0004-0000-0000-000058110000}"/>
    <hyperlink ref="E4583" r:id="rId4442" xr:uid="{00000000-0004-0000-0000-000059110000}"/>
    <hyperlink ref="E4584" r:id="rId4443" xr:uid="{00000000-0004-0000-0000-00005A110000}"/>
    <hyperlink ref="E4585" r:id="rId4444" xr:uid="{00000000-0004-0000-0000-00005B110000}"/>
    <hyperlink ref="E4586" r:id="rId4445" xr:uid="{00000000-0004-0000-0000-00005C110000}"/>
    <hyperlink ref="E4587" r:id="rId4446" xr:uid="{00000000-0004-0000-0000-00005D110000}"/>
    <hyperlink ref="E4588" r:id="rId4447" xr:uid="{00000000-0004-0000-0000-00005E110000}"/>
    <hyperlink ref="E4589" r:id="rId4448" xr:uid="{00000000-0004-0000-0000-00005F110000}"/>
    <hyperlink ref="E4590" r:id="rId4449" xr:uid="{00000000-0004-0000-0000-000060110000}"/>
    <hyperlink ref="E4591" r:id="rId4450" xr:uid="{00000000-0004-0000-0000-000061110000}"/>
    <hyperlink ref="E4592" r:id="rId4451" xr:uid="{00000000-0004-0000-0000-000062110000}"/>
    <hyperlink ref="E4593" r:id="rId4452" xr:uid="{00000000-0004-0000-0000-000063110000}"/>
    <hyperlink ref="E4594" r:id="rId4453" xr:uid="{00000000-0004-0000-0000-000064110000}"/>
    <hyperlink ref="E4595" r:id="rId4454" xr:uid="{00000000-0004-0000-0000-000065110000}"/>
    <hyperlink ref="E4596" r:id="rId4455" xr:uid="{00000000-0004-0000-0000-000066110000}"/>
    <hyperlink ref="E4597" r:id="rId4456" xr:uid="{00000000-0004-0000-0000-000067110000}"/>
    <hyperlink ref="E4598" r:id="rId4457" xr:uid="{00000000-0004-0000-0000-000068110000}"/>
    <hyperlink ref="E4599" r:id="rId4458" xr:uid="{00000000-0004-0000-0000-000069110000}"/>
    <hyperlink ref="E4600" r:id="rId4459" xr:uid="{00000000-0004-0000-0000-00006A110000}"/>
    <hyperlink ref="E4601" r:id="rId4460" xr:uid="{00000000-0004-0000-0000-00006B110000}"/>
    <hyperlink ref="E4602" r:id="rId4461" xr:uid="{00000000-0004-0000-0000-00006C110000}"/>
    <hyperlink ref="E4603" r:id="rId4462" xr:uid="{00000000-0004-0000-0000-00006D110000}"/>
    <hyperlink ref="E4604" r:id="rId4463" xr:uid="{00000000-0004-0000-0000-00006E110000}"/>
    <hyperlink ref="E4605" r:id="rId4464" xr:uid="{00000000-0004-0000-0000-00006F110000}"/>
    <hyperlink ref="E4606" r:id="rId4465" xr:uid="{00000000-0004-0000-0000-000070110000}"/>
    <hyperlink ref="E4607" r:id="rId4466" xr:uid="{00000000-0004-0000-0000-000071110000}"/>
    <hyperlink ref="E4608" r:id="rId4467" xr:uid="{00000000-0004-0000-0000-000072110000}"/>
    <hyperlink ref="E4609" r:id="rId4468" xr:uid="{00000000-0004-0000-0000-000073110000}"/>
    <hyperlink ref="E4610" r:id="rId4469" xr:uid="{00000000-0004-0000-0000-000074110000}"/>
    <hyperlink ref="E4611" r:id="rId4470" xr:uid="{00000000-0004-0000-0000-000075110000}"/>
    <hyperlink ref="E4612" r:id="rId4471" xr:uid="{00000000-0004-0000-0000-000076110000}"/>
    <hyperlink ref="E4613" r:id="rId4472" xr:uid="{00000000-0004-0000-0000-000077110000}"/>
    <hyperlink ref="E4614" r:id="rId4473" xr:uid="{00000000-0004-0000-0000-000078110000}"/>
    <hyperlink ref="E4615" r:id="rId4474" xr:uid="{00000000-0004-0000-0000-000079110000}"/>
    <hyperlink ref="E4616" r:id="rId4475" xr:uid="{00000000-0004-0000-0000-00007A110000}"/>
    <hyperlink ref="E4617" r:id="rId4476" xr:uid="{00000000-0004-0000-0000-00007B110000}"/>
    <hyperlink ref="E4618" r:id="rId4477" xr:uid="{00000000-0004-0000-0000-00007C110000}"/>
    <hyperlink ref="E4619" r:id="rId4478" xr:uid="{00000000-0004-0000-0000-00007D110000}"/>
    <hyperlink ref="E4620" r:id="rId4479" xr:uid="{00000000-0004-0000-0000-00007E110000}"/>
    <hyperlink ref="E4621" r:id="rId4480" xr:uid="{00000000-0004-0000-0000-00007F110000}"/>
    <hyperlink ref="E4622" r:id="rId4481" xr:uid="{00000000-0004-0000-0000-000080110000}"/>
    <hyperlink ref="E4623" r:id="rId4482" xr:uid="{00000000-0004-0000-0000-000081110000}"/>
    <hyperlink ref="E4624" r:id="rId4483" xr:uid="{00000000-0004-0000-0000-000082110000}"/>
    <hyperlink ref="E4625" r:id="rId4484" xr:uid="{00000000-0004-0000-0000-000083110000}"/>
    <hyperlink ref="E4626" r:id="rId4485" xr:uid="{00000000-0004-0000-0000-000084110000}"/>
    <hyperlink ref="E4627" r:id="rId4486" xr:uid="{00000000-0004-0000-0000-000085110000}"/>
    <hyperlink ref="E4628" r:id="rId4487" xr:uid="{00000000-0004-0000-0000-000086110000}"/>
    <hyperlink ref="E4629" r:id="rId4488" xr:uid="{00000000-0004-0000-0000-000087110000}"/>
    <hyperlink ref="E4630" r:id="rId4489" xr:uid="{00000000-0004-0000-0000-000088110000}"/>
    <hyperlink ref="E4631" r:id="rId4490" xr:uid="{00000000-0004-0000-0000-000089110000}"/>
    <hyperlink ref="E4632" r:id="rId4491" xr:uid="{00000000-0004-0000-0000-00008A110000}"/>
    <hyperlink ref="E4633" r:id="rId4492" xr:uid="{00000000-0004-0000-0000-00008B110000}"/>
    <hyperlink ref="E4634" r:id="rId4493" xr:uid="{00000000-0004-0000-0000-00008C110000}"/>
    <hyperlink ref="E4635" r:id="rId4494" xr:uid="{00000000-0004-0000-0000-00008D110000}"/>
    <hyperlink ref="E4636" r:id="rId4495" xr:uid="{00000000-0004-0000-0000-00008E110000}"/>
    <hyperlink ref="E4637" r:id="rId4496" xr:uid="{00000000-0004-0000-0000-00008F110000}"/>
    <hyperlink ref="E4638" r:id="rId4497" xr:uid="{00000000-0004-0000-0000-000090110000}"/>
    <hyperlink ref="E4639" r:id="rId4498" xr:uid="{00000000-0004-0000-0000-000091110000}"/>
    <hyperlink ref="E4640" r:id="rId4499" xr:uid="{00000000-0004-0000-0000-000092110000}"/>
    <hyperlink ref="E4641" r:id="rId4500" xr:uid="{00000000-0004-0000-0000-000093110000}"/>
    <hyperlink ref="E4642" r:id="rId4501" xr:uid="{00000000-0004-0000-0000-000094110000}"/>
    <hyperlink ref="E4643" r:id="rId4502" xr:uid="{00000000-0004-0000-0000-000095110000}"/>
    <hyperlink ref="E4644" r:id="rId4503" xr:uid="{00000000-0004-0000-0000-000096110000}"/>
    <hyperlink ref="E4645" r:id="rId4504" xr:uid="{00000000-0004-0000-0000-000097110000}"/>
    <hyperlink ref="E4646" r:id="rId4505" xr:uid="{00000000-0004-0000-0000-000098110000}"/>
    <hyperlink ref="E4647" r:id="rId4506" xr:uid="{00000000-0004-0000-0000-000099110000}"/>
    <hyperlink ref="E4648" r:id="rId4507" xr:uid="{00000000-0004-0000-0000-00009A110000}"/>
    <hyperlink ref="E4649" r:id="rId4508" xr:uid="{00000000-0004-0000-0000-00009B110000}"/>
    <hyperlink ref="E4650" r:id="rId4509" xr:uid="{00000000-0004-0000-0000-00009C110000}"/>
    <hyperlink ref="E4651" r:id="rId4510" xr:uid="{00000000-0004-0000-0000-00009D110000}"/>
    <hyperlink ref="E4652" r:id="rId4511" xr:uid="{00000000-0004-0000-0000-00009E110000}"/>
    <hyperlink ref="E4653" r:id="rId4512" xr:uid="{00000000-0004-0000-0000-00009F110000}"/>
    <hyperlink ref="E4654" r:id="rId4513" xr:uid="{00000000-0004-0000-0000-0000A0110000}"/>
    <hyperlink ref="E4655" r:id="rId4514" xr:uid="{00000000-0004-0000-0000-0000A1110000}"/>
    <hyperlink ref="E4656" r:id="rId4515" xr:uid="{00000000-0004-0000-0000-0000A2110000}"/>
    <hyperlink ref="E4657" r:id="rId4516" xr:uid="{00000000-0004-0000-0000-0000A3110000}"/>
    <hyperlink ref="E4658" r:id="rId4517" xr:uid="{00000000-0004-0000-0000-0000A4110000}"/>
    <hyperlink ref="E4659" r:id="rId4518" xr:uid="{00000000-0004-0000-0000-0000A5110000}"/>
    <hyperlink ref="E4660" r:id="rId4519" xr:uid="{00000000-0004-0000-0000-0000A6110000}"/>
    <hyperlink ref="E4661" r:id="rId4520" xr:uid="{00000000-0004-0000-0000-0000A7110000}"/>
    <hyperlink ref="E4662" r:id="rId4521" xr:uid="{00000000-0004-0000-0000-0000A8110000}"/>
    <hyperlink ref="E4663" r:id="rId4522" xr:uid="{00000000-0004-0000-0000-0000A9110000}"/>
    <hyperlink ref="E4664" r:id="rId4523" xr:uid="{00000000-0004-0000-0000-0000AA110000}"/>
    <hyperlink ref="E4665" r:id="rId4524" xr:uid="{00000000-0004-0000-0000-0000AB110000}"/>
    <hyperlink ref="E4666" r:id="rId4525" xr:uid="{00000000-0004-0000-0000-0000AC110000}"/>
    <hyperlink ref="E4667" r:id="rId4526" xr:uid="{00000000-0004-0000-0000-0000AD110000}"/>
    <hyperlink ref="E4668" r:id="rId4527" xr:uid="{00000000-0004-0000-0000-0000AE110000}"/>
    <hyperlink ref="E4669" r:id="rId4528" xr:uid="{00000000-0004-0000-0000-0000AF110000}"/>
    <hyperlink ref="E4670" r:id="rId4529" xr:uid="{00000000-0004-0000-0000-0000B0110000}"/>
    <hyperlink ref="E4671" r:id="rId4530" xr:uid="{00000000-0004-0000-0000-0000B1110000}"/>
    <hyperlink ref="E4672" r:id="rId4531" xr:uid="{00000000-0004-0000-0000-0000B2110000}"/>
    <hyperlink ref="E4673" r:id="rId4532" xr:uid="{00000000-0004-0000-0000-0000B3110000}"/>
    <hyperlink ref="E4674" r:id="rId4533" xr:uid="{00000000-0004-0000-0000-0000B4110000}"/>
    <hyperlink ref="E4675" r:id="rId4534" xr:uid="{00000000-0004-0000-0000-0000B5110000}"/>
    <hyperlink ref="E4676" r:id="rId4535" xr:uid="{00000000-0004-0000-0000-0000B6110000}"/>
    <hyperlink ref="E4677" r:id="rId4536" xr:uid="{00000000-0004-0000-0000-0000B7110000}"/>
    <hyperlink ref="E4678" r:id="rId4537" xr:uid="{00000000-0004-0000-0000-0000B8110000}"/>
    <hyperlink ref="E4679" r:id="rId4538" xr:uid="{00000000-0004-0000-0000-0000B9110000}"/>
    <hyperlink ref="E4680" r:id="rId4539" xr:uid="{00000000-0004-0000-0000-0000BA110000}"/>
    <hyperlink ref="E4681" r:id="rId4540" xr:uid="{00000000-0004-0000-0000-0000BB110000}"/>
    <hyperlink ref="E4682" r:id="rId4541" xr:uid="{00000000-0004-0000-0000-0000BC110000}"/>
    <hyperlink ref="E4683" r:id="rId4542" xr:uid="{00000000-0004-0000-0000-0000BD110000}"/>
    <hyperlink ref="E4684" r:id="rId4543" xr:uid="{00000000-0004-0000-0000-0000BE110000}"/>
    <hyperlink ref="E4685" r:id="rId4544" xr:uid="{00000000-0004-0000-0000-0000BF110000}"/>
    <hyperlink ref="E4686" r:id="rId4545" xr:uid="{00000000-0004-0000-0000-0000C0110000}"/>
    <hyperlink ref="E4687" r:id="rId4546" xr:uid="{00000000-0004-0000-0000-0000C1110000}"/>
    <hyperlink ref="E4688" r:id="rId4547" xr:uid="{00000000-0004-0000-0000-0000C2110000}"/>
    <hyperlink ref="E4689" r:id="rId4548" xr:uid="{00000000-0004-0000-0000-0000C3110000}"/>
    <hyperlink ref="E4690" r:id="rId4549" xr:uid="{00000000-0004-0000-0000-0000C4110000}"/>
    <hyperlink ref="E4691" r:id="rId4550" xr:uid="{00000000-0004-0000-0000-0000C5110000}"/>
    <hyperlink ref="E4692" r:id="rId4551" xr:uid="{00000000-0004-0000-0000-0000C6110000}"/>
    <hyperlink ref="E4693" r:id="rId4552" xr:uid="{00000000-0004-0000-0000-0000C7110000}"/>
    <hyperlink ref="E4694" r:id="rId4553" xr:uid="{00000000-0004-0000-0000-0000C8110000}"/>
    <hyperlink ref="E4695" r:id="rId4554" xr:uid="{00000000-0004-0000-0000-0000C9110000}"/>
    <hyperlink ref="E4696" r:id="rId4555" xr:uid="{00000000-0004-0000-0000-0000CA110000}"/>
    <hyperlink ref="E4697" r:id="rId4556" xr:uid="{00000000-0004-0000-0000-0000CB110000}"/>
    <hyperlink ref="E4698" r:id="rId4557" xr:uid="{00000000-0004-0000-0000-0000CC110000}"/>
    <hyperlink ref="E4699" r:id="rId4558" xr:uid="{00000000-0004-0000-0000-0000CD110000}"/>
    <hyperlink ref="E4700" r:id="rId4559" xr:uid="{00000000-0004-0000-0000-0000CE110000}"/>
    <hyperlink ref="E4701" r:id="rId4560" xr:uid="{00000000-0004-0000-0000-0000CF110000}"/>
    <hyperlink ref="E4702" r:id="rId4561" xr:uid="{00000000-0004-0000-0000-0000D0110000}"/>
    <hyperlink ref="E4703" r:id="rId4562" xr:uid="{00000000-0004-0000-0000-0000D1110000}"/>
    <hyperlink ref="E4704" r:id="rId4563" xr:uid="{00000000-0004-0000-0000-0000D2110000}"/>
    <hyperlink ref="E4705" r:id="rId4564" xr:uid="{00000000-0004-0000-0000-0000D3110000}"/>
    <hyperlink ref="E4706" r:id="rId4565" xr:uid="{00000000-0004-0000-0000-0000D4110000}"/>
    <hyperlink ref="E4707" r:id="rId4566" xr:uid="{00000000-0004-0000-0000-0000D5110000}"/>
    <hyperlink ref="E4708" r:id="rId4567" xr:uid="{00000000-0004-0000-0000-0000D6110000}"/>
    <hyperlink ref="E4709" r:id="rId4568" xr:uid="{00000000-0004-0000-0000-0000D7110000}"/>
    <hyperlink ref="E4710" r:id="rId4569" xr:uid="{00000000-0004-0000-0000-0000D8110000}"/>
    <hyperlink ref="E4711" r:id="rId4570" xr:uid="{00000000-0004-0000-0000-0000D9110000}"/>
    <hyperlink ref="E4712" r:id="rId4571" xr:uid="{00000000-0004-0000-0000-0000DA110000}"/>
    <hyperlink ref="E4713" r:id="rId4572" xr:uid="{00000000-0004-0000-0000-0000DB110000}"/>
    <hyperlink ref="E4714" r:id="rId4573" xr:uid="{00000000-0004-0000-0000-0000DC110000}"/>
    <hyperlink ref="E4715" r:id="rId4574" xr:uid="{00000000-0004-0000-0000-0000DD110000}"/>
    <hyperlink ref="E4716" r:id="rId4575" xr:uid="{00000000-0004-0000-0000-0000DE110000}"/>
    <hyperlink ref="E4717" r:id="rId4576" xr:uid="{00000000-0004-0000-0000-0000DF110000}"/>
    <hyperlink ref="E4718" r:id="rId4577" xr:uid="{00000000-0004-0000-0000-0000E0110000}"/>
    <hyperlink ref="E4719" r:id="rId4578" xr:uid="{00000000-0004-0000-0000-0000E1110000}"/>
    <hyperlink ref="E4720" r:id="rId4579" xr:uid="{00000000-0004-0000-0000-0000E2110000}"/>
    <hyperlink ref="E4721" r:id="rId4580" xr:uid="{00000000-0004-0000-0000-0000E3110000}"/>
    <hyperlink ref="E4722" r:id="rId4581" xr:uid="{00000000-0004-0000-0000-0000E4110000}"/>
    <hyperlink ref="E4723" r:id="rId4582" xr:uid="{00000000-0004-0000-0000-0000E5110000}"/>
    <hyperlink ref="E4724" r:id="rId4583" xr:uid="{00000000-0004-0000-0000-0000E6110000}"/>
    <hyperlink ref="E4725" r:id="rId4584" xr:uid="{00000000-0004-0000-0000-0000E7110000}"/>
    <hyperlink ref="E4726" r:id="rId4585" xr:uid="{00000000-0004-0000-0000-0000E8110000}"/>
    <hyperlink ref="E4727" r:id="rId4586" xr:uid="{00000000-0004-0000-0000-0000E9110000}"/>
    <hyperlink ref="E4728" r:id="rId4587" xr:uid="{00000000-0004-0000-0000-0000EA110000}"/>
    <hyperlink ref="E4729" r:id="rId4588" xr:uid="{00000000-0004-0000-0000-0000EB110000}"/>
    <hyperlink ref="E4730" r:id="rId4589" xr:uid="{00000000-0004-0000-0000-0000EC110000}"/>
    <hyperlink ref="E4731" r:id="rId4590" xr:uid="{00000000-0004-0000-0000-0000ED110000}"/>
    <hyperlink ref="E4732" r:id="rId4591" xr:uid="{00000000-0004-0000-0000-0000EE110000}"/>
    <hyperlink ref="E4733" r:id="rId4592" xr:uid="{00000000-0004-0000-0000-0000EF110000}"/>
    <hyperlink ref="E4734" r:id="rId4593" xr:uid="{00000000-0004-0000-0000-0000F0110000}"/>
    <hyperlink ref="E4735" r:id="rId4594" xr:uid="{00000000-0004-0000-0000-0000F1110000}"/>
    <hyperlink ref="E4736" r:id="rId4595" xr:uid="{00000000-0004-0000-0000-0000F2110000}"/>
    <hyperlink ref="E4737" r:id="rId4596" xr:uid="{00000000-0004-0000-0000-0000F3110000}"/>
    <hyperlink ref="E4738" r:id="rId4597" xr:uid="{00000000-0004-0000-0000-0000F4110000}"/>
    <hyperlink ref="E4739" r:id="rId4598" xr:uid="{00000000-0004-0000-0000-0000F5110000}"/>
    <hyperlink ref="E4740" r:id="rId4599" xr:uid="{00000000-0004-0000-0000-0000F6110000}"/>
    <hyperlink ref="E4741" r:id="rId4600" xr:uid="{00000000-0004-0000-0000-0000F7110000}"/>
    <hyperlink ref="E4742" r:id="rId4601" xr:uid="{00000000-0004-0000-0000-0000F8110000}"/>
    <hyperlink ref="E4743" r:id="rId4602" xr:uid="{00000000-0004-0000-0000-0000F9110000}"/>
    <hyperlink ref="E4744" r:id="rId4603" xr:uid="{00000000-0004-0000-0000-0000FA110000}"/>
    <hyperlink ref="E4745" r:id="rId4604" xr:uid="{00000000-0004-0000-0000-0000FB110000}"/>
    <hyperlink ref="E4746" r:id="rId4605" xr:uid="{00000000-0004-0000-0000-0000FC110000}"/>
    <hyperlink ref="E4747" r:id="rId4606" xr:uid="{00000000-0004-0000-0000-0000FD110000}"/>
    <hyperlink ref="E4748" r:id="rId4607" xr:uid="{00000000-0004-0000-0000-0000FE110000}"/>
    <hyperlink ref="E4749" r:id="rId4608" xr:uid="{00000000-0004-0000-0000-0000FF110000}"/>
    <hyperlink ref="E4750" r:id="rId4609" xr:uid="{00000000-0004-0000-0000-000000120000}"/>
    <hyperlink ref="E4751" r:id="rId4610" xr:uid="{00000000-0004-0000-0000-000001120000}"/>
    <hyperlink ref="E4752" r:id="rId4611" xr:uid="{00000000-0004-0000-0000-000002120000}"/>
    <hyperlink ref="E4753" r:id="rId4612" xr:uid="{00000000-0004-0000-0000-000003120000}"/>
    <hyperlink ref="E4754" r:id="rId4613" xr:uid="{00000000-0004-0000-0000-000004120000}"/>
    <hyperlink ref="E4755" r:id="rId4614" xr:uid="{00000000-0004-0000-0000-000005120000}"/>
    <hyperlink ref="E4756" r:id="rId4615" xr:uid="{00000000-0004-0000-0000-000006120000}"/>
    <hyperlink ref="E4757" r:id="rId4616" xr:uid="{00000000-0004-0000-0000-000007120000}"/>
    <hyperlink ref="E4758" r:id="rId4617" xr:uid="{00000000-0004-0000-0000-000008120000}"/>
    <hyperlink ref="E4759" r:id="rId4618" xr:uid="{00000000-0004-0000-0000-000009120000}"/>
    <hyperlink ref="E4760" r:id="rId4619" xr:uid="{00000000-0004-0000-0000-00000A120000}"/>
    <hyperlink ref="E4761" r:id="rId4620" xr:uid="{00000000-0004-0000-0000-00000B120000}"/>
    <hyperlink ref="E4762" r:id="rId4621" xr:uid="{00000000-0004-0000-0000-00000C120000}"/>
    <hyperlink ref="E4763" r:id="rId4622" xr:uid="{00000000-0004-0000-0000-00000D120000}"/>
    <hyperlink ref="E4764" r:id="rId4623" xr:uid="{00000000-0004-0000-0000-00000E120000}"/>
    <hyperlink ref="E4765" r:id="rId4624" xr:uid="{00000000-0004-0000-0000-00000F120000}"/>
    <hyperlink ref="E4766" r:id="rId4625" xr:uid="{00000000-0004-0000-0000-000010120000}"/>
    <hyperlink ref="E4767" r:id="rId4626" xr:uid="{00000000-0004-0000-0000-000011120000}"/>
    <hyperlink ref="E4768" r:id="rId4627" xr:uid="{00000000-0004-0000-0000-000012120000}"/>
    <hyperlink ref="E4769" r:id="rId4628" xr:uid="{00000000-0004-0000-0000-000013120000}"/>
    <hyperlink ref="E4770" r:id="rId4629" xr:uid="{00000000-0004-0000-0000-000014120000}"/>
    <hyperlink ref="E4771" r:id="rId4630" xr:uid="{00000000-0004-0000-0000-000015120000}"/>
    <hyperlink ref="E4772" r:id="rId4631" xr:uid="{00000000-0004-0000-0000-000016120000}"/>
    <hyperlink ref="E4773" r:id="rId4632" xr:uid="{00000000-0004-0000-0000-000017120000}"/>
    <hyperlink ref="E4774" r:id="rId4633" xr:uid="{00000000-0004-0000-0000-000018120000}"/>
    <hyperlink ref="E4775" r:id="rId4634" xr:uid="{00000000-0004-0000-0000-000019120000}"/>
    <hyperlink ref="E4776" r:id="rId4635" xr:uid="{00000000-0004-0000-0000-00001A120000}"/>
    <hyperlink ref="E4777" r:id="rId4636" xr:uid="{00000000-0004-0000-0000-00001B120000}"/>
    <hyperlink ref="E4778" r:id="rId4637" xr:uid="{00000000-0004-0000-0000-00001C120000}"/>
    <hyperlink ref="E4779" r:id="rId4638" xr:uid="{00000000-0004-0000-0000-00001D120000}"/>
    <hyperlink ref="E4780" r:id="rId4639" xr:uid="{00000000-0004-0000-0000-00001E120000}"/>
    <hyperlink ref="E4781" r:id="rId4640" xr:uid="{00000000-0004-0000-0000-00001F120000}"/>
    <hyperlink ref="E4782" r:id="rId4641" xr:uid="{00000000-0004-0000-0000-000020120000}"/>
    <hyperlink ref="E4783" r:id="rId4642" xr:uid="{00000000-0004-0000-0000-000021120000}"/>
    <hyperlink ref="E4784" r:id="rId4643" xr:uid="{00000000-0004-0000-0000-000022120000}"/>
    <hyperlink ref="E4785" r:id="rId4644" xr:uid="{00000000-0004-0000-0000-000023120000}"/>
    <hyperlink ref="E4786" r:id="rId4645" xr:uid="{00000000-0004-0000-0000-000024120000}"/>
    <hyperlink ref="E4787" r:id="rId4646" xr:uid="{00000000-0004-0000-0000-000025120000}"/>
    <hyperlink ref="E4788" r:id="rId4647" xr:uid="{00000000-0004-0000-0000-000026120000}"/>
    <hyperlink ref="E4789" r:id="rId4648" xr:uid="{00000000-0004-0000-0000-000027120000}"/>
    <hyperlink ref="E4790" r:id="rId4649" xr:uid="{00000000-0004-0000-0000-000028120000}"/>
    <hyperlink ref="E4791" r:id="rId4650" xr:uid="{00000000-0004-0000-0000-000029120000}"/>
    <hyperlink ref="E4792" r:id="rId4651" xr:uid="{00000000-0004-0000-0000-00002A120000}"/>
    <hyperlink ref="E4793" r:id="rId4652" xr:uid="{00000000-0004-0000-0000-00002B120000}"/>
    <hyperlink ref="E4794" r:id="rId4653" xr:uid="{00000000-0004-0000-0000-00002C120000}"/>
    <hyperlink ref="E4795" r:id="rId4654" xr:uid="{00000000-0004-0000-0000-00002D120000}"/>
    <hyperlink ref="E4796" r:id="rId4655" xr:uid="{00000000-0004-0000-0000-00002E120000}"/>
    <hyperlink ref="E4797" r:id="rId4656" xr:uid="{00000000-0004-0000-0000-00002F120000}"/>
    <hyperlink ref="E4798" r:id="rId4657" xr:uid="{00000000-0004-0000-0000-000030120000}"/>
    <hyperlink ref="E4799" r:id="rId4658" xr:uid="{00000000-0004-0000-0000-000031120000}"/>
    <hyperlink ref="E4800" r:id="rId4659" xr:uid="{00000000-0004-0000-0000-000032120000}"/>
    <hyperlink ref="E4801" r:id="rId4660" xr:uid="{00000000-0004-0000-0000-000033120000}"/>
    <hyperlink ref="E4802" r:id="rId4661" xr:uid="{00000000-0004-0000-0000-000034120000}"/>
    <hyperlink ref="E4803" r:id="rId4662" xr:uid="{00000000-0004-0000-0000-000035120000}"/>
    <hyperlink ref="E4804" r:id="rId4663" xr:uid="{00000000-0004-0000-0000-000036120000}"/>
    <hyperlink ref="E4805" r:id="rId4664" xr:uid="{00000000-0004-0000-0000-000037120000}"/>
    <hyperlink ref="E4806" r:id="rId4665" xr:uid="{00000000-0004-0000-0000-000038120000}"/>
    <hyperlink ref="E4807" r:id="rId4666" xr:uid="{00000000-0004-0000-0000-000039120000}"/>
    <hyperlink ref="E4808" r:id="rId4667" xr:uid="{00000000-0004-0000-0000-00003A120000}"/>
    <hyperlink ref="E4809" r:id="rId4668" xr:uid="{00000000-0004-0000-0000-00003B120000}"/>
    <hyperlink ref="E4810" r:id="rId4669" xr:uid="{00000000-0004-0000-0000-00003C120000}"/>
    <hyperlink ref="E4811" r:id="rId4670" xr:uid="{00000000-0004-0000-0000-00003D120000}"/>
    <hyperlink ref="E4812" r:id="rId4671" xr:uid="{00000000-0004-0000-0000-00003E120000}"/>
    <hyperlink ref="E4813" r:id="rId4672" xr:uid="{00000000-0004-0000-0000-00003F120000}"/>
    <hyperlink ref="E4814" r:id="rId4673" xr:uid="{00000000-0004-0000-0000-000040120000}"/>
    <hyperlink ref="E4815" r:id="rId4674" xr:uid="{00000000-0004-0000-0000-000041120000}"/>
    <hyperlink ref="E4816" r:id="rId4675" xr:uid="{00000000-0004-0000-0000-000042120000}"/>
    <hyperlink ref="E4817" r:id="rId4676" xr:uid="{00000000-0004-0000-0000-000043120000}"/>
    <hyperlink ref="E4818" r:id="rId4677" xr:uid="{00000000-0004-0000-0000-000044120000}"/>
    <hyperlink ref="E4819" r:id="rId4678" xr:uid="{00000000-0004-0000-0000-000045120000}"/>
    <hyperlink ref="E4820" r:id="rId4679" xr:uid="{00000000-0004-0000-0000-000046120000}"/>
    <hyperlink ref="E4821" r:id="rId4680" xr:uid="{00000000-0004-0000-0000-000047120000}"/>
    <hyperlink ref="E4822" r:id="rId4681" xr:uid="{00000000-0004-0000-0000-000048120000}"/>
    <hyperlink ref="E4823" r:id="rId4682" xr:uid="{00000000-0004-0000-0000-000049120000}"/>
    <hyperlink ref="E4824" r:id="rId4683" xr:uid="{00000000-0004-0000-0000-00004A120000}"/>
    <hyperlink ref="E4825" r:id="rId4684" xr:uid="{00000000-0004-0000-0000-00004B120000}"/>
    <hyperlink ref="E4826" r:id="rId4685" xr:uid="{00000000-0004-0000-0000-00004C120000}"/>
    <hyperlink ref="E4827" r:id="rId4686" xr:uid="{00000000-0004-0000-0000-00004D120000}"/>
    <hyperlink ref="E4828" r:id="rId4687" xr:uid="{00000000-0004-0000-0000-00004E120000}"/>
    <hyperlink ref="E4829" r:id="rId4688" xr:uid="{00000000-0004-0000-0000-00004F120000}"/>
    <hyperlink ref="E4830" r:id="rId4689" xr:uid="{00000000-0004-0000-0000-000050120000}"/>
    <hyperlink ref="E4831" r:id="rId4690" xr:uid="{00000000-0004-0000-0000-000051120000}"/>
    <hyperlink ref="E4832" r:id="rId4691" xr:uid="{00000000-0004-0000-0000-000052120000}"/>
    <hyperlink ref="E4833" r:id="rId4692" xr:uid="{00000000-0004-0000-0000-000053120000}"/>
    <hyperlink ref="E4834" r:id="rId4693" xr:uid="{00000000-0004-0000-0000-000054120000}"/>
    <hyperlink ref="E4835" r:id="rId4694" xr:uid="{00000000-0004-0000-0000-000055120000}"/>
    <hyperlink ref="E4836" r:id="rId4695" xr:uid="{00000000-0004-0000-0000-000056120000}"/>
    <hyperlink ref="E4837" r:id="rId4696" xr:uid="{00000000-0004-0000-0000-000057120000}"/>
    <hyperlink ref="E4838" r:id="rId4697" xr:uid="{00000000-0004-0000-0000-000058120000}"/>
    <hyperlink ref="E4839" r:id="rId4698" xr:uid="{00000000-0004-0000-0000-000059120000}"/>
    <hyperlink ref="E4840" r:id="rId4699" xr:uid="{00000000-0004-0000-0000-00005A120000}"/>
    <hyperlink ref="E4841" r:id="rId4700" xr:uid="{00000000-0004-0000-0000-00005B120000}"/>
    <hyperlink ref="E4842" r:id="rId4701" xr:uid="{00000000-0004-0000-0000-00005C120000}"/>
    <hyperlink ref="E4843" r:id="rId4702" xr:uid="{00000000-0004-0000-0000-00005D120000}"/>
    <hyperlink ref="E4844" r:id="rId4703" xr:uid="{00000000-0004-0000-0000-00005E120000}"/>
    <hyperlink ref="E4846" r:id="rId4704" xr:uid="{00000000-0004-0000-0000-00005F120000}"/>
    <hyperlink ref="E4847" r:id="rId4705" xr:uid="{00000000-0004-0000-0000-000060120000}"/>
    <hyperlink ref="E4848" r:id="rId4706" xr:uid="{00000000-0004-0000-0000-000061120000}"/>
    <hyperlink ref="E4849" r:id="rId4707" xr:uid="{00000000-0004-0000-0000-000062120000}"/>
    <hyperlink ref="E4850" r:id="rId4708" xr:uid="{00000000-0004-0000-0000-000063120000}"/>
    <hyperlink ref="E4851" r:id="rId4709" xr:uid="{00000000-0004-0000-0000-000064120000}"/>
    <hyperlink ref="E4852" r:id="rId4710" xr:uid="{00000000-0004-0000-0000-000065120000}"/>
    <hyperlink ref="E4853" r:id="rId4711" xr:uid="{00000000-0004-0000-0000-000066120000}"/>
    <hyperlink ref="E4854" r:id="rId4712" xr:uid="{00000000-0004-0000-0000-000067120000}"/>
    <hyperlink ref="E4855" r:id="rId4713" xr:uid="{00000000-0004-0000-0000-000068120000}"/>
    <hyperlink ref="E4856" r:id="rId4714" xr:uid="{00000000-0004-0000-0000-000069120000}"/>
    <hyperlink ref="E4857" r:id="rId4715" xr:uid="{00000000-0004-0000-0000-00006A120000}"/>
    <hyperlink ref="E4858" r:id="rId4716" xr:uid="{00000000-0004-0000-0000-00006B120000}"/>
    <hyperlink ref="E4859" r:id="rId4717" xr:uid="{00000000-0004-0000-0000-00006C120000}"/>
    <hyperlink ref="E4860" r:id="rId4718" xr:uid="{00000000-0004-0000-0000-00006D120000}"/>
    <hyperlink ref="E4861" r:id="rId4719" xr:uid="{00000000-0004-0000-0000-00006E120000}"/>
    <hyperlink ref="E4863" r:id="rId4720" xr:uid="{00000000-0004-0000-0000-00006F120000}"/>
    <hyperlink ref="E4864" r:id="rId4721" xr:uid="{00000000-0004-0000-0000-000070120000}"/>
    <hyperlink ref="E4865" r:id="rId4722" xr:uid="{00000000-0004-0000-0000-000071120000}"/>
    <hyperlink ref="E4866" r:id="rId4723" xr:uid="{00000000-0004-0000-0000-000072120000}"/>
    <hyperlink ref="E4867" r:id="rId4724" xr:uid="{00000000-0004-0000-0000-000073120000}"/>
    <hyperlink ref="E4868" r:id="rId4725" xr:uid="{00000000-0004-0000-0000-000074120000}"/>
    <hyperlink ref="E4869" r:id="rId4726" xr:uid="{00000000-0004-0000-0000-000075120000}"/>
    <hyperlink ref="E4870" r:id="rId4727" xr:uid="{00000000-0004-0000-0000-000076120000}"/>
    <hyperlink ref="E4871" r:id="rId4728" xr:uid="{00000000-0004-0000-0000-000077120000}"/>
    <hyperlink ref="E4872" r:id="rId4729" xr:uid="{00000000-0004-0000-0000-000078120000}"/>
    <hyperlink ref="E4873" r:id="rId4730" xr:uid="{00000000-0004-0000-0000-000079120000}"/>
    <hyperlink ref="E4874" r:id="rId4731" xr:uid="{00000000-0004-0000-0000-00007A120000}"/>
    <hyperlink ref="E4875" r:id="rId4732" xr:uid="{00000000-0004-0000-0000-00007B120000}"/>
    <hyperlink ref="E4876" r:id="rId4733" xr:uid="{00000000-0004-0000-0000-00007C120000}"/>
    <hyperlink ref="E4877" r:id="rId4734" xr:uid="{00000000-0004-0000-0000-00007D120000}"/>
    <hyperlink ref="E4878" r:id="rId4735" xr:uid="{00000000-0004-0000-0000-00007E120000}"/>
    <hyperlink ref="E4880" r:id="rId4736" xr:uid="{00000000-0004-0000-0000-00007F120000}"/>
    <hyperlink ref="E4881" r:id="rId4737" xr:uid="{00000000-0004-0000-0000-000080120000}"/>
    <hyperlink ref="E4882" r:id="rId4738" xr:uid="{00000000-0004-0000-0000-000081120000}"/>
    <hyperlink ref="E4883" r:id="rId4739" xr:uid="{00000000-0004-0000-0000-000082120000}"/>
    <hyperlink ref="E4884" r:id="rId4740" xr:uid="{00000000-0004-0000-0000-000083120000}"/>
    <hyperlink ref="E4885" r:id="rId4741" xr:uid="{00000000-0004-0000-0000-000084120000}"/>
    <hyperlink ref="E4886" r:id="rId4742" xr:uid="{00000000-0004-0000-0000-000085120000}"/>
    <hyperlink ref="E4887" r:id="rId4743" xr:uid="{00000000-0004-0000-0000-000086120000}"/>
    <hyperlink ref="E4888" r:id="rId4744" xr:uid="{00000000-0004-0000-0000-000087120000}"/>
    <hyperlink ref="E4889" r:id="rId4745" xr:uid="{00000000-0004-0000-0000-000088120000}"/>
    <hyperlink ref="E4890" r:id="rId4746" xr:uid="{00000000-0004-0000-0000-000089120000}"/>
    <hyperlink ref="E4891" r:id="rId4747" xr:uid="{00000000-0004-0000-0000-00008A120000}"/>
    <hyperlink ref="E4892" r:id="rId4748" xr:uid="{00000000-0004-0000-0000-00008B120000}"/>
    <hyperlink ref="E4893" r:id="rId4749" xr:uid="{00000000-0004-0000-0000-00008C120000}"/>
    <hyperlink ref="E4894" r:id="rId4750" xr:uid="{00000000-0004-0000-0000-00008D120000}"/>
    <hyperlink ref="E4895" r:id="rId4751" xr:uid="{00000000-0004-0000-0000-00008E120000}"/>
    <hyperlink ref="E4896" r:id="rId4752" xr:uid="{00000000-0004-0000-0000-00008F120000}"/>
    <hyperlink ref="E4897" r:id="rId4753" xr:uid="{00000000-0004-0000-0000-000090120000}"/>
    <hyperlink ref="E4898" r:id="rId4754" xr:uid="{00000000-0004-0000-0000-000091120000}"/>
    <hyperlink ref="E4899" r:id="rId4755" xr:uid="{00000000-0004-0000-0000-000092120000}"/>
    <hyperlink ref="E4900" r:id="rId4756" xr:uid="{00000000-0004-0000-0000-000093120000}"/>
    <hyperlink ref="E4901" r:id="rId4757" xr:uid="{00000000-0004-0000-0000-000094120000}"/>
    <hyperlink ref="E4902" r:id="rId4758" xr:uid="{00000000-0004-0000-0000-000095120000}"/>
    <hyperlink ref="E4903" r:id="rId4759" xr:uid="{00000000-0004-0000-0000-000096120000}"/>
    <hyperlink ref="E4904" r:id="rId4760" xr:uid="{00000000-0004-0000-0000-000097120000}"/>
    <hyperlink ref="E4905" r:id="rId4761" xr:uid="{00000000-0004-0000-0000-000098120000}"/>
    <hyperlink ref="E4906" r:id="rId4762" xr:uid="{00000000-0004-0000-0000-000099120000}"/>
    <hyperlink ref="E4907" r:id="rId4763" xr:uid="{00000000-0004-0000-0000-00009A120000}"/>
    <hyperlink ref="E4908" r:id="rId4764" xr:uid="{00000000-0004-0000-0000-00009B120000}"/>
    <hyperlink ref="E4911" r:id="rId4765" xr:uid="{00000000-0004-0000-0000-00009C120000}"/>
    <hyperlink ref="E4912" r:id="rId4766" xr:uid="{00000000-0004-0000-0000-00009D120000}"/>
    <hyperlink ref="E4913" r:id="rId4767" xr:uid="{00000000-0004-0000-0000-00009E120000}"/>
    <hyperlink ref="E4914" r:id="rId4768" xr:uid="{00000000-0004-0000-0000-00009F120000}"/>
    <hyperlink ref="E4915" r:id="rId4769" xr:uid="{00000000-0004-0000-0000-0000A0120000}"/>
    <hyperlink ref="E4916" r:id="rId4770" xr:uid="{00000000-0004-0000-0000-0000A1120000}"/>
    <hyperlink ref="E4917" r:id="rId4771" xr:uid="{00000000-0004-0000-0000-0000A2120000}"/>
    <hyperlink ref="E4918" r:id="rId4772" xr:uid="{00000000-0004-0000-0000-0000A3120000}"/>
    <hyperlink ref="E4919" r:id="rId4773" xr:uid="{00000000-0004-0000-0000-0000A4120000}"/>
    <hyperlink ref="E4920" r:id="rId4774" xr:uid="{00000000-0004-0000-0000-0000A5120000}"/>
    <hyperlink ref="E4921" r:id="rId4775" xr:uid="{00000000-0004-0000-0000-0000A6120000}"/>
    <hyperlink ref="E4922" r:id="rId4776" xr:uid="{00000000-0004-0000-0000-0000A7120000}"/>
    <hyperlink ref="E4923" r:id="rId4777" xr:uid="{00000000-0004-0000-0000-0000A8120000}"/>
    <hyperlink ref="E4924" r:id="rId4778" xr:uid="{00000000-0004-0000-0000-0000A9120000}"/>
    <hyperlink ref="E4925" r:id="rId4779" xr:uid="{00000000-0004-0000-0000-0000AA120000}"/>
    <hyperlink ref="E4926" r:id="rId4780" xr:uid="{00000000-0004-0000-0000-0000AB120000}"/>
    <hyperlink ref="E4927" r:id="rId4781" xr:uid="{00000000-0004-0000-0000-0000AC120000}"/>
    <hyperlink ref="E4928" r:id="rId4782" xr:uid="{00000000-0004-0000-0000-0000AD120000}"/>
    <hyperlink ref="E4929" r:id="rId4783" xr:uid="{00000000-0004-0000-0000-0000AE120000}"/>
    <hyperlink ref="E4930" r:id="rId4784" xr:uid="{00000000-0004-0000-0000-0000AF120000}"/>
    <hyperlink ref="E4931" r:id="rId4785" xr:uid="{00000000-0004-0000-0000-0000B0120000}"/>
    <hyperlink ref="E4932" r:id="rId4786" xr:uid="{00000000-0004-0000-0000-0000B1120000}"/>
    <hyperlink ref="E4933" r:id="rId4787" xr:uid="{00000000-0004-0000-0000-0000B2120000}"/>
    <hyperlink ref="E4934" r:id="rId4788" xr:uid="{00000000-0004-0000-0000-0000B3120000}"/>
    <hyperlink ref="E4935" r:id="rId4789" xr:uid="{00000000-0004-0000-0000-0000B4120000}"/>
    <hyperlink ref="E4936" r:id="rId4790" xr:uid="{00000000-0004-0000-0000-0000B5120000}"/>
    <hyperlink ref="E4937" r:id="rId4791" xr:uid="{00000000-0004-0000-0000-0000B6120000}"/>
    <hyperlink ref="E4938" r:id="rId4792" xr:uid="{00000000-0004-0000-0000-0000B7120000}"/>
    <hyperlink ref="E4939" r:id="rId4793" xr:uid="{00000000-0004-0000-0000-0000B8120000}"/>
    <hyperlink ref="E4940" r:id="rId4794" xr:uid="{00000000-0004-0000-0000-0000B9120000}"/>
    <hyperlink ref="E4941" r:id="rId4795" xr:uid="{00000000-0004-0000-0000-0000BA120000}"/>
    <hyperlink ref="E4942" r:id="rId4796" xr:uid="{00000000-0004-0000-0000-0000BB120000}"/>
    <hyperlink ref="E4943" r:id="rId4797" xr:uid="{00000000-0004-0000-0000-0000BC120000}"/>
    <hyperlink ref="E4944" r:id="rId4798" xr:uid="{00000000-0004-0000-0000-0000BD120000}"/>
    <hyperlink ref="E4945" r:id="rId4799" xr:uid="{00000000-0004-0000-0000-0000BE120000}"/>
    <hyperlink ref="E4946" r:id="rId4800" xr:uid="{00000000-0004-0000-0000-0000BF120000}"/>
    <hyperlink ref="E4947" r:id="rId4801" xr:uid="{00000000-0004-0000-0000-0000C0120000}"/>
    <hyperlink ref="E4948" r:id="rId4802" xr:uid="{00000000-0004-0000-0000-0000C1120000}"/>
    <hyperlink ref="E4949" r:id="rId4803" xr:uid="{00000000-0004-0000-0000-0000C2120000}"/>
    <hyperlink ref="E4950" r:id="rId4804" xr:uid="{00000000-0004-0000-0000-0000C3120000}"/>
    <hyperlink ref="E4951" r:id="rId4805" xr:uid="{00000000-0004-0000-0000-0000C4120000}"/>
    <hyperlink ref="E4952" r:id="rId4806" xr:uid="{00000000-0004-0000-0000-0000C5120000}"/>
    <hyperlink ref="E4953" r:id="rId4807" xr:uid="{00000000-0004-0000-0000-0000C6120000}"/>
    <hyperlink ref="E4954" r:id="rId4808" xr:uid="{00000000-0004-0000-0000-0000C7120000}"/>
    <hyperlink ref="E4955" r:id="rId4809" xr:uid="{00000000-0004-0000-0000-0000C8120000}"/>
    <hyperlink ref="E4956" r:id="rId4810" xr:uid="{00000000-0004-0000-0000-0000C9120000}"/>
    <hyperlink ref="E4957" r:id="rId4811" xr:uid="{00000000-0004-0000-0000-0000CA120000}"/>
    <hyperlink ref="E4958" r:id="rId4812" xr:uid="{00000000-0004-0000-0000-0000CB120000}"/>
    <hyperlink ref="E4959" r:id="rId4813" xr:uid="{00000000-0004-0000-0000-0000CC120000}"/>
    <hyperlink ref="E4960" r:id="rId4814" xr:uid="{00000000-0004-0000-0000-0000CD120000}"/>
    <hyperlink ref="E4961" r:id="rId4815" xr:uid="{00000000-0004-0000-0000-0000CE120000}"/>
    <hyperlink ref="E4962" r:id="rId4816" xr:uid="{00000000-0004-0000-0000-0000CF120000}"/>
    <hyperlink ref="E4963" r:id="rId4817" xr:uid="{00000000-0004-0000-0000-0000D0120000}"/>
    <hyperlink ref="E4964" r:id="rId4818" xr:uid="{00000000-0004-0000-0000-0000D1120000}"/>
    <hyperlink ref="E4965" r:id="rId4819" xr:uid="{00000000-0004-0000-0000-0000D2120000}"/>
    <hyperlink ref="E4966" r:id="rId4820" xr:uid="{00000000-0004-0000-0000-0000D3120000}"/>
    <hyperlink ref="E4967" r:id="rId4821" xr:uid="{00000000-0004-0000-0000-0000D4120000}"/>
    <hyperlink ref="E4968" r:id="rId4822" xr:uid="{00000000-0004-0000-0000-0000D5120000}"/>
    <hyperlink ref="E4969" r:id="rId4823" xr:uid="{00000000-0004-0000-0000-0000D6120000}"/>
    <hyperlink ref="E4970" r:id="rId4824" xr:uid="{00000000-0004-0000-0000-0000D7120000}"/>
    <hyperlink ref="E4971" r:id="rId4825" xr:uid="{00000000-0004-0000-0000-0000D8120000}"/>
    <hyperlink ref="E4972" r:id="rId4826" xr:uid="{00000000-0004-0000-0000-0000D9120000}"/>
    <hyperlink ref="E4973" r:id="rId4827" xr:uid="{00000000-0004-0000-0000-0000DA120000}"/>
    <hyperlink ref="E4974" r:id="rId4828" xr:uid="{00000000-0004-0000-0000-0000DB120000}"/>
    <hyperlink ref="E4975" r:id="rId4829" xr:uid="{00000000-0004-0000-0000-0000DC120000}"/>
    <hyperlink ref="E4976" r:id="rId4830" xr:uid="{00000000-0004-0000-0000-0000DD120000}"/>
    <hyperlink ref="E4977" r:id="rId4831" xr:uid="{00000000-0004-0000-0000-0000DE120000}"/>
    <hyperlink ref="E4978" r:id="rId4832" xr:uid="{00000000-0004-0000-0000-0000DF120000}"/>
    <hyperlink ref="E4979" r:id="rId4833" xr:uid="{00000000-0004-0000-0000-0000E0120000}"/>
    <hyperlink ref="E4980" r:id="rId4834" xr:uid="{00000000-0004-0000-0000-0000E1120000}"/>
    <hyperlink ref="E4981" r:id="rId4835" xr:uid="{00000000-0004-0000-0000-0000E2120000}"/>
    <hyperlink ref="E4982" r:id="rId4836" xr:uid="{00000000-0004-0000-0000-0000E3120000}"/>
    <hyperlink ref="E4983" r:id="rId4837" xr:uid="{00000000-0004-0000-0000-0000E4120000}"/>
    <hyperlink ref="E4984" r:id="rId4838" xr:uid="{00000000-0004-0000-0000-0000E5120000}"/>
    <hyperlink ref="E4985" r:id="rId4839" xr:uid="{00000000-0004-0000-0000-0000E6120000}"/>
    <hyperlink ref="E4986" r:id="rId4840" xr:uid="{00000000-0004-0000-0000-0000E7120000}"/>
    <hyperlink ref="E4987" r:id="rId4841" xr:uid="{00000000-0004-0000-0000-0000E8120000}"/>
    <hyperlink ref="E4988" r:id="rId4842" xr:uid="{00000000-0004-0000-0000-0000E9120000}"/>
    <hyperlink ref="E4989" r:id="rId4843" xr:uid="{00000000-0004-0000-0000-0000EA120000}"/>
    <hyperlink ref="E4990" r:id="rId4844" xr:uid="{00000000-0004-0000-0000-0000EB120000}"/>
    <hyperlink ref="E4991" r:id="rId4845" xr:uid="{00000000-0004-0000-0000-0000EC120000}"/>
    <hyperlink ref="E4992" r:id="rId4846" xr:uid="{00000000-0004-0000-0000-0000ED120000}"/>
    <hyperlink ref="E4993" r:id="rId4847" xr:uid="{00000000-0004-0000-0000-0000EE120000}"/>
    <hyperlink ref="E4994" r:id="rId4848" xr:uid="{00000000-0004-0000-0000-0000EF120000}"/>
    <hyperlink ref="E4995" r:id="rId4849" xr:uid="{00000000-0004-0000-0000-0000F0120000}"/>
    <hyperlink ref="E4996" r:id="rId4850" xr:uid="{00000000-0004-0000-0000-0000F1120000}"/>
    <hyperlink ref="E4997" r:id="rId4851" xr:uid="{00000000-0004-0000-0000-0000F2120000}"/>
    <hyperlink ref="E4998" r:id="rId4852" xr:uid="{00000000-0004-0000-0000-0000F3120000}"/>
    <hyperlink ref="E4999" r:id="rId4853" xr:uid="{00000000-0004-0000-0000-0000F4120000}"/>
    <hyperlink ref="E5000" r:id="rId4854" xr:uid="{00000000-0004-0000-0000-0000F5120000}"/>
    <hyperlink ref="E5001" r:id="rId4855" xr:uid="{00000000-0004-0000-0000-0000F6120000}"/>
    <hyperlink ref="E5002" r:id="rId4856" xr:uid="{00000000-0004-0000-0000-0000F7120000}"/>
    <hyperlink ref="E5003" r:id="rId4857" xr:uid="{00000000-0004-0000-0000-0000F8120000}"/>
    <hyperlink ref="E5004" r:id="rId4858" xr:uid="{00000000-0004-0000-0000-0000F9120000}"/>
    <hyperlink ref="E5005" r:id="rId4859" xr:uid="{00000000-0004-0000-0000-0000FA120000}"/>
    <hyperlink ref="E5006" r:id="rId4860" xr:uid="{00000000-0004-0000-0000-0000FB120000}"/>
    <hyperlink ref="E5007" r:id="rId4861" xr:uid="{00000000-0004-0000-0000-0000FC120000}"/>
    <hyperlink ref="E5008" r:id="rId4862" xr:uid="{00000000-0004-0000-0000-0000FD120000}"/>
    <hyperlink ref="E5009" r:id="rId4863" xr:uid="{00000000-0004-0000-0000-0000FE120000}"/>
    <hyperlink ref="E5010" r:id="rId4864" xr:uid="{00000000-0004-0000-0000-0000FF120000}"/>
    <hyperlink ref="E5011" r:id="rId4865" xr:uid="{00000000-0004-0000-0000-000000130000}"/>
    <hyperlink ref="E5012" r:id="rId4866" xr:uid="{00000000-0004-0000-0000-000001130000}"/>
    <hyperlink ref="E5013" r:id="rId4867" xr:uid="{00000000-0004-0000-0000-000002130000}"/>
    <hyperlink ref="E5014" r:id="rId4868" xr:uid="{00000000-0004-0000-0000-000003130000}"/>
    <hyperlink ref="E5015" r:id="rId4869" xr:uid="{00000000-0004-0000-0000-000004130000}"/>
    <hyperlink ref="E5016" r:id="rId4870" xr:uid="{00000000-0004-0000-0000-000005130000}"/>
    <hyperlink ref="E5017" r:id="rId4871" xr:uid="{00000000-0004-0000-0000-000006130000}"/>
    <hyperlink ref="E5018" r:id="rId4872" xr:uid="{00000000-0004-0000-0000-000007130000}"/>
    <hyperlink ref="E5019" r:id="rId4873" xr:uid="{00000000-0004-0000-0000-000008130000}"/>
    <hyperlink ref="E5020" r:id="rId4874" xr:uid="{00000000-0004-0000-0000-000009130000}"/>
    <hyperlink ref="E5021" r:id="rId4875" xr:uid="{00000000-0004-0000-0000-00000A130000}"/>
    <hyperlink ref="E5022" r:id="rId4876" xr:uid="{00000000-0004-0000-0000-00000B130000}"/>
    <hyperlink ref="E5023" r:id="rId4877" xr:uid="{00000000-0004-0000-0000-00000C130000}"/>
    <hyperlink ref="E5024" r:id="rId4878" xr:uid="{00000000-0004-0000-0000-00000D130000}"/>
    <hyperlink ref="E5025" r:id="rId4879" xr:uid="{00000000-0004-0000-0000-00000E130000}"/>
    <hyperlink ref="E5026" r:id="rId4880" xr:uid="{00000000-0004-0000-0000-00000F130000}"/>
    <hyperlink ref="E5027" r:id="rId4881" xr:uid="{00000000-0004-0000-0000-000010130000}"/>
    <hyperlink ref="E5028" r:id="rId4882" xr:uid="{00000000-0004-0000-0000-000011130000}"/>
    <hyperlink ref="E5029" r:id="rId4883" xr:uid="{00000000-0004-0000-0000-000012130000}"/>
    <hyperlink ref="E5030" r:id="rId4884" xr:uid="{00000000-0004-0000-0000-000013130000}"/>
    <hyperlink ref="E5031" r:id="rId4885" xr:uid="{00000000-0004-0000-0000-000014130000}"/>
    <hyperlink ref="E5032" r:id="rId4886" xr:uid="{00000000-0004-0000-0000-000015130000}"/>
    <hyperlink ref="E5033" r:id="rId4887" xr:uid="{00000000-0004-0000-0000-000016130000}"/>
    <hyperlink ref="E5034" r:id="rId4888" xr:uid="{00000000-0004-0000-0000-000017130000}"/>
    <hyperlink ref="E5035" r:id="rId4889" xr:uid="{00000000-0004-0000-0000-000018130000}"/>
    <hyperlink ref="E5036" r:id="rId4890" xr:uid="{00000000-0004-0000-0000-000019130000}"/>
    <hyperlink ref="E5037" r:id="rId4891" xr:uid="{00000000-0004-0000-0000-00001A130000}"/>
    <hyperlink ref="E5038" r:id="rId4892" xr:uid="{00000000-0004-0000-0000-00001B130000}"/>
    <hyperlink ref="E5039" r:id="rId4893" xr:uid="{00000000-0004-0000-0000-00001C130000}"/>
    <hyperlink ref="E5040" r:id="rId4894" xr:uid="{00000000-0004-0000-0000-00001D130000}"/>
    <hyperlink ref="E5041" r:id="rId4895" xr:uid="{00000000-0004-0000-0000-00001E130000}"/>
    <hyperlink ref="E5042" r:id="rId4896" xr:uid="{00000000-0004-0000-0000-00001F130000}"/>
    <hyperlink ref="E5043" r:id="rId4897" xr:uid="{00000000-0004-0000-0000-000020130000}"/>
    <hyperlink ref="E5044" r:id="rId4898" xr:uid="{00000000-0004-0000-0000-000021130000}"/>
    <hyperlink ref="E5045" r:id="rId4899" xr:uid="{00000000-0004-0000-0000-000022130000}"/>
    <hyperlink ref="E5046" r:id="rId4900" xr:uid="{00000000-0004-0000-0000-000023130000}"/>
    <hyperlink ref="E5047" r:id="rId4901" xr:uid="{00000000-0004-0000-0000-000024130000}"/>
    <hyperlink ref="E5048" r:id="rId4902" xr:uid="{00000000-0004-0000-0000-000025130000}"/>
    <hyperlink ref="E5049" r:id="rId4903" xr:uid="{00000000-0004-0000-0000-000026130000}"/>
    <hyperlink ref="E5050" r:id="rId4904" xr:uid="{00000000-0004-0000-0000-000027130000}"/>
    <hyperlink ref="E5051" r:id="rId4905" xr:uid="{00000000-0004-0000-0000-000028130000}"/>
    <hyperlink ref="E5052" r:id="rId4906" xr:uid="{00000000-0004-0000-0000-000029130000}"/>
    <hyperlink ref="E5053" r:id="rId4907" xr:uid="{00000000-0004-0000-0000-00002A130000}"/>
    <hyperlink ref="E5054" r:id="rId4908" xr:uid="{00000000-0004-0000-0000-00002B130000}"/>
    <hyperlink ref="E5055" r:id="rId4909" xr:uid="{00000000-0004-0000-0000-00002C130000}"/>
    <hyperlink ref="E5056" r:id="rId4910" xr:uid="{00000000-0004-0000-0000-00002D130000}"/>
    <hyperlink ref="E5057" r:id="rId4911" xr:uid="{00000000-0004-0000-0000-00002E130000}"/>
    <hyperlink ref="E5058" r:id="rId4912" xr:uid="{00000000-0004-0000-0000-00002F130000}"/>
    <hyperlink ref="E5059" r:id="rId4913" xr:uid="{00000000-0004-0000-0000-000030130000}"/>
    <hyperlink ref="E5060" r:id="rId4914" xr:uid="{00000000-0004-0000-0000-000031130000}"/>
    <hyperlink ref="E5061" r:id="rId4915" xr:uid="{00000000-0004-0000-0000-000032130000}"/>
    <hyperlink ref="E5062" r:id="rId4916" xr:uid="{00000000-0004-0000-0000-000033130000}"/>
    <hyperlink ref="E5063" r:id="rId4917" xr:uid="{00000000-0004-0000-0000-000034130000}"/>
    <hyperlink ref="E5064" r:id="rId4918" xr:uid="{00000000-0004-0000-0000-000035130000}"/>
    <hyperlink ref="E5065" r:id="rId4919" xr:uid="{00000000-0004-0000-0000-000036130000}"/>
    <hyperlink ref="E5066" r:id="rId4920" xr:uid="{00000000-0004-0000-0000-000037130000}"/>
    <hyperlink ref="E5067" r:id="rId4921" xr:uid="{00000000-0004-0000-0000-000038130000}"/>
    <hyperlink ref="E5068" r:id="rId4922" xr:uid="{00000000-0004-0000-0000-000039130000}"/>
    <hyperlink ref="E5069" r:id="rId4923" xr:uid="{00000000-0004-0000-0000-00003A130000}"/>
    <hyperlink ref="E5070" r:id="rId4924" xr:uid="{00000000-0004-0000-0000-00003B130000}"/>
    <hyperlink ref="E5071" r:id="rId4925" xr:uid="{00000000-0004-0000-0000-00003C130000}"/>
    <hyperlink ref="E5072" r:id="rId4926" xr:uid="{00000000-0004-0000-0000-00003D130000}"/>
    <hyperlink ref="E5073" r:id="rId4927" xr:uid="{00000000-0004-0000-0000-00003E130000}"/>
    <hyperlink ref="E5075" r:id="rId4928" xr:uid="{00000000-0004-0000-0000-00003F130000}"/>
    <hyperlink ref="E5076" r:id="rId4929" xr:uid="{00000000-0004-0000-0000-000040130000}"/>
    <hyperlink ref="E5077" r:id="rId4930" xr:uid="{00000000-0004-0000-0000-000041130000}"/>
    <hyperlink ref="E5078" r:id="rId4931" xr:uid="{00000000-0004-0000-0000-000042130000}"/>
    <hyperlink ref="E5079" r:id="rId4932" xr:uid="{00000000-0004-0000-0000-000043130000}"/>
    <hyperlink ref="E5080" r:id="rId4933" xr:uid="{00000000-0004-0000-0000-000044130000}"/>
    <hyperlink ref="E5081" r:id="rId4934" xr:uid="{00000000-0004-0000-0000-000045130000}"/>
    <hyperlink ref="E5082" r:id="rId4935" xr:uid="{00000000-0004-0000-0000-000046130000}"/>
    <hyperlink ref="E5083" r:id="rId4936" xr:uid="{00000000-0004-0000-0000-000047130000}"/>
    <hyperlink ref="E5084" r:id="rId4937" xr:uid="{00000000-0004-0000-0000-000048130000}"/>
    <hyperlink ref="E5085" r:id="rId4938" xr:uid="{00000000-0004-0000-0000-000049130000}"/>
    <hyperlink ref="E5086" r:id="rId4939" xr:uid="{00000000-0004-0000-0000-00004A130000}"/>
    <hyperlink ref="E5087" r:id="rId4940" xr:uid="{00000000-0004-0000-0000-00004B130000}"/>
    <hyperlink ref="E5088" r:id="rId4941" xr:uid="{00000000-0004-0000-0000-00004C130000}"/>
    <hyperlink ref="E5089" r:id="rId4942" xr:uid="{00000000-0004-0000-0000-00004D130000}"/>
    <hyperlink ref="E5090" r:id="rId4943" xr:uid="{00000000-0004-0000-0000-00004E130000}"/>
    <hyperlink ref="E5091" r:id="rId4944" xr:uid="{00000000-0004-0000-0000-00004F130000}"/>
    <hyperlink ref="E5092" r:id="rId4945" xr:uid="{00000000-0004-0000-0000-000050130000}"/>
    <hyperlink ref="E5093" r:id="rId4946" xr:uid="{00000000-0004-0000-0000-000051130000}"/>
    <hyperlink ref="E5094" r:id="rId4947" xr:uid="{00000000-0004-0000-0000-000052130000}"/>
    <hyperlink ref="E5095" r:id="rId4948" xr:uid="{00000000-0004-0000-0000-000053130000}"/>
    <hyperlink ref="E5096" r:id="rId4949" xr:uid="{00000000-0004-0000-0000-000054130000}"/>
    <hyperlink ref="E5097" r:id="rId4950" xr:uid="{00000000-0004-0000-0000-000055130000}"/>
    <hyperlink ref="E5098" r:id="rId4951" xr:uid="{00000000-0004-0000-0000-000056130000}"/>
    <hyperlink ref="E5099" r:id="rId4952" xr:uid="{00000000-0004-0000-0000-000057130000}"/>
    <hyperlink ref="E5102" r:id="rId4953" xr:uid="{00000000-0004-0000-0000-000058130000}"/>
    <hyperlink ref="E5103" r:id="rId4954" xr:uid="{00000000-0004-0000-0000-000059130000}"/>
    <hyperlink ref="E5104" r:id="rId4955" xr:uid="{00000000-0004-0000-0000-00005A130000}"/>
    <hyperlink ref="E5105" r:id="rId4956" xr:uid="{00000000-0004-0000-0000-00005B130000}"/>
    <hyperlink ref="E5106" r:id="rId4957" xr:uid="{00000000-0004-0000-0000-00005C130000}"/>
    <hyperlink ref="E5107" r:id="rId4958" xr:uid="{00000000-0004-0000-0000-00005D130000}"/>
    <hyperlink ref="E5108" r:id="rId4959" xr:uid="{00000000-0004-0000-0000-00005E130000}"/>
    <hyperlink ref="E5109" r:id="rId4960" xr:uid="{00000000-0004-0000-0000-00005F130000}"/>
    <hyperlink ref="E5110" r:id="rId4961" xr:uid="{00000000-0004-0000-0000-000060130000}"/>
    <hyperlink ref="E5111" r:id="rId4962" xr:uid="{00000000-0004-0000-0000-000061130000}"/>
    <hyperlink ref="E5112" r:id="rId4963" xr:uid="{00000000-0004-0000-0000-000062130000}"/>
    <hyperlink ref="E5113" r:id="rId4964" xr:uid="{00000000-0004-0000-0000-000063130000}"/>
    <hyperlink ref="E5114" r:id="rId4965" xr:uid="{00000000-0004-0000-0000-000064130000}"/>
    <hyperlink ref="E5115" r:id="rId4966" xr:uid="{00000000-0004-0000-0000-000065130000}"/>
    <hyperlink ref="E5116" r:id="rId4967" xr:uid="{00000000-0004-0000-0000-000066130000}"/>
    <hyperlink ref="E5117" r:id="rId4968" xr:uid="{00000000-0004-0000-0000-000067130000}"/>
    <hyperlink ref="E5118" r:id="rId4969" xr:uid="{00000000-0004-0000-0000-000068130000}"/>
    <hyperlink ref="E5119" r:id="rId4970" xr:uid="{00000000-0004-0000-0000-000069130000}"/>
    <hyperlink ref="E5120" r:id="rId4971" xr:uid="{00000000-0004-0000-0000-00006A130000}"/>
    <hyperlink ref="E5121" r:id="rId4972" xr:uid="{00000000-0004-0000-0000-00006B130000}"/>
    <hyperlink ref="E5122" r:id="rId4973" xr:uid="{00000000-0004-0000-0000-00006C130000}"/>
    <hyperlink ref="E5123" r:id="rId4974" xr:uid="{00000000-0004-0000-0000-00006D130000}"/>
    <hyperlink ref="E5124" r:id="rId4975" xr:uid="{00000000-0004-0000-0000-00006E130000}"/>
    <hyperlink ref="E5125" r:id="rId4976" xr:uid="{00000000-0004-0000-0000-00006F130000}"/>
    <hyperlink ref="E5126" r:id="rId4977" xr:uid="{00000000-0004-0000-0000-000070130000}"/>
    <hyperlink ref="E5127" r:id="rId4978" xr:uid="{00000000-0004-0000-0000-000071130000}"/>
    <hyperlink ref="E5128" r:id="rId4979" xr:uid="{00000000-0004-0000-0000-000072130000}"/>
    <hyperlink ref="E5129" r:id="rId4980" xr:uid="{00000000-0004-0000-0000-000073130000}"/>
    <hyperlink ref="E5130" r:id="rId4981" xr:uid="{00000000-0004-0000-0000-000074130000}"/>
    <hyperlink ref="E5131" r:id="rId4982" xr:uid="{00000000-0004-0000-0000-000075130000}"/>
    <hyperlink ref="E5132" r:id="rId4983" xr:uid="{00000000-0004-0000-0000-000076130000}"/>
    <hyperlink ref="E5133" r:id="rId4984" xr:uid="{00000000-0004-0000-0000-000077130000}"/>
    <hyperlink ref="E5134" r:id="rId4985" xr:uid="{00000000-0004-0000-0000-000078130000}"/>
    <hyperlink ref="E5135" r:id="rId4986" xr:uid="{00000000-0004-0000-0000-000079130000}"/>
    <hyperlink ref="E5136" r:id="rId4987" xr:uid="{00000000-0004-0000-0000-00007A130000}"/>
    <hyperlink ref="E5137" r:id="rId4988" xr:uid="{00000000-0004-0000-0000-00007B130000}"/>
    <hyperlink ref="E5138" r:id="rId4989" xr:uid="{00000000-0004-0000-0000-00007C130000}"/>
    <hyperlink ref="E5139" r:id="rId4990" xr:uid="{00000000-0004-0000-0000-00007D130000}"/>
    <hyperlink ref="E5140" r:id="rId4991" xr:uid="{00000000-0004-0000-0000-00007E130000}"/>
    <hyperlink ref="E5141" r:id="rId4992" xr:uid="{00000000-0004-0000-0000-00007F130000}"/>
    <hyperlink ref="E5142" r:id="rId4993" xr:uid="{00000000-0004-0000-0000-000080130000}"/>
    <hyperlink ref="E5143" r:id="rId4994" xr:uid="{00000000-0004-0000-0000-000081130000}"/>
    <hyperlink ref="E5144" r:id="rId4995" xr:uid="{00000000-0004-0000-0000-000082130000}"/>
    <hyperlink ref="E5145" r:id="rId4996" xr:uid="{00000000-0004-0000-0000-000083130000}"/>
    <hyperlink ref="E5146" r:id="rId4997" xr:uid="{00000000-0004-0000-0000-000084130000}"/>
    <hyperlink ref="E5147" r:id="rId4998" xr:uid="{00000000-0004-0000-0000-000085130000}"/>
    <hyperlink ref="E5148" r:id="rId4999" xr:uid="{00000000-0004-0000-0000-000086130000}"/>
    <hyperlink ref="E5149" r:id="rId5000" xr:uid="{00000000-0004-0000-0000-000087130000}"/>
    <hyperlink ref="E5150" r:id="rId5001" xr:uid="{00000000-0004-0000-0000-000088130000}"/>
    <hyperlink ref="E5151" r:id="rId5002" xr:uid="{00000000-0004-0000-0000-000089130000}"/>
    <hyperlink ref="E5152" r:id="rId5003" xr:uid="{00000000-0004-0000-0000-00008A130000}"/>
    <hyperlink ref="E5153" r:id="rId5004" xr:uid="{00000000-0004-0000-0000-00008B130000}"/>
    <hyperlink ref="E5154" r:id="rId5005" xr:uid="{00000000-0004-0000-0000-00008C130000}"/>
    <hyperlink ref="E5155" r:id="rId5006" xr:uid="{00000000-0004-0000-0000-00008D130000}"/>
    <hyperlink ref="E5156" r:id="rId5007" xr:uid="{00000000-0004-0000-0000-00008E130000}"/>
    <hyperlink ref="E5157" r:id="rId5008" xr:uid="{00000000-0004-0000-0000-00008F130000}"/>
    <hyperlink ref="E5158" r:id="rId5009" xr:uid="{00000000-0004-0000-0000-000090130000}"/>
    <hyperlink ref="E5159" r:id="rId5010" xr:uid="{00000000-0004-0000-0000-000091130000}"/>
    <hyperlink ref="E5160" r:id="rId5011" xr:uid="{00000000-0004-0000-0000-000092130000}"/>
    <hyperlink ref="E5161" r:id="rId5012" xr:uid="{00000000-0004-0000-0000-000093130000}"/>
    <hyperlink ref="E5162" r:id="rId5013" xr:uid="{00000000-0004-0000-0000-000094130000}"/>
    <hyperlink ref="E5163" r:id="rId5014" xr:uid="{00000000-0004-0000-0000-000095130000}"/>
    <hyperlink ref="E5164" r:id="rId5015" xr:uid="{00000000-0004-0000-0000-000096130000}"/>
    <hyperlink ref="E5165" r:id="rId5016" xr:uid="{00000000-0004-0000-0000-000097130000}"/>
    <hyperlink ref="E5166" r:id="rId5017" xr:uid="{00000000-0004-0000-0000-000098130000}"/>
    <hyperlink ref="E5167" r:id="rId5018" xr:uid="{00000000-0004-0000-0000-000099130000}"/>
    <hyperlink ref="E5168" r:id="rId5019" xr:uid="{00000000-0004-0000-0000-00009A130000}"/>
    <hyperlink ref="E5169" r:id="rId5020" xr:uid="{00000000-0004-0000-0000-00009B130000}"/>
    <hyperlink ref="E5170" r:id="rId5021" xr:uid="{00000000-0004-0000-0000-00009C130000}"/>
    <hyperlink ref="E5171" r:id="rId5022" xr:uid="{00000000-0004-0000-0000-00009D130000}"/>
    <hyperlink ref="E5172" r:id="rId5023" xr:uid="{00000000-0004-0000-0000-00009E130000}"/>
    <hyperlink ref="E5173" r:id="rId5024" xr:uid="{00000000-0004-0000-0000-00009F130000}"/>
    <hyperlink ref="E5174" r:id="rId5025" xr:uid="{00000000-0004-0000-0000-0000A0130000}"/>
    <hyperlink ref="E5175" r:id="rId5026" xr:uid="{00000000-0004-0000-0000-0000A1130000}"/>
    <hyperlink ref="E5176" r:id="rId5027" xr:uid="{00000000-0004-0000-0000-0000A2130000}"/>
    <hyperlink ref="E5177" r:id="rId5028" xr:uid="{00000000-0004-0000-0000-0000A3130000}"/>
    <hyperlink ref="E5178" r:id="rId5029" xr:uid="{00000000-0004-0000-0000-0000A4130000}"/>
    <hyperlink ref="E5179" r:id="rId5030" xr:uid="{00000000-0004-0000-0000-0000A5130000}"/>
    <hyperlink ref="E5180" r:id="rId5031" xr:uid="{00000000-0004-0000-0000-0000A6130000}"/>
    <hyperlink ref="E5181" r:id="rId5032" xr:uid="{00000000-0004-0000-0000-0000A7130000}"/>
    <hyperlink ref="E5182" r:id="rId5033" xr:uid="{00000000-0004-0000-0000-0000A8130000}"/>
    <hyperlink ref="E5183" r:id="rId5034" xr:uid="{00000000-0004-0000-0000-0000A9130000}"/>
    <hyperlink ref="E5184" r:id="rId5035" xr:uid="{00000000-0004-0000-0000-0000AA130000}"/>
    <hyperlink ref="E5185" r:id="rId5036" xr:uid="{00000000-0004-0000-0000-0000AB130000}"/>
    <hyperlink ref="E5186" r:id="rId5037" xr:uid="{00000000-0004-0000-0000-0000AC130000}"/>
    <hyperlink ref="E5187" r:id="rId5038" xr:uid="{00000000-0004-0000-0000-0000AD130000}"/>
    <hyperlink ref="E5188" r:id="rId5039" xr:uid="{00000000-0004-0000-0000-0000AE130000}"/>
    <hyperlink ref="E5189" r:id="rId5040" xr:uid="{00000000-0004-0000-0000-0000AF130000}"/>
    <hyperlink ref="E5190" r:id="rId5041" xr:uid="{00000000-0004-0000-0000-0000B0130000}"/>
    <hyperlink ref="E5191" r:id="rId5042" xr:uid="{00000000-0004-0000-0000-0000B1130000}"/>
    <hyperlink ref="E5192" r:id="rId5043" xr:uid="{00000000-0004-0000-0000-0000B2130000}"/>
    <hyperlink ref="E5193" r:id="rId5044" xr:uid="{00000000-0004-0000-0000-0000B3130000}"/>
    <hyperlink ref="E5194" r:id="rId5045" xr:uid="{00000000-0004-0000-0000-0000B4130000}"/>
    <hyperlink ref="E5195" r:id="rId5046" xr:uid="{00000000-0004-0000-0000-0000B5130000}"/>
    <hyperlink ref="E5196" r:id="rId5047" xr:uid="{00000000-0004-0000-0000-0000B6130000}"/>
    <hyperlink ref="E5197" r:id="rId5048" xr:uid="{00000000-0004-0000-0000-0000B7130000}"/>
    <hyperlink ref="E5198" r:id="rId5049" xr:uid="{00000000-0004-0000-0000-0000B8130000}"/>
    <hyperlink ref="E5199" r:id="rId5050" xr:uid="{00000000-0004-0000-0000-0000B9130000}"/>
    <hyperlink ref="E5200" r:id="rId5051" xr:uid="{00000000-0004-0000-0000-0000BA130000}"/>
    <hyperlink ref="E5201" r:id="rId5052" xr:uid="{00000000-0004-0000-0000-0000BB130000}"/>
    <hyperlink ref="E5202" r:id="rId5053" xr:uid="{00000000-0004-0000-0000-0000BC130000}"/>
    <hyperlink ref="E5203" r:id="rId5054" xr:uid="{00000000-0004-0000-0000-0000BD130000}"/>
    <hyperlink ref="E5204" r:id="rId5055" xr:uid="{00000000-0004-0000-0000-0000BE130000}"/>
    <hyperlink ref="E5205" r:id="rId5056" xr:uid="{00000000-0004-0000-0000-0000BF130000}"/>
    <hyperlink ref="E5206" r:id="rId5057" xr:uid="{00000000-0004-0000-0000-0000C0130000}"/>
    <hyperlink ref="E5207" r:id="rId5058" xr:uid="{00000000-0004-0000-0000-0000C1130000}"/>
    <hyperlink ref="E5208" r:id="rId5059" xr:uid="{00000000-0004-0000-0000-0000C2130000}"/>
    <hyperlink ref="E5209" r:id="rId5060" xr:uid="{00000000-0004-0000-0000-0000C3130000}"/>
    <hyperlink ref="E5210" r:id="rId5061" xr:uid="{00000000-0004-0000-0000-0000C4130000}"/>
    <hyperlink ref="E5211" r:id="rId5062" xr:uid="{00000000-0004-0000-0000-0000C5130000}"/>
    <hyperlink ref="E5212" r:id="rId5063" xr:uid="{00000000-0004-0000-0000-0000C6130000}"/>
    <hyperlink ref="E5213" r:id="rId5064" xr:uid="{00000000-0004-0000-0000-0000C7130000}"/>
    <hyperlink ref="E5214" r:id="rId5065" xr:uid="{00000000-0004-0000-0000-0000C8130000}"/>
    <hyperlink ref="E5215" r:id="rId5066" xr:uid="{00000000-0004-0000-0000-0000C9130000}"/>
    <hyperlink ref="E5216" r:id="rId5067" xr:uid="{00000000-0004-0000-0000-0000CA130000}"/>
    <hyperlink ref="E5217" r:id="rId5068" xr:uid="{00000000-0004-0000-0000-0000CB130000}"/>
    <hyperlink ref="E5218" r:id="rId5069" xr:uid="{00000000-0004-0000-0000-0000CC130000}"/>
    <hyperlink ref="E5219" r:id="rId5070" xr:uid="{00000000-0004-0000-0000-0000CD130000}"/>
    <hyperlink ref="E5220" r:id="rId5071" xr:uid="{00000000-0004-0000-0000-0000CE130000}"/>
    <hyperlink ref="E5221" r:id="rId5072" xr:uid="{00000000-0004-0000-0000-0000CF130000}"/>
    <hyperlink ref="E5222" r:id="rId5073" xr:uid="{00000000-0004-0000-0000-0000D0130000}"/>
    <hyperlink ref="E5223" r:id="rId5074" xr:uid="{00000000-0004-0000-0000-0000D1130000}"/>
    <hyperlink ref="E5224" r:id="rId5075" xr:uid="{00000000-0004-0000-0000-0000D2130000}"/>
    <hyperlink ref="E5225" r:id="rId5076" xr:uid="{00000000-0004-0000-0000-0000D3130000}"/>
    <hyperlink ref="E5226" r:id="rId5077" xr:uid="{00000000-0004-0000-0000-0000D4130000}"/>
    <hyperlink ref="E5227" r:id="rId5078" xr:uid="{00000000-0004-0000-0000-0000D5130000}"/>
    <hyperlink ref="E5228" r:id="rId5079" xr:uid="{00000000-0004-0000-0000-0000D6130000}"/>
    <hyperlink ref="E5229" r:id="rId5080" xr:uid="{00000000-0004-0000-0000-0000D7130000}"/>
    <hyperlink ref="E5230" r:id="rId5081" xr:uid="{00000000-0004-0000-0000-0000D8130000}"/>
    <hyperlink ref="E5231" r:id="rId5082" xr:uid="{00000000-0004-0000-0000-0000D9130000}"/>
    <hyperlink ref="E5232" r:id="rId5083" xr:uid="{00000000-0004-0000-0000-0000DA130000}"/>
    <hyperlink ref="E5233" r:id="rId5084" xr:uid="{00000000-0004-0000-0000-0000DB130000}"/>
    <hyperlink ref="E5234" r:id="rId5085" xr:uid="{00000000-0004-0000-0000-0000DC130000}"/>
    <hyperlink ref="E5235" r:id="rId5086" xr:uid="{00000000-0004-0000-0000-0000DD130000}"/>
    <hyperlink ref="E5236" r:id="rId5087" xr:uid="{00000000-0004-0000-0000-0000DE130000}"/>
    <hyperlink ref="E5237" r:id="rId5088" xr:uid="{00000000-0004-0000-0000-0000DF130000}"/>
    <hyperlink ref="E5238" r:id="rId5089" xr:uid="{00000000-0004-0000-0000-0000E0130000}"/>
    <hyperlink ref="E5239" r:id="rId5090" xr:uid="{00000000-0004-0000-0000-0000E1130000}"/>
    <hyperlink ref="E5240" r:id="rId5091" xr:uid="{00000000-0004-0000-0000-0000E2130000}"/>
    <hyperlink ref="E5241" r:id="rId5092" xr:uid="{00000000-0004-0000-0000-0000E3130000}"/>
    <hyperlink ref="E5243" r:id="rId5093" xr:uid="{00000000-0004-0000-0000-0000E4130000}"/>
    <hyperlink ref="E5244" r:id="rId5094" xr:uid="{00000000-0004-0000-0000-0000E5130000}"/>
    <hyperlink ref="E5245" r:id="rId5095" xr:uid="{00000000-0004-0000-0000-0000E6130000}"/>
    <hyperlink ref="E5246" r:id="rId5096" xr:uid="{00000000-0004-0000-0000-0000E7130000}"/>
    <hyperlink ref="E5247" r:id="rId5097" xr:uid="{00000000-0004-0000-0000-0000E8130000}"/>
    <hyperlink ref="E5248" r:id="rId5098" xr:uid="{00000000-0004-0000-0000-0000E9130000}"/>
    <hyperlink ref="E5249" r:id="rId5099" xr:uid="{00000000-0004-0000-0000-0000EA130000}"/>
    <hyperlink ref="E5250" r:id="rId5100" xr:uid="{00000000-0004-0000-0000-0000EB130000}"/>
    <hyperlink ref="E5251" r:id="rId5101" xr:uid="{00000000-0004-0000-0000-0000EC130000}"/>
    <hyperlink ref="E5252" r:id="rId5102" xr:uid="{00000000-0004-0000-0000-0000ED130000}"/>
    <hyperlink ref="E5253" r:id="rId5103" xr:uid="{00000000-0004-0000-0000-0000EE130000}"/>
    <hyperlink ref="E5254" r:id="rId5104" xr:uid="{00000000-0004-0000-0000-0000EF130000}"/>
    <hyperlink ref="E5255" r:id="rId5105" xr:uid="{00000000-0004-0000-0000-0000F0130000}"/>
    <hyperlink ref="E5256" r:id="rId5106" xr:uid="{00000000-0004-0000-0000-0000F1130000}"/>
    <hyperlink ref="E5257" r:id="rId5107" xr:uid="{00000000-0004-0000-0000-0000F2130000}"/>
    <hyperlink ref="E5258" r:id="rId5108" xr:uid="{00000000-0004-0000-0000-0000F3130000}"/>
    <hyperlink ref="E5259" r:id="rId5109" xr:uid="{00000000-0004-0000-0000-0000F4130000}"/>
    <hyperlink ref="E5260" r:id="rId5110" xr:uid="{00000000-0004-0000-0000-0000F5130000}"/>
    <hyperlink ref="E5261" r:id="rId5111" xr:uid="{00000000-0004-0000-0000-0000F6130000}"/>
    <hyperlink ref="E5262" r:id="rId5112" xr:uid="{00000000-0004-0000-0000-0000F7130000}"/>
    <hyperlink ref="E5263" r:id="rId5113" xr:uid="{00000000-0004-0000-0000-0000F8130000}"/>
    <hyperlink ref="E5264" r:id="rId5114" xr:uid="{00000000-0004-0000-0000-0000F9130000}"/>
    <hyperlink ref="E5265" r:id="rId5115" xr:uid="{00000000-0004-0000-0000-0000FA130000}"/>
    <hyperlink ref="E5266" r:id="rId5116" xr:uid="{00000000-0004-0000-0000-0000FB130000}"/>
    <hyperlink ref="E5267" r:id="rId5117" xr:uid="{00000000-0004-0000-0000-0000FC130000}"/>
    <hyperlink ref="E5268" r:id="rId5118" xr:uid="{00000000-0004-0000-0000-0000FD130000}"/>
    <hyperlink ref="E5269" r:id="rId5119" xr:uid="{00000000-0004-0000-0000-0000FE130000}"/>
    <hyperlink ref="E5270" r:id="rId5120" xr:uid="{00000000-0004-0000-0000-0000FF130000}"/>
    <hyperlink ref="E5271" r:id="rId5121" xr:uid="{00000000-0004-0000-0000-000000140000}"/>
    <hyperlink ref="E5272" r:id="rId5122" xr:uid="{00000000-0004-0000-0000-000001140000}"/>
    <hyperlink ref="E5273" r:id="rId5123" xr:uid="{00000000-0004-0000-0000-000002140000}"/>
    <hyperlink ref="E5274" r:id="rId5124" xr:uid="{00000000-0004-0000-0000-000003140000}"/>
    <hyperlink ref="E5275" r:id="rId5125" xr:uid="{00000000-0004-0000-0000-000004140000}"/>
    <hyperlink ref="E5276" r:id="rId5126" xr:uid="{00000000-0004-0000-0000-000005140000}"/>
    <hyperlink ref="E5277" r:id="rId5127" xr:uid="{00000000-0004-0000-0000-000006140000}"/>
    <hyperlink ref="E5280" r:id="rId5128" xr:uid="{00000000-0004-0000-0000-000007140000}"/>
    <hyperlink ref="E5281" r:id="rId5129" xr:uid="{00000000-0004-0000-0000-000008140000}"/>
    <hyperlink ref="E5282" r:id="rId5130" xr:uid="{00000000-0004-0000-0000-000009140000}"/>
    <hyperlink ref="E5283" r:id="rId5131" xr:uid="{00000000-0004-0000-0000-00000A140000}"/>
    <hyperlink ref="E5284" r:id="rId5132" xr:uid="{00000000-0004-0000-0000-00000B140000}"/>
    <hyperlink ref="E5285" r:id="rId5133" xr:uid="{00000000-0004-0000-0000-00000C140000}"/>
    <hyperlink ref="E5286" r:id="rId5134" xr:uid="{00000000-0004-0000-0000-00000D140000}"/>
    <hyperlink ref="E5287" r:id="rId5135" xr:uid="{00000000-0004-0000-0000-00000E140000}"/>
    <hyperlink ref="E5288" r:id="rId5136" xr:uid="{00000000-0004-0000-0000-00000F140000}"/>
    <hyperlink ref="E5289" r:id="rId5137" xr:uid="{00000000-0004-0000-0000-000010140000}"/>
    <hyperlink ref="E5290" r:id="rId5138" xr:uid="{00000000-0004-0000-0000-000011140000}"/>
    <hyperlink ref="E5291" r:id="rId5139" xr:uid="{00000000-0004-0000-0000-000012140000}"/>
    <hyperlink ref="E5292" r:id="rId5140" xr:uid="{00000000-0004-0000-0000-000013140000}"/>
    <hyperlink ref="E5293" r:id="rId5141" xr:uid="{00000000-0004-0000-0000-000014140000}"/>
    <hyperlink ref="E5294" r:id="rId5142" xr:uid="{00000000-0004-0000-0000-000015140000}"/>
    <hyperlink ref="E5295" r:id="rId5143" xr:uid="{00000000-0004-0000-0000-000016140000}"/>
    <hyperlink ref="E5296" r:id="rId5144" xr:uid="{00000000-0004-0000-0000-000017140000}"/>
    <hyperlink ref="E5297" r:id="rId5145" xr:uid="{00000000-0004-0000-0000-000018140000}"/>
    <hyperlink ref="E5298" r:id="rId5146" xr:uid="{00000000-0004-0000-0000-000019140000}"/>
    <hyperlink ref="E5299" r:id="rId5147" xr:uid="{00000000-0004-0000-0000-00001A140000}"/>
    <hyperlink ref="E5300" r:id="rId5148" xr:uid="{00000000-0004-0000-0000-00001B140000}"/>
    <hyperlink ref="E5301" r:id="rId5149" xr:uid="{00000000-0004-0000-0000-00001C140000}"/>
    <hyperlink ref="E5302" r:id="rId5150" xr:uid="{00000000-0004-0000-0000-00001D140000}"/>
    <hyperlink ref="E5303" r:id="rId5151" xr:uid="{00000000-0004-0000-0000-00001E140000}"/>
    <hyperlink ref="E5304" r:id="rId5152" xr:uid="{00000000-0004-0000-0000-00001F140000}"/>
    <hyperlink ref="E5305" r:id="rId5153" xr:uid="{00000000-0004-0000-0000-000020140000}"/>
    <hyperlink ref="E5306" r:id="rId5154" xr:uid="{00000000-0004-0000-0000-000021140000}"/>
    <hyperlink ref="E5307" r:id="rId5155" xr:uid="{00000000-0004-0000-0000-000022140000}"/>
    <hyperlink ref="E5308" r:id="rId5156" xr:uid="{00000000-0004-0000-0000-000023140000}"/>
    <hyperlink ref="E5309" r:id="rId5157" xr:uid="{00000000-0004-0000-0000-000024140000}"/>
    <hyperlink ref="E5310" r:id="rId5158" xr:uid="{00000000-0004-0000-0000-000025140000}"/>
    <hyperlink ref="E5311" r:id="rId5159" xr:uid="{00000000-0004-0000-0000-000026140000}"/>
    <hyperlink ref="E5312" r:id="rId5160" xr:uid="{00000000-0004-0000-0000-000027140000}"/>
    <hyperlink ref="E5313" r:id="rId5161" xr:uid="{00000000-0004-0000-0000-000028140000}"/>
    <hyperlink ref="E5314" r:id="rId5162" xr:uid="{00000000-0004-0000-0000-000029140000}"/>
    <hyperlink ref="E5315" r:id="rId5163" xr:uid="{00000000-0004-0000-0000-00002A140000}"/>
    <hyperlink ref="E5316" r:id="rId5164" xr:uid="{00000000-0004-0000-0000-00002B140000}"/>
    <hyperlink ref="E5317" r:id="rId5165" xr:uid="{00000000-0004-0000-0000-00002C140000}"/>
    <hyperlink ref="E5318" r:id="rId5166" xr:uid="{00000000-0004-0000-0000-00002D140000}"/>
    <hyperlink ref="E5319" r:id="rId5167" xr:uid="{00000000-0004-0000-0000-00002E140000}"/>
    <hyperlink ref="E5320" r:id="rId5168" xr:uid="{00000000-0004-0000-0000-00002F140000}"/>
    <hyperlink ref="E5321" r:id="rId5169" xr:uid="{00000000-0004-0000-0000-000030140000}"/>
    <hyperlink ref="E5322" r:id="rId5170" xr:uid="{00000000-0004-0000-0000-000031140000}"/>
    <hyperlink ref="E5323" r:id="rId5171" xr:uid="{00000000-0004-0000-0000-000032140000}"/>
    <hyperlink ref="E5324" r:id="rId5172" xr:uid="{00000000-0004-0000-0000-000033140000}"/>
    <hyperlink ref="E5325" r:id="rId5173" xr:uid="{00000000-0004-0000-0000-000034140000}"/>
    <hyperlink ref="E5326" r:id="rId5174" xr:uid="{00000000-0004-0000-0000-000035140000}"/>
    <hyperlink ref="E5327" r:id="rId5175" xr:uid="{00000000-0004-0000-0000-000036140000}"/>
    <hyperlink ref="E5328" r:id="rId5176" xr:uid="{00000000-0004-0000-0000-000037140000}"/>
    <hyperlink ref="E5329" r:id="rId5177" xr:uid="{00000000-0004-0000-0000-000038140000}"/>
    <hyperlink ref="E5330" r:id="rId5178" xr:uid="{00000000-0004-0000-0000-000039140000}"/>
    <hyperlink ref="E5331" r:id="rId5179" xr:uid="{00000000-0004-0000-0000-00003A140000}"/>
    <hyperlink ref="E5332" r:id="rId5180" xr:uid="{00000000-0004-0000-0000-00003B140000}"/>
    <hyperlink ref="E5333" r:id="rId5181" xr:uid="{00000000-0004-0000-0000-00003C140000}"/>
    <hyperlink ref="E5334" r:id="rId5182" xr:uid="{00000000-0004-0000-0000-00003D140000}"/>
    <hyperlink ref="E5335" r:id="rId5183" xr:uid="{00000000-0004-0000-0000-00003E140000}"/>
    <hyperlink ref="E5336" r:id="rId5184" xr:uid="{00000000-0004-0000-0000-00003F140000}"/>
    <hyperlink ref="E5337" r:id="rId5185" xr:uid="{00000000-0004-0000-0000-000040140000}"/>
    <hyperlink ref="E5338" r:id="rId5186" xr:uid="{00000000-0004-0000-0000-000041140000}"/>
    <hyperlink ref="E5339" r:id="rId5187" xr:uid="{00000000-0004-0000-0000-000042140000}"/>
    <hyperlink ref="E5340" r:id="rId5188" xr:uid="{00000000-0004-0000-0000-000043140000}"/>
    <hyperlink ref="E5341" r:id="rId5189" xr:uid="{00000000-0004-0000-0000-000044140000}"/>
    <hyperlink ref="E5342" r:id="rId5190" xr:uid="{00000000-0004-0000-0000-000045140000}"/>
    <hyperlink ref="E5343" r:id="rId5191" xr:uid="{00000000-0004-0000-0000-000046140000}"/>
    <hyperlink ref="E5344" r:id="rId5192" xr:uid="{00000000-0004-0000-0000-000047140000}"/>
    <hyperlink ref="E5345" r:id="rId5193" xr:uid="{00000000-0004-0000-0000-000048140000}"/>
    <hyperlink ref="E5346" r:id="rId5194" xr:uid="{00000000-0004-0000-0000-000049140000}"/>
    <hyperlink ref="E5347" r:id="rId5195" xr:uid="{00000000-0004-0000-0000-00004A140000}"/>
    <hyperlink ref="E5348" r:id="rId5196" xr:uid="{00000000-0004-0000-0000-00004B140000}"/>
    <hyperlink ref="E5349" r:id="rId5197" xr:uid="{00000000-0004-0000-0000-00004C140000}"/>
    <hyperlink ref="E5350" r:id="rId5198" xr:uid="{00000000-0004-0000-0000-00004D140000}"/>
    <hyperlink ref="E5351" r:id="rId5199" xr:uid="{00000000-0004-0000-0000-00004E140000}"/>
    <hyperlink ref="E5352" r:id="rId5200" xr:uid="{00000000-0004-0000-0000-00004F140000}"/>
    <hyperlink ref="E5353" r:id="rId5201" xr:uid="{00000000-0004-0000-0000-000050140000}"/>
    <hyperlink ref="E5354" r:id="rId5202" xr:uid="{00000000-0004-0000-0000-000051140000}"/>
    <hyperlink ref="E5355" r:id="rId5203" xr:uid="{00000000-0004-0000-0000-000052140000}"/>
    <hyperlink ref="E5356" r:id="rId5204" xr:uid="{00000000-0004-0000-0000-000053140000}"/>
    <hyperlink ref="E5357" r:id="rId5205" xr:uid="{00000000-0004-0000-0000-000054140000}"/>
    <hyperlink ref="E5358" r:id="rId5206" xr:uid="{00000000-0004-0000-0000-000055140000}"/>
    <hyperlink ref="E5359" r:id="rId5207" xr:uid="{00000000-0004-0000-0000-000056140000}"/>
    <hyperlink ref="E5360" r:id="rId5208" xr:uid="{00000000-0004-0000-0000-000057140000}"/>
    <hyperlink ref="E5361" r:id="rId5209" xr:uid="{00000000-0004-0000-0000-000058140000}"/>
    <hyperlink ref="E5362" r:id="rId5210" xr:uid="{00000000-0004-0000-0000-000059140000}"/>
    <hyperlink ref="E5363" r:id="rId5211" xr:uid="{00000000-0004-0000-0000-00005A140000}"/>
    <hyperlink ref="E5364" r:id="rId5212" xr:uid="{00000000-0004-0000-0000-00005B140000}"/>
    <hyperlink ref="E5365" r:id="rId5213" xr:uid="{00000000-0004-0000-0000-00005C140000}"/>
    <hyperlink ref="E5366" r:id="rId5214" xr:uid="{00000000-0004-0000-0000-00005D140000}"/>
    <hyperlink ref="E5367" r:id="rId5215" xr:uid="{00000000-0004-0000-0000-00005E140000}"/>
    <hyperlink ref="E5368" r:id="rId5216" xr:uid="{00000000-0004-0000-0000-00005F140000}"/>
    <hyperlink ref="E5369" r:id="rId5217" xr:uid="{00000000-0004-0000-0000-000060140000}"/>
    <hyperlink ref="E5370" r:id="rId5218" xr:uid="{00000000-0004-0000-0000-000061140000}"/>
    <hyperlink ref="E5371" r:id="rId5219" xr:uid="{00000000-0004-0000-0000-000062140000}"/>
    <hyperlink ref="E5372" r:id="rId5220" xr:uid="{00000000-0004-0000-0000-000063140000}"/>
    <hyperlink ref="E5373" r:id="rId5221" xr:uid="{00000000-0004-0000-0000-000064140000}"/>
    <hyperlink ref="E5374" r:id="rId5222" xr:uid="{00000000-0004-0000-0000-000065140000}"/>
    <hyperlink ref="E5375" r:id="rId5223" xr:uid="{00000000-0004-0000-0000-000066140000}"/>
    <hyperlink ref="E5376" r:id="rId5224" xr:uid="{00000000-0004-0000-0000-000067140000}"/>
    <hyperlink ref="E5377" r:id="rId5225" xr:uid="{00000000-0004-0000-0000-000068140000}"/>
    <hyperlink ref="E5378" r:id="rId5226" xr:uid="{00000000-0004-0000-0000-000069140000}"/>
    <hyperlink ref="E5379" r:id="rId5227" xr:uid="{00000000-0004-0000-0000-00006A140000}"/>
    <hyperlink ref="E5380" r:id="rId5228" xr:uid="{00000000-0004-0000-0000-00006B140000}"/>
    <hyperlink ref="E5381" r:id="rId5229" xr:uid="{00000000-0004-0000-0000-00006C140000}"/>
    <hyperlink ref="E5382" r:id="rId5230" xr:uid="{00000000-0004-0000-0000-00006D140000}"/>
    <hyperlink ref="E5383" r:id="rId5231" xr:uid="{00000000-0004-0000-0000-00006E140000}"/>
    <hyperlink ref="E5384" r:id="rId5232" xr:uid="{00000000-0004-0000-0000-00006F140000}"/>
    <hyperlink ref="E5385" r:id="rId5233" xr:uid="{00000000-0004-0000-0000-000070140000}"/>
    <hyperlink ref="E5386" r:id="rId5234" xr:uid="{00000000-0004-0000-0000-000071140000}"/>
    <hyperlink ref="E5387" r:id="rId5235" xr:uid="{00000000-0004-0000-0000-000072140000}"/>
    <hyperlink ref="E5388" r:id="rId5236" xr:uid="{00000000-0004-0000-0000-000073140000}"/>
    <hyperlink ref="E5389" r:id="rId5237" xr:uid="{00000000-0004-0000-0000-000074140000}"/>
    <hyperlink ref="E5390" r:id="rId5238" xr:uid="{00000000-0004-0000-0000-000075140000}"/>
    <hyperlink ref="E5391" r:id="rId5239" xr:uid="{00000000-0004-0000-0000-000076140000}"/>
    <hyperlink ref="E5392" r:id="rId5240" xr:uid="{00000000-0004-0000-0000-000077140000}"/>
    <hyperlink ref="E5393" r:id="rId5241" xr:uid="{00000000-0004-0000-0000-000078140000}"/>
    <hyperlink ref="E5394" r:id="rId5242" xr:uid="{00000000-0004-0000-0000-000079140000}"/>
    <hyperlink ref="E5395" r:id="rId5243" xr:uid="{00000000-0004-0000-0000-00007A140000}"/>
    <hyperlink ref="E5396" r:id="rId5244" xr:uid="{00000000-0004-0000-0000-00007B140000}"/>
    <hyperlink ref="E5397" r:id="rId5245" xr:uid="{00000000-0004-0000-0000-00007C140000}"/>
    <hyperlink ref="E5398" r:id="rId5246" xr:uid="{00000000-0004-0000-0000-00007D140000}"/>
    <hyperlink ref="E5399" r:id="rId5247" xr:uid="{00000000-0004-0000-0000-00007E140000}"/>
    <hyperlink ref="E5400" r:id="rId5248" xr:uid="{00000000-0004-0000-0000-00007F140000}"/>
    <hyperlink ref="E5401" r:id="rId5249" xr:uid="{00000000-0004-0000-0000-000080140000}"/>
    <hyperlink ref="E5402" r:id="rId5250" xr:uid="{00000000-0004-0000-0000-000081140000}"/>
    <hyperlink ref="E5403" r:id="rId5251" xr:uid="{00000000-0004-0000-0000-000082140000}"/>
    <hyperlink ref="E5404" r:id="rId5252" xr:uid="{00000000-0004-0000-0000-000083140000}"/>
    <hyperlink ref="E5405" r:id="rId5253" xr:uid="{00000000-0004-0000-0000-000084140000}"/>
    <hyperlink ref="E5406" r:id="rId5254" xr:uid="{00000000-0004-0000-0000-000085140000}"/>
    <hyperlink ref="E5407" r:id="rId5255" xr:uid="{00000000-0004-0000-0000-000086140000}"/>
    <hyperlink ref="E5408" r:id="rId5256" xr:uid="{00000000-0004-0000-0000-000087140000}"/>
    <hyperlink ref="E5409" r:id="rId5257" xr:uid="{00000000-0004-0000-0000-000088140000}"/>
    <hyperlink ref="E5410" r:id="rId5258" xr:uid="{00000000-0004-0000-0000-000089140000}"/>
    <hyperlink ref="E5411" r:id="rId5259" xr:uid="{00000000-0004-0000-0000-00008A140000}"/>
    <hyperlink ref="E5412" r:id="rId5260" xr:uid="{00000000-0004-0000-0000-00008B140000}"/>
    <hyperlink ref="E5413" r:id="rId5261" xr:uid="{00000000-0004-0000-0000-00008C140000}"/>
    <hyperlink ref="E5414" r:id="rId5262" xr:uid="{00000000-0004-0000-0000-00008D140000}"/>
    <hyperlink ref="E5415" r:id="rId5263" xr:uid="{00000000-0004-0000-0000-00008E140000}"/>
    <hyperlink ref="E5416" r:id="rId5264" xr:uid="{00000000-0004-0000-0000-00008F140000}"/>
    <hyperlink ref="E5417" r:id="rId5265" xr:uid="{00000000-0004-0000-0000-000090140000}"/>
    <hyperlink ref="E5418" r:id="rId5266" xr:uid="{00000000-0004-0000-0000-000091140000}"/>
    <hyperlink ref="E5419" r:id="rId5267" xr:uid="{00000000-0004-0000-0000-000092140000}"/>
    <hyperlink ref="E5420" r:id="rId5268" xr:uid="{00000000-0004-0000-0000-000093140000}"/>
    <hyperlink ref="E5421" r:id="rId5269" xr:uid="{00000000-0004-0000-0000-000094140000}"/>
    <hyperlink ref="E5422" r:id="rId5270" xr:uid="{00000000-0004-0000-0000-000095140000}"/>
    <hyperlink ref="E5423" r:id="rId5271" xr:uid="{00000000-0004-0000-0000-000096140000}"/>
    <hyperlink ref="E5424" r:id="rId5272" xr:uid="{00000000-0004-0000-0000-000097140000}"/>
    <hyperlink ref="E5425" r:id="rId5273" xr:uid="{00000000-0004-0000-0000-000098140000}"/>
    <hyperlink ref="E5426" r:id="rId5274" xr:uid="{00000000-0004-0000-0000-000099140000}"/>
    <hyperlink ref="E5427" r:id="rId5275" xr:uid="{00000000-0004-0000-0000-00009A140000}"/>
    <hyperlink ref="E5428" r:id="rId5276" xr:uid="{00000000-0004-0000-0000-00009B140000}"/>
    <hyperlink ref="E5429" r:id="rId5277" xr:uid="{00000000-0004-0000-0000-00009C140000}"/>
    <hyperlink ref="E5430" r:id="rId5278" xr:uid="{00000000-0004-0000-0000-00009D140000}"/>
    <hyperlink ref="E5431" r:id="rId5279" xr:uid="{00000000-0004-0000-0000-00009E140000}"/>
    <hyperlink ref="E5432" r:id="rId5280" xr:uid="{00000000-0004-0000-0000-00009F140000}"/>
    <hyperlink ref="E5433" r:id="rId5281" xr:uid="{00000000-0004-0000-0000-0000A0140000}"/>
    <hyperlink ref="E5434" r:id="rId5282" xr:uid="{00000000-0004-0000-0000-0000A1140000}"/>
    <hyperlink ref="E5435" r:id="rId5283" xr:uid="{00000000-0004-0000-0000-0000A2140000}"/>
    <hyperlink ref="E5436" r:id="rId5284" xr:uid="{00000000-0004-0000-0000-0000A3140000}"/>
    <hyperlink ref="E5437" r:id="rId5285" xr:uid="{00000000-0004-0000-0000-0000A4140000}"/>
    <hyperlink ref="E5438" r:id="rId5286" xr:uid="{00000000-0004-0000-0000-0000A5140000}"/>
    <hyperlink ref="E5439" r:id="rId5287" xr:uid="{00000000-0004-0000-0000-0000A6140000}"/>
    <hyperlink ref="E5440" r:id="rId5288" xr:uid="{00000000-0004-0000-0000-0000A7140000}"/>
    <hyperlink ref="E5441" r:id="rId5289" xr:uid="{00000000-0004-0000-0000-0000A8140000}"/>
    <hyperlink ref="E5442" r:id="rId5290" xr:uid="{00000000-0004-0000-0000-0000A9140000}"/>
    <hyperlink ref="E5443" r:id="rId5291" xr:uid="{00000000-0004-0000-0000-0000AA140000}"/>
    <hyperlink ref="E5444" r:id="rId5292" xr:uid="{00000000-0004-0000-0000-0000AB140000}"/>
    <hyperlink ref="E5445" r:id="rId5293" xr:uid="{00000000-0004-0000-0000-0000AC140000}"/>
    <hyperlink ref="E5446" r:id="rId5294" xr:uid="{00000000-0004-0000-0000-0000AD140000}"/>
    <hyperlink ref="E5447" r:id="rId5295" xr:uid="{00000000-0004-0000-0000-0000AE140000}"/>
    <hyperlink ref="E5448" r:id="rId5296" xr:uid="{00000000-0004-0000-0000-0000AF140000}"/>
    <hyperlink ref="E5449" r:id="rId5297" xr:uid="{00000000-0004-0000-0000-0000B0140000}"/>
    <hyperlink ref="E5450" r:id="rId5298" xr:uid="{00000000-0004-0000-0000-0000B1140000}"/>
    <hyperlink ref="E5451" r:id="rId5299" xr:uid="{00000000-0004-0000-0000-0000B2140000}"/>
    <hyperlink ref="E5452" r:id="rId5300" xr:uid="{00000000-0004-0000-0000-0000B3140000}"/>
    <hyperlink ref="E5453" r:id="rId5301" xr:uid="{00000000-0004-0000-0000-0000B4140000}"/>
    <hyperlink ref="E5455" r:id="rId5302" xr:uid="{00000000-0004-0000-0000-0000B5140000}"/>
    <hyperlink ref="E5456" r:id="rId5303" xr:uid="{00000000-0004-0000-0000-0000B6140000}"/>
    <hyperlink ref="E5457" r:id="rId5304" xr:uid="{00000000-0004-0000-0000-0000B7140000}"/>
    <hyperlink ref="E5458" r:id="rId5305" xr:uid="{00000000-0004-0000-0000-0000B8140000}"/>
    <hyperlink ref="E5459" r:id="rId5306" xr:uid="{00000000-0004-0000-0000-0000B9140000}"/>
    <hyperlink ref="E5460" r:id="rId5307" xr:uid="{00000000-0004-0000-0000-0000BA140000}"/>
    <hyperlink ref="E5461" r:id="rId5308" xr:uid="{00000000-0004-0000-0000-0000BB140000}"/>
    <hyperlink ref="E5462" r:id="rId5309" xr:uid="{00000000-0004-0000-0000-0000BC140000}"/>
    <hyperlink ref="E5463" r:id="rId5310" xr:uid="{00000000-0004-0000-0000-0000BD140000}"/>
    <hyperlink ref="E5464" r:id="rId5311" xr:uid="{00000000-0004-0000-0000-0000BE140000}"/>
    <hyperlink ref="E5465" r:id="rId5312" xr:uid="{00000000-0004-0000-0000-0000BF140000}"/>
    <hyperlink ref="E5466" r:id="rId5313" xr:uid="{00000000-0004-0000-0000-0000C0140000}"/>
    <hyperlink ref="E5467" r:id="rId5314" xr:uid="{00000000-0004-0000-0000-0000C1140000}"/>
    <hyperlink ref="E5468" r:id="rId5315" xr:uid="{00000000-0004-0000-0000-0000C2140000}"/>
    <hyperlink ref="E5469" r:id="rId5316" xr:uid="{00000000-0004-0000-0000-0000C3140000}"/>
    <hyperlink ref="E5470" r:id="rId5317" xr:uid="{00000000-0004-0000-0000-0000C4140000}"/>
    <hyperlink ref="E5471" r:id="rId5318" xr:uid="{00000000-0004-0000-0000-0000C5140000}"/>
    <hyperlink ref="E5472" r:id="rId5319" xr:uid="{00000000-0004-0000-0000-0000C6140000}"/>
    <hyperlink ref="E5473" r:id="rId5320" xr:uid="{00000000-0004-0000-0000-0000C7140000}"/>
    <hyperlink ref="E5474" r:id="rId5321" xr:uid="{00000000-0004-0000-0000-0000C8140000}"/>
    <hyperlink ref="E5475" r:id="rId5322" xr:uid="{00000000-0004-0000-0000-0000C9140000}"/>
    <hyperlink ref="E5476" r:id="rId5323" xr:uid="{00000000-0004-0000-0000-0000CA140000}"/>
    <hyperlink ref="E5477" r:id="rId5324" xr:uid="{00000000-0004-0000-0000-0000CB140000}"/>
    <hyperlink ref="E5478" r:id="rId5325" xr:uid="{00000000-0004-0000-0000-0000CC140000}"/>
    <hyperlink ref="E5479" r:id="rId5326" xr:uid="{00000000-0004-0000-0000-0000CD140000}"/>
    <hyperlink ref="E5480" r:id="rId5327" xr:uid="{00000000-0004-0000-0000-0000CE140000}"/>
    <hyperlink ref="E5481" r:id="rId5328" xr:uid="{00000000-0004-0000-0000-0000CF140000}"/>
    <hyperlink ref="E5482" r:id="rId5329" xr:uid="{00000000-0004-0000-0000-0000D0140000}"/>
    <hyperlink ref="E5483" r:id="rId5330" xr:uid="{00000000-0004-0000-0000-0000D1140000}"/>
    <hyperlink ref="E5484" r:id="rId5331" xr:uid="{00000000-0004-0000-0000-0000D2140000}"/>
    <hyperlink ref="E5485" r:id="rId5332" xr:uid="{00000000-0004-0000-0000-0000D3140000}"/>
    <hyperlink ref="E5486" r:id="rId5333" xr:uid="{00000000-0004-0000-0000-0000D4140000}"/>
    <hyperlink ref="E5487" r:id="rId5334" xr:uid="{00000000-0004-0000-0000-0000D5140000}"/>
    <hyperlink ref="E5488" r:id="rId5335" xr:uid="{00000000-0004-0000-0000-0000D6140000}"/>
    <hyperlink ref="E5489" r:id="rId5336" xr:uid="{00000000-0004-0000-0000-0000D7140000}"/>
    <hyperlink ref="E5490" r:id="rId5337" xr:uid="{00000000-0004-0000-0000-0000D8140000}"/>
    <hyperlink ref="E5491" r:id="rId5338" xr:uid="{00000000-0004-0000-0000-0000D9140000}"/>
    <hyperlink ref="E5492" r:id="rId5339" xr:uid="{00000000-0004-0000-0000-0000DA140000}"/>
    <hyperlink ref="E5493" r:id="rId5340" xr:uid="{00000000-0004-0000-0000-0000DB140000}"/>
    <hyperlink ref="E5494" r:id="rId5341" xr:uid="{00000000-0004-0000-0000-0000DC140000}"/>
    <hyperlink ref="E5495" r:id="rId5342" xr:uid="{00000000-0004-0000-0000-0000DD140000}"/>
    <hyperlink ref="E5496" r:id="rId5343" xr:uid="{00000000-0004-0000-0000-0000DE140000}"/>
    <hyperlink ref="E5497" r:id="rId5344" xr:uid="{00000000-0004-0000-0000-0000DF140000}"/>
    <hyperlink ref="E5498" r:id="rId5345" xr:uid="{00000000-0004-0000-0000-0000E0140000}"/>
    <hyperlink ref="E5499" r:id="rId5346" xr:uid="{00000000-0004-0000-0000-0000E1140000}"/>
    <hyperlink ref="E5500" r:id="rId5347" xr:uid="{00000000-0004-0000-0000-0000E2140000}"/>
    <hyperlink ref="E5501" r:id="rId5348" xr:uid="{00000000-0004-0000-0000-0000E3140000}"/>
    <hyperlink ref="E5502" r:id="rId5349" xr:uid="{00000000-0004-0000-0000-0000E4140000}"/>
    <hyperlink ref="E5503" r:id="rId5350" xr:uid="{00000000-0004-0000-0000-0000E5140000}"/>
    <hyperlink ref="E5504" r:id="rId5351" xr:uid="{00000000-0004-0000-0000-0000E6140000}"/>
    <hyperlink ref="E5505" r:id="rId5352" xr:uid="{00000000-0004-0000-0000-0000E7140000}"/>
    <hyperlink ref="E5506" r:id="rId5353" xr:uid="{00000000-0004-0000-0000-0000E8140000}"/>
    <hyperlink ref="E5507" r:id="rId5354" xr:uid="{00000000-0004-0000-0000-0000E9140000}"/>
    <hyperlink ref="E5508" r:id="rId5355" xr:uid="{00000000-0004-0000-0000-0000EA140000}"/>
    <hyperlink ref="E5509" r:id="rId5356" xr:uid="{00000000-0004-0000-0000-0000EB140000}"/>
    <hyperlink ref="E5510" r:id="rId5357" xr:uid="{00000000-0004-0000-0000-0000EC140000}"/>
    <hyperlink ref="E5511" r:id="rId5358" xr:uid="{00000000-0004-0000-0000-0000ED140000}"/>
    <hyperlink ref="E5512" r:id="rId5359" xr:uid="{00000000-0004-0000-0000-0000EE140000}"/>
    <hyperlink ref="E5513" r:id="rId5360" xr:uid="{00000000-0004-0000-0000-0000EF140000}"/>
    <hyperlink ref="E5514" r:id="rId5361" xr:uid="{00000000-0004-0000-0000-0000F0140000}"/>
    <hyperlink ref="E5515" r:id="rId5362" xr:uid="{00000000-0004-0000-0000-0000F1140000}"/>
    <hyperlink ref="E5516" r:id="rId5363" xr:uid="{00000000-0004-0000-0000-0000F2140000}"/>
    <hyperlink ref="E5517" r:id="rId5364" xr:uid="{00000000-0004-0000-0000-0000F3140000}"/>
    <hyperlink ref="E5518" r:id="rId5365" xr:uid="{00000000-0004-0000-0000-0000F4140000}"/>
    <hyperlink ref="E5519" r:id="rId5366" xr:uid="{00000000-0004-0000-0000-0000F5140000}"/>
    <hyperlink ref="E5520" r:id="rId5367" xr:uid="{00000000-0004-0000-0000-0000F6140000}"/>
    <hyperlink ref="E5521" r:id="rId5368" xr:uid="{00000000-0004-0000-0000-0000F7140000}"/>
    <hyperlink ref="E5522" r:id="rId5369" xr:uid="{00000000-0004-0000-0000-0000F8140000}"/>
    <hyperlink ref="E5523" r:id="rId5370" xr:uid="{00000000-0004-0000-0000-0000F9140000}"/>
    <hyperlink ref="E5524" r:id="rId5371" xr:uid="{00000000-0004-0000-0000-0000FA140000}"/>
    <hyperlink ref="E5525" r:id="rId5372" xr:uid="{00000000-0004-0000-0000-0000FB140000}"/>
    <hyperlink ref="E5526" r:id="rId5373" xr:uid="{00000000-0004-0000-0000-0000FC140000}"/>
    <hyperlink ref="E5527" r:id="rId5374" xr:uid="{00000000-0004-0000-0000-0000FD140000}"/>
    <hyperlink ref="E5528" r:id="rId5375" xr:uid="{00000000-0004-0000-0000-0000FE140000}"/>
    <hyperlink ref="E5529" r:id="rId5376" xr:uid="{00000000-0004-0000-0000-0000FF140000}"/>
    <hyperlink ref="E5530" r:id="rId5377" xr:uid="{00000000-0004-0000-0000-000000150000}"/>
    <hyperlink ref="E5531" r:id="rId5378" xr:uid="{00000000-0004-0000-0000-000001150000}"/>
    <hyperlink ref="E5532" r:id="rId5379" xr:uid="{00000000-0004-0000-0000-000002150000}"/>
    <hyperlink ref="E5533" r:id="rId5380" xr:uid="{00000000-0004-0000-0000-000003150000}"/>
    <hyperlink ref="E5534" r:id="rId5381" xr:uid="{00000000-0004-0000-0000-000004150000}"/>
    <hyperlink ref="E5535" r:id="rId5382" xr:uid="{00000000-0004-0000-0000-000005150000}"/>
    <hyperlink ref="E5537" r:id="rId5383" xr:uid="{00000000-0004-0000-0000-000006150000}"/>
    <hyperlink ref="E5538" r:id="rId5384" xr:uid="{00000000-0004-0000-0000-000007150000}"/>
    <hyperlink ref="E5539" r:id="rId5385" xr:uid="{00000000-0004-0000-0000-000008150000}"/>
    <hyperlink ref="E5540" r:id="rId5386" xr:uid="{00000000-0004-0000-0000-000009150000}"/>
    <hyperlink ref="E5541" r:id="rId5387" xr:uid="{00000000-0004-0000-0000-00000A150000}"/>
    <hyperlink ref="E5542" r:id="rId5388" xr:uid="{00000000-0004-0000-0000-00000B150000}"/>
    <hyperlink ref="E5543" r:id="rId5389" xr:uid="{00000000-0004-0000-0000-00000C150000}"/>
    <hyperlink ref="E5544" r:id="rId5390" xr:uid="{00000000-0004-0000-0000-00000D150000}"/>
    <hyperlink ref="E5545" r:id="rId5391" xr:uid="{00000000-0004-0000-0000-00000E150000}"/>
    <hyperlink ref="E5546" r:id="rId5392" xr:uid="{00000000-0004-0000-0000-00000F150000}"/>
    <hyperlink ref="E5547" r:id="rId5393" xr:uid="{00000000-0004-0000-0000-000010150000}"/>
    <hyperlink ref="E5548" r:id="rId5394" xr:uid="{00000000-0004-0000-0000-000011150000}"/>
    <hyperlink ref="E5549" r:id="rId5395" xr:uid="{00000000-0004-0000-0000-000012150000}"/>
    <hyperlink ref="E5550" r:id="rId5396" xr:uid="{00000000-0004-0000-0000-000013150000}"/>
    <hyperlink ref="E5551" r:id="rId5397" xr:uid="{00000000-0004-0000-0000-000014150000}"/>
    <hyperlink ref="E5552" r:id="rId5398" xr:uid="{00000000-0004-0000-0000-000015150000}"/>
    <hyperlink ref="E5553" r:id="rId5399" xr:uid="{00000000-0004-0000-0000-000016150000}"/>
    <hyperlink ref="E5554" r:id="rId5400" xr:uid="{00000000-0004-0000-0000-000017150000}"/>
    <hyperlink ref="E5555" r:id="rId5401" xr:uid="{00000000-0004-0000-0000-000018150000}"/>
    <hyperlink ref="E5558" r:id="rId5402" xr:uid="{00000000-0004-0000-0000-000019150000}"/>
    <hyperlink ref="E5559" r:id="rId5403" xr:uid="{00000000-0004-0000-0000-00001A150000}"/>
    <hyperlink ref="E5560" r:id="rId5404" xr:uid="{00000000-0004-0000-0000-00001B150000}"/>
    <hyperlink ref="E5561" r:id="rId5405" xr:uid="{00000000-0004-0000-0000-00001C150000}"/>
    <hyperlink ref="E5562" r:id="rId5406" xr:uid="{00000000-0004-0000-0000-00001D150000}"/>
    <hyperlink ref="E5563" r:id="rId5407" xr:uid="{00000000-0004-0000-0000-00001E150000}"/>
    <hyperlink ref="E5564" r:id="rId5408" xr:uid="{00000000-0004-0000-0000-00001F150000}"/>
    <hyperlink ref="E5565" r:id="rId5409" xr:uid="{00000000-0004-0000-0000-000020150000}"/>
    <hyperlink ref="E5566" r:id="rId5410" xr:uid="{00000000-0004-0000-0000-000021150000}"/>
    <hyperlink ref="E5567" r:id="rId5411" xr:uid="{00000000-0004-0000-0000-000022150000}"/>
    <hyperlink ref="E5568" r:id="rId5412" xr:uid="{00000000-0004-0000-0000-000023150000}"/>
    <hyperlink ref="E5569" r:id="rId5413" xr:uid="{00000000-0004-0000-0000-000024150000}"/>
    <hyperlink ref="E5570" r:id="rId5414" xr:uid="{00000000-0004-0000-0000-000025150000}"/>
    <hyperlink ref="E5571" r:id="rId5415" xr:uid="{00000000-0004-0000-0000-000026150000}"/>
    <hyperlink ref="E5572" r:id="rId5416" xr:uid="{00000000-0004-0000-0000-000027150000}"/>
    <hyperlink ref="E5573" r:id="rId5417" xr:uid="{00000000-0004-0000-0000-000028150000}"/>
    <hyperlink ref="E5574" r:id="rId5418" xr:uid="{00000000-0004-0000-0000-000029150000}"/>
    <hyperlink ref="E5575" r:id="rId5419" xr:uid="{00000000-0004-0000-0000-00002A150000}"/>
    <hyperlink ref="E5576" r:id="rId5420" xr:uid="{00000000-0004-0000-0000-00002B150000}"/>
    <hyperlink ref="E5577" r:id="rId5421" xr:uid="{00000000-0004-0000-0000-00002C150000}"/>
    <hyperlink ref="E5578" r:id="rId5422" xr:uid="{00000000-0004-0000-0000-00002D150000}"/>
    <hyperlink ref="E5579" r:id="rId5423" xr:uid="{00000000-0004-0000-0000-00002E150000}"/>
    <hyperlink ref="E5580" r:id="rId5424" xr:uid="{00000000-0004-0000-0000-00002F150000}"/>
    <hyperlink ref="E5581" r:id="rId5425" xr:uid="{00000000-0004-0000-0000-000030150000}"/>
    <hyperlink ref="E5582" r:id="rId5426" xr:uid="{00000000-0004-0000-0000-000031150000}"/>
    <hyperlink ref="E5583" r:id="rId5427" xr:uid="{00000000-0004-0000-0000-000032150000}"/>
    <hyperlink ref="E5584" r:id="rId5428" xr:uid="{00000000-0004-0000-0000-000033150000}"/>
    <hyperlink ref="E5585" r:id="rId5429" xr:uid="{00000000-0004-0000-0000-000034150000}"/>
    <hyperlink ref="E5586" r:id="rId5430" xr:uid="{00000000-0004-0000-0000-000035150000}"/>
    <hyperlink ref="E5587" r:id="rId5431" xr:uid="{00000000-0004-0000-0000-000036150000}"/>
    <hyperlink ref="E5588" r:id="rId5432" xr:uid="{00000000-0004-0000-0000-000037150000}"/>
    <hyperlink ref="E5589" r:id="rId5433" xr:uid="{00000000-0004-0000-0000-000038150000}"/>
    <hyperlink ref="E5590" r:id="rId5434" xr:uid="{00000000-0004-0000-0000-000039150000}"/>
    <hyperlink ref="E5591" r:id="rId5435" xr:uid="{00000000-0004-0000-0000-00003A150000}"/>
    <hyperlink ref="E5592" r:id="rId5436" xr:uid="{00000000-0004-0000-0000-00003B150000}"/>
    <hyperlink ref="E5593" r:id="rId5437" xr:uid="{00000000-0004-0000-0000-00003C150000}"/>
    <hyperlink ref="E5594" r:id="rId5438" xr:uid="{00000000-0004-0000-0000-00003D150000}"/>
    <hyperlink ref="E5595" r:id="rId5439" xr:uid="{00000000-0004-0000-0000-00003E150000}"/>
    <hyperlink ref="E5596" r:id="rId5440" xr:uid="{00000000-0004-0000-0000-00003F150000}"/>
    <hyperlink ref="E5597" r:id="rId5441" xr:uid="{00000000-0004-0000-0000-000040150000}"/>
    <hyperlink ref="E5598" r:id="rId5442" xr:uid="{00000000-0004-0000-0000-000041150000}"/>
    <hyperlink ref="E5599" r:id="rId5443" xr:uid="{00000000-0004-0000-0000-000042150000}"/>
    <hyperlink ref="E5600" r:id="rId5444" xr:uid="{00000000-0004-0000-0000-000043150000}"/>
    <hyperlink ref="E5601" r:id="rId5445" xr:uid="{00000000-0004-0000-0000-000044150000}"/>
    <hyperlink ref="E5602" r:id="rId5446" xr:uid="{00000000-0004-0000-0000-000045150000}"/>
    <hyperlink ref="E5603" r:id="rId5447" xr:uid="{00000000-0004-0000-0000-000046150000}"/>
    <hyperlink ref="E5604" r:id="rId5448" xr:uid="{00000000-0004-0000-0000-000047150000}"/>
    <hyperlink ref="E5605" r:id="rId5449" xr:uid="{00000000-0004-0000-0000-000048150000}"/>
    <hyperlink ref="E5606" r:id="rId5450" xr:uid="{00000000-0004-0000-0000-000049150000}"/>
    <hyperlink ref="E5607" r:id="rId5451" xr:uid="{00000000-0004-0000-0000-00004A150000}"/>
    <hyperlink ref="E5608" r:id="rId5452" xr:uid="{00000000-0004-0000-0000-00004B150000}"/>
    <hyperlink ref="E5609" r:id="rId5453" xr:uid="{00000000-0004-0000-0000-00004C150000}"/>
    <hyperlink ref="E5610" r:id="rId5454" xr:uid="{00000000-0004-0000-0000-00004D150000}"/>
    <hyperlink ref="E5611" r:id="rId5455" xr:uid="{00000000-0004-0000-0000-00004E150000}"/>
    <hyperlink ref="E5612" r:id="rId5456" xr:uid="{00000000-0004-0000-0000-00004F150000}"/>
    <hyperlink ref="E5613" r:id="rId5457" xr:uid="{00000000-0004-0000-0000-000050150000}"/>
    <hyperlink ref="E5614" r:id="rId5458" xr:uid="{00000000-0004-0000-0000-000051150000}"/>
    <hyperlink ref="E5615" r:id="rId5459" xr:uid="{00000000-0004-0000-0000-000052150000}"/>
    <hyperlink ref="E5616" r:id="rId5460" xr:uid="{00000000-0004-0000-0000-000053150000}"/>
    <hyperlink ref="E5617" r:id="rId5461" xr:uid="{00000000-0004-0000-0000-000054150000}"/>
    <hyperlink ref="E5618" r:id="rId5462" xr:uid="{00000000-0004-0000-0000-000055150000}"/>
    <hyperlink ref="E5619" r:id="rId5463" xr:uid="{00000000-0004-0000-0000-000056150000}"/>
    <hyperlink ref="E5620" r:id="rId5464" xr:uid="{00000000-0004-0000-0000-000057150000}"/>
    <hyperlink ref="E5621" r:id="rId5465" xr:uid="{00000000-0004-0000-0000-000058150000}"/>
    <hyperlink ref="E5622" r:id="rId5466" xr:uid="{00000000-0004-0000-0000-000059150000}"/>
    <hyperlink ref="E5623" r:id="rId5467" xr:uid="{00000000-0004-0000-0000-00005A150000}"/>
    <hyperlink ref="E5624" r:id="rId5468" xr:uid="{00000000-0004-0000-0000-00005B150000}"/>
    <hyperlink ref="E5625" r:id="rId5469" xr:uid="{00000000-0004-0000-0000-00005C150000}"/>
    <hyperlink ref="E5626" r:id="rId5470" xr:uid="{00000000-0004-0000-0000-00005D150000}"/>
    <hyperlink ref="E5627" r:id="rId5471" xr:uid="{00000000-0004-0000-0000-00005E150000}"/>
    <hyperlink ref="E5628" r:id="rId5472" xr:uid="{00000000-0004-0000-0000-00005F150000}"/>
    <hyperlink ref="E5629" r:id="rId5473" xr:uid="{00000000-0004-0000-0000-000060150000}"/>
    <hyperlink ref="E5630" r:id="rId5474" xr:uid="{00000000-0004-0000-0000-000061150000}"/>
    <hyperlink ref="E5631" r:id="rId5475" xr:uid="{00000000-0004-0000-0000-000062150000}"/>
    <hyperlink ref="E5632" r:id="rId5476" xr:uid="{00000000-0004-0000-0000-000063150000}"/>
    <hyperlink ref="E5633" r:id="rId5477" xr:uid="{00000000-0004-0000-0000-000064150000}"/>
    <hyperlink ref="E5634" r:id="rId5478" xr:uid="{00000000-0004-0000-0000-000065150000}"/>
    <hyperlink ref="E5635" r:id="rId5479" xr:uid="{00000000-0004-0000-0000-000066150000}"/>
    <hyperlink ref="E5636" r:id="rId5480" xr:uid="{00000000-0004-0000-0000-000067150000}"/>
    <hyperlink ref="E5637" r:id="rId5481" xr:uid="{00000000-0004-0000-0000-000068150000}"/>
    <hyperlink ref="E5638" r:id="rId5482" xr:uid="{00000000-0004-0000-0000-000069150000}"/>
    <hyperlink ref="E5639" r:id="rId5483" xr:uid="{00000000-0004-0000-0000-00006A150000}"/>
    <hyperlink ref="E5640" r:id="rId5484" xr:uid="{00000000-0004-0000-0000-00006B150000}"/>
    <hyperlink ref="E5641" r:id="rId5485" xr:uid="{00000000-0004-0000-0000-00006C150000}"/>
    <hyperlink ref="E5642" r:id="rId5486" xr:uid="{00000000-0004-0000-0000-00006D150000}"/>
    <hyperlink ref="E5643" r:id="rId5487" xr:uid="{00000000-0004-0000-0000-00006E150000}"/>
    <hyperlink ref="E5644" r:id="rId5488" xr:uid="{00000000-0004-0000-0000-00006F150000}"/>
    <hyperlink ref="E5645" r:id="rId5489" xr:uid="{00000000-0004-0000-0000-000070150000}"/>
    <hyperlink ref="E5646" r:id="rId5490" xr:uid="{00000000-0004-0000-0000-000071150000}"/>
    <hyperlink ref="E5647" r:id="rId5491" xr:uid="{00000000-0004-0000-0000-000072150000}"/>
    <hyperlink ref="E5648" r:id="rId5492" xr:uid="{00000000-0004-0000-0000-000073150000}"/>
    <hyperlink ref="E5649" r:id="rId5493" xr:uid="{00000000-0004-0000-0000-000074150000}"/>
    <hyperlink ref="E5650" r:id="rId5494" xr:uid="{00000000-0004-0000-0000-000075150000}"/>
    <hyperlink ref="E5651" r:id="rId5495" xr:uid="{00000000-0004-0000-0000-000076150000}"/>
    <hyperlink ref="E5652" r:id="rId5496" xr:uid="{00000000-0004-0000-0000-000077150000}"/>
    <hyperlink ref="E5653" r:id="rId5497" xr:uid="{00000000-0004-0000-0000-000078150000}"/>
    <hyperlink ref="E5654" r:id="rId5498" xr:uid="{00000000-0004-0000-0000-000079150000}"/>
    <hyperlink ref="E5655" r:id="rId5499" xr:uid="{00000000-0004-0000-0000-00007A150000}"/>
    <hyperlink ref="E5656" r:id="rId5500" xr:uid="{00000000-0004-0000-0000-00007B150000}"/>
    <hyperlink ref="E5657" r:id="rId5501" xr:uid="{00000000-0004-0000-0000-00007C150000}"/>
    <hyperlink ref="E5658" r:id="rId5502" xr:uid="{00000000-0004-0000-0000-00007D150000}"/>
    <hyperlink ref="E5659" r:id="rId5503" xr:uid="{00000000-0004-0000-0000-00007E150000}"/>
    <hyperlink ref="E5660" r:id="rId5504" xr:uid="{00000000-0004-0000-0000-00007F150000}"/>
    <hyperlink ref="E5661" r:id="rId5505" xr:uid="{00000000-0004-0000-0000-000080150000}"/>
    <hyperlink ref="E5662" r:id="rId5506" xr:uid="{00000000-0004-0000-0000-000081150000}"/>
    <hyperlink ref="E5663" r:id="rId5507" xr:uid="{00000000-0004-0000-0000-000082150000}"/>
    <hyperlink ref="E5664" r:id="rId5508" xr:uid="{00000000-0004-0000-0000-000083150000}"/>
    <hyperlink ref="E5665" r:id="rId5509" xr:uid="{00000000-0004-0000-0000-000084150000}"/>
    <hyperlink ref="E5666" r:id="rId5510" xr:uid="{00000000-0004-0000-0000-000085150000}"/>
    <hyperlink ref="E5667" r:id="rId5511" xr:uid="{00000000-0004-0000-0000-000086150000}"/>
    <hyperlink ref="E5668" r:id="rId5512" xr:uid="{00000000-0004-0000-0000-000087150000}"/>
    <hyperlink ref="E5669" r:id="rId5513" xr:uid="{00000000-0004-0000-0000-000088150000}"/>
    <hyperlink ref="E5670" r:id="rId5514" xr:uid="{00000000-0004-0000-0000-000089150000}"/>
    <hyperlink ref="E5671" r:id="rId5515" xr:uid="{00000000-0004-0000-0000-00008A150000}"/>
    <hyperlink ref="E5672" r:id="rId5516" xr:uid="{00000000-0004-0000-0000-00008B150000}"/>
    <hyperlink ref="E5673" r:id="rId5517" xr:uid="{00000000-0004-0000-0000-00008C150000}"/>
    <hyperlink ref="E5674" r:id="rId5518" xr:uid="{00000000-0004-0000-0000-00008D150000}"/>
    <hyperlink ref="E5675" r:id="rId5519" xr:uid="{00000000-0004-0000-0000-00008E150000}"/>
    <hyperlink ref="E5676" r:id="rId5520" xr:uid="{00000000-0004-0000-0000-00008F150000}"/>
    <hyperlink ref="E5677" r:id="rId5521" xr:uid="{00000000-0004-0000-0000-000090150000}"/>
    <hyperlink ref="E5678" r:id="rId5522" xr:uid="{00000000-0004-0000-0000-000091150000}"/>
    <hyperlink ref="E5679" r:id="rId5523" xr:uid="{00000000-0004-0000-0000-000092150000}"/>
    <hyperlink ref="E5680" r:id="rId5524" xr:uid="{00000000-0004-0000-0000-000093150000}"/>
    <hyperlink ref="E5681" r:id="rId5525" xr:uid="{00000000-0004-0000-0000-000094150000}"/>
    <hyperlink ref="E5682" r:id="rId5526" xr:uid="{00000000-0004-0000-0000-000095150000}"/>
    <hyperlink ref="E5683" r:id="rId5527" xr:uid="{00000000-0004-0000-0000-000096150000}"/>
    <hyperlink ref="E5684" r:id="rId5528" xr:uid="{00000000-0004-0000-0000-000097150000}"/>
    <hyperlink ref="E5685" r:id="rId5529" xr:uid="{00000000-0004-0000-0000-000098150000}"/>
    <hyperlink ref="E5686" r:id="rId5530" xr:uid="{00000000-0004-0000-0000-000099150000}"/>
    <hyperlink ref="E5687" r:id="rId5531" xr:uid="{00000000-0004-0000-0000-00009A150000}"/>
    <hyperlink ref="E5688" r:id="rId5532" xr:uid="{00000000-0004-0000-0000-00009B150000}"/>
    <hyperlink ref="E5689" r:id="rId5533" xr:uid="{00000000-0004-0000-0000-00009C150000}"/>
    <hyperlink ref="E5690" r:id="rId5534" xr:uid="{00000000-0004-0000-0000-00009D150000}"/>
    <hyperlink ref="E5691" r:id="rId5535" xr:uid="{00000000-0004-0000-0000-00009E150000}"/>
    <hyperlink ref="E5692" r:id="rId5536" xr:uid="{00000000-0004-0000-0000-00009F150000}"/>
    <hyperlink ref="E5693" r:id="rId5537" xr:uid="{00000000-0004-0000-0000-0000A0150000}"/>
    <hyperlink ref="E5694" r:id="rId5538" xr:uid="{00000000-0004-0000-0000-0000A1150000}"/>
    <hyperlink ref="E5695" r:id="rId5539" xr:uid="{00000000-0004-0000-0000-0000A2150000}"/>
    <hyperlink ref="E5696" r:id="rId5540" xr:uid="{00000000-0004-0000-0000-0000A3150000}"/>
    <hyperlink ref="E5697" r:id="rId5541" xr:uid="{00000000-0004-0000-0000-0000A4150000}"/>
    <hyperlink ref="E5698" r:id="rId5542" xr:uid="{00000000-0004-0000-0000-0000A5150000}"/>
    <hyperlink ref="E5699" r:id="rId5543" xr:uid="{00000000-0004-0000-0000-0000A6150000}"/>
    <hyperlink ref="E5700" r:id="rId5544" xr:uid="{00000000-0004-0000-0000-0000A7150000}"/>
    <hyperlink ref="E5701" r:id="rId5545" xr:uid="{00000000-0004-0000-0000-0000A8150000}"/>
    <hyperlink ref="E5702" r:id="rId5546" xr:uid="{00000000-0004-0000-0000-0000A9150000}"/>
    <hyperlink ref="E5703" r:id="rId5547" xr:uid="{00000000-0004-0000-0000-0000AA150000}"/>
    <hyperlink ref="E5704" r:id="rId5548" xr:uid="{00000000-0004-0000-0000-0000AB150000}"/>
    <hyperlink ref="E5705" r:id="rId5549" xr:uid="{00000000-0004-0000-0000-0000AC150000}"/>
    <hyperlink ref="E5706" r:id="rId5550" xr:uid="{00000000-0004-0000-0000-0000AD150000}"/>
    <hyperlink ref="E5707" r:id="rId5551" xr:uid="{00000000-0004-0000-0000-0000AE150000}"/>
    <hyperlink ref="E5708" r:id="rId5552" xr:uid="{00000000-0004-0000-0000-0000AF150000}"/>
    <hyperlink ref="E5709" r:id="rId5553" xr:uid="{00000000-0004-0000-0000-0000B0150000}"/>
    <hyperlink ref="E5710" r:id="rId5554" xr:uid="{00000000-0004-0000-0000-0000B1150000}"/>
    <hyperlink ref="E5711" r:id="rId5555" xr:uid="{00000000-0004-0000-0000-0000B2150000}"/>
    <hyperlink ref="E5712" r:id="rId5556" xr:uid="{00000000-0004-0000-0000-0000B3150000}"/>
    <hyperlink ref="E5713" r:id="rId5557" xr:uid="{00000000-0004-0000-0000-0000B4150000}"/>
    <hyperlink ref="E5714" r:id="rId5558" xr:uid="{00000000-0004-0000-0000-0000B5150000}"/>
    <hyperlink ref="E5715" r:id="rId5559" xr:uid="{00000000-0004-0000-0000-0000B6150000}"/>
    <hyperlink ref="E5716" r:id="rId5560" xr:uid="{00000000-0004-0000-0000-0000B7150000}"/>
    <hyperlink ref="E5717" r:id="rId5561" xr:uid="{00000000-0004-0000-0000-0000B8150000}"/>
    <hyperlink ref="E5718" r:id="rId5562" xr:uid="{00000000-0004-0000-0000-0000B9150000}"/>
    <hyperlink ref="E5719" r:id="rId5563" xr:uid="{00000000-0004-0000-0000-0000BA150000}"/>
    <hyperlink ref="E5720" r:id="rId5564" xr:uid="{00000000-0004-0000-0000-0000BB150000}"/>
    <hyperlink ref="E5721" r:id="rId5565" xr:uid="{00000000-0004-0000-0000-0000BC150000}"/>
    <hyperlink ref="E5722" r:id="rId5566" xr:uid="{00000000-0004-0000-0000-0000BD150000}"/>
    <hyperlink ref="E5723" r:id="rId5567" xr:uid="{00000000-0004-0000-0000-0000BE150000}"/>
    <hyperlink ref="E5724" r:id="rId5568" xr:uid="{00000000-0004-0000-0000-0000BF150000}"/>
    <hyperlink ref="E5725" r:id="rId5569" xr:uid="{00000000-0004-0000-0000-0000C0150000}"/>
    <hyperlink ref="E5726" r:id="rId5570" xr:uid="{00000000-0004-0000-0000-0000C1150000}"/>
    <hyperlink ref="E5727" r:id="rId5571" xr:uid="{00000000-0004-0000-0000-0000C2150000}"/>
    <hyperlink ref="E5728" r:id="rId5572" xr:uid="{00000000-0004-0000-0000-0000C3150000}"/>
    <hyperlink ref="E5729" r:id="rId5573" xr:uid="{00000000-0004-0000-0000-0000C4150000}"/>
    <hyperlink ref="E5730" r:id="rId5574" xr:uid="{00000000-0004-0000-0000-0000C5150000}"/>
    <hyperlink ref="E5731" r:id="rId5575" xr:uid="{00000000-0004-0000-0000-0000C6150000}"/>
    <hyperlink ref="E5732" r:id="rId5576" xr:uid="{00000000-0004-0000-0000-0000C7150000}"/>
    <hyperlink ref="E5733" r:id="rId5577" xr:uid="{00000000-0004-0000-0000-0000C8150000}"/>
    <hyperlink ref="E5734" r:id="rId5578" xr:uid="{00000000-0004-0000-0000-0000C9150000}"/>
    <hyperlink ref="E5735" r:id="rId5579" xr:uid="{00000000-0004-0000-0000-0000CA150000}"/>
    <hyperlink ref="E5736" r:id="rId5580" xr:uid="{00000000-0004-0000-0000-0000CB150000}"/>
    <hyperlink ref="E5737" r:id="rId5581" xr:uid="{00000000-0004-0000-0000-0000CC150000}"/>
    <hyperlink ref="E5738" r:id="rId5582" xr:uid="{00000000-0004-0000-0000-0000CD150000}"/>
    <hyperlink ref="E5739" r:id="rId5583" xr:uid="{00000000-0004-0000-0000-0000CE150000}"/>
    <hyperlink ref="E5740" r:id="rId5584" xr:uid="{00000000-0004-0000-0000-0000CF150000}"/>
    <hyperlink ref="E5741" r:id="rId5585" xr:uid="{00000000-0004-0000-0000-0000D0150000}"/>
    <hyperlink ref="E5742" r:id="rId5586" xr:uid="{00000000-0004-0000-0000-0000D1150000}"/>
    <hyperlink ref="E5743" r:id="rId5587" xr:uid="{00000000-0004-0000-0000-0000D2150000}"/>
    <hyperlink ref="E5744" r:id="rId5588" xr:uid="{00000000-0004-0000-0000-0000D3150000}"/>
    <hyperlink ref="E5745" r:id="rId5589" xr:uid="{00000000-0004-0000-0000-0000D4150000}"/>
    <hyperlink ref="E5746" r:id="rId5590" xr:uid="{00000000-0004-0000-0000-0000D5150000}"/>
    <hyperlink ref="E5747" r:id="rId5591" xr:uid="{00000000-0004-0000-0000-0000D6150000}"/>
    <hyperlink ref="E5748" r:id="rId5592" xr:uid="{00000000-0004-0000-0000-0000D7150000}"/>
    <hyperlink ref="E5749" r:id="rId5593" xr:uid="{00000000-0004-0000-0000-0000D8150000}"/>
    <hyperlink ref="E5750" r:id="rId5594" xr:uid="{00000000-0004-0000-0000-0000D9150000}"/>
    <hyperlink ref="E5751" r:id="rId5595" xr:uid="{00000000-0004-0000-0000-0000DA150000}"/>
    <hyperlink ref="E5752" r:id="rId5596" xr:uid="{00000000-0004-0000-0000-0000DB150000}"/>
    <hyperlink ref="E5753" r:id="rId5597" xr:uid="{00000000-0004-0000-0000-0000DC150000}"/>
    <hyperlink ref="E5754" r:id="rId5598" xr:uid="{00000000-0004-0000-0000-0000DD150000}"/>
    <hyperlink ref="E5755" r:id="rId5599" xr:uid="{00000000-0004-0000-0000-0000DE150000}"/>
    <hyperlink ref="E5756" r:id="rId5600" xr:uid="{00000000-0004-0000-0000-0000DF150000}"/>
    <hyperlink ref="E5757" r:id="rId5601" xr:uid="{00000000-0004-0000-0000-0000E0150000}"/>
    <hyperlink ref="E5758" r:id="rId5602" xr:uid="{00000000-0004-0000-0000-0000E1150000}"/>
    <hyperlink ref="E5759" r:id="rId5603" xr:uid="{00000000-0004-0000-0000-0000E2150000}"/>
    <hyperlink ref="E5760" r:id="rId5604" xr:uid="{00000000-0004-0000-0000-0000E3150000}"/>
    <hyperlink ref="E5761" r:id="rId5605" xr:uid="{00000000-0004-0000-0000-0000E4150000}"/>
    <hyperlink ref="E5762" r:id="rId5606" xr:uid="{00000000-0004-0000-0000-0000E5150000}"/>
    <hyperlink ref="E5763" r:id="rId5607" xr:uid="{00000000-0004-0000-0000-0000E6150000}"/>
    <hyperlink ref="E5764" r:id="rId5608" xr:uid="{00000000-0004-0000-0000-0000E7150000}"/>
    <hyperlink ref="E5765" r:id="rId5609" xr:uid="{00000000-0004-0000-0000-0000E8150000}"/>
    <hyperlink ref="E5766" r:id="rId5610" xr:uid="{00000000-0004-0000-0000-0000E9150000}"/>
    <hyperlink ref="E5767" r:id="rId5611" xr:uid="{00000000-0004-0000-0000-0000EA150000}"/>
    <hyperlink ref="E5768" r:id="rId5612" xr:uid="{00000000-0004-0000-0000-0000EB150000}"/>
    <hyperlink ref="E5769" r:id="rId5613" xr:uid="{00000000-0004-0000-0000-0000EC150000}"/>
    <hyperlink ref="E5770" r:id="rId5614" xr:uid="{00000000-0004-0000-0000-0000ED150000}"/>
    <hyperlink ref="E5771" r:id="rId5615" xr:uid="{00000000-0004-0000-0000-0000EE150000}"/>
    <hyperlink ref="E5772" r:id="rId5616" xr:uid="{00000000-0004-0000-0000-0000EF150000}"/>
    <hyperlink ref="E5773" r:id="rId5617" xr:uid="{00000000-0004-0000-0000-0000F0150000}"/>
    <hyperlink ref="E5774" r:id="rId5618" xr:uid="{00000000-0004-0000-0000-0000F1150000}"/>
    <hyperlink ref="E5775" r:id="rId5619" xr:uid="{00000000-0004-0000-0000-0000F2150000}"/>
    <hyperlink ref="E5776" r:id="rId5620" xr:uid="{00000000-0004-0000-0000-0000F3150000}"/>
    <hyperlink ref="E5777" r:id="rId5621" xr:uid="{00000000-0004-0000-0000-0000F4150000}"/>
    <hyperlink ref="E5778" r:id="rId5622" xr:uid="{00000000-0004-0000-0000-0000F5150000}"/>
    <hyperlink ref="E5779" r:id="rId5623" xr:uid="{00000000-0004-0000-0000-0000F6150000}"/>
    <hyperlink ref="E5781" r:id="rId5624" xr:uid="{00000000-0004-0000-0000-0000F7150000}"/>
    <hyperlink ref="E5782" r:id="rId5625" xr:uid="{00000000-0004-0000-0000-0000F8150000}"/>
    <hyperlink ref="E5783" r:id="rId5626" xr:uid="{00000000-0004-0000-0000-0000F9150000}"/>
    <hyperlink ref="E5784" r:id="rId5627" xr:uid="{00000000-0004-0000-0000-0000FA150000}"/>
    <hyperlink ref="E5785" r:id="rId5628" xr:uid="{00000000-0004-0000-0000-0000FB150000}"/>
    <hyperlink ref="E5786" r:id="rId5629" xr:uid="{00000000-0004-0000-0000-0000FC150000}"/>
    <hyperlink ref="E5787" r:id="rId5630" xr:uid="{00000000-0004-0000-0000-0000FD150000}"/>
    <hyperlink ref="E5788" r:id="rId5631" xr:uid="{00000000-0004-0000-0000-0000FE150000}"/>
    <hyperlink ref="E5789" r:id="rId5632" xr:uid="{00000000-0004-0000-0000-0000FF150000}"/>
    <hyperlink ref="E5790" r:id="rId5633" xr:uid="{00000000-0004-0000-0000-000000160000}"/>
    <hyperlink ref="E5791" r:id="rId5634" xr:uid="{00000000-0004-0000-0000-000001160000}"/>
    <hyperlink ref="E5792" r:id="rId5635" xr:uid="{00000000-0004-0000-0000-000002160000}"/>
    <hyperlink ref="E5793" r:id="rId5636" xr:uid="{00000000-0004-0000-0000-000003160000}"/>
    <hyperlink ref="E5794" r:id="rId5637" xr:uid="{00000000-0004-0000-0000-000004160000}"/>
    <hyperlink ref="E5795" r:id="rId5638" xr:uid="{00000000-0004-0000-0000-000005160000}"/>
    <hyperlink ref="E5796" r:id="rId5639" xr:uid="{00000000-0004-0000-0000-000006160000}"/>
    <hyperlink ref="E5797" r:id="rId5640" xr:uid="{00000000-0004-0000-0000-000007160000}"/>
    <hyperlink ref="E5798" r:id="rId5641" xr:uid="{00000000-0004-0000-0000-000008160000}"/>
    <hyperlink ref="E5799" r:id="rId5642" xr:uid="{00000000-0004-0000-0000-000009160000}"/>
    <hyperlink ref="E5800" r:id="rId5643" xr:uid="{00000000-0004-0000-0000-00000A160000}"/>
    <hyperlink ref="E5801" r:id="rId5644" xr:uid="{00000000-0004-0000-0000-00000B160000}"/>
    <hyperlink ref="E5802" r:id="rId5645" xr:uid="{00000000-0004-0000-0000-00000C160000}"/>
    <hyperlink ref="E5803" r:id="rId5646" xr:uid="{00000000-0004-0000-0000-00000D160000}"/>
    <hyperlink ref="E5804" r:id="rId5647" xr:uid="{00000000-0004-0000-0000-00000E160000}"/>
    <hyperlink ref="E5805" r:id="rId5648" xr:uid="{00000000-0004-0000-0000-00000F160000}"/>
    <hyperlink ref="E5806" r:id="rId5649" xr:uid="{00000000-0004-0000-0000-000010160000}"/>
    <hyperlink ref="E5807" r:id="rId5650" xr:uid="{00000000-0004-0000-0000-000011160000}"/>
    <hyperlink ref="E5808" r:id="rId5651" xr:uid="{00000000-0004-0000-0000-000012160000}"/>
    <hyperlink ref="E5809" r:id="rId5652" xr:uid="{00000000-0004-0000-0000-000013160000}"/>
    <hyperlink ref="E5810" r:id="rId5653" xr:uid="{00000000-0004-0000-0000-000014160000}"/>
    <hyperlink ref="E5811" r:id="rId5654" xr:uid="{00000000-0004-0000-0000-000015160000}"/>
    <hyperlink ref="E5812" r:id="rId5655" xr:uid="{00000000-0004-0000-0000-000016160000}"/>
    <hyperlink ref="E5813" r:id="rId5656" xr:uid="{00000000-0004-0000-0000-000017160000}"/>
    <hyperlink ref="E5814" r:id="rId5657" xr:uid="{00000000-0004-0000-0000-000018160000}"/>
    <hyperlink ref="E5815" r:id="rId5658" xr:uid="{00000000-0004-0000-0000-000019160000}"/>
    <hyperlink ref="E5816" r:id="rId5659" xr:uid="{00000000-0004-0000-0000-00001A160000}"/>
    <hyperlink ref="E5817" r:id="rId5660" xr:uid="{00000000-0004-0000-0000-00001B160000}"/>
    <hyperlink ref="E5818" r:id="rId5661" xr:uid="{00000000-0004-0000-0000-00001C160000}"/>
    <hyperlink ref="E5819" r:id="rId5662" xr:uid="{00000000-0004-0000-0000-00001D160000}"/>
    <hyperlink ref="E5820" r:id="rId5663" xr:uid="{00000000-0004-0000-0000-00001E160000}"/>
    <hyperlink ref="E5821" r:id="rId5664" xr:uid="{00000000-0004-0000-0000-00001F160000}"/>
    <hyperlink ref="E5822" r:id="rId5665" xr:uid="{00000000-0004-0000-0000-000020160000}"/>
    <hyperlink ref="E5823" r:id="rId5666" xr:uid="{00000000-0004-0000-0000-000021160000}"/>
    <hyperlink ref="E5824" r:id="rId5667" xr:uid="{00000000-0004-0000-0000-000022160000}"/>
    <hyperlink ref="E5825" r:id="rId5668" xr:uid="{00000000-0004-0000-0000-000023160000}"/>
    <hyperlink ref="E5826" r:id="rId5669" xr:uid="{00000000-0004-0000-0000-000024160000}"/>
    <hyperlink ref="E5827" r:id="rId5670" xr:uid="{00000000-0004-0000-0000-000025160000}"/>
    <hyperlink ref="E5828" r:id="rId5671" xr:uid="{00000000-0004-0000-0000-000026160000}"/>
    <hyperlink ref="E5829" r:id="rId5672" xr:uid="{00000000-0004-0000-0000-000027160000}"/>
    <hyperlink ref="E5830" r:id="rId5673" xr:uid="{00000000-0004-0000-0000-000028160000}"/>
    <hyperlink ref="E5831" r:id="rId5674" xr:uid="{00000000-0004-0000-0000-000029160000}"/>
    <hyperlink ref="E5832" r:id="rId5675" xr:uid="{00000000-0004-0000-0000-00002A160000}"/>
    <hyperlink ref="E5833" r:id="rId5676" xr:uid="{00000000-0004-0000-0000-00002B160000}"/>
    <hyperlink ref="E5834" r:id="rId5677" xr:uid="{00000000-0004-0000-0000-00002C160000}"/>
    <hyperlink ref="E5835" r:id="rId5678" xr:uid="{00000000-0004-0000-0000-00002D160000}"/>
    <hyperlink ref="E5836" r:id="rId5679" xr:uid="{00000000-0004-0000-0000-00002E160000}"/>
    <hyperlink ref="E5837" r:id="rId5680" xr:uid="{00000000-0004-0000-0000-00002F160000}"/>
    <hyperlink ref="E5838" r:id="rId5681" xr:uid="{00000000-0004-0000-0000-000030160000}"/>
    <hyperlink ref="E5839" r:id="rId5682" xr:uid="{00000000-0004-0000-0000-000031160000}"/>
    <hyperlink ref="E5840" r:id="rId5683" xr:uid="{00000000-0004-0000-0000-000032160000}"/>
    <hyperlink ref="E5841" r:id="rId5684" xr:uid="{00000000-0004-0000-0000-000033160000}"/>
    <hyperlink ref="E5842" r:id="rId5685" xr:uid="{00000000-0004-0000-0000-000034160000}"/>
    <hyperlink ref="E5843" r:id="rId5686" xr:uid="{00000000-0004-0000-0000-000035160000}"/>
    <hyperlink ref="E5844" r:id="rId5687" xr:uid="{00000000-0004-0000-0000-000036160000}"/>
    <hyperlink ref="E5845" r:id="rId5688" xr:uid="{00000000-0004-0000-0000-000037160000}"/>
    <hyperlink ref="E5846" r:id="rId5689" xr:uid="{00000000-0004-0000-0000-000038160000}"/>
    <hyperlink ref="E5847" r:id="rId5690" xr:uid="{00000000-0004-0000-0000-000039160000}"/>
    <hyperlink ref="E5848" r:id="rId5691" xr:uid="{00000000-0004-0000-0000-00003A160000}"/>
    <hyperlink ref="E5849" r:id="rId5692" xr:uid="{00000000-0004-0000-0000-00003B160000}"/>
    <hyperlink ref="E5850" r:id="rId5693" xr:uid="{00000000-0004-0000-0000-00003C160000}"/>
    <hyperlink ref="E5851" r:id="rId5694" xr:uid="{00000000-0004-0000-0000-00003D160000}"/>
    <hyperlink ref="E5852" r:id="rId5695" xr:uid="{00000000-0004-0000-0000-00003E160000}"/>
    <hyperlink ref="E5853" r:id="rId5696" xr:uid="{00000000-0004-0000-0000-00003F160000}"/>
    <hyperlink ref="E5854" r:id="rId5697" xr:uid="{00000000-0004-0000-0000-000040160000}"/>
    <hyperlink ref="E5855" r:id="rId5698" xr:uid="{00000000-0004-0000-0000-000041160000}"/>
    <hyperlink ref="E5856" r:id="rId5699" xr:uid="{00000000-0004-0000-0000-000042160000}"/>
    <hyperlink ref="E5857" r:id="rId5700" xr:uid="{00000000-0004-0000-0000-000043160000}"/>
    <hyperlink ref="E5858" r:id="rId5701" xr:uid="{00000000-0004-0000-0000-000044160000}"/>
    <hyperlink ref="E5859" r:id="rId5702" xr:uid="{00000000-0004-0000-0000-000045160000}"/>
    <hyperlink ref="E5860" r:id="rId5703" xr:uid="{00000000-0004-0000-0000-000046160000}"/>
    <hyperlink ref="E5861" r:id="rId5704" xr:uid="{00000000-0004-0000-0000-000047160000}"/>
    <hyperlink ref="E5862" r:id="rId5705" xr:uid="{00000000-0004-0000-0000-000048160000}"/>
    <hyperlink ref="E5863" r:id="rId5706" xr:uid="{00000000-0004-0000-0000-000049160000}"/>
    <hyperlink ref="E5864" r:id="rId5707" xr:uid="{00000000-0004-0000-0000-00004A160000}"/>
    <hyperlink ref="E5865" r:id="rId5708" xr:uid="{00000000-0004-0000-0000-00004B160000}"/>
    <hyperlink ref="E5866" r:id="rId5709" xr:uid="{00000000-0004-0000-0000-00004C160000}"/>
    <hyperlink ref="E5867" r:id="rId5710" xr:uid="{00000000-0004-0000-0000-00004D160000}"/>
    <hyperlink ref="E5868" r:id="rId5711" xr:uid="{00000000-0004-0000-0000-00004E160000}"/>
    <hyperlink ref="E5869" r:id="rId5712" xr:uid="{00000000-0004-0000-0000-00004F160000}"/>
    <hyperlink ref="E5870" r:id="rId5713" xr:uid="{00000000-0004-0000-0000-000050160000}"/>
    <hyperlink ref="E5871" r:id="rId5714" xr:uid="{00000000-0004-0000-0000-000051160000}"/>
    <hyperlink ref="E5872" r:id="rId5715" xr:uid="{00000000-0004-0000-0000-000052160000}"/>
    <hyperlink ref="E5873" r:id="rId5716" xr:uid="{00000000-0004-0000-0000-000053160000}"/>
    <hyperlink ref="E5874" r:id="rId5717" xr:uid="{00000000-0004-0000-0000-000054160000}"/>
    <hyperlink ref="E5875" r:id="rId5718" xr:uid="{00000000-0004-0000-0000-000055160000}"/>
    <hyperlink ref="E5876" r:id="rId5719" xr:uid="{00000000-0004-0000-0000-000056160000}"/>
    <hyperlink ref="E5877" r:id="rId5720" xr:uid="{00000000-0004-0000-0000-000057160000}"/>
    <hyperlink ref="E5878" r:id="rId5721" xr:uid="{00000000-0004-0000-0000-000058160000}"/>
    <hyperlink ref="E5879" r:id="rId5722" xr:uid="{00000000-0004-0000-0000-000059160000}"/>
    <hyperlink ref="E5880" r:id="rId5723" xr:uid="{00000000-0004-0000-0000-00005A160000}"/>
    <hyperlink ref="E5881" r:id="rId5724" xr:uid="{00000000-0004-0000-0000-00005B160000}"/>
    <hyperlink ref="E5882" r:id="rId5725" xr:uid="{00000000-0004-0000-0000-00005C160000}"/>
    <hyperlink ref="E5883" r:id="rId5726" xr:uid="{00000000-0004-0000-0000-00005D160000}"/>
    <hyperlink ref="E5884" r:id="rId5727" xr:uid="{00000000-0004-0000-0000-00005E160000}"/>
    <hyperlink ref="E5885" r:id="rId5728" xr:uid="{00000000-0004-0000-0000-00005F160000}"/>
    <hyperlink ref="E5886" r:id="rId5729" xr:uid="{00000000-0004-0000-0000-000060160000}"/>
    <hyperlink ref="E5887" r:id="rId5730" xr:uid="{00000000-0004-0000-0000-000061160000}"/>
    <hyperlink ref="E5888" r:id="rId5731" xr:uid="{00000000-0004-0000-0000-000062160000}"/>
    <hyperlink ref="E5889" r:id="rId5732" xr:uid="{00000000-0004-0000-0000-000063160000}"/>
    <hyperlink ref="E5890" r:id="rId5733" xr:uid="{00000000-0004-0000-0000-000064160000}"/>
    <hyperlink ref="E5891" r:id="rId5734" xr:uid="{00000000-0004-0000-0000-000065160000}"/>
    <hyperlink ref="E5892" r:id="rId5735" xr:uid="{00000000-0004-0000-0000-000066160000}"/>
    <hyperlink ref="E5893" r:id="rId5736" xr:uid="{00000000-0004-0000-0000-000067160000}"/>
    <hyperlink ref="E5894" r:id="rId5737" xr:uid="{00000000-0004-0000-0000-000068160000}"/>
    <hyperlink ref="E5895" r:id="rId5738" xr:uid="{00000000-0004-0000-0000-000069160000}"/>
    <hyperlink ref="E5896" r:id="rId5739" xr:uid="{00000000-0004-0000-0000-00006A160000}"/>
    <hyperlink ref="E5897" r:id="rId5740" xr:uid="{00000000-0004-0000-0000-00006B160000}"/>
    <hyperlink ref="E5898" r:id="rId5741" xr:uid="{00000000-0004-0000-0000-00006C160000}"/>
    <hyperlink ref="E5899" r:id="rId5742" xr:uid="{00000000-0004-0000-0000-00006D160000}"/>
    <hyperlink ref="E5900" r:id="rId5743" xr:uid="{00000000-0004-0000-0000-00006E160000}"/>
    <hyperlink ref="E5901" r:id="rId5744" xr:uid="{00000000-0004-0000-0000-00006F160000}"/>
    <hyperlink ref="E5902" r:id="rId5745" xr:uid="{00000000-0004-0000-0000-000070160000}"/>
    <hyperlink ref="E5903" r:id="rId5746" xr:uid="{00000000-0004-0000-0000-000071160000}"/>
    <hyperlink ref="E5904" r:id="rId5747" xr:uid="{00000000-0004-0000-0000-000072160000}"/>
    <hyperlink ref="E5905" r:id="rId5748" xr:uid="{00000000-0004-0000-0000-000073160000}"/>
    <hyperlink ref="E5906" r:id="rId5749" xr:uid="{00000000-0004-0000-0000-000074160000}"/>
    <hyperlink ref="E5907" r:id="rId5750" xr:uid="{00000000-0004-0000-0000-000075160000}"/>
    <hyperlink ref="E5908" r:id="rId5751" xr:uid="{00000000-0004-0000-0000-000076160000}"/>
    <hyperlink ref="E5909" r:id="rId5752" xr:uid="{00000000-0004-0000-0000-000077160000}"/>
    <hyperlink ref="E5910" r:id="rId5753" xr:uid="{00000000-0004-0000-0000-000078160000}"/>
    <hyperlink ref="E5911" r:id="rId5754" xr:uid="{00000000-0004-0000-0000-000079160000}"/>
    <hyperlink ref="E5912" r:id="rId5755" xr:uid="{00000000-0004-0000-0000-00007A160000}"/>
    <hyperlink ref="E5913" r:id="rId5756" xr:uid="{00000000-0004-0000-0000-00007B160000}"/>
    <hyperlink ref="E5914" r:id="rId5757" xr:uid="{00000000-0004-0000-0000-00007C160000}"/>
    <hyperlink ref="E5915" r:id="rId5758" xr:uid="{00000000-0004-0000-0000-00007D160000}"/>
    <hyperlink ref="E5916" r:id="rId5759" xr:uid="{00000000-0004-0000-0000-00007E160000}"/>
    <hyperlink ref="E5917" r:id="rId5760" xr:uid="{00000000-0004-0000-0000-00007F160000}"/>
    <hyperlink ref="E5918" r:id="rId5761" xr:uid="{00000000-0004-0000-0000-000080160000}"/>
    <hyperlink ref="E5919" r:id="rId5762" xr:uid="{00000000-0004-0000-0000-000081160000}"/>
    <hyperlink ref="E5920" r:id="rId5763" xr:uid="{00000000-0004-0000-0000-000082160000}"/>
    <hyperlink ref="E5921" r:id="rId5764" xr:uid="{00000000-0004-0000-0000-000083160000}"/>
    <hyperlink ref="E5922" r:id="rId5765" xr:uid="{00000000-0004-0000-0000-000084160000}"/>
    <hyperlink ref="E5923" r:id="rId5766" xr:uid="{00000000-0004-0000-0000-000085160000}"/>
    <hyperlink ref="E5924" r:id="rId5767" xr:uid="{00000000-0004-0000-0000-000086160000}"/>
    <hyperlink ref="E5925" r:id="rId5768" xr:uid="{00000000-0004-0000-0000-000087160000}"/>
    <hyperlink ref="E5926" r:id="rId5769" xr:uid="{00000000-0004-0000-0000-000088160000}"/>
    <hyperlink ref="E5927" r:id="rId5770" xr:uid="{00000000-0004-0000-0000-000089160000}"/>
    <hyperlink ref="E5929" r:id="rId5771" xr:uid="{00000000-0004-0000-0000-00008A160000}"/>
    <hyperlink ref="E5930" r:id="rId5772" xr:uid="{00000000-0004-0000-0000-00008B160000}"/>
    <hyperlink ref="E5931" r:id="rId5773" xr:uid="{00000000-0004-0000-0000-00008C160000}"/>
    <hyperlink ref="E5932" r:id="rId5774" xr:uid="{00000000-0004-0000-0000-00008D160000}"/>
    <hyperlink ref="E5933" r:id="rId5775" xr:uid="{00000000-0004-0000-0000-00008E160000}"/>
    <hyperlink ref="E5934" r:id="rId5776" xr:uid="{00000000-0004-0000-0000-00008F160000}"/>
    <hyperlink ref="E5935" r:id="rId5777" xr:uid="{00000000-0004-0000-0000-000090160000}"/>
    <hyperlink ref="E5936" r:id="rId5778" xr:uid="{00000000-0004-0000-0000-000091160000}"/>
    <hyperlink ref="E5937" r:id="rId5779" xr:uid="{00000000-0004-0000-0000-000092160000}"/>
    <hyperlink ref="E5938" r:id="rId5780" xr:uid="{00000000-0004-0000-0000-000093160000}"/>
    <hyperlink ref="E5939" r:id="rId5781" xr:uid="{00000000-0004-0000-0000-000094160000}"/>
    <hyperlink ref="E5940" r:id="rId5782" xr:uid="{00000000-0004-0000-0000-000095160000}"/>
    <hyperlink ref="E5941" r:id="rId5783" xr:uid="{00000000-0004-0000-0000-000096160000}"/>
    <hyperlink ref="E5942" r:id="rId5784" xr:uid="{00000000-0004-0000-0000-000097160000}"/>
    <hyperlink ref="E5943" r:id="rId5785" xr:uid="{00000000-0004-0000-0000-000098160000}"/>
    <hyperlink ref="E5944" r:id="rId5786" xr:uid="{00000000-0004-0000-0000-000099160000}"/>
    <hyperlink ref="E5945" r:id="rId5787" xr:uid="{00000000-0004-0000-0000-00009A160000}"/>
    <hyperlink ref="E5946" r:id="rId5788" xr:uid="{00000000-0004-0000-0000-00009B160000}"/>
    <hyperlink ref="E5947" r:id="rId5789" xr:uid="{00000000-0004-0000-0000-00009C160000}"/>
    <hyperlink ref="E5948" r:id="rId5790" xr:uid="{00000000-0004-0000-0000-00009D160000}"/>
    <hyperlink ref="E5949" r:id="rId5791" xr:uid="{00000000-0004-0000-0000-00009E160000}"/>
    <hyperlink ref="E5950" r:id="rId5792" xr:uid="{00000000-0004-0000-0000-00009F160000}"/>
    <hyperlink ref="E5951" r:id="rId5793" xr:uid="{00000000-0004-0000-0000-0000A0160000}"/>
    <hyperlink ref="E5952" r:id="rId5794" xr:uid="{00000000-0004-0000-0000-0000A1160000}"/>
    <hyperlink ref="E5953" r:id="rId5795" xr:uid="{00000000-0004-0000-0000-0000A2160000}"/>
    <hyperlink ref="E5954" r:id="rId5796" xr:uid="{00000000-0004-0000-0000-0000A3160000}"/>
    <hyperlink ref="E5955" r:id="rId5797" xr:uid="{00000000-0004-0000-0000-0000A4160000}"/>
    <hyperlink ref="E5956" r:id="rId5798" xr:uid="{00000000-0004-0000-0000-0000A5160000}"/>
    <hyperlink ref="E5957" r:id="rId5799" xr:uid="{00000000-0004-0000-0000-0000A6160000}"/>
    <hyperlink ref="E5958" r:id="rId5800" xr:uid="{00000000-0004-0000-0000-0000A7160000}"/>
    <hyperlink ref="E5959" r:id="rId5801" xr:uid="{00000000-0004-0000-0000-0000A8160000}"/>
    <hyperlink ref="E5960" r:id="rId5802" xr:uid="{00000000-0004-0000-0000-0000A9160000}"/>
    <hyperlink ref="E5961" r:id="rId5803" xr:uid="{00000000-0004-0000-0000-0000AA160000}"/>
    <hyperlink ref="E5962" r:id="rId5804" xr:uid="{00000000-0004-0000-0000-0000AB160000}"/>
    <hyperlink ref="E5963" r:id="rId5805" xr:uid="{00000000-0004-0000-0000-0000AC160000}"/>
    <hyperlink ref="E5964" r:id="rId5806" xr:uid="{00000000-0004-0000-0000-0000AD160000}"/>
    <hyperlink ref="E5965" r:id="rId5807" xr:uid="{00000000-0004-0000-0000-0000AE160000}"/>
    <hyperlink ref="E5966" r:id="rId5808" xr:uid="{00000000-0004-0000-0000-0000AF160000}"/>
    <hyperlink ref="E5967" r:id="rId5809" xr:uid="{00000000-0004-0000-0000-0000B0160000}"/>
    <hyperlink ref="E5968" r:id="rId5810" xr:uid="{00000000-0004-0000-0000-0000B1160000}"/>
    <hyperlink ref="E5969" r:id="rId5811" xr:uid="{00000000-0004-0000-0000-0000B2160000}"/>
    <hyperlink ref="E5970" r:id="rId5812" xr:uid="{00000000-0004-0000-0000-0000B3160000}"/>
    <hyperlink ref="E5971" r:id="rId5813" xr:uid="{00000000-0004-0000-0000-0000B4160000}"/>
    <hyperlink ref="E5972" r:id="rId5814" xr:uid="{00000000-0004-0000-0000-0000B5160000}"/>
    <hyperlink ref="E5973" r:id="rId5815" xr:uid="{00000000-0004-0000-0000-0000B6160000}"/>
    <hyperlink ref="E5974" r:id="rId5816" xr:uid="{00000000-0004-0000-0000-0000B7160000}"/>
    <hyperlink ref="E5975" r:id="rId5817" xr:uid="{00000000-0004-0000-0000-0000B8160000}"/>
    <hyperlink ref="E5976" r:id="rId5818" xr:uid="{00000000-0004-0000-0000-0000B9160000}"/>
    <hyperlink ref="E5977" r:id="rId5819" xr:uid="{00000000-0004-0000-0000-0000BA160000}"/>
    <hyperlink ref="E5978" r:id="rId5820" xr:uid="{00000000-0004-0000-0000-0000BB160000}"/>
    <hyperlink ref="E5979" r:id="rId5821" xr:uid="{00000000-0004-0000-0000-0000BC160000}"/>
    <hyperlink ref="E5980" r:id="rId5822" xr:uid="{00000000-0004-0000-0000-0000BD160000}"/>
    <hyperlink ref="E5981" r:id="rId5823" xr:uid="{00000000-0004-0000-0000-0000BE160000}"/>
    <hyperlink ref="E5982" r:id="rId5824" xr:uid="{00000000-0004-0000-0000-0000BF160000}"/>
    <hyperlink ref="E5983" r:id="rId5825" xr:uid="{00000000-0004-0000-0000-0000C0160000}"/>
    <hyperlink ref="E5984" r:id="rId5826" xr:uid="{00000000-0004-0000-0000-0000C1160000}"/>
    <hyperlink ref="E5985" r:id="rId5827" xr:uid="{00000000-0004-0000-0000-0000C2160000}"/>
    <hyperlink ref="E5986" r:id="rId5828" xr:uid="{00000000-0004-0000-0000-0000C3160000}"/>
    <hyperlink ref="E5987" r:id="rId5829" xr:uid="{00000000-0004-0000-0000-0000C4160000}"/>
    <hyperlink ref="E5988" r:id="rId5830" xr:uid="{00000000-0004-0000-0000-0000C5160000}"/>
    <hyperlink ref="E5989" r:id="rId5831" xr:uid="{00000000-0004-0000-0000-0000C6160000}"/>
    <hyperlink ref="E5990" r:id="rId5832" xr:uid="{00000000-0004-0000-0000-0000C7160000}"/>
    <hyperlink ref="E5991" r:id="rId5833" xr:uid="{00000000-0004-0000-0000-0000C8160000}"/>
    <hyperlink ref="E5992" r:id="rId5834" xr:uid="{00000000-0004-0000-0000-0000C9160000}"/>
    <hyperlink ref="E5993" r:id="rId5835" xr:uid="{00000000-0004-0000-0000-0000CA160000}"/>
    <hyperlink ref="E5994" r:id="rId5836" xr:uid="{00000000-0004-0000-0000-0000CB160000}"/>
    <hyperlink ref="E5995" r:id="rId5837" xr:uid="{00000000-0004-0000-0000-0000CC160000}"/>
    <hyperlink ref="E5996" r:id="rId5838" xr:uid="{00000000-0004-0000-0000-0000CD160000}"/>
    <hyperlink ref="E5997" r:id="rId5839" xr:uid="{00000000-0004-0000-0000-0000CE160000}"/>
    <hyperlink ref="E5998" r:id="rId5840" xr:uid="{00000000-0004-0000-0000-0000CF160000}"/>
    <hyperlink ref="E5999" r:id="rId5841" xr:uid="{00000000-0004-0000-0000-0000D0160000}"/>
    <hyperlink ref="E6000" r:id="rId5842" xr:uid="{00000000-0004-0000-0000-0000D1160000}"/>
    <hyperlink ref="E6001" r:id="rId5843" xr:uid="{00000000-0004-0000-0000-0000D2160000}"/>
    <hyperlink ref="E6002" r:id="rId5844" xr:uid="{00000000-0004-0000-0000-0000D3160000}"/>
    <hyperlink ref="E6003" r:id="rId5845" xr:uid="{00000000-0004-0000-0000-0000D4160000}"/>
    <hyperlink ref="E6004" r:id="rId5846" xr:uid="{00000000-0004-0000-0000-0000D5160000}"/>
    <hyperlink ref="E6005" r:id="rId5847" xr:uid="{00000000-0004-0000-0000-0000D6160000}"/>
    <hyperlink ref="E6006" r:id="rId5848" xr:uid="{00000000-0004-0000-0000-0000D7160000}"/>
    <hyperlink ref="E6007" r:id="rId5849" xr:uid="{00000000-0004-0000-0000-0000D8160000}"/>
    <hyperlink ref="E6008" r:id="rId5850" xr:uid="{00000000-0004-0000-0000-0000D9160000}"/>
    <hyperlink ref="E6009" r:id="rId5851" xr:uid="{00000000-0004-0000-0000-0000DA160000}"/>
    <hyperlink ref="E6010" r:id="rId5852" xr:uid="{00000000-0004-0000-0000-0000DB160000}"/>
    <hyperlink ref="E6011" r:id="rId5853" xr:uid="{00000000-0004-0000-0000-0000DC160000}"/>
    <hyperlink ref="E6012" r:id="rId5854" xr:uid="{00000000-0004-0000-0000-0000DD160000}"/>
    <hyperlink ref="E6013" r:id="rId5855" xr:uid="{00000000-0004-0000-0000-0000DE160000}"/>
    <hyperlink ref="E6014" r:id="rId5856" xr:uid="{00000000-0004-0000-0000-0000DF160000}"/>
    <hyperlink ref="E6015" r:id="rId5857" xr:uid="{00000000-0004-0000-0000-0000E0160000}"/>
    <hyperlink ref="E6016" r:id="rId5858" xr:uid="{00000000-0004-0000-0000-0000E1160000}"/>
    <hyperlink ref="E6017" r:id="rId5859" xr:uid="{00000000-0004-0000-0000-0000E2160000}"/>
    <hyperlink ref="E6018" r:id="rId5860" xr:uid="{00000000-0004-0000-0000-0000E3160000}"/>
    <hyperlink ref="E6019" r:id="rId5861" xr:uid="{00000000-0004-0000-0000-0000E4160000}"/>
    <hyperlink ref="E6020" r:id="rId5862" xr:uid="{00000000-0004-0000-0000-0000E5160000}"/>
    <hyperlink ref="E6021" r:id="rId5863" xr:uid="{00000000-0004-0000-0000-0000E6160000}"/>
    <hyperlink ref="E6022" r:id="rId5864" xr:uid="{00000000-0004-0000-0000-0000E7160000}"/>
    <hyperlink ref="E6023" r:id="rId5865" xr:uid="{00000000-0004-0000-0000-0000E8160000}"/>
    <hyperlink ref="E6024" r:id="rId5866" xr:uid="{00000000-0004-0000-0000-0000E9160000}"/>
    <hyperlink ref="E6025" r:id="rId5867" xr:uid="{00000000-0004-0000-0000-0000EA160000}"/>
    <hyperlink ref="E6026" r:id="rId5868" xr:uid="{00000000-0004-0000-0000-0000EB160000}"/>
    <hyperlink ref="E6027" r:id="rId5869" xr:uid="{00000000-0004-0000-0000-0000EC160000}"/>
    <hyperlink ref="E6028" r:id="rId5870" xr:uid="{00000000-0004-0000-0000-0000ED160000}"/>
    <hyperlink ref="E6029" r:id="rId5871" xr:uid="{00000000-0004-0000-0000-0000EE160000}"/>
    <hyperlink ref="E6030" r:id="rId5872" xr:uid="{00000000-0004-0000-0000-0000EF160000}"/>
    <hyperlink ref="E6031" r:id="rId5873" xr:uid="{00000000-0004-0000-0000-0000F0160000}"/>
    <hyperlink ref="E6032" r:id="rId5874" xr:uid="{00000000-0004-0000-0000-0000F1160000}"/>
    <hyperlink ref="E6033" r:id="rId5875" xr:uid="{00000000-0004-0000-0000-0000F2160000}"/>
    <hyperlink ref="E6034" r:id="rId5876" xr:uid="{00000000-0004-0000-0000-0000F3160000}"/>
    <hyperlink ref="E6035" r:id="rId5877" xr:uid="{00000000-0004-0000-0000-0000F4160000}"/>
    <hyperlink ref="E6036" r:id="rId5878" xr:uid="{00000000-0004-0000-0000-0000F5160000}"/>
    <hyperlink ref="E6037" r:id="rId5879" xr:uid="{00000000-0004-0000-0000-0000F6160000}"/>
    <hyperlink ref="E6038" r:id="rId5880" xr:uid="{00000000-0004-0000-0000-0000F7160000}"/>
    <hyperlink ref="E6039" r:id="rId5881" xr:uid="{00000000-0004-0000-0000-0000F8160000}"/>
    <hyperlink ref="E6040" r:id="rId5882" xr:uid="{00000000-0004-0000-0000-0000F9160000}"/>
    <hyperlink ref="E6041" r:id="rId5883" xr:uid="{00000000-0004-0000-0000-0000FA160000}"/>
    <hyperlink ref="E6042" r:id="rId5884" xr:uid="{00000000-0004-0000-0000-0000FB160000}"/>
    <hyperlink ref="E6043" r:id="rId5885" xr:uid="{00000000-0004-0000-0000-0000FC160000}"/>
    <hyperlink ref="E6044" r:id="rId5886" xr:uid="{00000000-0004-0000-0000-0000FD160000}"/>
    <hyperlink ref="E6045" r:id="rId5887" xr:uid="{00000000-0004-0000-0000-0000FE160000}"/>
    <hyperlink ref="E6046" r:id="rId5888" xr:uid="{00000000-0004-0000-0000-0000FF160000}"/>
    <hyperlink ref="E6047" r:id="rId5889" xr:uid="{00000000-0004-0000-0000-000000170000}"/>
    <hyperlink ref="E6048" r:id="rId5890" xr:uid="{00000000-0004-0000-0000-000001170000}"/>
    <hyperlink ref="E6049" r:id="rId5891" xr:uid="{00000000-0004-0000-0000-000002170000}"/>
    <hyperlink ref="E6050" r:id="rId5892" xr:uid="{00000000-0004-0000-0000-000003170000}"/>
    <hyperlink ref="E6051" r:id="rId5893" xr:uid="{00000000-0004-0000-0000-000004170000}"/>
    <hyperlink ref="E6052" r:id="rId5894" xr:uid="{00000000-0004-0000-0000-000005170000}"/>
    <hyperlink ref="E6053" r:id="rId5895" xr:uid="{00000000-0004-0000-0000-000006170000}"/>
    <hyperlink ref="E6054" r:id="rId5896" xr:uid="{00000000-0004-0000-0000-000007170000}"/>
    <hyperlink ref="E6055" r:id="rId5897" xr:uid="{00000000-0004-0000-0000-000008170000}"/>
    <hyperlink ref="E6056" r:id="rId5898" xr:uid="{00000000-0004-0000-0000-000009170000}"/>
    <hyperlink ref="E6057" r:id="rId5899" xr:uid="{00000000-0004-0000-0000-00000A170000}"/>
    <hyperlink ref="E6058" r:id="rId5900" xr:uid="{00000000-0004-0000-0000-00000B170000}"/>
    <hyperlink ref="E6059" r:id="rId5901" xr:uid="{00000000-0004-0000-0000-00000C170000}"/>
    <hyperlink ref="E6060" r:id="rId5902" xr:uid="{00000000-0004-0000-0000-00000D170000}"/>
    <hyperlink ref="E6061" r:id="rId5903" xr:uid="{00000000-0004-0000-0000-00000E170000}"/>
    <hyperlink ref="E6062" r:id="rId5904" xr:uid="{00000000-0004-0000-0000-00000F170000}"/>
    <hyperlink ref="E6063" r:id="rId5905" xr:uid="{00000000-0004-0000-0000-000010170000}"/>
    <hyperlink ref="E6064" r:id="rId5906" xr:uid="{00000000-0004-0000-0000-000011170000}"/>
    <hyperlink ref="E6065" r:id="rId5907" xr:uid="{00000000-0004-0000-0000-000012170000}"/>
    <hyperlink ref="E6066" r:id="rId5908" xr:uid="{00000000-0004-0000-0000-000013170000}"/>
    <hyperlink ref="E6067" r:id="rId5909" xr:uid="{00000000-0004-0000-0000-000014170000}"/>
    <hyperlink ref="E6068" r:id="rId5910" xr:uid="{00000000-0004-0000-0000-000015170000}"/>
    <hyperlink ref="E6069" r:id="rId5911" xr:uid="{00000000-0004-0000-0000-000016170000}"/>
    <hyperlink ref="E6070" r:id="rId5912" xr:uid="{00000000-0004-0000-0000-000017170000}"/>
    <hyperlink ref="E6071" r:id="rId5913" xr:uid="{00000000-0004-0000-0000-000018170000}"/>
    <hyperlink ref="E6072" r:id="rId5914" xr:uid="{00000000-0004-0000-0000-000019170000}"/>
    <hyperlink ref="E6073" r:id="rId5915" xr:uid="{00000000-0004-0000-0000-00001A170000}"/>
    <hyperlink ref="E6074" r:id="rId5916" xr:uid="{00000000-0004-0000-0000-00001B170000}"/>
    <hyperlink ref="E6075" r:id="rId5917" xr:uid="{00000000-0004-0000-0000-00001C170000}"/>
    <hyperlink ref="E6076" r:id="rId5918" xr:uid="{00000000-0004-0000-0000-00001D170000}"/>
    <hyperlink ref="E6077" r:id="rId5919" xr:uid="{00000000-0004-0000-0000-00001E170000}"/>
    <hyperlink ref="E6078" r:id="rId5920" xr:uid="{00000000-0004-0000-0000-00001F170000}"/>
    <hyperlink ref="E6079" r:id="rId5921" xr:uid="{00000000-0004-0000-0000-000020170000}"/>
    <hyperlink ref="E6080" r:id="rId5922" xr:uid="{00000000-0004-0000-0000-000021170000}"/>
    <hyperlink ref="E6081" r:id="rId5923" xr:uid="{00000000-0004-0000-0000-000022170000}"/>
    <hyperlink ref="E6082" r:id="rId5924" xr:uid="{00000000-0004-0000-0000-000023170000}"/>
    <hyperlink ref="E6083" r:id="rId5925" xr:uid="{00000000-0004-0000-0000-000024170000}"/>
    <hyperlink ref="E6084" r:id="rId5926" xr:uid="{00000000-0004-0000-0000-000025170000}"/>
    <hyperlink ref="E6085" r:id="rId5927" xr:uid="{00000000-0004-0000-0000-000026170000}"/>
    <hyperlink ref="E6086" r:id="rId5928" xr:uid="{00000000-0004-0000-0000-000027170000}"/>
    <hyperlink ref="E6087" r:id="rId5929" xr:uid="{00000000-0004-0000-0000-000028170000}"/>
    <hyperlink ref="E6088" r:id="rId5930" xr:uid="{00000000-0004-0000-0000-000029170000}"/>
    <hyperlink ref="E6089" r:id="rId5931" xr:uid="{00000000-0004-0000-0000-00002A170000}"/>
    <hyperlink ref="E6090" r:id="rId5932" xr:uid="{00000000-0004-0000-0000-00002B170000}"/>
    <hyperlink ref="E6091" r:id="rId5933" xr:uid="{00000000-0004-0000-0000-00002C170000}"/>
    <hyperlink ref="E6092" r:id="rId5934" xr:uid="{00000000-0004-0000-0000-00002D170000}"/>
    <hyperlink ref="E6093" r:id="rId5935" xr:uid="{00000000-0004-0000-0000-00002E170000}"/>
    <hyperlink ref="E6094" r:id="rId5936" xr:uid="{00000000-0004-0000-0000-00002F170000}"/>
    <hyperlink ref="E6095" r:id="rId5937" xr:uid="{00000000-0004-0000-0000-000030170000}"/>
    <hyperlink ref="E6096" r:id="rId5938" xr:uid="{00000000-0004-0000-0000-000031170000}"/>
    <hyperlink ref="E6097" r:id="rId5939" xr:uid="{00000000-0004-0000-0000-000032170000}"/>
    <hyperlink ref="E6098" r:id="rId5940" xr:uid="{00000000-0004-0000-0000-000033170000}"/>
    <hyperlink ref="E6099" r:id="rId5941" xr:uid="{00000000-0004-0000-0000-000034170000}"/>
    <hyperlink ref="E6100" r:id="rId5942" xr:uid="{00000000-0004-0000-0000-000035170000}"/>
    <hyperlink ref="E6101" r:id="rId5943" xr:uid="{00000000-0004-0000-0000-000036170000}"/>
    <hyperlink ref="E6102" r:id="rId5944" xr:uid="{00000000-0004-0000-0000-000037170000}"/>
    <hyperlink ref="E6103" r:id="rId5945" xr:uid="{00000000-0004-0000-0000-000038170000}"/>
    <hyperlink ref="E6104" r:id="rId5946" xr:uid="{00000000-0004-0000-0000-000039170000}"/>
    <hyperlink ref="E6105" r:id="rId5947" xr:uid="{00000000-0004-0000-0000-00003A170000}"/>
    <hyperlink ref="E6106" r:id="rId5948" xr:uid="{00000000-0004-0000-0000-00003B170000}"/>
    <hyperlink ref="E6107" r:id="rId5949" xr:uid="{00000000-0004-0000-0000-00003C170000}"/>
    <hyperlink ref="E6108" r:id="rId5950" xr:uid="{00000000-0004-0000-0000-00003D170000}"/>
    <hyperlink ref="E6109" r:id="rId5951" xr:uid="{00000000-0004-0000-0000-00003E170000}"/>
    <hyperlink ref="E6110" r:id="rId5952" xr:uid="{00000000-0004-0000-0000-00003F170000}"/>
    <hyperlink ref="E6111" r:id="rId5953" xr:uid="{00000000-0004-0000-0000-000040170000}"/>
    <hyperlink ref="E6112" r:id="rId5954" xr:uid="{00000000-0004-0000-0000-000041170000}"/>
    <hyperlink ref="E6113" r:id="rId5955" xr:uid="{00000000-0004-0000-0000-000042170000}"/>
    <hyperlink ref="E6114" r:id="rId5956" xr:uid="{00000000-0004-0000-0000-000043170000}"/>
    <hyperlink ref="E6115" r:id="rId5957" xr:uid="{00000000-0004-0000-0000-000044170000}"/>
    <hyperlink ref="E6116" r:id="rId5958" xr:uid="{00000000-0004-0000-0000-000045170000}"/>
    <hyperlink ref="E6117" r:id="rId5959" xr:uid="{00000000-0004-0000-0000-000046170000}"/>
    <hyperlink ref="E6118" r:id="rId5960" xr:uid="{00000000-0004-0000-0000-000047170000}"/>
    <hyperlink ref="E6119" r:id="rId5961" xr:uid="{00000000-0004-0000-0000-000048170000}"/>
    <hyperlink ref="E6120" r:id="rId5962" xr:uid="{00000000-0004-0000-0000-000049170000}"/>
    <hyperlink ref="E6121" r:id="rId5963" xr:uid="{00000000-0004-0000-0000-00004A170000}"/>
    <hyperlink ref="E6122" r:id="rId5964" xr:uid="{00000000-0004-0000-0000-00004B170000}"/>
    <hyperlink ref="E6123" r:id="rId5965" xr:uid="{00000000-0004-0000-0000-00004C170000}"/>
    <hyperlink ref="E6125" r:id="rId5966" xr:uid="{00000000-0004-0000-0000-00004D170000}"/>
    <hyperlink ref="E6126" r:id="rId5967" xr:uid="{00000000-0004-0000-0000-00004E170000}"/>
    <hyperlink ref="E6127" r:id="rId5968" xr:uid="{00000000-0004-0000-0000-00004F170000}"/>
    <hyperlink ref="E6128" r:id="rId5969" xr:uid="{00000000-0004-0000-0000-000050170000}"/>
    <hyperlink ref="E6129" r:id="rId5970" xr:uid="{00000000-0004-0000-0000-000051170000}"/>
    <hyperlink ref="E6130" r:id="rId5971" xr:uid="{00000000-0004-0000-0000-000052170000}"/>
    <hyperlink ref="E6131" r:id="rId5972" xr:uid="{00000000-0004-0000-0000-000053170000}"/>
    <hyperlink ref="E6132" r:id="rId5973" xr:uid="{00000000-0004-0000-0000-000054170000}"/>
    <hyperlink ref="E6133" r:id="rId5974" xr:uid="{00000000-0004-0000-0000-000055170000}"/>
    <hyperlink ref="E6134" r:id="rId5975" xr:uid="{00000000-0004-0000-0000-000056170000}"/>
    <hyperlink ref="E6135" r:id="rId5976" xr:uid="{00000000-0004-0000-0000-000057170000}"/>
    <hyperlink ref="E6136" r:id="rId5977" xr:uid="{00000000-0004-0000-0000-000058170000}"/>
    <hyperlink ref="E6137" r:id="rId5978" xr:uid="{00000000-0004-0000-0000-000059170000}"/>
    <hyperlink ref="E6138" r:id="rId5979" xr:uid="{00000000-0004-0000-0000-00005A170000}"/>
    <hyperlink ref="E6139" r:id="rId5980" xr:uid="{00000000-0004-0000-0000-00005B170000}"/>
    <hyperlink ref="E6140" r:id="rId5981" xr:uid="{00000000-0004-0000-0000-00005C170000}"/>
    <hyperlink ref="E6141" r:id="rId5982" xr:uid="{00000000-0004-0000-0000-00005D170000}"/>
    <hyperlink ref="E6142" r:id="rId5983" xr:uid="{00000000-0004-0000-0000-00005E170000}"/>
    <hyperlink ref="E6143" r:id="rId5984" xr:uid="{00000000-0004-0000-0000-00005F170000}"/>
    <hyperlink ref="E6144" r:id="rId5985" xr:uid="{00000000-0004-0000-0000-000060170000}"/>
    <hyperlink ref="E6145" r:id="rId5986" xr:uid="{00000000-0004-0000-0000-000061170000}"/>
    <hyperlink ref="E6146" r:id="rId5987" xr:uid="{00000000-0004-0000-0000-000062170000}"/>
    <hyperlink ref="E6147" r:id="rId5988" xr:uid="{00000000-0004-0000-0000-000063170000}"/>
    <hyperlink ref="E6148" r:id="rId5989" xr:uid="{00000000-0004-0000-0000-000064170000}"/>
    <hyperlink ref="E6149" r:id="rId5990" xr:uid="{00000000-0004-0000-0000-000065170000}"/>
    <hyperlink ref="E6150" r:id="rId5991" xr:uid="{00000000-0004-0000-0000-000066170000}"/>
    <hyperlink ref="E6151" r:id="rId5992" xr:uid="{00000000-0004-0000-0000-000067170000}"/>
    <hyperlink ref="E6152" r:id="rId5993" xr:uid="{00000000-0004-0000-0000-000068170000}"/>
    <hyperlink ref="E6153" r:id="rId5994" xr:uid="{00000000-0004-0000-0000-000069170000}"/>
    <hyperlink ref="E6154" r:id="rId5995" xr:uid="{00000000-0004-0000-0000-00006A170000}"/>
    <hyperlink ref="E6155" r:id="rId5996" xr:uid="{00000000-0004-0000-0000-00006B170000}"/>
    <hyperlink ref="E6156" r:id="rId5997" xr:uid="{00000000-0004-0000-0000-00006C170000}"/>
    <hyperlink ref="E6157" r:id="rId5998" xr:uid="{00000000-0004-0000-0000-00006D170000}"/>
    <hyperlink ref="E6158" r:id="rId5999" xr:uid="{00000000-0004-0000-0000-00006E170000}"/>
    <hyperlink ref="E6159" r:id="rId6000" xr:uid="{00000000-0004-0000-0000-00006F170000}"/>
    <hyperlink ref="E6160" r:id="rId6001" xr:uid="{00000000-0004-0000-0000-000070170000}"/>
    <hyperlink ref="E6161" r:id="rId6002" xr:uid="{00000000-0004-0000-0000-000071170000}"/>
    <hyperlink ref="E6162" r:id="rId6003" xr:uid="{00000000-0004-0000-0000-000072170000}"/>
    <hyperlink ref="E6163" r:id="rId6004" xr:uid="{00000000-0004-0000-0000-000073170000}"/>
    <hyperlink ref="E6164" r:id="rId6005" xr:uid="{00000000-0004-0000-0000-000074170000}"/>
    <hyperlink ref="E6165" r:id="rId6006" xr:uid="{00000000-0004-0000-0000-000075170000}"/>
    <hyperlink ref="E6166" r:id="rId6007" xr:uid="{00000000-0004-0000-0000-000076170000}"/>
    <hyperlink ref="E6167" r:id="rId6008" xr:uid="{00000000-0004-0000-0000-000077170000}"/>
    <hyperlink ref="E6168" r:id="rId6009" xr:uid="{00000000-0004-0000-0000-000078170000}"/>
    <hyperlink ref="E6169" r:id="rId6010" xr:uid="{00000000-0004-0000-0000-000079170000}"/>
    <hyperlink ref="E6170" r:id="rId6011" xr:uid="{00000000-0004-0000-0000-00007A170000}"/>
    <hyperlink ref="E6171" r:id="rId6012" xr:uid="{00000000-0004-0000-0000-00007B170000}"/>
    <hyperlink ref="E6172" r:id="rId6013" xr:uid="{00000000-0004-0000-0000-00007C170000}"/>
    <hyperlink ref="E6173" r:id="rId6014" xr:uid="{00000000-0004-0000-0000-00007D170000}"/>
    <hyperlink ref="E6174" r:id="rId6015" xr:uid="{00000000-0004-0000-0000-00007E170000}"/>
    <hyperlink ref="E6175" r:id="rId6016" xr:uid="{00000000-0004-0000-0000-00007F170000}"/>
    <hyperlink ref="E6176" r:id="rId6017" xr:uid="{00000000-0004-0000-0000-000080170000}"/>
    <hyperlink ref="E6177" r:id="rId6018" xr:uid="{00000000-0004-0000-0000-000081170000}"/>
    <hyperlink ref="E6178" r:id="rId6019" xr:uid="{00000000-0004-0000-0000-000082170000}"/>
    <hyperlink ref="E6179" r:id="rId6020" xr:uid="{00000000-0004-0000-0000-000083170000}"/>
    <hyperlink ref="E6180" r:id="rId6021" xr:uid="{00000000-0004-0000-0000-000084170000}"/>
    <hyperlink ref="E6181" r:id="rId6022" xr:uid="{00000000-0004-0000-0000-000085170000}"/>
    <hyperlink ref="E6182" r:id="rId6023" xr:uid="{00000000-0004-0000-0000-000086170000}"/>
    <hyperlink ref="E6183" r:id="rId6024" xr:uid="{00000000-0004-0000-0000-000087170000}"/>
    <hyperlink ref="E6184" r:id="rId6025" xr:uid="{00000000-0004-0000-0000-000088170000}"/>
    <hyperlink ref="E6185" r:id="rId6026" xr:uid="{00000000-0004-0000-0000-000089170000}"/>
    <hyperlink ref="E6186" r:id="rId6027" xr:uid="{00000000-0004-0000-0000-00008A170000}"/>
    <hyperlink ref="E6187" r:id="rId6028" xr:uid="{00000000-0004-0000-0000-00008B170000}"/>
    <hyperlink ref="E6188" r:id="rId6029" xr:uid="{00000000-0004-0000-0000-00008C170000}"/>
    <hyperlink ref="E6189" r:id="rId6030" xr:uid="{00000000-0004-0000-0000-00008D170000}"/>
    <hyperlink ref="E6190" r:id="rId6031" xr:uid="{00000000-0004-0000-0000-00008E170000}"/>
    <hyperlink ref="E6191" r:id="rId6032" xr:uid="{00000000-0004-0000-0000-00008F170000}"/>
    <hyperlink ref="E6192" r:id="rId6033" xr:uid="{00000000-0004-0000-0000-000090170000}"/>
    <hyperlink ref="E6193" r:id="rId6034" xr:uid="{00000000-0004-0000-0000-000091170000}"/>
    <hyperlink ref="E6194" r:id="rId6035" xr:uid="{00000000-0004-0000-0000-000092170000}"/>
    <hyperlink ref="E6195" r:id="rId6036" xr:uid="{00000000-0004-0000-0000-000093170000}"/>
    <hyperlink ref="E6196" r:id="rId6037" xr:uid="{00000000-0004-0000-0000-000094170000}"/>
    <hyperlink ref="E6197" r:id="rId6038" xr:uid="{00000000-0004-0000-0000-000095170000}"/>
    <hyperlink ref="E6198" r:id="rId6039" xr:uid="{00000000-0004-0000-0000-000096170000}"/>
    <hyperlink ref="E6199" r:id="rId6040" xr:uid="{00000000-0004-0000-0000-000097170000}"/>
    <hyperlink ref="E6200" r:id="rId6041" xr:uid="{00000000-0004-0000-0000-000098170000}"/>
    <hyperlink ref="E6201" r:id="rId6042" xr:uid="{00000000-0004-0000-0000-000099170000}"/>
    <hyperlink ref="E6202" r:id="rId6043" xr:uid="{00000000-0004-0000-0000-00009A170000}"/>
    <hyperlink ref="E6203" r:id="rId6044" xr:uid="{00000000-0004-0000-0000-00009B170000}"/>
    <hyperlink ref="E6204" r:id="rId6045" xr:uid="{00000000-0004-0000-0000-00009C170000}"/>
    <hyperlink ref="E6205" r:id="rId6046" xr:uid="{00000000-0004-0000-0000-00009D170000}"/>
    <hyperlink ref="E6206" r:id="rId6047" xr:uid="{00000000-0004-0000-0000-00009E170000}"/>
    <hyperlink ref="E6207" r:id="rId6048" xr:uid="{00000000-0004-0000-0000-00009F170000}"/>
    <hyperlink ref="E6208" r:id="rId6049" xr:uid="{00000000-0004-0000-0000-0000A0170000}"/>
    <hyperlink ref="E6209" r:id="rId6050" xr:uid="{00000000-0004-0000-0000-0000A1170000}"/>
    <hyperlink ref="E6210" r:id="rId6051" xr:uid="{00000000-0004-0000-0000-0000A2170000}"/>
    <hyperlink ref="E6211" r:id="rId6052" xr:uid="{00000000-0004-0000-0000-0000A3170000}"/>
    <hyperlink ref="E6212" r:id="rId6053" xr:uid="{00000000-0004-0000-0000-0000A4170000}"/>
    <hyperlink ref="E6213" r:id="rId6054" xr:uid="{00000000-0004-0000-0000-0000A5170000}"/>
    <hyperlink ref="E6214" r:id="rId6055" xr:uid="{00000000-0004-0000-0000-0000A6170000}"/>
    <hyperlink ref="E6215" r:id="rId6056" xr:uid="{00000000-0004-0000-0000-0000A7170000}"/>
    <hyperlink ref="E6216" r:id="rId6057" xr:uid="{00000000-0004-0000-0000-0000A8170000}"/>
    <hyperlink ref="E6217" r:id="rId6058" xr:uid="{00000000-0004-0000-0000-0000A9170000}"/>
    <hyperlink ref="E6218" r:id="rId6059" xr:uid="{00000000-0004-0000-0000-0000AA170000}"/>
    <hyperlink ref="E6219" r:id="rId6060" xr:uid="{00000000-0004-0000-0000-0000AB170000}"/>
    <hyperlink ref="E6220" r:id="rId6061" xr:uid="{00000000-0004-0000-0000-0000AC170000}"/>
    <hyperlink ref="E6221" r:id="rId6062" xr:uid="{00000000-0004-0000-0000-0000AD170000}"/>
    <hyperlink ref="E6222" r:id="rId6063" xr:uid="{00000000-0004-0000-0000-0000AE170000}"/>
    <hyperlink ref="E6223" r:id="rId6064" xr:uid="{00000000-0004-0000-0000-0000AF170000}"/>
    <hyperlink ref="E6224" r:id="rId6065" xr:uid="{00000000-0004-0000-0000-0000B0170000}"/>
    <hyperlink ref="E6225" r:id="rId6066" xr:uid="{00000000-0004-0000-0000-0000B1170000}"/>
    <hyperlink ref="E6226" r:id="rId6067" xr:uid="{00000000-0004-0000-0000-0000B2170000}"/>
    <hyperlink ref="E6227" r:id="rId6068" xr:uid="{00000000-0004-0000-0000-0000B3170000}"/>
    <hyperlink ref="E6228" r:id="rId6069" xr:uid="{00000000-0004-0000-0000-0000B4170000}"/>
    <hyperlink ref="E6229" r:id="rId6070" xr:uid="{00000000-0004-0000-0000-0000B5170000}"/>
    <hyperlink ref="E6230" r:id="rId6071" xr:uid="{00000000-0004-0000-0000-0000B6170000}"/>
    <hyperlink ref="E6231" r:id="rId6072" xr:uid="{00000000-0004-0000-0000-0000B7170000}"/>
    <hyperlink ref="E6232" r:id="rId6073" xr:uid="{00000000-0004-0000-0000-0000B8170000}"/>
    <hyperlink ref="E6233" r:id="rId6074" xr:uid="{00000000-0004-0000-0000-0000B9170000}"/>
  </hyperlinks>
  <pageMargins left="0.7" right="0.7" top="0.75" bottom="0.75" header="0.3" footer="0.3"/>
  <drawing r:id="rId6075"/>
  <legacyDrawing r:id="rId607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5 ноября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Прайс-лист</dc:title>
  <dc:subject/>
  <dc:creator>KBT</dc:creator>
  <cp:keywords/>
  <dc:description/>
  <cp:lastModifiedBy>tech dev</cp:lastModifiedBy>
  <dcterms:created xsi:type="dcterms:W3CDTF">2026-10-20T01:30:02Z</dcterms:created>
  <dcterms:modified xsi:type="dcterms:W3CDTF">2026-11-05T11:29:10Z</dcterms:modified>
  <cp:category/>
</cp:coreProperties>
</file>